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4EFB9248-22D8-45A9-8DCF-AE85B50F969F}" xr6:coauthVersionLast="47" xr6:coauthVersionMax="47" xr10:uidLastSave="{00000000-0000-0000-0000-000000000000}"/>
  <bookViews>
    <workbookView xWindow="-110" yWindow="-110" windowWidth="25820" windowHeight="15500" activeTab="5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5" l="1"/>
  <c r="F4" i="3"/>
  <c r="F7" i="3"/>
  <c r="F10" i="3"/>
  <c r="F13" i="3"/>
  <c r="F16" i="3"/>
  <c r="F21" i="3"/>
  <c r="F24" i="3"/>
  <c r="F29" i="3"/>
  <c r="F32" i="3"/>
  <c r="F34" i="3"/>
  <c r="F44" i="3" s="1"/>
  <c r="F37" i="3"/>
  <c r="F40" i="3"/>
  <c r="F42" i="3"/>
  <c r="F22" i="5"/>
  <c r="G22" i="5"/>
  <c r="H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I22" i="5" s="1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E40" i="3"/>
  <c r="D40" i="3"/>
  <c r="M37" i="3"/>
  <c r="L37" i="3"/>
  <c r="K37" i="3"/>
  <c r="J37" i="3"/>
  <c r="I37" i="3"/>
  <c r="H37" i="3"/>
  <c r="G37" i="3"/>
  <c r="E37" i="3"/>
  <c r="D37" i="3"/>
  <c r="M32" i="3"/>
  <c r="L32" i="3"/>
  <c r="K32" i="3"/>
  <c r="J32" i="3"/>
  <c r="I32" i="3"/>
  <c r="H32" i="3"/>
  <c r="G32" i="3"/>
  <c r="E32" i="3"/>
  <c r="D32" i="3"/>
  <c r="M29" i="3"/>
  <c r="L29" i="3"/>
  <c r="K29" i="3"/>
  <c r="J29" i="3"/>
  <c r="I29" i="3"/>
  <c r="H29" i="3"/>
  <c r="G29" i="3"/>
  <c r="E29" i="3"/>
  <c r="D29" i="3"/>
  <c r="M24" i="3"/>
  <c r="L24" i="3"/>
  <c r="K24" i="3"/>
  <c r="J24" i="3"/>
  <c r="I24" i="3"/>
  <c r="H24" i="3"/>
  <c r="G24" i="3"/>
  <c r="E24" i="3"/>
  <c r="D24" i="3"/>
  <c r="M16" i="3"/>
  <c r="L16" i="3"/>
  <c r="K16" i="3"/>
  <c r="J16" i="3"/>
  <c r="I16" i="3"/>
  <c r="H16" i="3"/>
  <c r="G16" i="3"/>
  <c r="E16" i="3"/>
  <c r="D16" i="3"/>
  <c r="M13" i="3"/>
  <c r="L13" i="3"/>
  <c r="K13" i="3"/>
  <c r="J13" i="3"/>
  <c r="I13" i="3"/>
  <c r="H13" i="3"/>
  <c r="G13" i="3"/>
  <c r="E13" i="3"/>
  <c r="D13" i="3"/>
  <c r="M10" i="3"/>
  <c r="L10" i="3"/>
  <c r="K10" i="3"/>
  <c r="J10" i="3"/>
  <c r="I10" i="3"/>
  <c r="H10" i="3"/>
  <c r="G10" i="3"/>
  <c r="E10" i="3"/>
  <c r="D10" i="3"/>
  <c r="M7" i="3"/>
  <c r="L7" i="3"/>
  <c r="K7" i="3"/>
  <c r="J7" i="3"/>
  <c r="I7" i="3"/>
  <c r="H7" i="3"/>
  <c r="G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76" i="3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E44" i="3"/>
  <c r="D58" i="3"/>
  <c r="G20" i="5" s="1"/>
  <c r="D52" i="3"/>
  <c r="M4" i="3"/>
  <c r="L4" i="3"/>
  <c r="K4" i="3"/>
  <c r="J4" i="3"/>
  <c r="I4" i="3"/>
  <c r="H4" i="3"/>
  <c r="G4" i="3"/>
  <c r="E4" i="3"/>
  <c r="F52" i="3" l="1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C7" i="2" s="1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  <c r="D22" i="5"/>
</calcChain>
</file>

<file path=xl/sharedStrings.xml><?xml version="1.0" encoding="utf-8"?>
<sst xmlns="http://schemas.openxmlformats.org/spreadsheetml/2006/main" count="227" uniqueCount="162">
  <si>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</si>
  <si>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</si>
  <si>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</si>
  <si>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</si>
  <si>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</si>
  <si>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</si>
  <si>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</si>
  <si>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</si>
  <si>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</si>
  <si>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</si>
  <si>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</si>
  <si>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</si>
  <si>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</si>
  <si>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</si>
  <si>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</si>
  <si>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</si>
  <si>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</si>
  <si>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</si>
  <si>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</si>
  <si>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</si>
  <si>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</si>
  <si>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</si>
  <si>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</si>
  <si>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</si>
  <si>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</si>
  <si>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</si>
  <si>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</si>
  <si>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</si>
  <si>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</si>
  <si>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</si>
  <si>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</si>
  <si>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</si>
  <si>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</si>
  <si>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</si>
  <si>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</si>
  <si>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</si>
  <si>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</si>
  <si>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</si>
  <si>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</si>
  <si>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</si>
  <si>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</si>
  <si>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</si>
  <si>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</si>
  <si>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</si>
  <si>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</si>
  <si>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</si>
  <si>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</si>
  <si>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</si>
  <si>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</si>
  <si>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</si>
  <si>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</si>
  <si>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</si>
  <si>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</si>
  <si>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</si>
  <si>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</si>
  <si>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</si>
  <si>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</si>
  <si>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</si>
  <si>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</si>
  <si>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</si>
  <si>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</si>
  <si>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</si>
  <si>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</si>
  <si>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</si>
  <si>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</si>
  <si>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</si>
  <si>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</si>
  <si>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</si>
  <si>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</si>
  <si>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</si>
  <si>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</si>
  <si>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</si>
  <si>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</si>
  <si>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</si>
  <si>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</si>
  <si>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</si>
  <si>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</si>
  <si>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</si>
  <si>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</si>
  <si>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</si>
  <si>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</si>
  <si>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</si>
  <si>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</si>
  <si>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</si>
  <si>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</si>
  <si>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</si>
  <si>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</si>
  <si>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</si>
  <si>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</si>
  <si>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</si>
  <si>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</si>
  <si>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</si>
  <si>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</si>
  <si>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</si>
  <si>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</si>
  <si>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</si>
  <si>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</si>
  <si>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</si>
  <si>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</si>
  <si>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</si>
  <si>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</si>
  <si>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</si>
  <si>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</si>
  <si>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</si>
  <si>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</si>
  <si>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</si>
  <si>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</si>
  <si>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</si>
  <si>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</si>
  <si>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</si>
  <si>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</si>
  <si>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</si>
  <si>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</si>
  <si>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</si>
  <si>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</si>
  <si>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</si>
  <si>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</si>
  <si>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</si>
  <si>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</si>
  <si>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</si>
  <si>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</si>
  <si>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</si>
  <si>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</si>
  <si>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</si>
  <si>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</si>
  <si>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</si>
  <si>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</si>
  <si>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</si>
  <si>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</si>
  <si>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</si>
  <si>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</si>
  <si>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</si>
  <si>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</si>
  <si>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</si>
  <si>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</si>
  <si>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</si>
  <si>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</si>
  <si>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</si>
  <si>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</si>
  <si>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</si>
  <si>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</si>
  <si>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</si>
  <si>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</si>
  <si>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</si>
  <si>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</si>
  <si>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</si>
  <si>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</si>
  <si>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</si>
  <si>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</si>
  <si>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</si>
  <si>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</si>
  <si>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</si>
  <si>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</si>
  <si>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</si>
  <si>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</si>
  <si>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Long Term Debt</t>
  </si>
  <si>
    <t>Liabilities / Equity (last 5 Y) &lt;=</t>
  </si>
  <si>
    <t>Long Term Debt / EBIDTA</t>
  </si>
  <si>
    <t>&lt;3 Excelent &lt; 3.5 Good</t>
  </si>
  <si>
    <t>UL_Unilever</t>
  </si>
  <si>
    <t>sector median (22.41)</t>
  </si>
  <si>
    <t>sector median (16.17)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</si>
</sst>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1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1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1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1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1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1" applyFont="1" applyAlignment="1">
      <alignment vertical="center"/>
    </xf>
    <xf numFmtId="0" fontId="24" fillId="0" borderId="0" xfId="0" applyFont="1"/>
    <xf numFmtId="2" fontId="24" fillId="0" borderId="0" xfId="0" applyNumberFormat="1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1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1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0.10568905718407791</c:v>
                </c:pt>
                <c:pt idx="1">
                  <c:v>0.11386145491714761</c:v>
                </c:pt>
                <c:pt idx="2">
                  <c:v>9.2149721680965607E-2</c:v>
                </c:pt>
                <c:pt idx="3">
                  <c:v>9.8343842575720986E-2</c:v>
                </c:pt>
                <c:pt idx="4">
                  <c:v>0.11268734479549018</c:v>
                </c:pt>
                <c:pt idx="5">
                  <c:v>0.18416306851317202</c:v>
                </c:pt>
                <c:pt idx="6">
                  <c:v>0.10821469505638397</c:v>
                </c:pt>
                <c:pt idx="7">
                  <c:v>0.11002681357717713</c:v>
                </c:pt>
                <c:pt idx="8">
                  <c:v>0.11534207050105566</c:v>
                </c:pt>
                <c:pt idx="9">
                  <c:v>0.12721189182116752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0.17406665658785311</c:v>
                </c:pt>
                <c:pt idx="1">
                  <c:v>0.19431811921852152</c:v>
                </c:pt>
                <c:pt idx="2">
                  <c:v>0.16566546300353704</c:v>
                </c:pt>
                <c:pt idx="3">
                  <c:v>0.17576310285255936</c:v>
                </c:pt>
                <c:pt idx="4">
                  <c:v>0.19352124092964207</c:v>
                </c:pt>
                <c:pt idx="5">
                  <c:v>0.28013805646706469</c:v>
                </c:pt>
                <c:pt idx="6">
                  <c:v>0.20565601267228434</c:v>
                </c:pt>
                <c:pt idx="7">
                  <c:v>0.20347374466541412</c:v>
                </c:pt>
                <c:pt idx="8">
                  <c:v>0.19954614117536848</c:v>
                </c:pt>
                <c:pt idx="9">
                  <c:v>0.21142604279396668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5.8295857666679857E-2</c:v>
                </c:pt>
                <c:pt idx="1">
                  <c:v>4.8147136094772204E-2</c:v>
                </c:pt>
                <c:pt idx="2">
                  <c:v>8.1074649037241181E-2</c:v>
                </c:pt>
                <c:pt idx="3">
                  <c:v>8.2321583955477007E-2</c:v>
                </c:pt>
                <c:pt idx="4">
                  <c:v>8.8200329940572475E-2</c:v>
                </c:pt>
                <c:pt idx="5">
                  <c:v>8.2411917766884293E-2</c:v>
                </c:pt>
                <c:pt idx="6">
                  <c:v>0.11474193063121348</c:v>
                </c:pt>
                <c:pt idx="7">
                  <c:v>0.14024364469411332</c:v>
                </c:pt>
                <c:pt idx="8">
                  <c:v>0.10851538765280878</c:v>
                </c:pt>
                <c:pt idx="9">
                  <c:v>8.934650004304763E-2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18.190000534057617</c:v>
                </c:pt>
                <c:pt idx="1">
                  <c:v>18.489999771118164</c:v>
                </c:pt>
                <c:pt idx="2">
                  <c:v>23.340000152587891</c:v>
                </c:pt>
                <c:pt idx="3">
                  <c:v>22.25</c:v>
                </c:pt>
                <c:pt idx="4">
                  <c:v>22.840000152587891</c:v>
                </c:pt>
                <c:pt idx="5">
                  <c:v>21.049999237060547</c:v>
                </c:pt>
                <c:pt idx="6">
                  <c:v>14.539999961853027</c:v>
                </c:pt>
                <c:pt idx="7">
                  <c:v>21.809999465942383</c:v>
                </c:pt>
                <c:pt idx="8">
                  <c:v>23.059999465942383</c:v>
                </c:pt>
                <c:pt idx="9">
                  <c:v>20.899999618530273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13.609999656677246</c:v>
                </c:pt>
                <c:pt idx="1">
                  <c:v>16.370000839233398</c:v>
                </c:pt>
                <c:pt idx="2">
                  <c:v>18.620000839233398</c:v>
                </c:pt>
                <c:pt idx="3">
                  <c:v>15.930000305175781</c:v>
                </c:pt>
                <c:pt idx="4">
                  <c:v>17.819999694824219</c:v>
                </c:pt>
                <c:pt idx="5">
                  <c:v>16.780000686645508</c:v>
                </c:pt>
                <c:pt idx="6">
                  <c:v>20.870000839233398</c:v>
                </c:pt>
                <c:pt idx="7">
                  <c:v>13.949999809265137</c:v>
                </c:pt>
                <c:pt idx="8">
                  <c:v>14.569999694824219</c:v>
                </c:pt>
                <c:pt idx="9">
                  <c:v>15.270000457763672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2.2400000095367432</c:v>
                </c:pt>
                <c:pt idx="1">
                  <c:v>2.0799999237060547</c:v>
                </c:pt>
                <c:pt idx="2">
                  <c:v>1.9099999666213989</c:v>
                </c:pt>
                <c:pt idx="3">
                  <c:v>2.0139999389648438</c:v>
                </c:pt>
                <c:pt idx="4">
                  <c:v>2.4300999641418457</c:v>
                </c:pt>
                <c:pt idx="5">
                  <c:v>4.1335000991821289</c:v>
                </c:pt>
                <c:pt idx="6">
                  <c:v>2.3968000411987305</c:v>
                </c:pt>
                <c:pt idx="7">
                  <c:v>2.4217000007629395</c:v>
                </c:pt>
                <c:pt idx="8">
                  <c:v>2.7448000907897949</c:v>
                </c:pt>
                <c:pt idx="9">
                  <c:v>3.1500000953674316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66145.3515625</c:v>
                </c:pt>
                <c:pt idx="1">
                  <c:v>64385.96875</c:v>
                </c:pt>
                <c:pt idx="2">
                  <c:v>59155.359375</c:v>
                </c:pt>
                <c:pt idx="3">
                  <c:v>58332.2109375</c:v>
                </c:pt>
                <c:pt idx="4">
                  <c:v>60714.05859375</c:v>
                </c:pt>
                <c:pt idx="5">
                  <c:v>60209.73828125</c:v>
                </c:pt>
                <c:pt idx="6">
                  <c:v>58217.6015625</c:v>
                </c:pt>
                <c:pt idx="7">
                  <c:v>57942.01953125</c:v>
                </c:pt>
                <c:pt idx="8">
                  <c:v>62046.5</c:v>
                </c:pt>
                <c:pt idx="9">
                  <c:v>63292.91015625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17688</c:v>
                </c:pt>
                <c:pt idx="1">
                  <c:v>18772</c:v>
                </c:pt>
                <c:pt idx="2">
                  <c:v>17986</c:v>
                </c:pt>
                <c:pt idx="3">
                  <c:v>20907</c:v>
                </c:pt>
                <c:pt idx="4">
                  <c:v>25682</c:v>
                </c:pt>
                <c:pt idx="5">
                  <c:v>32350</c:v>
                </c:pt>
                <c:pt idx="6">
                  <c:v>33535</c:v>
                </c:pt>
                <c:pt idx="7">
                  <c:v>33597</c:v>
                </c:pt>
                <c:pt idx="8">
                  <c:v>36169</c:v>
                </c:pt>
                <c:pt idx="9">
                  <c:v>32338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11513.7001953125</c:v>
                </c:pt>
                <c:pt idx="1">
                  <c:v>12511.3603515625</c:v>
                </c:pt>
                <c:pt idx="2">
                  <c:v>9800</c:v>
                </c:pt>
                <c:pt idx="3">
                  <c:v>10252.650390625</c:v>
                </c:pt>
                <c:pt idx="4">
                  <c:v>11749.4599609375</c:v>
                </c:pt>
                <c:pt idx="5">
                  <c:v>16867.0390625</c:v>
                </c:pt>
                <c:pt idx="6">
                  <c:v>11972.7998046875</c:v>
                </c:pt>
                <c:pt idx="7">
                  <c:v>11789.6796875</c:v>
                </c:pt>
                <c:pt idx="8">
                  <c:v>12381.1396484375</c:v>
                </c:pt>
                <c:pt idx="9">
                  <c:v>13381.76953125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1.5362567810477821</c:v>
                </c:pt>
                <c:pt idx="1">
                  <c:v>1.500396397555253</c:v>
                </c:pt>
                <c:pt idx="2">
                  <c:v>1.8353061224489795</c:v>
                </c:pt>
                <c:pt idx="3">
                  <c:v>2.039180036716878</c:v>
                </c:pt>
                <c:pt idx="4">
                  <c:v>2.1858025888324155</c:v>
                </c:pt>
                <c:pt idx="5">
                  <c:v>1.9179418438605991</c:v>
                </c:pt>
                <c:pt idx="6">
                  <c:v>2.8009321584806446</c:v>
                </c:pt>
                <c:pt idx="7">
                  <c:v>2.8496957415748283</c:v>
                </c:pt>
                <c:pt idx="8">
                  <c:v>2.9212981217415255</c:v>
                </c:pt>
                <c:pt idx="9">
                  <c:v>2.416571285619749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3856</c:v>
                </c:pt>
                <c:pt idx="1">
                  <c:v>3100</c:v>
                </c:pt>
                <c:pt idx="2">
                  <c:v>4796</c:v>
                </c:pt>
                <c:pt idx="3">
                  <c:v>4802</c:v>
                </c:pt>
                <c:pt idx="4">
                  <c:v>5355</c:v>
                </c:pt>
                <c:pt idx="5">
                  <c:v>4962</c:v>
                </c:pt>
                <c:pt idx="6">
                  <c:v>6680</c:v>
                </c:pt>
                <c:pt idx="7">
                  <c:v>8126</c:v>
                </c:pt>
                <c:pt idx="8">
                  <c:v>6733</c:v>
                </c:pt>
                <c:pt idx="9">
                  <c:v>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3976</c:v>
                </c:pt>
                <c:pt idx="1">
                  <c:v>4239</c:v>
                </c:pt>
                <c:pt idx="2">
                  <c:v>4600</c:v>
                </c:pt>
                <c:pt idx="3">
                  <c:v>3994</c:v>
                </c:pt>
                <c:pt idx="4">
                  <c:v>4426</c:v>
                </c:pt>
                <c:pt idx="5">
                  <c:v>4802</c:v>
                </c:pt>
                <c:pt idx="6">
                  <c:v>4714</c:v>
                </c:pt>
                <c:pt idx="7">
                  <c:v>4888</c:v>
                </c:pt>
                <c:pt idx="8">
                  <c:v>5304</c:v>
                </c:pt>
                <c:pt idx="9">
                  <c:v>4561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1.0311203319502074</c:v>
                </c:pt>
                <c:pt idx="1">
                  <c:v>1.3674193548387097</c:v>
                </c:pt>
                <c:pt idx="2">
                  <c:v>0.95913261050875731</c:v>
                </c:pt>
                <c:pt idx="3">
                  <c:v>0.83173677634319032</c:v>
                </c:pt>
                <c:pt idx="4">
                  <c:v>0.82651727357609706</c:v>
                </c:pt>
                <c:pt idx="5">
                  <c:v>0.96775493752519148</c:v>
                </c:pt>
                <c:pt idx="6">
                  <c:v>0.70568862275449107</c:v>
                </c:pt>
                <c:pt idx="7">
                  <c:v>0.60152596603494957</c:v>
                </c:pt>
                <c:pt idx="8">
                  <c:v>0.78776177038467254</c:v>
                </c:pt>
                <c:pt idx="9">
                  <c:v>0.80654288240495142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44353.23828125</c:v>
                </c:pt>
                <c:pt idx="1">
                  <c:v>47429.37890625</c:v>
                </c:pt>
                <c:pt idx="2">
                  <c:v>43986.75</c:v>
                </c:pt>
                <c:pt idx="3">
                  <c:v>47080.30078125</c:v>
                </c:pt>
                <c:pt idx="4">
                  <c:v>48944.25</c:v>
                </c:pt>
                <c:pt idx="5">
                  <c:v>51934.48046875</c:v>
                </c:pt>
                <c:pt idx="6">
                  <c:v>54181.12109375</c:v>
                </c:pt>
                <c:pt idx="7">
                  <c:v>58830.73046875</c:v>
                </c:pt>
                <c:pt idx="8">
                  <c:v>68257.7734375</c:v>
                </c:pt>
                <c:pt idx="9">
                  <c:v>61808.390625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16101.650390625</c:v>
                </c:pt>
                <c:pt idx="1">
                  <c:v>16412.859375</c:v>
                </c:pt>
                <c:pt idx="2">
                  <c:v>14087.0400390625</c:v>
                </c:pt>
                <c:pt idx="3">
                  <c:v>15364.0302734375</c:v>
                </c:pt>
                <c:pt idx="4">
                  <c:v>19195.880859375</c:v>
                </c:pt>
                <c:pt idx="5">
                  <c:v>18283.060546875</c:v>
                </c:pt>
                <c:pt idx="6">
                  <c:v>18401.599609375</c:v>
                </c:pt>
                <c:pt idx="7">
                  <c:v>18456.140625</c:v>
                </c:pt>
                <c:pt idx="8">
                  <c:v>20587.119140625</c:v>
                </c:pt>
                <c:pt idx="9">
                  <c:v>20183.810546875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23088.509765625</c:v>
                </c:pt>
                <c:pt idx="1">
                  <c:v>26110.109375</c:v>
                </c:pt>
                <c:pt idx="2">
                  <c:v>22229.900390625</c:v>
                </c:pt>
                <c:pt idx="3">
                  <c:v>22747.26953125</c:v>
                </c:pt>
                <c:pt idx="4">
                  <c:v>26196.9609375</c:v>
                </c:pt>
                <c:pt idx="5">
                  <c:v>23350.73046875</c:v>
                </c:pt>
                <c:pt idx="6">
                  <c:v>23495.359375</c:v>
                </c:pt>
                <c:pt idx="7">
                  <c:v>23522.240234375</c:v>
                </c:pt>
                <c:pt idx="8">
                  <c:v>29314.849609375</c:v>
                </c:pt>
                <c:pt idx="9">
                  <c:v>26789.890625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17687.619140625</c:v>
                </c:pt>
                <c:pt idx="1">
                  <c:v>18772.349609375</c:v>
                </c:pt>
                <c:pt idx="2">
                  <c:v>17985.80078125</c:v>
                </c:pt>
                <c:pt idx="3">
                  <c:v>20906.990234375</c:v>
                </c:pt>
                <c:pt idx="4">
                  <c:v>25681.55078125</c:v>
                </c:pt>
                <c:pt idx="5">
                  <c:v>32349.94921875</c:v>
                </c:pt>
                <c:pt idx="6">
                  <c:v>33535.0390625</c:v>
                </c:pt>
                <c:pt idx="7">
                  <c:v>33597.328125</c:v>
                </c:pt>
                <c:pt idx="8">
                  <c:v>36168.55078125</c:v>
                </c:pt>
                <c:pt idx="9">
                  <c:v>32338.150390625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19678.759765625</c:v>
                </c:pt>
                <c:pt idx="1">
                  <c:v>18959.779296875</c:v>
                </c:pt>
                <c:pt idx="2">
                  <c:v>17858.0888671875</c:v>
                </c:pt>
                <c:pt idx="3">
                  <c:v>18790.0712890625</c:v>
                </c:pt>
                <c:pt idx="4">
                  <c:v>16261.619140625</c:v>
                </c:pt>
                <c:pt idx="5">
                  <c:v>14516.861328125</c:v>
                </c:pt>
                <c:pt idx="6">
                  <c:v>15552.322265625</c:v>
                </c:pt>
                <c:pt idx="7">
                  <c:v>20167.302734375</c:v>
                </c:pt>
                <c:pt idx="8">
                  <c:v>23361.4921875</c:v>
                </c:pt>
                <c:pt idx="9">
                  <c:v>22864.16015625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40776.12890625</c:v>
                </c:pt>
                <c:pt idx="1">
                  <c:v>44882.458984375</c:v>
                </c:pt>
                <c:pt idx="2">
                  <c:v>40215.701171875</c:v>
                </c:pt>
                <c:pt idx="3">
                  <c:v>43654.259765625</c:v>
                </c:pt>
                <c:pt idx="4">
                  <c:v>51878.51171875</c:v>
                </c:pt>
                <c:pt idx="5">
                  <c:v>55700.6796875</c:v>
                </c:pt>
                <c:pt idx="6">
                  <c:v>57030.3984375</c:v>
                </c:pt>
                <c:pt idx="7">
                  <c:v>57119.568359375</c:v>
                </c:pt>
                <c:pt idx="8">
                  <c:v>65483.400390625</c:v>
                </c:pt>
                <c:pt idx="9">
                  <c:v>59128.041015625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2.0720883527161114</c:v>
                </c:pt>
                <c:pt idx="1">
                  <c:v>2.3672458566947898</c:v>
                </c:pt>
                <c:pt idx="2">
                  <c:v>2.2519599645271917</c:v>
                </c:pt>
                <c:pt idx="3">
                  <c:v>2.3232620618653894</c:v>
                </c:pt>
                <c:pt idx="4">
                  <c:v>3.1902426978594272</c:v>
                </c:pt>
                <c:pt idx="5">
                  <c:v>3.8369643704996599</c:v>
                </c:pt>
                <c:pt idx="6">
                  <c:v>3.6670021019017334</c:v>
                </c:pt>
                <c:pt idx="7">
                  <c:v>2.8322859586976481</c:v>
                </c:pt>
                <c:pt idx="8">
                  <c:v>2.803048703612482</c:v>
                </c:pt>
                <c:pt idx="9">
                  <c:v>2.5860578569933668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16101.650390625</c:v>
                </c:pt>
                <c:pt idx="1">
                  <c:v>16412.859375</c:v>
                </c:pt>
                <c:pt idx="2">
                  <c:v>14087.0400390625</c:v>
                </c:pt>
                <c:pt idx="3">
                  <c:v>15364.0302734375</c:v>
                </c:pt>
                <c:pt idx="4">
                  <c:v>19195.880859375</c:v>
                </c:pt>
                <c:pt idx="5">
                  <c:v>18283.060546875</c:v>
                </c:pt>
                <c:pt idx="6">
                  <c:v>18401.599609375</c:v>
                </c:pt>
                <c:pt idx="7">
                  <c:v>18456.140625</c:v>
                </c:pt>
                <c:pt idx="8">
                  <c:v>20587.119140625</c:v>
                </c:pt>
                <c:pt idx="9">
                  <c:v>20183.810546875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23088.509765625</c:v>
                </c:pt>
                <c:pt idx="1">
                  <c:v>26110.109375</c:v>
                </c:pt>
                <c:pt idx="2">
                  <c:v>22229.900390625</c:v>
                </c:pt>
                <c:pt idx="3">
                  <c:v>22747.26953125</c:v>
                </c:pt>
                <c:pt idx="4">
                  <c:v>26196.9609375</c:v>
                </c:pt>
                <c:pt idx="5">
                  <c:v>23350.73046875</c:v>
                </c:pt>
                <c:pt idx="6">
                  <c:v>23495.359375</c:v>
                </c:pt>
                <c:pt idx="7">
                  <c:v>23522.240234375</c:v>
                </c:pt>
                <c:pt idx="8">
                  <c:v>29314.849609375</c:v>
                </c:pt>
                <c:pt idx="9">
                  <c:v>26789.890625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0.69738803214565692</c:v>
                </c:pt>
                <c:pt idx="1">
                  <c:v>0.62860170898843659</c:v>
                </c:pt>
                <c:pt idx="2">
                  <c:v>0.63369784801210438</c:v>
                </c:pt>
                <c:pt idx="3">
                  <c:v>0.67542305472445952</c:v>
                </c:pt>
                <c:pt idx="4">
                  <c:v>0.73275220378317973</c:v>
                </c:pt>
                <c:pt idx="5">
                  <c:v>0.78297595749062321</c:v>
                </c:pt>
                <c:pt idx="6">
                  <c:v>0.78320145334550773</c:v>
                </c:pt>
                <c:pt idx="7">
                  <c:v>0.78462512248423144</c:v>
                </c:pt>
                <c:pt idx="8">
                  <c:v>0.70227613018492718</c:v>
                </c:pt>
                <c:pt idx="9">
                  <c:v>0.75341145768022333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11513.7001953125</c:v>
                </c:pt>
                <c:pt idx="1">
                  <c:v>12511.3603515625</c:v>
                </c:pt>
                <c:pt idx="2">
                  <c:v>9800</c:v>
                </c:pt>
                <c:pt idx="3">
                  <c:v>10252.650390625</c:v>
                </c:pt>
                <c:pt idx="4">
                  <c:v>11749.4599609375</c:v>
                </c:pt>
                <c:pt idx="5">
                  <c:v>16867.0390625</c:v>
                </c:pt>
                <c:pt idx="6">
                  <c:v>11972.7998046875</c:v>
                </c:pt>
                <c:pt idx="7">
                  <c:v>11789.6796875</c:v>
                </c:pt>
                <c:pt idx="8">
                  <c:v>12381.1396484375</c:v>
                </c:pt>
                <c:pt idx="9">
                  <c:v>13381.76953125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6990.83984375</c:v>
                </c:pt>
                <c:pt idx="1">
                  <c:v>7331.080078125</c:v>
                </c:pt>
                <c:pt idx="2">
                  <c:v>5451.14990234375</c:v>
                </c:pt>
                <c:pt idx="3">
                  <c:v>5736.61376953125</c:v>
                </c:pt>
                <c:pt idx="4">
                  <c:v>6841.7060546875</c:v>
                </c:pt>
                <c:pt idx="5">
                  <c:v>11088.41015625</c:v>
                </c:pt>
                <c:pt idx="6">
                  <c:v>6300</c:v>
                </c:pt>
                <c:pt idx="7">
                  <c:v>6375.17578125</c:v>
                </c:pt>
                <c:pt idx="8">
                  <c:v>7156.57177734375</c:v>
                </c:pt>
                <c:pt idx="9">
                  <c:v>8051.61083984375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3856</c:v>
                </c:pt>
                <c:pt idx="1">
                  <c:v>3100</c:v>
                </c:pt>
                <c:pt idx="2">
                  <c:v>4796</c:v>
                </c:pt>
                <c:pt idx="3">
                  <c:v>4802</c:v>
                </c:pt>
                <c:pt idx="4">
                  <c:v>5355</c:v>
                </c:pt>
                <c:pt idx="5">
                  <c:v>4962</c:v>
                </c:pt>
                <c:pt idx="6">
                  <c:v>6680</c:v>
                </c:pt>
                <c:pt idx="7">
                  <c:v>8126</c:v>
                </c:pt>
                <c:pt idx="8">
                  <c:v>6733</c:v>
                </c:pt>
                <c:pt idx="9">
                  <c:v>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11.563729579742487</c:v>
                </c:pt>
                <c:pt idx="1">
                  <c:v>11.483118818342064</c:v>
                </c:pt>
                <c:pt idx="2">
                  <c:v>9.386592296933113</c:v>
                </c:pt>
                <c:pt idx="3">
                  <c:v>9.1867647112869832</c:v>
                </c:pt>
                <c:pt idx="4">
                  <c:v>10.040641202769557</c:v>
                </c:pt>
                <c:pt idx="5">
                  <c:v>15.7915102065203</c:v>
                </c:pt>
                <c:pt idx="6">
                  <c:v>8.6797517907437136</c:v>
                </c:pt>
                <c:pt idx="7">
                  <c:v>8.24871765544348</c:v>
                </c:pt>
                <c:pt idx="8">
                  <c:v>8.0551302046436479</c:v>
                </c:pt>
                <c:pt idx="9">
                  <c:v>9.8199715640828735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35.524798955885672</c:v>
                </c:pt>
                <c:pt idx="1">
                  <c:v>38.666484262996285</c:v>
                </c:pt>
                <c:pt idx="2">
                  <c:v>30.524822352965817</c:v>
                </c:pt>
                <c:pt idx="3">
                  <c:v>30.530026636303777</c:v>
                </c:pt>
                <c:pt idx="4">
                  <c:v>42.072723481731629</c:v>
                </c:pt>
                <c:pt idx="5">
                  <c:v>76.382972225320415</c:v>
                </c:pt>
                <c:pt idx="6">
                  <c:v>40.508419851386243</c:v>
                </c:pt>
                <c:pt idx="7">
                  <c:v>31.611444848217435</c:v>
                </c:pt>
                <c:pt idx="8">
                  <c:v>30.634052482199774</c:v>
                </c:pt>
                <c:pt idx="9">
                  <c:v>35.214986182830835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19.969999313354492</c:v>
                </c:pt>
                <c:pt idx="1">
                  <c:v>21.409999847412109</c:v>
                </c:pt>
                <c:pt idx="2">
                  <c:v>18.940000534057617</c:v>
                </c:pt>
                <c:pt idx="3">
                  <c:v>18</c:v>
                </c:pt>
                <c:pt idx="4">
                  <c:v>18.399999618530273</c:v>
                </c:pt>
                <c:pt idx="5">
                  <c:v>26.659999847412109</c:v>
                </c:pt>
                <c:pt idx="6">
                  <c:v>15.689999580383301</c:v>
                </c:pt>
                <c:pt idx="7">
                  <c:v>14.310000419616699</c:v>
                </c:pt>
                <c:pt idx="8">
                  <c:v>14.229999542236328</c:v>
                </c:pt>
                <c:pt idx="9">
                  <c:v>17.079999923706055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2924</c:v>
                </c:pt>
                <c:pt idx="1">
                  <c:v>2882.60009765625</c:v>
                </c:pt>
                <c:pt idx="2">
                  <c:v>2854.0048828125</c:v>
                </c:pt>
                <c:pt idx="3">
                  <c:v>2853.89990234375</c:v>
                </c:pt>
                <c:pt idx="4">
                  <c:v>2814</c:v>
                </c:pt>
                <c:pt idx="5">
                  <c:v>2694.800048828125</c:v>
                </c:pt>
                <c:pt idx="6">
                  <c:v>2626.699951171875</c:v>
                </c:pt>
                <c:pt idx="7">
                  <c:v>2629.800048828125</c:v>
                </c:pt>
                <c:pt idx="8">
                  <c:v>2609.60009765625</c:v>
                </c:pt>
                <c:pt idx="9">
                  <c:v>2559.800048828125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red.stlouisfed.org/series/BAMLC0A2CAAE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topLeftCell="A10" zoomScale="75" workbookViewId="0">
      <selection activeCell="I42" sqref="I42"/>
    </sheetView>
  </sheetViews>
  <sheetFormatPr defaultRowHeight="14.5"/>
  <cols>
    <col min="2" max="2" width="16.90625" bestFit="1" customWidth="1"/>
    <col min="3" max="3" width="31.453125" bestFit="1" customWidth="1"/>
    <col min="4" max="4" width="7.08984375" customWidth="1"/>
    <col min="5" max="5" width="22.1796875" bestFit="1" customWidth="1"/>
    <col min="6" max="6" width="19.54296875" customWidth="1"/>
    <col min="20" max="20" width="7.453125" bestFit="1" customWidth="1"/>
  </cols>
  <sheetData>
    <row r="2" spans="2:22" ht="15" thickBot="1"/>
    <row r="3" spans="2:22">
      <c r="B3" s="139" t="s">
        <v>159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4" t="str">
        <f>T11</f>
        <v>J</v>
      </c>
      <c r="E12" s="45" t="s">
        <v>141</v>
      </c>
      <c r="F12" s="123">
        <f>AVERAGE(L12:P12)</f>
        <v>10.119016284286804</v>
      </c>
      <c r="G12" s="119">
        <f>Financials!D76</f>
        <v>11.563729579742487</v>
      </c>
      <c r="H12" s="119">
        <f>Financials!E76</f>
        <v>11.483118818342064</v>
      </c>
      <c r="I12" s="119">
        <f>Financials!F76</f>
        <v>9.386592296933113</v>
      </c>
      <c r="J12" s="119">
        <f>Financials!G76</f>
        <v>9.1867647112869832</v>
      </c>
      <c r="K12" s="119">
        <f>Financials!H76</f>
        <v>10.040641202769557</v>
      </c>
      <c r="L12" s="119">
        <f>Financials!I76</f>
        <v>15.7915102065203</v>
      </c>
      <c r="M12" s="119">
        <f>Financials!J76</f>
        <v>8.6797517907437136</v>
      </c>
      <c r="N12" s="119">
        <f>Financials!K76</f>
        <v>8.24871765544348</v>
      </c>
      <c r="O12" s="119">
        <f>Financials!L76</f>
        <v>8.0551302046436479</v>
      </c>
      <c r="P12" s="119">
        <f>Financials!M76</f>
        <v>9.8199715640828735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>
        <f>AVERAGE(L14:P14)</f>
        <v>42.870375117990946</v>
      </c>
      <c r="G14" s="40">
        <f>Financials!D77</f>
        <v>35.524798955885672</v>
      </c>
      <c r="H14" s="40">
        <f>Financials!E77</f>
        <v>38.666484262996285</v>
      </c>
      <c r="I14" s="40">
        <f>Financials!F77</f>
        <v>30.524822352965817</v>
      </c>
      <c r="J14" s="40">
        <f>Financials!G77</f>
        <v>30.530026636303777</v>
      </c>
      <c r="K14" s="40">
        <f>Financials!H77</f>
        <v>42.072723481731629</v>
      </c>
      <c r="L14" s="40">
        <f>Financials!I77</f>
        <v>76.382972225320415</v>
      </c>
      <c r="M14" s="40">
        <f>Financials!J77</f>
        <v>40.508419851386243</v>
      </c>
      <c r="N14" s="40">
        <f>Financials!K77</f>
        <v>31.611444848217435</v>
      </c>
      <c r="O14" s="40">
        <f>Financials!L77</f>
        <v>30.634052482199774</v>
      </c>
      <c r="P14" s="40">
        <f>Financials!M77</f>
        <v>35.214986182830835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>
        <f>WACC!$C$25</f>
        <v>3.5347606249901818E-2</v>
      </c>
      <c r="F16" s="124">
        <f>AVERAGE(L16:P16)</f>
        <v>17.593999862670898</v>
      </c>
      <c r="G16" s="40">
        <f>Financials!D78</f>
        <v>19.969999313354492</v>
      </c>
      <c r="H16" s="40">
        <f>Financials!E78</f>
        <v>21.409999847412109</v>
      </c>
      <c r="I16" s="40">
        <f>Financials!F78</f>
        <v>18.940000534057617</v>
      </c>
      <c r="J16" s="40">
        <f>Financials!G78</f>
        <v>18</v>
      </c>
      <c r="K16" s="40">
        <f>Financials!H78</f>
        <v>18.399999618530273</v>
      </c>
      <c r="L16" s="40">
        <f>Financials!I78</f>
        <v>26.659999847412109</v>
      </c>
      <c r="M16" s="40">
        <f>Financials!J78</f>
        <v>15.689999580383301</v>
      </c>
      <c r="N16" s="40">
        <f>Financials!K78</f>
        <v>14.310000419616699</v>
      </c>
      <c r="O16" s="40">
        <f>Financials!L78</f>
        <v>14.229999542236328</v>
      </c>
      <c r="P16" s="40">
        <f>Financials!M78</f>
        <v>17.079999923706055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6" t="str">
        <f>V11</f>
        <v>L</v>
      </c>
      <c r="E18" s="48" t="s">
        <v>68</v>
      </c>
      <c r="F18" s="125">
        <f>AVERAGE(L18:P18)</f>
        <v>0.76129802423710258</v>
      </c>
      <c r="G18" s="42">
        <f>Financials!D59</f>
        <v>0.69738803214565692</v>
      </c>
      <c r="H18" s="42">
        <f>Financials!E59</f>
        <v>0.62860170898843659</v>
      </c>
      <c r="I18" s="42">
        <f>Financials!F59</f>
        <v>0.63369784801210438</v>
      </c>
      <c r="J18" s="42">
        <f>Financials!G59</f>
        <v>0.67542305472445952</v>
      </c>
      <c r="K18" s="42">
        <f>Financials!H59</f>
        <v>0.73275220378317973</v>
      </c>
      <c r="L18" s="42">
        <f>Financials!I59</f>
        <v>0.78297595749062321</v>
      </c>
      <c r="M18" s="42">
        <f>Financials!J59</f>
        <v>0.78320145334550773</v>
      </c>
      <c r="N18" s="42">
        <f>Financials!K59</f>
        <v>0.78462512248423144</v>
      </c>
      <c r="O18" s="42">
        <f>Financials!L59</f>
        <v>0.70227613018492718</v>
      </c>
      <c r="P18" s="42">
        <f>Financials!M59</f>
        <v>0.75341145768022333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156</v>
      </c>
      <c r="D20" s="56" t="str">
        <f>V11</f>
        <v>L</v>
      </c>
      <c r="E20" s="49" t="s">
        <v>137</v>
      </c>
      <c r="F20" s="125">
        <f>AVERAGE(L20:P20)</f>
        <v>3.1450717983409779</v>
      </c>
      <c r="G20" s="42">
        <f>Financials!D58</f>
        <v>2.0720883527161114</v>
      </c>
      <c r="H20" s="42">
        <f>Financials!E58</f>
        <v>2.3672458566947898</v>
      </c>
      <c r="I20" s="42">
        <f>Financials!F58</f>
        <v>2.2519599645271917</v>
      </c>
      <c r="J20" s="42">
        <f>Financials!G58</f>
        <v>2.3232620618653894</v>
      </c>
      <c r="K20" s="42">
        <f>Financials!H58</f>
        <v>3.1902426978594272</v>
      </c>
      <c r="L20" s="42">
        <f>Financials!I58</f>
        <v>3.8369643704996599</v>
      </c>
      <c r="M20" s="42">
        <f>Financials!J58</f>
        <v>3.6670021019017334</v>
      </c>
      <c r="N20" s="42">
        <f>Financials!K58</f>
        <v>2.8322859586976481</v>
      </c>
      <c r="O20" s="42">
        <f>Financials!L58</f>
        <v>2.803048703612482</v>
      </c>
      <c r="P20" s="42">
        <f>Financials!M58</f>
        <v>2.5860578569933668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157</v>
      </c>
      <c r="D22" s="54" t="str">
        <f>T11</f>
        <v>J</v>
      </c>
      <c r="E22" s="49" t="s">
        <v>158</v>
      </c>
      <c r="F22" s="125">
        <f>AVERAGE(L22:P22)</f>
        <v>2.5812878302554694</v>
      </c>
      <c r="G22" s="42">
        <f>Financials!D60</f>
        <v>1.5362567810477821</v>
      </c>
      <c r="H22" s="42">
        <f>Financials!E60</f>
        <v>1.500396397555253</v>
      </c>
      <c r="I22" s="42">
        <f>Financials!F60</f>
        <v>1.8353061224489795</v>
      </c>
      <c r="J22" s="42">
        <f>Financials!G60</f>
        <v>2.039180036716878</v>
      </c>
      <c r="K22" s="42">
        <f>Financials!H60</f>
        <v>2.1858025888324155</v>
      </c>
      <c r="L22" s="42">
        <f>Financials!I60</f>
        <v>1.9179418438605991</v>
      </c>
      <c r="M22" s="42">
        <f>Financials!J60</f>
        <v>2.8009321584806446</v>
      </c>
      <c r="N22" s="42">
        <f>Financials!K60</f>
        <v>2.8496957415748283</v>
      </c>
      <c r="O22" s="42">
        <f>Financials!L60</f>
        <v>2.9212981217415255</v>
      </c>
      <c r="P22" s="42">
        <f>Financials!M60</f>
        <v>2.416571285619749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>
        <f>Financials!D12</f>
        <v>2924</v>
      </c>
      <c r="H24" s="40">
        <f>Financials!E12</f>
        <v>2882.60009765625</v>
      </c>
      <c r="I24" s="40">
        <f>Financials!F12</f>
        <v>2854.0048828125</v>
      </c>
      <c r="J24" s="40">
        <f>Financials!G12</f>
        <v>2853.89990234375</v>
      </c>
      <c r="K24" s="40">
        <f>Financials!H12</f>
        <v>2814</v>
      </c>
      <c r="L24" s="40">
        <f>Financials!I12</f>
        <v>2694.800048828125</v>
      </c>
      <c r="M24" s="40">
        <f>Financials!J12</f>
        <v>2626.699951171875</v>
      </c>
      <c r="N24" s="40">
        <f>Financials!K12</f>
        <v>2629.800048828125</v>
      </c>
      <c r="O24" s="40">
        <f>Financials!L12</f>
        <v>2609.60009765625</v>
      </c>
      <c r="P24" s="40">
        <f>Financials!M12</f>
        <v>2559.800048828125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4" t="str">
        <f>T11</f>
        <v>J</v>
      </c>
      <c r="E26" s="51" t="s">
        <v>160</v>
      </c>
      <c r="F26" s="57">
        <f>AVERAGEIF(L26:P26,"&lt;100")</f>
        <v>20.271999549865722</v>
      </c>
      <c r="G26" s="44">
        <f>Financials!D81</f>
        <v>18.190000534057617</v>
      </c>
      <c r="H26" s="44">
        <f>Financials!E81</f>
        <v>18.489999771118164</v>
      </c>
      <c r="I26" s="44">
        <f>Financials!F81</f>
        <v>23.340000152587891</v>
      </c>
      <c r="J26" s="44">
        <f>Financials!G81</f>
        <v>22.25</v>
      </c>
      <c r="K26" s="44">
        <f>Financials!H81</f>
        <v>22.840000152587891</v>
      </c>
      <c r="L26" s="44">
        <f>Financials!I81</f>
        <v>21.049999237060547</v>
      </c>
      <c r="M26" s="44">
        <f>Financials!J81</f>
        <v>14.539999961853027</v>
      </c>
      <c r="N26" s="44">
        <f>Financials!K81</f>
        <v>21.809999465942383</v>
      </c>
      <c r="O26" s="44">
        <f>Financials!L81</f>
        <v>23.059999465942383</v>
      </c>
      <c r="P26" s="44">
        <f>Financials!M81</f>
        <v>20.899999618530273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6" t="str">
        <f>V11</f>
        <v>L</v>
      </c>
      <c r="E28" s="51" t="s">
        <v>161</v>
      </c>
      <c r="F28" s="57">
        <f>AVERAGEIF(L28:P28, "&lt;100")</f>
        <v>16.288000297546386</v>
      </c>
      <c r="G28" s="44">
        <f>Financials!D82</f>
        <v>13.609999656677246</v>
      </c>
      <c r="H28" s="44">
        <f>Financials!E82</f>
        <v>16.370000839233398</v>
      </c>
      <c r="I28" s="44">
        <f>Financials!F82</f>
        <v>18.620000839233398</v>
      </c>
      <c r="J28" s="44">
        <f>Financials!G82</f>
        <v>15.930000305175781</v>
      </c>
      <c r="K28" s="44">
        <f>Financials!H82</f>
        <v>17.819999694824219</v>
      </c>
      <c r="L28" s="44">
        <f>Financials!I82</f>
        <v>16.780000686645508</v>
      </c>
      <c r="M28" s="44">
        <f>Financials!J82</f>
        <v>20.870000839233398</v>
      </c>
      <c r="N28" s="44">
        <f>Financials!K82</f>
        <v>13.949999809265137</v>
      </c>
      <c r="O28" s="44">
        <f>Financials!L82</f>
        <v>14.569999694824219</v>
      </c>
      <c r="P28" s="44">
        <f>Financials!M82</f>
        <v>15.270000457763672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>
        <f>Financials!$C$83</f>
        <v>4.8000001907348633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4" t="str">
        <f>T11</f>
        <v>J</v>
      </c>
      <c r="E32" s="50" t="s">
        <v>77</v>
      </c>
      <c r="F32" s="52">
        <f>Financials!D63</f>
        <v>2.6491056537449653E-2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>
        <f>Financials!D64</f>
        <v>3.9033519891011226E-2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6" t="str">
        <f>V11</f>
        <v>L</v>
      </c>
      <c r="E35" s="50" t="s">
        <v>77</v>
      </c>
      <c r="F35" s="52">
        <f>Financials!D69</f>
        <v>-4.523841000667006E-2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>
        <f>Financials!D70</f>
        <v>3.0527832848427305E-2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6" t="str">
        <f>V11</f>
        <v>L</v>
      </c>
      <c r="E38" s="50" t="s">
        <v>77</v>
      </c>
      <c r="F38" s="52">
        <f>Financials!D65</f>
        <v>-6.200030150071667E-2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>
        <f>Financials!D66</f>
        <v>1.4227407462441555E-2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>
        <f>Financials!D67</f>
        <v>1.0037887842590187E-2</v>
      </c>
    </row>
    <row r="42" spans="2:17" ht="18.5">
      <c r="B42" s="154"/>
      <c r="C42" s="35" t="s">
        <v>82</v>
      </c>
      <c r="D42" s="56" t="str">
        <f>V11</f>
        <v>L</v>
      </c>
      <c r="E42" s="50" t="s">
        <v>77</v>
      </c>
      <c r="F42" s="52">
        <f>Financials!D68</f>
        <v>-4.3984282464618607E-3</v>
      </c>
    </row>
    <row r="43" spans="2:17">
      <c r="B43" s="138" t="s">
        <v>61</v>
      </c>
    </row>
    <row r="44" spans="2:17" ht="18.5">
      <c r="B44" s="138"/>
      <c r="C44" s="100" t="s">
        <v>128</v>
      </c>
      <c r="D44" s="56" t="str">
        <f>V11</f>
        <v>L</v>
      </c>
      <c r="E44" s="101">
        <v>0.75</v>
      </c>
      <c r="F44" s="103">
        <f>Financials!$D$73</f>
        <v>0.77385483582085113</v>
      </c>
    </row>
    <row r="45" spans="2:17" ht="18.5">
      <c r="B45" s="138"/>
      <c r="C45" s="100" t="s">
        <v>133</v>
      </c>
      <c r="D45" s="56" t="str">
        <f>V11</f>
        <v>L</v>
      </c>
      <c r="E45" s="101" t="s">
        <v>134</v>
      </c>
      <c r="F45" s="103">
        <f>Financials!D71</f>
        <v>-1.0245275929794073E-2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>
        <f>Financials!D72</f>
        <v>9.7123220295846635E-3</v>
      </c>
    </row>
    <row r="47" spans="2:17" ht="18.5">
      <c r="B47" s="138"/>
      <c r="C47" s="100" t="s">
        <v>129</v>
      </c>
      <c r="D47" s="56" t="str">
        <f>V11</f>
        <v>L</v>
      </c>
      <c r="E47" s="101">
        <v>0.12</v>
      </c>
      <c r="F47" s="102">
        <f>F45+F46</f>
        <v>-5.3295390020940969E-4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77" zoomScale="78" zoomScaleNormal="100" workbookViewId="0">
      <selection activeCell="T129" sqref="T129"/>
    </sheetView>
  </sheetViews>
  <sheetFormatPr defaultRowHeight="14.5"/>
  <cols>
    <col min="2" max="2" width="10.17968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width="61.453125" bestFit="1" customWidth="1"/>
    <col min="3" max="3" width="32.6328125" bestFit="1" customWidth="1"/>
    <col min="4" max="4" width="9.81640625" bestFit="1" customWidth="1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>
        <v>2</v>
      </c>
    </row>
    <row r="5" spans="2:16">
      <c r="B5" s="7" t="s">
        <v>8</v>
      </c>
      <c r="C5" s="58">
        <v>134.53999328613281</v>
      </c>
    </row>
    <row r="6" spans="2:16">
      <c r="B6" s="4" t="s">
        <v>5</v>
      </c>
      <c r="C6" s="59">
        <v>25427000</v>
      </c>
    </row>
    <row r="7" spans="2:16">
      <c r="B7" s="4" t="s">
        <v>4</v>
      </c>
      <c r="C7" s="59">
        <v>30693000</v>
      </c>
    </row>
    <row r="8" spans="2:16">
      <c r="B8" s="4" t="s">
        <v>3</v>
      </c>
      <c r="C8" s="59">
        <v>789000</v>
      </c>
    </row>
    <row r="9" spans="2:16">
      <c r="B9" s="10" t="s">
        <v>6</v>
      </c>
      <c r="C9" s="59">
        <v>10337000</v>
      </c>
    </row>
    <row r="10" spans="2:16">
      <c r="B10" s="10" t="s">
        <v>7</v>
      </c>
      <c r="C10" s="59">
        <v>2068000</v>
      </c>
    </row>
    <row r="11" spans="2:16">
      <c r="B11" s="10" t="s">
        <v>9</v>
      </c>
      <c r="C11" s="60">
        <v>0.12999999523162842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>
        <v>10</v>
      </c>
    </row>
    <row r="17" spans="2:15" ht="17.5" thickBot="1">
      <c r="B17" s="2" t="s">
        <v>21</v>
      </c>
      <c r="C17" s="11">
        <f>SUM(C6:C7)</f>
        <v>56120000</v>
      </c>
    </row>
    <row r="18" spans="2:15" ht="18" thickTop="1" thickBot="1">
      <c r="B18" s="2" t="s">
        <v>20</v>
      </c>
      <c r="C18" s="12">
        <f>C8/C17</f>
        <v>1.4059158945117604E-2</v>
      </c>
    </row>
    <row r="19" spans="2:15" ht="18" thickTop="1" thickBot="1">
      <c r="B19" s="2" t="s">
        <v>19</v>
      </c>
      <c r="C19" s="12">
        <f>C14+C11*(C15-C14)</f>
        <v>4.4309999585151638E-2</v>
      </c>
    </row>
    <row r="20" spans="2:15" ht="18" thickTop="1" thickBot="1">
      <c r="B20" s="2" t="s">
        <v>18</v>
      </c>
      <c r="C20" s="12">
        <f>C8/C17</f>
        <v>1.4059158945117604E-2</v>
      </c>
      <c r="K20" t="s">
        <v>17</v>
      </c>
    </row>
    <row r="21" spans="2:15" ht="18" thickTop="1" thickBot="1">
      <c r="B21" s="16" t="s">
        <v>22</v>
      </c>
      <c r="C21" s="11">
        <f>C17+C5*1000000</f>
        <v>190659993.28613299</v>
      </c>
      <c r="K21" t="s">
        <v>11</v>
      </c>
    </row>
    <row r="22" spans="2:15" ht="18" thickTop="1" thickBot="1">
      <c r="B22" s="2" t="s">
        <v>23</v>
      </c>
      <c r="C22" s="12">
        <f>C5*1000000/C21</f>
        <v>0.705654033482641</v>
      </c>
      <c r="K22" t="s">
        <v>12</v>
      </c>
    </row>
    <row r="23" spans="2:15" ht="18" thickTop="1" thickBot="1">
      <c r="B23" s="16" t="s">
        <v>24</v>
      </c>
      <c r="C23" s="12">
        <f>C17/C21</f>
        <v>0.294345966517359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>
        <f>C23*C20*(1-C18)+C22*C19</f>
        <v>3.5347606249901818E-2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topLeftCell="A39" zoomScale="82" workbookViewId="0">
      <selection activeCell="C59" sqref="C59"/>
    </sheetView>
  </sheetViews>
  <sheetFormatPr defaultRowHeight="14.5"/>
  <cols>
    <col min="2" max="2" width="62.26953125" bestFit="1" customWidth="1"/>
    <col min="3" max="3" width="21.90625" bestFit="1" customWidth="1"/>
    <col min="4" max="5" width="11.81640625" bestFit="1" customWidth="1"/>
    <col min="6" max="6" width="12.1796875" bestFit="1" customWidth="1"/>
    <col min="7" max="7" width="10.81640625" bestFit="1" customWidth="1"/>
    <col min="8" max="8" width="11.453125" bestFit="1" customWidth="1"/>
    <col min="9" max="12" width="10.54296875" bestFit="1" customWidth="1"/>
    <col min="13" max="13" width="15.81640625" bestFit="1" customWidth="1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>
        <f>WACC!C25</f>
        <v>3.5347606249901818E-2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>
        <v>2.500000037252903E-2</v>
      </c>
    </row>
    <row r="7" spans="2:12">
      <c r="B7" s="18" t="s">
        <v>31</v>
      </c>
      <c r="C7" s="13">
        <f>AVERAGEIF(C28:L28, "&lt;0.5")</f>
        <v>0.11676899606223586</v>
      </c>
    </row>
    <row r="8" spans="2:12">
      <c r="B8" s="18" t="s">
        <v>112</v>
      </c>
      <c r="C8" s="13">
        <f>AVERAGEIF(C29:L29,"&lt;2")</f>
        <v>0.78996299773822454</v>
      </c>
    </row>
    <row r="9" spans="2:12">
      <c r="B9" s="18" t="s">
        <v>136</v>
      </c>
      <c r="C9" s="66">
        <v>13.579999923706055</v>
      </c>
    </row>
    <row r="10" spans="2:12">
      <c r="B10" s="18" t="s">
        <v>100</v>
      </c>
      <c r="C10" s="67">
        <v>2.4800000712275505E-2</v>
      </c>
    </row>
    <row r="11" spans="2:12">
      <c r="B11" s="18" t="s">
        <v>44</v>
      </c>
      <c r="C11" s="59">
        <v>2510000128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>
        <f>Financials!D3</f>
        <v>66145.3515625</v>
      </c>
      <c r="D16" s="21">
        <f>Financials!E3</f>
        <v>64385.96875</v>
      </c>
      <c r="E16" s="21">
        <f>Financials!F3</f>
        <v>59155.359375</v>
      </c>
      <c r="F16" s="21">
        <f>Financials!G3</f>
        <v>58332.2109375</v>
      </c>
      <c r="G16" s="21">
        <f>Financials!H3</f>
        <v>60714.05859375</v>
      </c>
      <c r="H16" s="21">
        <f>Financials!I3</f>
        <v>60209.73828125</v>
      </c>
      <c r="I16" s="21">
        <f>Financials!J3</f>
        <v>58217.6015625</v>
      </c>
      <c r="J16" s="21">
        <f>Financials!K3</f>
        <v>57942.01953125</v>
      </c>
      <c r="K16" s="21">
        <f>Financials!L3</f>
        <v>62046.5</v>
      </c>
      <c r="L16" s="21">
        <f>Financials!M3</f>
        <v>63292.91015625</v>
      </c>
    </row>
    <row r="17" spans="2:12">
      <c r="B17" s="18" t="s">
        <v>27</v>
      </c>
      <c r="C17" s="22"/>
      <c r="D17" s="20">
        <f t="shared" ref="D17:L17" si="0">(D16-C16)/C16</f>
        <v>-2.6598737038045356E-2</v>
      </c>
      <c r="E17" s="20">
        <f t="shared" si="0"/>
        <v>-8.123834239894076E-2</v>
      </c>
      <c r="F17" s="20">
        <f t="shared" si="0"/>
        <v>-1.3915027246844446E-2</v>
      </c>
      <c r="G17" s="20">
        <f t="shared" si="0"/>
        <v>4.0832459767417846E-2</v>
      </c>
      <c r="H17" s="20">
        <f t="shared" si="0"/>
        <v>-8.3064832788482951E-3</v>
      </c>
      <c r="I17" s="20">
        <f t="shared" si="0"/>
        <v>-3.3086619799680715E-2</v>
      </c>
      <c r="J17" s="20">
        <f t="shared" si="0"/>
        <v>-4.7336548372599405E-3</v>
      </c>
      <c r="K17" s="20">
        <f t="shared" si="0"/>
        <v>7.0837718497822139E-2</v>
      </c>
      <c r="L17" s="20">
        <f t="shared" si="0"/>
        <v>2.0088323374404679E-2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>
        <f>Financials!D6</f>
        <v>6990.83984375</v>
      </c>
      <c r="D19" s="21">
        <f>Financials!E6</f>
        <v>7331.080078125</v>
      </c>
      <c r="E19" s="21">
        <f>Financials!F6</f>
        <v>5451.14990234375</v>
      </c>
      <c r="F19" s="21">
        <f>Financials!G6</f>
        <v>5736.61376953125</v>
      </c>
      <c r="G19" s="21">
        <f>Financials!H6</f>
        <v>6841.7060546875</v>
      </c>
      <c r="H19" s="21">
        <f>Financials!I6</f>
        <v>11088.41015625</v>
      </c>
      <c r="I19" s="21">
        <f>Financials!J6</f>
        <v>6300</v>
      </c>
      <c r="J19" s="21">
        <f>Financials!K6</f>
        <v>6375.17578125</v>
      </c>
      <c r="K19" s="21">
        <f>Financials!L6</f>
        <v>7156.57177734375</v>
      </c>
      <c r="L19" s="21">
        <f>Financials!M6</f>
        <v>8051.61083984375</v>
      </c>
    </row>
    <row r="20" spans="2:12">
      <c r="B20" s="18" t="s">
        <v>27</v>
      </c>
      <c r="C20" s="22"/>
      <c r="D20" s="20">
        <f>(D19-C19)/C19</f>
        <v>4.8669436287999641E-2</v>
      </c>
      <c r="E20" s="20">
        <f t="shared" ref="E20:L20" si="1">(E19-D19)/D19</f>
        <v>-0.2564329069860688</v>
      </c>
      <c r="F20" s="20">
        <f t="shared" si="1"/>
        <v>5.2367642112495082E-2</v>
      </c>
      <c r="G20" s="20">
        <f t="shared" si="1"/>
        <v>0.19263843262826971</v>
      </c>
      <c r="H20" s="20">
        <f t="shared" si="1"/>
        <v>0.62070835367925947</v>
      </c>
      <c r="I20" s="20">
        <f t="shared" si="1"/>
        <v>-0.43183919865653642</v>
      </c>
      <c r="J20" s="20">
        <f t="shared" si="1"/>
        <v>1.193266369047619E-2</v>
      </c>
      <c r="K20" s="20">
        <f t="shared" si="1"/>
        <v>0.12256854130860362</v>
      </c>
      <c r="L20" s="20">
        <f t="shared" si="1"/>
        <v>0.12506533719587801</v>
      </c>
    </row>
    <row r="22" spans="2:12">
      <c r="B22" s="18" t="s">
        <v>30</v>
      </c>
      <c r="C22" s="25">
        <f>Financials!D20</f>
        <v>3856</v>
      </c>
      <c r="D22" s="25">
        <f>Financials!E20</f>
        <v>3100</v>
      </c>
      <c r="E22" s="25">
        <f>Financials!F20</f>
        <v>4796</v>
      </c>
      <c r="F22" s="25">
        <f>Financials!G20</f>
        <v>4802</v>
      </c>
      <c r="G22" s="25">
        <f>Financials!H20</f>
        <v>5355</v>
      </c>
      <c r="H22" s="25">
        <f>Financials!I20</f>
        <v>4962</v>
      </c>
      <c r="I22" s="25">
        <f>Financials!J20</f>
        <v>6680</v>
      </c>
      <c r="J22" s="25">
        <f>Financials!K20</f>
        <v>8126</v>
      </c>
      <c r="K22" s="25">
        <f>Financials!L20</f>
        <v>6733</v>
      </c>
      <c r="L22" s="25">
        <f>Financials!M20</f>
        <v>5655</v>
      </c>
    </row>
    <row r="23" spans="2:12">
      <c r="B23" s="18" t="s">
        <v>27</v>
      </c>
      <c r="C23" s="26"/>
      <c r="D23" s="26">
        <f>(D22-C22)/C22</f>
        <v>-0.19605809128630705</v>
      </c>
      <c r="E23" s="26">
        <f t="shared" ref="E23:L23" si="2">(E22-D22)/D22</f>
        <v>0.54709677419354841</v>
      </c>
      <c r="F23" s="26">
        <f t="shared" si="2"/>
        <v>1.2510425354462051E-3</v>
      </c>
      <c r="G23" s="26">
        <f t="shared" si="2"/>
        <v>0.11516034985422741</v>
      </c>
      <c r="H23" s="26">
        <f t="shared" si="2"/>
        <v>-7.3389355742296922E-2</v>
      </c>
      <c r="I23" s="26">
        <f t="shared" si="2"/>
        <v>0.34623135832325674</v>
      </c>
      <c r="J23" s="26">
        <f t="shared" si="2"/>
        <v>0.21646706586826348</v>
      </c>
      <c r="K23" s="26">
        <f t="shared" si="2"/>
        <v>-0.17142505537779965</v>
      </c>
      <c r="L23" s="26">
        <f t="shared" si="2"/>
        <v>-0.16010693598693004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>
        <f>Financials!D9</f>
        <v>11513.7001953125</v>
      </c>
      <c r="D25" s="62">
        <f>Financials!E9</f>
        <v>12511.3603515625</v>
      </c>
      <c r="E25" s="62">
        <f>Financials!F9</f>
        <v>9800</v>
      </c>
      <c r="F25" s="62">
        <f>Financials!G9</f>
        <v>10252.650390625</v>
      </c>
      <c r="G25" s="62">
        <f>Financials!H9</f>
        <v>11749.4599609375</v>
      </c>
      <c r="H25" s="62">
        <f>Financials!I9</f>
        <v>16867.0390625</v>
      </c>
      <c r="I25" s="62">
        <f>Financials!J9</f>
        <v>11972.7998046875</v>
      </c>
      <c r="J25" s="62">
        <f>Financials!K9</f>
        <v>11789.6796875</v>
      </c>
      <c r="K25" s="62">
        <f>Financials!L9</f>
        <v>12381.1396484375</v>
      </c>
      <c r="L25" s="62">
        <f>Financials!M9</f>
        <v>13381.76953125</v>
      </c>
    </row>
    <row r="26" spans="2:12">
      <c r="B26" s="18" t="s">
        <v>27</v>
      </c>
      <c r="C26" s="63"/>
      <c r="D26" s="63">
        <f>Financials!E10</f>
        <v>8.6649829275229087E-2</v>
      </c>
      <c r="E26" s="63">
        <f>Financials!F10</f>
        <v>-0.21671187427863411</v>
      </c>
      <c r="F26" s="63">
        <f>Financials!G10</f>
        <v>4.6188815369897961E-2</v>
      </c>
      <c r="G26" s="63">
        <f>Financials!H10</f>
        <v>0.14599245202793409</v>
      </c>
      <c r="H26" s="63">
        <f>Financials!I10</f>
        <v>0.43555866555369444</v>
      </c>
      <c r="I26" s="63">
        <f>Financials!J10</f>
        <v>-0.29016588149687284</v>
      </c>
      <c r="J26" s="63">
        <f>Financials!K10</f>
        <v>-1.5294677951251319E-2</v>
      </c>
      <c r="K26" s="63">
        <f>Financials!L10</f>
        <v>5.0167602226258531E-2</v>
      </c>
      <c r="L26" s="63">
        <f>Financials!M10</f>
        <v>8.0818883497431479E-2</v>
      </c>
    </row>
    <row r="28" spans="2:12" ht="15" thickBot="1">
      <c r="B28" s="1" t="s">
        <v>31</v>
      </c>
      <c r="C28" s="24">
        <f t="shared" ref="C28:L28" si="3">C19/C16</f>
        <v>0.10568905718407791</v>
      </c>
      <c r="D28" s="24">
        <f t="shared" si="3"/>
        <v>0.11386145491714761</v>
      </c>
      <c r="E28" s="24">
        <f t="shared" si="3"/>
        <v>9.2149721680965607E-2</v>
      </c>
      <c r="F28" s="24">
        <f t="shared" si="3"/>
        <v>9.8343842575720986E-2</v>
      </c>
      <c r="G28" s="24">
        <f t="shared" si="3"/>
        <v>0.11268734479549018</v>
      </c>
      <c r="H28" s="24">
        <f t="shared" si="3"/>
        <v>0.18416306851317202</v>
      </c>
      <c r="I28" s="24">
        <f t="shared" si="3"/>
        <v>0.10821469505638397</v>
      </c>
      <c r="J28" s="24">
        <f t="shared" si="3"/>
        <v>0.11002681357717713</v>
      </c>
      <c r="K28" s="24">
        <f t="shared" si="3"/>
        <v>0.11534207050105566</v>
      </c>
      <c r="L28" s="24">
        <f t="shared" si="3"/>
        <v>0.12721189182116752</v>
      </c>
    </row>
    <row r="29" spans="2:12" ht="15" thickBot="1">
      <c r="B29" s="1" t="s">
        <v>32</v>
      </c>
      <c r="C29" s="24">
        <f t="shared" ref="C29:L29" si="4">C22/C19</f>
        <v>0.55157893560490712</v>
      </c>
      <c r="D29" s="24">
        <f t="shared" si="4"/>
        <v>0.42285720070771032</v>
      </c>
      <c r="E29" s="24">
        <f t="shared" si="4"/>
        <v>0.87981436686192305</v>
      </c>
      <c r="F29" s="24">
        <f t="shared" si="4"/>
        <v>0.83707918868527575</v>
      </c>
      <c r="G29" s="24">
        <f t="shared" si="4"/>
        <v>0.78269951342488564</v>
      </c>
      <c r="H29" s="24">
        <f t="shared" si="4"/>
        <v>0.44749426924861369</v>
      </c>
      <c r="I29" s="24">
        <f t="shared" si="4"/>
        <v>1.0603174603174603</v>
      </c>
      <c r="J29" s="24">
        <f t="shared" si="4"/>
        <v>1.274631520576945</v>
      </c>
      <c r="K29" s="24">
        <f t="shared" si="4"/>
        <v>0.94081359196526304</v>
      </c>
      <c r="L29" s="24">
        <f t="shared" si="4"/>
        <v>0.70234392998926176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>
        <f>L16*(C37+1)</f>
        <v>64489.146130286521</v>
      </c>
      <c r="D36" s="21">
        <f>C36*(D37+1)</f>
        <v>67017.120688576018</v>
      </c>
      <c r="E36" s="21">
        <f>D36*(E37+1)</f>
        <v>69423.03535365175</v>
      </c>
      <c r="F36" s="21">
        <f t="shared" ref="F36:L36" si="5">E36*(F37+1)</f>
        <v>71158.611263355255</v>
      </c>
      <c r="G36" s="21">
        <f t="shared" si="5"/>
        <v>72937.576571447906</v>
      </c>
      <c r="H36" s="21">
        <f t="shared" si="5"/>
        <v>74761.016012905529</v>
      </c>
      <c r="I36" s="21">
        <f t="shared" si="5"/>
        <v>76630.041441078865</v>
      </c>
      <c r="J36" s="21">
        <f t="shared" si="5"/>
        <v>78545.792505652862</v>
      </c>
      <c r="K36" s="21">
        <f t="shared" si="5"/>
        <v>80509.437347554893</v>
      </c>
      <c r="L36" s="21">
        <f t="shared" si="5"/>
        <v>82522.173311235951</v>
      </c>
    </row>
    <row r="37" spans="2:12">
      <c r="B37" s="18" t="s">
        <v>27</v>
      </c>
      <c r="C37" s="68">
        <v>1.8899999558925629E-2</v>
      </c>
      <c r="D37" s="68">
        <v>3.9200000464916229E-2</v>
      </c>
      <c r="E37" s="68">
        <v>3.5900000482797623E-2</v>
      </c>
      <c r="F37" s="27">
        <f>C6</f>
        <v>2.500000037252903E-2</v>
      </c>
      <c r="G37" s="27">
        <f>C6</f>
        <v>2.500000037252903E-2</v>
      </c>
      <c r="H37" s="27">
        <f>C6</f>
        <v>2.500000037252903E-2</v>
      </c>
      <c r="I37" s="27">
        <f>C6</f>
        <v>2.500000037252903E-2</v>
      </c>
      <c r="J37" s="27">
        <f>C6</f>
        <v>2.500000037252903E-2</v>
      </c>
      <c r="K37" s="27">
        <f>C6</f>
        <v>2.500000037252903E-2</v>
      </c>
      <c r="L37" s="27">
        <f>C6</f>
        <v>2.500000037252903E-2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>
        <f>C36*C7</f>
        <v>7530.3328505443797</v>
      </c>
      <c r="D39" s="21">
        <f>D36*C7</f>
        <v>7825.5219017867184</v>
      </c>
      <c r="E39" s="21">
        <f>E36*C7</f>
        <v>8106.4581418390217</v>
      </c>
      <c r="F39" s="21">
        <f>F36*C7</f>
        <v>8309.1195984049009</v>
      </c>
      <c r="G39" s="21">
        <f>G36*C7</f>
        <v>8516.847591460426</v>
      </c>
      <c r="H39" s="21">
        <f>H36*C7</f>
        <v>8729.7687844197171</v>
      </c>
      <c r="I39" s="21">
        <f>I36*C7</f>
        <v>8948.0130072823085</v>
      </c>
      <c r="J39" s="21">
        <f>J36*C7</f>
        <v>9171.7133357977727</v>
      </c>
      <c r="K39" s="21">
        <f>K36*C7</f>
        <v>9401.0061726094609</v>
      </c>
      <c r="L39" s="21">
        <f>L36*C7</f>
        <v>9636.0313304268548</v>
      </c>
    </row>
    <row r="40" spans="2:12">
      <c r="B40" s="18"/>
      <c r="C40" s="20">
        <f>(C39-L19)/L19</f>
        <v>-6.4742074557280302E-2</v>
      </c>
      <c r="D40" s="20">
        <f>(D39-C39)/C39</f>
        <v>3.9200000464919567E-2</v>
      </c>
      <c r="E40" s="20">
        <f t="shared" ref="E40:L40" si="6">(E39-D39)/D39</f>
        <v>3.5900000482799753E-2</v>
      </c>
      <c r="F40" s="20">
        <f t="shared" si="6"/>
        <v>2.5000000372530598E-2</v>
      </c>
      <c r="G40" s="20">
        <f t="shared" si="6"/>
        <v>2.5000000372530751E-2</v>
      </c>
      <c r="H40" s="20">
        <f t="shared" si="6"/>
        <v>2.5000000372529915E-2</v>
      </c>
      <c r="I40" s="20">
        <f t="shared" si="6"/>
        <v>2.5000000372529738E-2</v>
      </c>
      <c r="J40" s="20">
        <f t="shared" si="6"/>
        <v>2.5000000372530359E-2</v>
      </c>
      <c r="K40" s="20">
        <f t="shared" si="6"/>
        <v>2.5000000372530598E-2</v>
      </c>
      <c r="L40" s="20">
        <f t="shared" si="6"/>
        <v>2.5000000372530053E-2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>
        <f>C39*C8</f>
        <v>5948.6843125826681</v>
      </c>
      <c r="D42" s="21">
        <f>D39*C8</f>
        <v>6181.8727404015681</v>
      </c>
      <c r="E42" s="21">
        <f>E39*C8</f>
        <v>6403.8019747665912</v>
      </c>
      <c r="F42" s="21">
        <f>F39*C8</f>
        <v>6563.8970265213675</v>
      </c>
      <c r="G42" s="21">
        <f>G39*C8</f>
        <v>6727.9944546296556</v>
      </c>
      <c r="H42" s="21">
        <f>H39*C8</f>
        <v>6896.1943185017763</v>
      </c>
      <c r="I42" s="21">
        <f>I39*C8</f>
        <v>7068.5991790333583</v>
      </c>
      <c r="J42" s="21">
        <f>J39*C8</f>
        <v>7245.3141611424599</v>
      </c>
      <c r="K42" s="21">
        <f>K39*C8</f>
        <v>7426.4470178701222</v>
      </c>
      <c r="L42" s="21">
        <f>L39*C8</f>
        <v>7612.1081960834499</v>
      </c>
    </row>
    <row r="43" spans="2:12">
      <c r="B43" s="18" t="s">
        <v>27</v>
      </c>
      <c r="C43" s="20">
        <f>(C42-L22)/L22</f>
        <v>5.1933565443442638E-2</v>
      </c>
      <c r="D43" s="20">
        <f>(D42-C42)/C42</f>
        <v>3.9200000464919511E-2</v>
      </c>
      <c r="E43" s="20">
        <f t="shared" ref="E43:L43" si="7">(E42-D42)/D42</f>
        <v>3.5900000482799788E-2</v>
      </c>
      <c r="F43" s="20">
        <f t="shared" si="7"/>
        <v>2.5000000372530487E-2</v>
      </c>
      <c r="G43" s="20">
        <f t="shared" si="7"/>
        <v>2.5000000372530817E-2</v>
      </c>
      <c r="H43" s="20">
        <f t="shared" si="7"/>
        <v>2.5000000372529925E-2</v>
      </c>
      <c r="I43" s="20">
        <f t="shared" si="7"/>
        <v>2.5000000372529758E-2</v>
      </c>
      <c r="J43" s="20">
        <f t="shared" si="7"/>
        <v>2.5000000372530334E-2</v>
      </c>
      <c r="K43" s="20">
        <f t="shared" si="7"/>
        <v>2.5000000372530546E-2</v>
      </c>
      <c r="L43" s="20">
        <f t="shared" si="7"/>
        <v>2.500000037253005E-2</v>
      </c>
    </row>
    <row r="45" spans="2:12">
      <c r="B45" s="18" t="s">
        <v>47</v>
      </c>
      <c r="C45" s="21">
        <f>L25*(1+C46)</f>
        <v>13713.637425156567</v>
      </c>
      <c r="D45" s="21">
        <f>C45*(1+D46)</f>
        <v>14053.735643068434</v>
      </c>
      <c r="E45" s="21">
        <f t="shared" ref="E45:L45" si="8">D45*(1+E46)</f>
        <v>14402.268297026691</v>
      </c>
      <c r="F45" s="21">
        <f t="shared" si="8"/>
        <v>14759.44456105141</v>
      </c>
      <c r="G45" s="21">
        <f t="shared" si="8"/>
        <v>15125.478796678331</v>
      </c>
      <c r="H45" s="21">
        <f t="shared" si="8"/>
        <v>15500.590681609498</v>
      </c>
      <c r="I45" s="21">
        <f t="shared" si="8"/>
        <v>15885.005341554177</v>
      </c>
      <c r="J45" s="21">
        <f t="shared" si="8"/>
        <v>16278.953485339316</v>
      </c>
      <c r="K45" s="21">
        <f t="shared" si="8"/>
        <v>16682.671543370889</v>
      </c>
      <c r="L45" s="21">
        <f t="shared" si="8"/>
        <v>17096.40180952923</v>
      </c>
    </row>
    <row r="46" spans="2:12">
      <c r="B46" s="18" t="s">
        <v>27</v>
      </c>
      <c r="C46" s="20">
        <f>C10</f>
        <v>2.4800000712275505E-2</v>
      </c>
      <c r="D46" s="20">
        <f>C10</f>
        <v>2.4800000712275505E-2</v>
      </c>
      <c r="E46" s="20">
        <f>C10</f>
        <v>2.4800000712275505E-2</v>
      </c>
      <c r="F46" s="20">
        <f>C10</f>
        <v>2.4800000712275505E-2</v>
      </c>
      <c r="G46" s="20">
        <f>C10</f>
        <v>2.4800000712275505E-2</v>
      </c>
      <c r="H46" s="20">
        <f>C10</f>
        <v>2.4800000712275505E-2</v>
      </c>
      <c r="I46" s="20">
        <f>C10</f>
        <v>2.4800000712275505E-2</v>
      </c>
      <c r="J46" s="20">
        <f>C10</f>
        <v>2.4800000712275505E-2</v>
      </c>
      <c r="K46" s="20">
        <f>C10</f>
        <v>2.4800000712275505E-2</v>
      </c>
      <c r="L46" s="20">
        <f>C10</f>
        <v>2.4800000712275505E-2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>
        <f>POWER((1+C4),1)</f>
        <v>1.0353476062499019</v>
      </c>
      <c r="D51" s="61">
        <f>POWER((1+C4),2)</f>
        <v>1.0719446657674019</v>
      </c>
      <c r="E51" s="61">
        <f>POWER((1+C4),3)</f>
        <v>1.1098353437346307</v>
      </c>
      <c r="F51" s="61">
        <f>POWER((1+C4),4)</f>
        <v>1.1490653664671868</v>
      </c>
      <c r="G51" s="61">
        <f>POWER((1+C4),5)</f>
        <v>1.189682076596468</v>
      </c>
      <c r="H51" s="61">
        <f>POWER((1+C4),6)</f>
        <v>1.2317344902025655</v>
      </c>
      <c r="I51" s="61">
        <f>POWER((1+C4),7)</f>
        <v>1.2752733559666696</v>
      </c>
      <c r="J51" s="61">
        <f>POWER((1+C4),8)</f>
        <v>1.3203512164143703</v>
      </c>
      <c r="K51" s="61">
        <f>POWER((1+C4),9)</f>
        <v>1.3670224713237644</v>
      </c>
      <c r="L51" s="61">
        <f>POWER((1+C4),10)</f>
        <v>1.4153434433748846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>
        <f t="shared" ref="C53:L53" si="9">C42/C51</f>
        <v>5745.5914097577333</v>
      </c>
      <c r="D53" s="21">
        <f t="shared" si="9"/>
        <v>5766.9700105051452</v>
      </c>
      <c r="E53" s="21">
        <f t="shared" si="9"/>
        <v>5770.0468911159351</v>
      </c>
      <c r="F53" s="21">
        <f t="shared" si="9"/>
        <v>5712.3791370565241</v>
      </c>
      <c r="G53" s="21">
        <f t="shared" si="9"/>
        <v>5655.287733574678</v>
      </c>
      <c r="H53" s="21">
        <f t="shared" si="9"/>
        <v>5598.7669204323893</v>
      </c>
      <c r="I53" s="21">
        <f t="shared" si="9"/>
        <v>5542.8109949613836</v>
      </c>
      <c r="J53" s="21">
        <f t="shared" si="9"/>
        <v>5487.4143114877388</v>
      </c>
      <c r="K53" s="21">
        <f t="shared" si="9"/>
        <v>5432.5712807622522</v>
      </c>
      <c r="L53" s="21">
        <f t="shared" si="9"/>
        <v>5378.2763693965244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>
        <f>POWER((1+C4),11)</f>
        <v>1.4653724461196802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>
        <f>L53*(1+C5)/(C4-C5)</f>
        <v>532754.45020762598</v>
      </c>
    </row>
    <row r="60" spans="2:12" ht="15" thickBot="1">
      <c r="B60" s="5" t="s">
        <v>41</v>
      </c>
      <c r="C60" s="23">
        <f>C59/C55</f>
        <v>363562.48653259769</v>
      </c>
    </row>
    <row r="61" spans="2:12" ht="15" thickTop="1"/>
    <row r="62" spans="2:12" ht="14.5" customHeight="1" thickBot="1">
      <c r="B62" s="3" t="s">
        <v>43</v>
      </c>
      <c r="C62" s="71">
        <f>(SUM(C53:L53)+C59)</f>
        <v>588844.56526667625</v>
      </c>
    </row>
    <row r="63" spans="2:12" ht="15" thickTop="1">
      <c r="F63" s="9"/>
    </row>
    <row r="64" spans="2:12" ht="18.5">
      <c r="B64" s="69" t="s">
        <v>42</v>
      </c>
      <c r="C64" s="70">
        <f>C62/(C11/1000000)</f>
        <v>234.59941642946251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>
        <f>L45*C9</f>
        <v>232169.13526905538</v>
      </c>
    </row>
    <row r="70" spans="2:12" ht="15" thickBot="1">
      <c r="B70" s="5" t="s">
        <v>41</v>
      </c>
      <c r="C70" s="23">
        <f>C69/C55</f>
        <v>158436.94610461732</v>
      </c>
    </row>
    <row r="71" spans="2:12" ht="15" thickTop="1">
      <c r="B71" s="18"/>
      <c r="C71" s="28"/>
    </row>
    <row r="72" spans="2:12" ht="20" thickBot="1">
      <c r="B72" s="3" t="s">
        <v>43</v>
      </c>
      <c r="C72" s="72">
        <f>SUM(C53:L53)+C70</f>
        <v>214527.06116366762</v>
      </c>
    </row>
    <row r="73" spans="2:12" ht="15" thickTop="1"/>
    <row r="74" spans="2:12" ht="18.5">
      <c r="B74" s="69" t="s">
        <v>42</v>
      </c>
      <c r="C74" s="70">
        <f>C72/(C11/1000000)</f>
        <v>85.468944312208265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width="29.90625" customWidth="1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>
        <v>2.8299999237060547</v>
      </c>
    </row>
    <row r="16" spans="2:3">
      <c r="B16" s="18" t="s">
        <v>111</v>
      </c>
      <c r="C16">
        <v>7</v>
      </c>
    </row>
    <row r="17" spans="2:5">
      <c r="B17" s="18" t="s">
        <v>154</v>
      </c>
      <c r="C17" s="78">
        <v>6.9000000953674316</v>
      </c>
    </row>
    <row r="18" spans="2:5">
      <c r="B18" s="18" t="s">
        <v>108</v>
      </c>
      <c r="C18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>
        <f>(C15*(C16+C17)*4.4)/C18</f>
        <v>39.159003737868098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tabSelected="1" workbookViewId="0">
      <selection activeCell="H32" sqref="H32"/>
    </sheetView>
  </sheetViews>
  <sheetFormatPr defaultRowHeight="14.5"/>
  <cols>
    <col min="2" max="2" width="16.1796875" bestFit="1" customWidth="1"/>
    <col min="3" max="3" width="12.6328125" bestFit="1" customWidth="1"/>
    <col min="15" max="15" width="22.54296875" bestFit="1" customWidth="1"/>
    <col min="16" max="16" width="6.81640625" bestFit="1" customWidth="1"/>
  </cols>
  <sheetData>
    <row r="2" spans="2:16" ht="15" thickBot="1">
      <c r="B2" s="1" t="s">
        <v>120</v>
      </c>
      <c r="C2" s="117">
        <v>1.8300000429153442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>
        <f>C2</f>
        <v>1.8300000429153442</v>
      </c>
    </row>
    <row r="7" spans="2:16" ht="15" thickBot="1">
      <c r="B7" s="89" t="s">
        <v>121</v>
      </c>
      <c r="C7" s="90">
        <f>P6*(1+P7)</f>
        <v>1.8757500446699533</v>
      </c>
      <c r="D7" s="90">
        <f>C7*(1+P7)</f>
        <v>1.9226437964854719</v>
      </c>
      <c r="E7" s="90">
        <f>D7*(1+P7)</f>
        <v>1.9707098921138493</v>
      </c>
      <c r="F7" s="90">
        <f>E7*(1+P7)</f>
        <v>2.0199776401508447</v>
      </c>
      <c r="G7" s="90">
        <f>F7*(1+P7)</f>
        <v>2.0704770819071134</v>
      </c>
      <c r="H7" s="90">
        <f>G7*(1+P7)</f>
        <v>2.1222390097261026</v>
      </c>
      <c r="I7" s="90">
        <f>H7*(1+P7)</f>
        <v>2.1752949857598503</v>
      </c>
      <c r="J7" s="90">
        <f>I7*(1+P7)</f>
        <v>2.2296773612142089</v>
      </c>
      <c r="K7" s="90">
        <f>J7*(1+P7)</f>
        <v>2.2854192960751871</v>
      </c>
      <c r="L7" s="90">
        <f>K7*(1+P7)</f>
        <v>2.3425547793284571</v>
      </c>
      <c r="M7" s="159">
        <f>L7*(1+P7)/(P8-P7)</f>
        <v>43.656703017231408</v>
      </c>
      <c r="N7" s="160"/>
      <c r="O7" s="88" t="s">
        <v>122</v>
      </c>
      <c r="P7" s="104">
        <v>2.500000037252903E-2</v>
      </c>
    </row>
    <row r="8" spans="2:16" ht="15" thickBot="1">
      <c r="B8" s="89" t="s">
        <v>123</v>
      </c>
      <c r="C8" s="90">
        <f>C7/(1+P8)</f>
        <v>1.7368055969166234</v>
      </c>
      <c r="D8" s="90">
        <f>D7/(1+P8)^2</f>
        <v>1.6483571643393962</v>
      </c>
      <c r="E8" s="90">
        <f>E7/(1+P8)^3</f>
        <v>1.5644130500573536</v>
      </c>
      <c r="F8" s="90">
        <f>F7/(1+P8)^4</f>
        <v>1.4847438674922024</v>
      </c>
      <c r="G8" s="90">
        <f>G7/(1+P8)^5</f>
        <v>1.409131911789459</v>
      </c>
      <c r="H8" s="90">
        <f>H7/(1+P8)^6</f>
        <v>1.3373705649158674</v>
      </c>
      <c r="I8" s="90">
        <f>I7/(1+P8)^7</f>
        <v>1.2692637310527528</v>
      </c>
      <c r="J8" s="90">
        <f>J7/(1+P8)^8</f>
        <v>1.2046253007425096</v>
      </c>
      <c r="K8" s="90">
        <f>K7/(1+P8)^9</f>
        <v>1.1432786423239185</v>
      </c>
      <c r="L8" s="90">
        <f>L7/(1+P8)^10</f>
        <v>1.085056119266596</v>
      </c>
      <c r="M8" s="159">
        <f>M7/POWER((1+P8),10)</f>
        <v>20.221500548828576</v>
      </c>
      <c r="N8" s="160"/>
      <c r="O8" s="91" t="s">
        <v>124</v>
      </c>
      <c r="P8" s="105">
        <v>0.08</v>
      </c>
    </row>
    <row r="9" spans="2:16">
      <c r="B9" s="92"/>
      <c r="N9" s="93"/>
    </row>
    <row r="10" spans="2:16" ht="20" thickBot="1">
      <c r="B10" s="94" t="s">
        <v>125</v>
      </c>
      <c r="C10" s="95">
        <f>SUM(C8:N8)*(1-P9)</f>
        <v>34.104546497725252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>
        <f>C2</f>
        <v>1.8300000429153442</v>
      </c>
    </row>
    <row r="16" spans="2:16" ht="15" thickBot="1">
      <c r="B16" s="89" t="s">
        <v>121</v>
      </c>
      <c r="C16" s="90">
        <f>P15*(1+P16)</f>
        <v>1.8849000429756937</v>
      </c>
      <c r="D16" s="90">
        <f>C16*(1+P16)</f>
        <v>1.9414470430010409</v>
      </c>
      <c r="E16" s="90">
        <f>D16*(1+P16)</f>
        <v>1.9996904529892339</v>
      </c>
      <c r="F16" s="90">
        <f>E16*(1+P16)</f>
        <v>2.0596811652380143</v>
      </c>
      <c r="G16" s="90">
        <f>F16*(1+P16)</f>
        <v>2.1214715988140309</v>
      </c>
      <c r="H16" s="90">
        <f>G16*(1+P16)</f>
        <v>2.185115745355898</v>
      </c>
      <c r="I16" s="90">
        <f>H16*(1+P16)</f>
        <v>2.2506692162513477</v>
      </c>
      <c r="J16" s="90">
        <f>I16*(1+P16)</f>
        <v>2.3181892912297042</v>
      </c>
      <c r="K16" s="90">
        <f>J16*(1+P16)</f>
        <v>2.3877349684121292</v>
      </c>
      <c r="L16" s="90">
        <f>K16*(1+P16)</f>
        <v>2.459367015863398</v>
      </c>
      <c r="M16" s="159">
        <f>L16*(1+P16)/(P17-P16)</f>
        <v>50.662959814360072</v>
      </c>
      <c r="N16" s="160"/>
      <c r="O16" s="88" t="s">
        <v>122</v>
      </c>
      <c r="P16" s="104">
        <v>2.9999999329447746E-2</v>
      </c>
    </row>
    <row r="17" spans="2:16" ht="15" thickBot="1">
      <c r="B17" s="89" t="s">
        <v>123</v>
      </c>
      <c r="C17" s="90">
        <f>C16/(1+P17)</f>
        <v>1.7452778175700867</v>
      </c>
      <c r="D17" s="90">
        <f>D16/(1+P17)^2</f>
        <v>1.6644779175248978</v>
      </c>
      <c r="E17" s="90">
        <f>E16/(1+P17)^3</f>
        <v>1.5874187536430815</v>
      </c>
      <c r="F17" s="90">
        <f>F16/(1+P17)^4</f>
        <v>1.513927143692525</v>
      </c>
      <c r="G17" s="90">
        <f>G16/(1+P17)^5</f>
        <v>1.4438379231371605</v>
      </c>
      <c r="H17" s="90">
        <f>H16/(1+P17)^6</f>
        <v>1.3769935739473231</v>
      </c>
      <c r="I17" s="90">
        <f>I16/(1+P17)^7</f>
        <v>1.313243870594816</v>
      </c>
      <c r="J17" s="90">
        <f>J16/(1+P17)^8</f>
        <v>1.2524455424370982</v>
      </c>
      <c r="K17" s="90">
        <f>K16/(1+P17)^9</f>
        <v>1.1944619517318344</v>
      </c>
      <c r="L17" s="90">
        <f>L16/(1+P17)^10</f>
        <v>1.1391627865581884</v>
      </c>
      <c r="M17" s="159">
        <f>M16/POWER((1+P17),10)</f>
        <v>23.466753073107629</v>
      </c>
      <c r="N17" s="160"/>
      <c r="O17" s="91" t="s">
        <v>124</v>
      </c>
      <c r="P17" s="105">
        <v>0.08</v>
      </c>
    </row>
    <row r="18" spans="2:16">
      <c r="B18" s="92"/>
      <c r="N18" s="93"/>
    </row>
    <row r="19" spans="2:16" ht="20" thickBot="1">
      <c r="B19" s="94" t="s">
        <v>125</v>
      </c>
      <c r="C19" s="95">
        <f>SUM(C17:N17)*(1-P18)</f>
        <v>37.698000353944643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>
        <f>C2</f>
        <v>1.8300000429153442</v>
      </c>
    </row>
    <row r="25" spans="2:16" ht="15" thickBot="1">
      <c r="B25" s="89" t="s">
        <v>121</v>
      </c>
      <c r="C25" s="90">
        <f>P24*(1+P25)</f>
        <v>1.8940500446900652</v>
      </c>
      <c r="D25" s="90">
        <f>C25*(1+P25)</f>
        <v>1.9603417965364549</v>
      </c>
      <c r="E25" s="90">
        <f>D25*(1+P25)</f>
        <v>2.0289537597073362</v>
      </c>
      <c r="F25" s="90">
        <f>E25*(1+P25)</f>
        <v>2.0999671415994312</v>
      </c>
      <c r="G25" s="90">
        <f>F25*(1+P25)</f>
        <v>2.1734659918683263</v>
      </c>
      <c r="H25" s="90">
        <f>G25*(1+P25)</f>
        <v>2.2495373019075897</v>
      </c>
      <c r="I25" s="90">
        <f>H25*(1+P25)</f>
        <v>2.328271107809559</v>
      </c>
      <c r="J25" s="90">
        <f>I25*(1+P25)</f>
        <v>2.4097605969298304</v>
      </c>
      <c r="K25" s="90">
        <f>J25*(1+P25)</f>
        <v>2.4941022181814523</v>
      </c>
      <c r="L25" s="90">
        <f>K25*(1+P25)</f>
        <v>2.5813957961894469</v>
      </c>
      <c r="M25" s="159">
        <f>L25*(1+P25)/(P26-P25)</f>
        <v>59.372103517508179</v>
      </c>
      <c r="N25" s="160"/>
      <c r="O25" s="88" t="s">
        <v>122</v>
      </c>
      <c r="P25" s="104">
        <v>3.5000000149011612E-2</v>
      </c>
    </row>
    <row r="26" spans="2:16" ht="15" thickBot="1">
      <c r="B26" s="89" t="s">
        <v>123</v>
      </c>
      <c r="C26" s="90">
        <f>C25/(1+P26)</f>
        <v>1.7537500413796898</v>
      </c>
      <c r="D26" s="90">
        <f>D25/(1+P26)^2</f>
        <v>1.6806771232308426</v>
      </c>
      <c r="E26" s="90">
        <f>E25/(1+P26)^3</f>
        <v>1.6106489099947734</v>
      </c>
      <c r="F26" s="90">
        <f>F25/(1+P26)^4</f>
        <v>1.5435385389672187</v>
      </c>
      <c r="G26" s="90">
        <f>G25/(1+P26)^5</f>
        <v>1.4792244333898825</v>
      </c>
      <c r="H26" s="90">
        <f>H25/(1+P26)^6</f>
        <v>1.4175900822027316</v>
      </c>
      <c r="I26" s="90">
        <f>I25/(1+P26)^7</f>
        <v>1.3585238289732058</v>
      </c>
      <c r="J26" s="90">
        <f>J25/(1+P26)^8</f>
        <v>1.3019186696200946</v>
      </c>
      <c r="K26" s="90">
        <f>K25/(1+P26)^9</f>
        <v>1.2476720585655523</v>
      </c>
      <c r="L26" s="90">
        <f>L25/(1+P26)^10</f>
        <v>1.1956857229641307</v>
      </c>
      <c r="M26" s="159">
        <f>M25/POWER((1+P26),10)</f>
        <v>27.500771723199566</v>
      </c>
      <c r="N26" s="160"/>
      <c r="O26" s="91" t="s">
        <v>124</v>
      </c>
      <c r="P26" s="105">
        <v>0.08</v>
      </c>
    </row>
    <row r="27" spans="2:16">
      <c r="B27" s="92"/>
      <c r="N27" s="93"/>
    </row>
    <row r="28" spans="2:16" ht="20" thickBot="1">
      <c r="B28" s="94" t="s">
        <v>125</v>
      </c>
      <c r="C28" s="95">
        <f>SUM(C26:N26)*(1-P27)</f>
        <v>42.090001132487686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topLeftCell="A53" zoomScale="85" zoomScaleNormal="85" workbookViewId="0">
      <selection activeCell="F11" sqref="F11"/>
    </sheetView>
  </sheetViews>
  <sheetFormatPr defaultRowHeight="14.5"/>
  <cols>
    <col min="2" max="2" width="62.26953125" bestFit="1" customWidth="1"/>
    <col min="3" max="3" width="10" style="110" bestFit="1" customWidth="1"/>
    <col min="4" max="4" width="13.26953125" style="110" bestFit="1" customWidth="1"/>
    <col min="5" max="11" width="11.26953125" style="110" bestFit="1" customWidth="1"/>
    <col min="12" max="13" width="11.6328125" style="110" bestFit="1" customWidth="1"/>
    <col min="19" max="19" width="11.7265625" customWidth="1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>
        <v>66007.7890625</v>
      </c>
      <c r="D3" s="110">
        <v>66145.3515625</v>
      </c>
      <c r="E3" s="110">
        <v>64385.96875</v>
      </c>
      <c r="F3" s="110">
        <v>59155.359375</v>
      </c>
      <c r="G3" s="110">
        <v>58332.2109375</v>
      </c>
      <c r="H3" s="110">
        <v>60714.05859375</v>
      </c>
      <c r="I3" s="110">
        <v>60209.73828125</v>
      </c>
      <c r="J3" s="110">
        <v>58217.6015625</v>
      </c>
      <c r="K3" s="110">
        <v>57942.01953125</v>
      </c>
      <c r="L3" s="110">
        <v>62046.5</v>
      </c>
      <c r="M3" s="110">
        <v>63292.91015625</v>
      </c>
      <c r="Q3" s="107"/>
    </row>
    <row r="4" spans="2:17">
      <c r="B4" s="18" t="s">
        <v>27</v>
      </c>
      <c r="C4" s="113"/>
      <c r="D4" s="121">
        <f t="shared" ref="D4:M4" si="0">(D3-C3)/C3</f>
        <v>2.0840343534268032E-3</v>
      </c>
      <c r="E4" s="121">
        <f t="shared" si="0"/>
        <v>-2.6598737038045356E-2</v>
      </c>
      <c r="F4" s="121">
        <f t="shared" si="0"/>
        <v>-8.123834239894076E-2</v>
      </c>
      <c r="G4" s="121">
        <f t="shared" si="0"/>
        <v>-1.3915027246844446E-2</v>
      </c>
      <c r="H4" s="121">
        <f t="shared" si="0"/>
        <v>4.0832459767417846E-2</v>
      </c>
      <c r="I4" s="121">
        <f t="shared" si="0"/>
        <v>-8.3064832788482951E-3</v>
      </c>
      <c r="J4" s="121">
        <f t="shared" si="0"/>
        <v>-3.3086619799680715E-2</v>
      </c>
      <c r="K4" s="121">
        <f t="shared" si="0"/>
        <v>-4.7336548372599405E-3</v>
      </c>
      <c r="L4" s="121">
        <f t="shared" si="0"/>
        <v>7.0837718497822139E-2</v>
      </c>
      <c r="M4" s="121">
        <f t="shared" si="0"/>
        <v>2.0088323374404679E-2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>
        <v>6363.6201171875</v>
      </c>
      <c r="D6" s="110">
        <v>6990.83984375</v>
      </c>
      <c r="E6" s="110">
        <v>7331.080078125</v>
      </c>
      <c r="F6" s="110">
        <v>5451.14990234375</v>
      </c>
      <c r="G6" s="110">
        <v>5736.61376953125</v>
      </c>
      <c r="H6" s="110">
        <v>6841.7060546875</v>
      </c>
      <c r="I6" s="110">
        <v>11088.41015625</v>
      </c>
      <c r="J6" s="110">
        <v>6300</v>
      </c>
      <c r="K6" s="110">
        <v>6375.17578125</v>
      </c>
      <c r="L6" s="110">
        <v>7156.57177734375</v>
      </c>
      <c r="M6" s="110">
        <v>8051.61083984375</v>
      </c>
      <c r="Q6" s="107"/>
    </row>
    <row r="7" spans="2:17">
      <c r="B7" s="18" t="s">
        <v>27</v>
      </c>
      <c r="C7" s="113"/>
      <c r="D7" s="121">
        <f t="shared" ref="D7" si="1">(D6-C6)/C6</f>
        <v>9.8563351521949338E-2</v>
      </c>
      <c r="E7" s="121">
        <f t="shared" ref="E7" si="2">(E6-D6)/D6</f>
        <v>4.8669436287999641E-2</v>
      </c>
      <c r="F7" s="121">
        <f t="shared" ref="F7" si="3">(F6-E6)/E6</f>
        <v>-0.2564329069860688</v>
      </c>
      <c r="G7" s="121">
        <f t="shared" ref="G7" si="4">(G6-F6)/F6</f>
        <v>5.2367642112495082E-2</v>
      </c>
      <c r="H7" s="121">
        <f t="shared" ref="H7" si="5">(H6-G6)/G6</f>
        <v>0.19263843262826971</v>
      </c>
      <c r="I7" s="121">
        <f t="shared" ref="I7" si="6">(I6-H6)/H6</f>
        <v>0.62070835367925947</v>
      </c>
      <c r="J7" s="121">
        <f t="shared" ref="J7" si="7">(J6-I6)/I6</f>
        <v>-0.43183919865653642</v>
      </c>
      <c r="K7" s="121">
        <f t="shared" ref="K7" si="8">(K6-J6)/J6</f>
        <v>1.193266369047619E-2</v>
      </c>
      <c r="L7" s="121">
        <f t="shared" ref="L7" si="9">(L6-K6)/K6</f>
        <v>0.12256854130860362</v>
      </c>
      <c r="M7" s="121">
        <f t="shared" ref="M7" si="10">(M6-L6)/L6</f>
        <v>0.12506533719587801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>
        <v>10530.580078125</v>
      </c>
      <c r="D9" s="110">
        <v>11513.7001953125</v>
      </c>
      <c r="E9" s="110">
        <v>12511.3603515625</v>
      </c>
      <c r="F9" s="110">
        <v>9800</v>
      </c>
      <c r="G9" s="110">
        <v>10252.650390625</v>
      </c>
      <c r="H9" s="110">
        <v>11749.4599609375</v>
      </c>
      <c r="I9" s="110">
        <v>16867.0390625</v>
      </c>
      <c r="J9" s="110">
        <v>11972.7998046875</v>
      </c>
      <c r="K9" s="110">
        <v>11789.6796875</v>
      </c>
      <c r="L9" s="110">
        <v>12381.1396484375</v>
      </c>
      <c r="M9" s="110">
        <v>13381.76953125</v>
      </c>
      <c r="Q9" s="107"/>
    </row>
    <row r="10" spans="2:17">
      <c r="B10" s="18" t="s">
        <v>27</v>
      </c>
      <c r="C10" s="113"/>
      <c r="D10" s="121">
        <f t="shared" ref="D10" si="11">(D9-C9)/C9</f>
        <v>9.3358590874753344E-2</v>
      </c>
      <c r="E10" s="121">
        <f t="shared" ref="E10" si="12">(E9-D9)/D9</f>
        <v>8.6649829275229087E-2</v>
      </c>
      <c r="F10" s="121">
        <f t="shared" ref="F10" si="13">(F9-E9)/E9</f>
        <v>-0.21671187427863411</v>
      </c>
      <c r="G10" s="121">
        <f t="shared" ref="G10" si="14">(G9-F9)/F9</f>
        <v>4.6188815369897961E-2</v>
      </c>
      <c r="H10" s="121">
        <f t="shared" ref="H10" si="15">(H9-G9)/G9</f>
        <v>0.14599245202793409</v>
      </c>
      <c r="I10" s="121">
        <f t="shared" ref="I10" si="16">(I9-H9)/H9</f>
        <v>0.43555866555369444</v>
      </c>
      <c r="J10" s="121">
        <f t="shared" ref="J10" si="17">(J9-I9)/I9</f>
        <v>-0.29016588149687284</v>
      </c>
      <c r="K10" s="121">
        <f t="shared" ref="K10" si="18">(K9-J9)/J9</f>
        <v>-1.5294677951251319E-2</v>
      </c>
      <c r="L10" s="121">
        <f t="shared" ref="L10" si="19">(L9-K9)/K9</f>
        <v>5.0167602226258531E-2</v>
      </c>
      <c r="M10" s="121">
        <f t="shared" ref="M10" si="20">(M9-L9)/L9</f>
        <v>8.0818883497431479E-2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>
        <v>2915.89990234375</v>
      </c>
      <c r="D12" s="110">
        <v>2924</v>
      </c>
      <c r="E12" s="110">
        <v>2882.60009765625</v>
      </c>
      <c r="F12" s="110">
        <v>2854.0048828125</v>
      </c>
      <c r="G12" s="110">
        <v>2853.89990234375</v>
      </c>
      <c r="H12" s="110">
        <v>2814</v>
      </c>
      <c r="I12" s="110">
        <v>2694.800048828125</v>
      </c>
      <c r="J12" s="110">
        <v>2626.699951171875</v>
      </c>
      <c r="K12" s="110">
        <v>2629.800048828125</v>
      </c>
      <c r="L12" s="110">
        <v>2609.60009765625</v>
      </c>
      <c r="M12" s="110">
        <v>2559.800048828125</v>
      </c>
      <c r="Q12" s="107"/>
    </row>
    <row r="13" spans="2:17">
      <c r="B13" s="18" t="s">
        <v>27</v>
      </c>
      <c r="C13" s="113"/>
      <c r="D13" s="121">
        <f t="shared" ref="D13" si="21">(D12-C12)/C12</f>
        <v>2.7779066248945243E-3</v>
      </c>
      <c r="E13" s="121">
        <f t="shared" ref="E13" si="22">(E12-D12)/D12</f>
        <v>-1.4158653332335841E-2</v>
      </c>
      <c r="F13" s="121">
        <f t="shared" ref="F13" si="23">(F12-E12)/E12</f>
        <v>-9.9199382068292635E-3</v>
      </c>
      <c r="G13" s="121">
        <f t="shared" ref="G13" si="24">(G12-F12)/F12</f>
        <v>-3.6783563119396711E-5</v>
      </c>
      <c r="H13" s="121">
        <f t="shared" ref="H13" si="25">(H12-G12)/G12</f>
        <v>-1.3980834545382065E-2</v>
      </c>
      <c r="I13" s="121">
        <f t="shared" ref="I13" si="26">(I12-H12)/H12</f>
        <v>-4.2359613067475127E-2</v>
      </c>
      <c r="J13" s="121">
        <f t="shared" ref="J13" si="27">(J12-I12)/I12</f>
        <v>-2.5270927869347575E-2</v>
      </c>
      <c r="K13" s="121">
        <f t="shared" ref="K13" si="28">(K12-J12)/J12</f>
        <v>1.1802252689222907E-3</v>
      </c>
      <c r="L13" s="121">
        <f t="shared" ref="L13" si="29">(L12-K12)/K12</f>
        <v>-7.6811737762634601E-3</v>
      </c>
      <c r="M13" s="121">
        <f t="shared" ref="M13" si="30">(M12-L12)/L12</f>
        <v>-1.9083402423555901E-2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>
        <v>1.9800000190734863</v>
      </c>
      <c r="D15" s="110">
        <v>2.2400000095367432</v>
      </c>
      <c r="E15" s="110">
        <v>2.0799999237060547</v>
      </c>
      <c r="F15" s="110">
        <v>1.9099999666213989</v>
      </c>
      <c r="G15" s="110">
        <v>2.0139999389648438</v>
      </c>
      <c r="H15" s="110">
        <v>2.4300999641418457</v>
      </c>
      <c r="I15" s="110">
        <v>4.1335000991821289</v>
      </c>
      <c r="J15" s="110">
        <v>2.3968000411987305</v>
      </c>
      <c r="K15" s="110">
        <v>2.4217000007629395</v>
      </c>
      <c r="L15" s="110">
        <v>2.7448000907897949</v>
      </c>
      <c r="M15" s="110">
        <v>3.1500000953674316</v>
      </c>
      <c r="Q15" s="107"/>
    </row>
    <row r="16" spans="2:17">
      <c r="B16" s="18" t="s">
        <v>27</v>
      </c>
      <c r="D16" s="121">
        <f t="shared" ref="D16" si="31">(D15-C15)/C15</f>
        <v>0.13131312523164515</v>
      </c>
      <c r="E16" s="121">
        <f t="shared" ref="E16" si="32">(E15-D15)/D15</f>
        <v>-7.142860944173747E-2</v>
      </c>
      <c r="F16" s="121">
        <f t="shared" ref="F16" si="33">(F15-E15)/E15</f>
        <v>-8.1730751596258297E-2</v>
      </c>
      <c r="G16" s="121">
        <f t="shared" ref="G16" si="34">(G15-F15)/F15</f>
        <v>5.4450248251789499E-2</v>
      </c>
      <c r="H16" s="121">
        <f t="shared" ref="H16" si="35">(H15-G15)/G15</f>
        <v>0.20660379234711893</v>
      </c>
      <c r="I16" s="121">
        <f t="shared" ref="I16" si="36">(I15-H15)/H15</f>
        <v>0.70095887419257163</v>
      </c>
      <c r="J16" s="121">
        <f t="shared" ref="J16" si="37">(J15-I15)/I15</f>
        <v>-0.42015241715538609</v>
      </c>
      <c r="K16" s="121">
        <f t="shared" ref="K16" si="38">(K15-J15)/J15</f>
        <v>1.0388834753088369E-2</v>
      </c>
      <c r="L16" s="121">
        <f t="shared" ref="L16" si="39">(L15-K15)/K15</f>
        <v>0.13341870996616614</v>
      </c>
      <c r="M16" s="121">
        <f t="shared" ref="M16" si="40">(M15-L15)/L15</f>
        <v>0.14762459602697134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>
        <v>3856</v>
      </c>
      <c r="D20" s="128">
        <v>3856</v>
      </c>
      <c r="E20" s="128">
        <v>3100</v>
      </c>
      <c r="F20" s="128">
        <v>4796</v>
      </c>
      <c r="G20" s="128">
        <v>4802</v>
      </c>
      <c r="H20" s="128">
        <v>5355</v>
      </c>
      <c r="I20" s="128">
        <v>4962</v>
      </c>
      <c r="J20" s="128">
        <v>6680</v>
      </c>
      <c r="K20" s="128">
        <v>8126</v>
      </c>
      <c r="L20" s="128">
        <v>6733</v>
      </c>
      <c r="M20" s="128">
        <v>5655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D21" s="129"/>
      <c r="E21" s="131">
        <f t="shared" ref="E21" si="41">(E20-D20)/D20</f>
        <v>-0.19605809128630705</v>
      </c>
      <c r="F21" s="131">
        <f t="shared" ref="F21" si="42">(F20-E20)/E20</f>
        <v>0.54709677419354841</v>
      </c>
      <c r="G21" s="131">
        <f t="shared" ref="G21" si="43">(G20-F20)/F20</f>
        <v>1.2510425354462051E-3</v>
      </c>
      <c r="H21" s="131">
        <f t="shared" ref="H21" si="44">(H20-G20)/G20</f>
        <v>0.11516034985422741</v>
      </c>
      <c r="I21" s="131">
        <f t="shared" ref="I21" si="45">(I20-H20)/H20</f>
        <v>-7.3389355742296922E-2</v>
      </c>
      <c r="J21" s="131">
        <f t="shared" ref="J21" si="46">(J20-I20)/I20</f>
        <v>0.34623135832325674</v>
      </c>
      <c r="K21" s="131">
        <f t="shared" ref="K21" si="47">(K20-J20)/J20</f>
        <v>0.21646706586826348</v>
      </c>
      <c r="L21" s="131">
        <f t="shared" ref="L21" si="48">(L20-K20)/K20</f>
        <v>-0.17142505537779965</v>
      </c>
      <c r="M21" s="131">
        <f t="shared" ref="M21" si="49">(M20-L20)/L20</f>
        <v>-0.16010693598693004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>
        <v>3471</v>
      </c>
      <c r="D23" s="130">
        <v>3976</v>
      </c>
      <c r="E23" s="130">
        <v>4239</v>
      </c>
      <c r="F23" s="130">
        <v>4600</v>
      </c>
      <c r="G23" s="130">
        <v>3994</v>
      </c>
      <c r="H23" s="130">
        <v>4426</v>
      </c>
      <c r="I23" s="130">
        <v>4802</v>
      </c>
      <c r="J23" s="130">
        <v>4714</v>
      </c>
      <c r="K23" s="130">
        <v>4888</v>
      </c>
      <c r="L23" s="130">
        <v>5304</v>
      </c>
      <c r="M23" s="130">
        <v>4561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>
        <f t="shared" ref="D24" si="50">(D23-C23)/C23</f>
        <v>0.14549121290694325</v>
      </c>
      <c r="E24" s="121">
        <f t="shared" ref="E24" si="51">(E23-D23)/D23</f>
        <v>6.6146881287726361E-2</v>
      </c>
      <c r="F24" s="121">
        <f t="shared" ref="F24" si="52">(F23-E23)/E23</f>
        <v>8.516159471573484E-2</v>
      </c>
      <c r="G24" s="121">
        <f t="shared" ref="G24" si="53">(G23-F23)/F23</f>
        <v>-0.13173913043478261</v>
      </c>
      <c r="H24" s="121">
        <f t="shared" ref="H24" si="54">(H23-G23)/G23</f>
        <v>0.10816224336504757</v>
      </c>
      <c r="I24" s="121">
        <f t="shared" ref="I24" si="55">(I23-H23)/H23</f>
        <v>8.495255309534569E-2</v>
      </c>
      <c r="J24" s="121">
        <f t="shared" ref="J24" si="56">(J23-I23)/I23</f>
        <v>-1.8325697625989172E-2</v>
      </c>
      <c r="K24" s="121">
        <f t="shared" ref="K24" si="57">(K23-J23)/J23</f>
        <v>3.6911327959270261E-2</v>
      </c>
      <c r="L24" s="121">
        <f t="shared" ref="L24" si="58">(L23-K23)/K23</f>
        <v>8.5106382978723402E-2</v>
      </c>
      <c r="M24" s="121">
        <f t="shared" ref="M24" si="59">(M23-L23)/L23</f>
        <v>-0.14008295625942685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>
        <v>15622.25</v>
      </c>
      <c r="D28" s="110">
        <v>16101.650390625</v>
      </c>
      <c r="E28" s="110">
        <v>16412.859375</v>
      </c>
      <c r="F28" s="110">
        <v>14087.0400390625</v>
      </c>
      <c r="G28" s="110">
        <v>15364.0302734375</v>
      </c>
      <c r="H28" s="110">
        <v>19195.880859375</v>
      </c>
      <c r="I28" s="110">
        <v>18283.060546875</v>
      </c>
      <c r="J28" s="110">
        <v>18401.599609375</v>
      </c>
      <c r="K28" s="110">
        <v>18456.140625</v>
      </c>
      <c r="L28" s="110">
        <v>20587.119140625</v>
      </c>
      <c r="M28" s="110">
        <v>20183.810546875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>
        <f t="shared" ref="D29" si="60">(D28-C28)/C28</f>
        <v>3.0687025916561316E-2</v>
      </c>
      <c r="E29" s="121">
        <f t="shared" ref="E29" si="61">(E28-D28)/D28</f>
        <v>1.9327769317125272E-2</v>
      </c>
      <c r="F29" s="121">
        <f t="shared" ref="F29" si="62">(F28-E28)/E28</f>
        <v>-0.14170713845755473</v>
      </c>
      <c r="G29" s="121">
        <f t="shared" ref="G29" si="63">(G28-F28)/F28</f>
        <v>9.0650003892512848E-2</v>
      </c>
      <c r="H29" s="121">
        <f t="shared" ref="H29" si="64">(H28-G28)/G28</f>
        <v>0.24940399867359633</v>
      </c>
      <c r="I29" s="121">
        <f t="shared" ref="I29" si="65">(I28-H28)/H28</f>
        <v>-4.7552926546436204E-2</v>
      </c>
      <c r="J29" s="121">
        <f t="shared" ref="J29" si="66">(J28-I28)/I28</f>
        <v>6.4835459137754202E-3</v>
      </c>
      <c r="K29" s="121">
        <f t="shared" ref="K29" si="67">(K28-J28)/J28</f>
        <v>2.9639279618502933E-3</v>
      </c>
      <c r="L29" s="121">
        <f t="shared" ref="L29" si="68">(L28-K28)/K28</f>
        <v>0.11546176196438686</v>
      </c>
      <c r="M29" s="121">
        <f t="shared" ref="M29" si="69">(M28-L28)/L28</f>
        <v>-1.959033660781331E-2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>
        <v>43751.8203125</v>
      </c>
      <c r="D31" s="110">
        <v>44353.23828125</v>
      </c>
      <c r="E31" s="110">
        <v>47429.37890625</v>
      </c>
      <c r="F31" s="110">
        <v>43986.75</v>
      </c>
      <c r="G31" s="110">
        <v>47080.30078125</v>
      </c>
      <c r="H31" s="110">
        <v>48944.25</v>
      </c>
      <c r="I31" s="110">
        <v>51934.48046875</v>
      </c>
      <c r="J31" s="110">
        <v>54181.12109375</v>
      </c>
      <c r="K31" s="110">
        <v>58830.73046875</v>
      </c>
      <c r="L31" s="110">
        <v>68257.7734375</v>
      </c>
      <c r="M31" s="110">
        <v>61808.390625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>
        <f t="shared" ref="D32" si="70">(D31-C31)/C31</f>
        <v>1.3746124491605975E-2</v>
      </c>
      <c r="E32" s="121">
        <f t="shared" ref="E32" si="71">(E31-D31)/D31</f>
        <v>6.935549114799168E-2</v>
      </c>
      <c r="F32" s="121">
        <f t="shared" ref="F32" si="72">(F31-E31)/E31</f>
        <v>-7.2584313470660855E-2</v>
      </c>
      <c r="G32" s="121">
        <f t="shared" ref="G32" si="73">(G31-F31)/F31</f>
        <v>7.0329150965915868E-2</v>
      </c>
      <c r="H32" s="121">
        <f t="shared" ref="H32" si="74">(H31-G31)/G31</f>
        <v>3.9590851966101466E-2</v>
      </c>
      <c r="I32" s="121">
        <f t="shared" ref="I32" si="75">(I31-H31)/H31</f>
        <v>6.1094622325400839E-2</v>
      </c>
      <c r="J32" s="121">
        <f t="shared" ref="J32" si="76">(J31-I31)/I31</f>
        <v>4.3259133522127902E-2</v>
      </c>
      <c r="K32" s="121">
        <f t="shared" ref="K32" si="77">(K31-J31)/J31</f>
        <v>8.5816042214311994E-2</v>
      </c>
      <c r="L32" s="121">
        <f t="shared" ref="L32" si="78">(L31-K31)/K31</f>
        <v>0.16024011419945744</v>
      </c>
      <c r="M32" s="121">
        <f t="shared" ref="M32" si="79">(M31-L31)/L31</f>
        <v>-9.4485689873921183E-2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>
        <f>D28+D31</f>
        <v>60454.888671875</v>
      </c>
      <c r="E34" s="111">
        <f t="shared" ref="E34:M34" si="80">E28+E31</f>
        <v>63842.23828125</v>
      </c>
      <c r="F34" s="111">
        <f t="shared" si="80"/>
        <v>58073.7900390625</v>
      </c>
      <c r="G34" s="111">
        <f t="shared" si="80"/>
        <v>62444.3310546875</v>
      </c>
      <c r="H34" s="111">
        <f t="shared" si="80"/>
        <v>68140.130859375</v>
      </c>
      <c r="I34" s="111">
        <f t="shared" si="80"/>
        <v>70217.541015625</v>
      </c>
      <c r="J34" s="111">
        <f t="shared" si="80"/>
        <v>72582.720703125</v>
      </c>
      <c r="K34" s="111">
        <f t="shared" si="80"/>
        <v>77286.87109375</v>
      </c>
      <c r="L34" s="111">
        <f t="shared" si="80"/>
        <v>88844.892578125</v>
      </c>
      <c r="M34" s="111">
        <f t="shared" si="80"/>
        <v>81992.201171875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>
        <v>20339.669921875</v>
      </c>
      <c r="D36" s="118">
        <v>23088.509765625</v>
      </c>
      <c r="E36" s="110">
        <v>26110.109375</v>
      </c>
      <c r="F36" s="110">
        <v>22229.900390625</v>
      </c>
      <c r="G36" s="110">
        <v>22747.26953125</v>
      </c>
      <c r="H36" s="110">
        <v>26196.9609375</v>
      </c>
      <c r="I36" s="110">
        <v>23350.73046875</v>
      </c>
      <c r="J36" s="110">
        <v>23495.359375</v>
      </c>
      <c r="K36" s="110">
        <v>23522.240234375</v>
      </c>
      <c r="L36" s="110">
        <v>29314.849609375</v>
      </c>
      <c r="M36" s="110">
        <v>26789.890625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>
        <f t="shared" ref="D37" si="81">(D36-C36)/C36</f>
        <v>0.13514672825607979</v>
      </c>
      <c r="E37" s="121">
        <f t="shared" ref="E37" si="82">(E36-D36)/D36</f>
        <v>0.13087027443727295</v>
      </c>
      <c r="F37" s="121">
        <f t="shared" ref="F37" si="83">(F36-E36)/E36</f>
        <v>-0.14860944964444447</v>
      </c>
      <c r="G37" s="121">
        <f t="shared" ref="G37" si="84">(G36-F36)/F36</f>
        <v>2.3273569900618615E-2</v>
      </c>
      <c r="H37" s="121">
        <f t="shared" ref="H37" si="85">(H36-G36)/G36</f>
        <v>0.15165298857125881</v>
      </c>
      <c r="I37" s="121">
        <f t="shared" ref="I37" si="86">(I36-H36)/H36</f>
        <v>-0.10864735323843325</v>
      </c>
      <c r="J37" s="121">
        <f t="shared" ref="J37" si="87">(J36-I36)/I36</f>
        <v>6.1937636787660717E-3</v>
      </c>
      <c r="K37" s="121">
        <f t="shared" ref="K37" si="88">(K36-J36)/J36</f>
        <v>1.1440922841811183E-3</v>
      </c>
      <c r="L37" s="121">
        <f t="shared" ref="L37" si="89">(L36-K36)/K36</f>
        <v>0.24626095632399755</v>
      </c>
      <c r="M37" s="121">
        <f t="shared" ref="M37" si="90">(M36-L36)/L36</f>
        <v>-8.613242155496198E-2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>
        <v>18822.060546875</v>
      </c>
      <c r="D39" s="110">
        <v>17687.619140625</v>
      </c>
      <c r="E39" s="110">
        <v>18772.349609375</v>
      </c>
      <c r="F39" s="110">
        <v>17985.80078125</v>
      </c>
      <c r="G39" s="110">
        <v>20906.990234375</v>
      </c>
      <c r="H39" s="110">
        <v>25681.55078125</v>
      </c>
      <c r="I39" s="110">
        <v>32349.94921875</v>
      </c>
      <c r="J39" s="110">
        <v>33535.0390625</v>
      </c>
      <c r="K39" s="110">
        <v>33597.328125</v>
      </c>
      <c r="L39" s="110">
        <v>36168.55078125</v>
      </c>
      <c r="M39" s="110">
        <v>32338.150390625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>
        <f t="shared" ref="D40" si="91">(D39-C39)/C39</f>
        <v>-6.0271902931390245E-2</v>
      </c>
      <c r="E40" s="121">
        <f t="shared" ref="E40" si="92">(E39-D39)/D39</f>
        <v>6.1327104576702832E-2</v>
      </c>
      <c r="F40" s="121">
        <f t="shared" ref="F40" si="93">(F39-E39)/E39</f>
        <v>-4.1899327707608527E-2</v>
      </c>
      <c r="G40" s="121">
        <f t="shared" ref="G40" si="94">(G39-F39)/F39</f>
        <v>0.1624164244146587</v>
      </c>
      <c r="H40" s="121">
        <f t="shared" ref="H40" si="95">(H39-G39)/G39</f>
        <v>0.22837149170446974</v>
      </c>
      <c r="I40" s="121">
        <f t="shared" ref="I40" si="96">(I39-H39)/H39</f>
        <v>0.25965715599887262</v>
      </c>
      <c r="J40" s="121">
        <f t="shared" ref="J40" si="97">(J39-I39)/I39</f>
        <v>3.6633437528338468E-2</v>
      </c>
      <c r="K40" s="121">
        <f t="shared" ref="K40" si="98">(K39-J39)/J39</f>
        <v>1.8574322333100757E-3</v>
      </c>
      <c r="L40" s="121">
        <f t="shared" ref="L40" si="99">(L39-K39)/K39</f>
        <v>7.6530569534686774E-2</v>
      </c>
      <c r="M40" s="121">
        <f t="shared" ref="M40" si="100">(M39-L39)/L39</f>
        <v>-0.10590417110686955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>
        <f>D36+D39</f>
        <v>40776.12890625</v>
      </c>
      <c r="E42" s="111">
        <f t="shared" ref="E42:M42" si="101">E36+E39</f>
        <v>44882.458984375</v>
      </c>
      <c r="F42" s="111">
        <f t="shared" si="101"/>
        <v>40215.701171875</v>
      </c>
      <c r="G42" s="111">
        <f t="shared" si="101"/>
        <v>43654.259765625</v>
      </c>
      <c r="H42" s="111">
        <f t="shared" si="101"/>
        <v>51878.51171875</v>
      </c>
      <c r="I42" s="111">
        <f t="shared" si="101"/>
        <v>55700.6796875</v>
      </c>
      <c r="J42" s="111">
        <f t="shared" si="101"/>
        <v>57030.3984375</v>
      </c>
      <c r="K42" s="111">
        <f t="shared" si="101"/>
        <v>57119.568359375</v>
      </c>
      <c r="L42" s="111">
        <f t="shared" si="101"/>
        <v>65483.400390625</v>
      </c>
      <c r="M42" s="111">
        <f t="shared" si="101"/>
        <v>59128.041015625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>
        <f>D34-D42</f>
        <v>19678.759765625</v>
      </c>
      <c r="E44" s="134">
        <f t="shared" ref="E44:M44" si="102">E34-E42</f>
        <v>18959.779296875</v>
      </c>
      <c r="F44" s="134">
        <f t="shared" si="102"/>
        <v>17858.0888671875</v>
      </c>
      <c r="G44" s="134">
        <f t="shared" si="102"/>
        <v>18790.0712890625</v>
      </c>
      <c r="H44" s="134">
        <f t="shared" si="102"/>
        <v>16261.619140625</v>
      </c>
      <c r="I44" s="134">
        <f t="shared" si="102"/>
        <v>14516.861328125</v>
      </c>
      <c r="J44" s="134">
        <f t="shared" si="102"/>
        <v>15552.322265625</v>
      </c>
      <c r="K44" s="134">
        <f t="shared" si="102"/>
        <v>20167.302734375</v>
      </c>
      <c r="L44" s="134">
        <f t="shared" si="102"/>
        <v>23361.4921875</v>
      </c>
      <c r="M44" s="134">
        <f t="shared" si="102"/>
        <v>22864.16015625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155</v>
      </c>
      <c r="C46" s="133">
        <v>18822</v>
      </c>
      <c r="D46" s="133">
        <v>17688</v>
      </c>
      <c r="E46" s="133">
        <v>18772</v>
      </c>
      <c r="F46" s="133">
        <v>17986</v>
      </c>
      <c r="G46" s="133">
        <v>20907</v>
      </c>
      <c r="H46" s="133">
        <v>25682</v>
      </c>
      <c r="I46" s="133">
        <v>32350</v>
      </c>
      <c r="J46" s="133">
        <v>33535</v>
      </c>
      <c r="K46" s="136">
        <v>33597</v>
      </c>
      <c r="L46" s="133">
        <v>36169</v>
      </c>
      <c r="M46" s="133">
        <v>32338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>
        <f t="shared" ref="D50:M50" si="103">D6/D3</f>
        <v>0.10568905718407791</v>
      </c>
      <c r="E50" s="126">
        <f t="shared" si="103"/>
        <v>0.11386145491714761</v>
      </c>
      <c r="F50" s="126">
        <f t="shared" si="103"/>
        <v>9.2149721680965607E-2</v>
      </c>
      <c r="G50" s="126">
        <f t="shared" si="103"/>
        <v>9.8343842575720986E-2</v>
      </c>
      <c r="H50" s="126">
        <f t="shared" si="103"/>
        <v>0.11268734479549018</v>
      </c>
      <c r="I50" s="126">
        <f t="shared" si="103"/>
        <v>0.18416306851317202</v>
      </c>
      <c r="J50" s="126">
        <f t="shared" si="103"/>
        <v>0.10821469505638397</v>
      </c>
      <c r="K50" s="126">
        <f t="shared" si="103"/>
        <v>0.11002681357717713</v>
      </c>
      <c r="L50" s="126">
        <f t="shared" si="103"/>
        <v>0.11534207050105566</v>
      </c>
      <c r="M50" s="126">
        <f t="shared" si="103"/>
        <v>0.12721189182116752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>
        <f t="shared" ref="D51:M51" si="104">D9/D3</f>
        <v>0.17406665658785311</v>
      </c>
      <c r="E51" s="126">
        <f t="shared" si="104"/>
        <v>0.19431811921852152</v>
      </c>
      <c r="F51" s="126">
        <f t="shared" si="104"/>
        <v>0.16566546300353704</v>
      </c>
      <c r="G51" s="126">
        <f t="shared" si="104"/>
        <v>0.17576310285255936</v>
      </c>
      <c r="H51" s="126">
        <f t="shared" si="104"/>
        <v>0.19352124092964207</v>
      </c>
      <c r="I51" s="126">
        <f t="shared" si="104"/>
        <v>0.28013805646706469</v>
      </c>
      <c r="J51" s="126">
        <f t="shared" si="104"/>
        <v>0.20565601267228434</v>
      </c>
      <c r="K51" s="126">
        <f t="shared" si="104"/>
        <v>0.20347374466541412</v>
      </c>
      <c r="L51" s="126">
        <f t="shared" si="104"/>
        <v>0.19954614117536848</v>
      </c>
      <c r="M51" s="126">
        <f t="shared" si="104"/>
        <v>0.21142604279396668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>
        <f t="shared" ref="D52:M52" si="105">D20/D3</f>
        <v>5.8295857666679857E-2</v>
      </c>
      <c r="E52" s="126">
        <f t="shared" si="105"/>
        <v>4.8147136094772204E-2</v>
      </c>
      <c r="F52" s="126">
        <f t="shared" si="105"/>
        <v>8.1074649037241181E-2</v>
      </c>
      <c r="G52" s="126">
        <f t="shared" si="105"/>
        <v>8.2321583955477007E-2</v>
      </c>
      <c r="H52" s="126">
        <f t="shared" si="105"/>
        <v>8.8200329940572475E-2</v>
      </c>
      <c r="I52" s="126">
        <f t="shared" si="105"/>
        <v>8.2411917766884293E-2</v>
      </c>
      <c r="J52" s="126">
        <f t="shared" si="105"/>
        <v>0.11474193063121348</v>
      </c>
      <c r="K52" s="126">
        <f t="shared" si="105"/>
        <v>0.14024364469411332</v>
      </c>
      <c r="L52" s="126">
        <f t="shared" si="105"/>
        <v>0.10851538765280878</v>
      </c>
      <c r="M52" s="126">
        <f t="shared" si="105"/>
        <v>8.934650004304763E-2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>
        <f>D23/D20</f>
        <v>1.0311203319502074</v>
      </c>
      <c r="E55" s="126">
        <f t="shared" ref="E55:M55" si="106">E23/E20</f>
        <v>1.3674193548387097</v>
      </c>
      <c r="F55" s="126">
        <f t="shared" si="106"/>
        <v>0.95913261050875731</v>
      </c>
      <c r="G55" s="126">
        <f t="shared" si="106"/>
        <v>0.83173677634319032</v>
      </c>
      <c r="H55" s="126">
        <f t="shared" si="106"/>
        <v>0.82651727357609706</v>
      </c>
      <c r="I55" s="126">
        <f t="shared" si="106"/>
        <v>0.96775493752519148</v>
      </c>
      <c r="J55" s="126">
        <f t="shared" si="106"/>
        <v>0.70568862275449107</v>
      </c>
      <c r="K55" s="126">
        <f t="shared" si="106"/>
        <v>0.60152596603494957</v>
      </c>
      <c r="L55" s="126">
        <f t="shared" si="106"/>
        <v>0.78776177038467254</v>
      </c>
      <c r="M55" s="126">
        <f t="shared" si="106"/>
        <v>0.80654288240495142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>
        <f>D42/D44</f>
        <v>2.0720883527161114</v>
      </c>
      <c r="E58" s="112">
        <f t="shared" ref="E58:M58" si="107">E42/E44</f>
        <v>2.3672458566947898</v>
      </c>
      <c r="F58" s="112">
        <f t="shared" si="107"/>
        <v>2.2519599645271917</v>
      </c>
      <c r="G58" s="112">
        <f t="shared" si="107"/>
        <v>2.3232620618653894</v>
      </c>
      <c r="H58" s="112">
        <f t="shared" si="107"/>
        <v>3.1902426978594272</v>
      </c>
      <c r="I58" s="112">
        <f t="shared" si="107"/>
        <v>3.8369643704996599</v>
      </c>
      <c r="J58" s="112">
        <f t="shared" si="107"/>
        <v>3.6670021019017334</v>
      </c>
      <c r="K58" s="112">
        <f t="shared" si="107"/>
        <v>2.8322859586976481</v>
      </c>
      <c r="L58" s="112">
        <f t="shared" si="107"/>
        <v>2.803048703612482</v>
      </c>
      <c r="M58" s="112">
        <f t="shared" si="107"/>
        <v>2.5860578569933668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>
        <f>D28/D36</f>
        <v>0.69738803214565692</v>
      </c>
      <c r="E59" s="112">
        <f t="shared" ref="E59:M59" si="108">E28/E36</f>
        <v>0.62860170898843659</v>
      </c>
      <c r="F59" s="112">
        <f t="shared" si="108"/>
        <v>0.63369784801210438</v>
      </c>
      <c r="G59" s="112">
        <f t="shared" si="108"/>
        <v>0.67542305472445952</v>
      </c>
      <c r="H59" s="112">
        <f t="shared" si="108"/>
        <v>0.73275220378317973</v>
      </c>
      <c r="I59" s="112">
        <f t="shared" si="108"/>
        <v>0.78297595749062321</v>
      </c>
      <c r="J59" s="112">
        <f t="shared" si="108"/>
        <v>0.78320145334550773</v>
      </c>
      <c r="K59" s="112">
        <f t="shared" si="108"/>
        <v>0.78462512248423144</v>
      </c>
      <c r="L59" s="112">
        <f t="shared" si="108"/>
        <v>0.70227613018492718</v>
      </c>
      <c r="M59" s="112">
        <f t="shared" si="108"/>
        <v>0.75341145768022333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157</v>
      </c>
      <c r="D60" s="112">
        <f>D46/D9</f>
        <v>1.5362567810477821</v>
      </c>
      <c r="E60" s="112">
        <f t="shared" ref="E60:M60" si="109">E46/E9</f>
        <v>1.500396397555253</v>
      </c>
      <c r="F60" s="112">
        <f t="shared" si="109"/>
        <v>1.8353061224489795</v>
      </c>
      <c r="G60" s="112">
        <f t="shared" si="109"/>
        <v>2.039180036716878</v>
      </c>
      <c r="H60" s="112">
        <f t="shared" si="109"/>
        <v>2.1858025888324155</v>
      </c>
      <c r="I60" s="112">
        <f t="shared" si="109"/>
        <v>1.9179418438605991</v>
      </c>
      <c r="J60" s="112">
        <f t="shared" si="109"/>
        <v>2.8009321584806446</v>
      </c>
      <c r="K60" s="112">
        <f t="shared" si="109"/>
        <v>2.8496957415748283</v>
      </c>
      <c r="L60" s="112">
        <f t="shared" si="109"/>
        <v>2.9212981217415255</v>
      </c>
      <c r="M60" s="112">
        <f t="shared" si="109"/>
        <v>2.416571285619749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>
        <f>(M20/I20)^0.2 - 1</f>
        <v>2.6491056537449653E-2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>
        <f>(M20/D20)^0.1 - 1</f>
        <v>3.9033519891011226E-2</v>
      </c>
    </row>
    <row r="65" spans="2:13">
      <c r="B65" s="10" t="s">
        <v>74</v>
      </c>
      <c r="C65" s="114"/>
      <c r="D65" s="121">
        <f>(M6/I6)^0.2 - 1</f>
        <v>-6.200030150071667E-2</v>
      </c>
    </row>
    <row r="66" spans="2:13">
      <c r="B66" s="10" t="s">
        <v>84</v>
      </c>
      <c r="C66" s="114"/>
      <c r="D66" s="121">
        <f>(M6/D6)^0.1 - 1</f>
        <v>1.4227407462441555E-2</v>
      </c>
    </row>
    <row r="67" spans="2:13">
      <c r="B67" s="10" t="s">
        <v>75</v>
      </c>
      <c r="C67" s="114"/>
      <c r="D67" s="121">
        <f>(M3/I3)^0.2 - 1</f>
        <v>1.0037887842590187E-2</v>
      </c>
    </row>
    <row r="68" spans="2:13">
      <c r="B68" s="10" t="s">
        <v>85</v>
      </c>
      <c r="C68" s="114"/>
      <c r="D68" s="121">
        <f>(M3/D3)^0.1 - 1</f>
        <v>-4.3984282464618607E-3</v>
      </c>
    </row>
    <row r="69" spans="2:13">
      <c r="B69" s="10" t="s">
        <v>88</v>
      </c>
      <c r="C69" s="114"/>
      <c r="D69" s="121">
        <f>(M9/I9)^0.2 - 1</f>
        <v>-4.523841000667006E-2</v>
      </c>
    </row>
    <row r="70" spans="2:13">
      <c r="B70" s="10" t="s">
        <v>89</v>
      </c>
      <c r="C70" s="114"/>
      <c r="D70" s="121">
        <f>(M9/D9)^0.2 - 1</f>
        <v>3.0527832848427305E-2</v>
      </c>
    </row>
    <row r="71" spans="2:13">
      <c r="B71" s="10" t="s">
        <v>131</v>
      </c>
      <c r="D71" s="121">
        <f>(M23/I23)^0.2 - 1</f>
        <v>-1.0245275929794073E-2</v>
      </c>
    </row>
    <row r="72" spans="2:13">
      <c r="B72" s="10" t="s">
        <v>132</v>
      </c>
      <c r="D72" s="121">
        <f>AVERAGE(I24:M24)</f>
        <v>9.7123220295846635E-3</v>
      </c>
    </row>
    <row r="73" spans="2:13">
      <c r="B73" s="10" t="s">
        <v>135</v>
      </c>
      <c r="D73" s="121">
        <f>AVERAGE(I55:M55)</f>
        <v>0.77385483582085113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>
        <f t="shared" ref="D76:M76" si="110">100*D6/D34</f>
        <v>11.563729579742487</v>
      </c>
      <c r="E76" s="110">
        <f t="shared" si="110"/>
        <v>11.483118818342064</v>
      </c>
      <c r="F76" s="110">
        <f t="shared" si="110"/>
        <v>9.386592296933113</v>
      </c>
      <c r="G76" s="110">
        <f t="shared" si="110"/>
        <v>9.1867647112869832</v>
      </c>
      <c r="H76" s="110">
        <f t="shared" si="110"/>
        <v>10.040641202769557</v>
      </c>
      <c r="I76" s="110">
        <f t="shared" si="110"/>
        <v>15.7915102065203</v>
      </c>
      <c r="J76" s="110">
        <f t="shared" si="110"/>
        <v>8.6797517907437136</v>
      </c>
      <c r="K76" s="110">
        <f t="shared" si="110"/>
        <v>8.24871765544348</v>
      </c>
      <c r="L76" s="110">
        <f t="shared" si="110"/>
        <v>8.0551302046436479</v>
      </c>
      <c r="M76" s="110">
        <f t="shared" si="110"/>
        <v>9.8199715640828735</v>
      </c>
    </row>
    <row r="77" spans="2:13">
      <c r="B77" s="10" t="s">
        <v>139</v>
      </c>
      <c r="C77" s="110">
        <v>0</v>
      </c>
      <c r="D77" s="110">
        <f t="shared" ref="D77:M77" si="111">100*D6/D44</f>
        <v>35.524798955885672</v>
      </c>
      <c r="E77" s="110">
        <f t="shared" si="111"/>
        <v>38.666484262996285</v>
      </c>
      <c r="F77" s="110">
        <f t="shared" si="111"/>
        <v>30.524822352965817</v>
      </c>
      <c r="G77" s="110">
        <f t="shared" si="111"/>
        <v>30.530026636303777</v>
      </c>
      <c r="H77" s="110">
        <f t="shared" si="111"/>
        <v>42.072723481731629</v>
      </c>
      <c r="I77" s="110">
        <f t="shared" si="111"/>
        <v>76.382972225320415</v>
      </c>
      <c r="J77" s="110">
        <f t="shared" si="111"/>
        <v>40.508419851386243</v>
      </c>
      <c r="K77" s="110">
        <f t="shared" si="111"/>
        <v>31.611444848217435</v>
      </c>
      <c r="L77" s="110">
        <f t="shared" si="111"/>
        <v>30.634052482199774</v>
      </c>
      <c r="M77" s="110">
        <f t="shared" si="111"/>
        <v>35.214986182830835</v>
      </c>
    </row>
    <row r="78" spans="2:13">
      <c r="B78" s="10" t="s">
        <v>140</v>
      </c>
      <c r="C78" s="110">
        <v>0</v>
      </c>
      <c r="D78" s="40">
        <v>19.969999313354492</v>
      </c>
      <c r="E78" s="40">
        <v>21.409999847412109</v>
      </c>
      <c r="F78" s="40">
        <v>18.940000534057617</v>
      </c>
      <c r="G78" s="40">
        <v>18</v>
      </c>
      <c r="H78" s="40">
        <v>18.399999618530273</v>
      </c>
      <c r="I78" s="40">
        <v>26.659999847412109</v>
      </c>
      <c r="J78" s="40">
        <v>15.689999580383301</v>
      </c>
      <c r="K78" s="40">
        <v>14.310000419616699</v>
      </c>
      <c r="L78" s="40">
        <v>14.229999542236328</v>
      </c>
      <c r="M78" s="40">
        <v>17.079999923706055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>
        <v>0</v>
      </c>
      <c r="D81" s="40">
        <v>18.190000534057617</v>
      </c>
      <c r="E81" s="40">
        <v>18.489999771118164</v>
      </c>
      <c r="F81" s="40">
        <v>23.340000152587891</v>
      </c>
      <c r="G81" s="40">
        <v>22.25</v>
      </c>
      <c r="H81" s="40">
        <v>22.840000152587891</v>
      </c>
      <c r="I81" s="40">
        <v>21.049999237060547</v>
      </c>
      <c r="J81" s="40">
        <v>14.539999961853027</v>
      </c>
      <c r="K81" s="40">
        <v>21.809999465942383</v>
      </c>
      <c r="L81" s="40">
        <v>23.059999465942383</v>
      </c>
      <c r="M81" s="40">
        <v>20.899999618530273</v>
      </c>
    </row>
    <row r="82" spans="2:13">
      <c r="B82" s="122" t="s">
        <v>148</v>
      </c>
      <c r="C82" s="110">
        <v>0</v>
      </c>
      <c r="D82" s="40">
        <v>13.609999656677246</v>
      </c>
      <c r="E82" s="40">
        <v>16.370000839233398</v>
      </c>
      <c r="F82" s="40">
        <v>18.620000839233398</v>
      </c>
      <c r="G82" s="40">
        <v>15.930000305175781</v>
      </c>
      <c r="H82" s="40">
        <v>17.819999694824219</v>
      </c>
      <c r="I82" s="40">
        <v>16.780000686645508</v>
      </c>
      <c r="J82" s="40">
        <v>20.870000839233398</v>
      </c>
      <c r="K82" s="40">
        <v>13.949999809265137</v>
      </c>
      <c r="L82" s="40">
        <v>14.569999694824219</v>
      </c>
      <c r="M82" s="40">
        <v>15.270000457763672</v>
      </c>
    </row>
    <row r="83" spans="2:13">
      <c r="B83" s="122" t="s">
        <v>153</v>
      </c>
      <c r="C83" s="110">
        <v>4.8000001907348633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2023-04-20T19:46:47Z</dcterms:modified>
</cp:coreProperties>
</file>