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A6D2C41D-A74C-45FB-8ED9-E98810C63079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<sst xmlns="http://schemas.openxmlformats.org/spreadsheetml/2006/main" count="231" uniqueCount="165">
  <si>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</si>
  <si>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</si>
  <si>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</si>
  <si>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</si>
  <si>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</si>
  <si>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</si>
  <si>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</si>
  <si>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</si>
  <si>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</si>
  <si>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</si>
  <si>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</si>
  <si>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</si>
  <si>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</si>
  <si>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</si>
  <si>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</si>
  <si>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</si>
  <si>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</si>
  <si>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</si>
  <si>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</si>
  <si>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</si>
  <si>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</si>
  <si>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</si>
  <si>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</si>
  <si>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</si>
  <si>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</si>
  <si>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</si>
  <si>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</si>
  <si>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</si>
  <si>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</si>
  <si>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</si>
  <si>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</si>
  <si>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</si>
  <si>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</si>
  <si>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</si>
  <si>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</si>
  <si>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</si>
  <si>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</si>
  <si>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</si>
  <si>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</si>
  <si>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</si>
  <si>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</si>
  <si>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</si>
  <si>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</si>
  <si>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</si>
  <si>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</si>
  <si>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</si>
  <si>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</si>
  <si>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</si>
  <si>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</si>
  <si>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</si>
  <si>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</si>
  <si>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</si>
  <si>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</si>
  <si>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</si>
  <si>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</si>
  <si>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</si>
  <si>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</si>
  <si>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</si>
  <si>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</si>
  <si>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</si>
  <si>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</si>
  <si>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</si>
  <si>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</si>
  <si>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</si>
  <si>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</si>
  <si>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</si>
  <si>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</si>
  <si>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</si>
  <si>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</si>
  <si>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</si>
  <si>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</si>
  <si>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</si>
  <si>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</si>
  <si>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</si>
  <si>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</si>
  <si>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</si>
  <si>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</si>
  <si>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</si>
  <si>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</si>
  <si>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</si>
  <si>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</si>
  <si>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</si>
  <si>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</si>
  <si>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</si>
  <si>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</si>
  <si>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</si>
  <si>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</si>
  <si>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</si>
  <si>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</si>
  <si>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</si>
  <si>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</si>
  <si>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</si>
  <si>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</si>
  <si>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</si>
  <si>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</si>
  <si>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</si>
  <si>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</si>
  <si>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</si>
  <si>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</si>
  <si>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</si>
  <si>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</si>
  <si>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</si>
  <si>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</si>
  <si>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</si>
  <si>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</si>
  <si>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</si>
  <si>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</si>
  <si>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</si>
  <si>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</si>
  <si>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</si>
  <si>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</si>
  <si>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</si>
  <si>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</si>
  <si>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</si>
  <si>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</si>
  <si>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</si>
  <si>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</si>
  <si>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</si>
  <si>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</si>
  <si>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</si>
  <si>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</si>
  <si>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</si>
  <si>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</si>
  <si>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</si>
  <si>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</si>
  <si>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</si>
  <si>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</si>
  <si>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</si>
  <si>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</si>
  <si>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</si>
  <si>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</si>
  <si>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</si>
  <si>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</si>
  <si>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</si>
  <si>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</si>
  <si>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</si>
  <si>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</si>
  <si>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</si>
  <si>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</si>
  <si>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</si>
  <si>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</si>
  <si>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</si>
  <si>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</si>
  <si>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</si>
  <si>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</si>
  <si>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</si>
  <si>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</si>
  <si>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</si>
  <si>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</si>
  <si>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</si>
  <si>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</si>
  <si>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</si>
  <si>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</si>
  <si>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</si>
  <si>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</si>
  <si>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</si>
  <si>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</si>
  <si>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</si>
  <si>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</si>
  <si>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</si>
  <si>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</si>
  <si>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</si>
  <si>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JNJ_JohnsonAndJohnson</t>
  </si>
  <si>
    <t>sector median (25.27)</t>
  </si>
  <si>
    <t>sector median (18.34)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</si>
</sst>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5" t="str">
        <f>U11</f>
        <v>K</v>
      </c>
      <c r="E12" s="45" t="s">
        <v>141</v>
      </c>
      <c r="F12" s="123" t="n">
        <f>AVERAGE(L12:P12)</f>
        <v>9.808937680183236</v>
      </c>
      <c r="G12" s="119" t="n">
        <f>Financials!D76</f>
        <v>10.424093516124898</v>
      </c>
      <c r="H12" s="119" t="n">
        <f>Financials!E76</f>
        <v>12.521671090381872</v>
      </c>
      <c r="I12" s="119" t="n">
        <f>Financials!F76</f>
        <v>11.55002211211969</v>
      </c>
      <c r="J12" s="119" t="n">
        <f>Financials!G76</f>
        <v>11.713217381451475</v>
      </c>
      <c r="K12" s="119" t="n">
        <f>Financials!H76</f>
        <v>0.8264305194433672</v>
      </c>
      <c r="L12" s="119" t="n">
        <f>Financials!I76</f>
        <v>10.001046066137532</v>
      </c>
      <c r="M12" s="119" t="n">
        <f>Financials!J76</f>
        <v>9.585488942990464</v>
      </c>
      <c r="N12" s="119" t="n">
        <f>Financials!K76</f>
        <v>8.413095932393336</v>
      </c>
      <c r="O12" s="119" t="n">
        <f>Financials!L76</f>
        <v>11.47029414673274</v>
      </c>
      <c r="P12" s="119" t="n">
        <f>Financials!M76</f>
        <v>9.574763312662105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25.168089291706096</v>
      </c>
      <c r="G14" s="40" t="n">
        <f>Financials!D77</f>
        <v>18.677163653059296</v>
      </c>
      <c r="H14" s="40" t="n">
        <f>Financials!E77</f>
        <v>23.401479527468748</v>
      </c>
      <c r="I14" s="40" t="n">
        <f>Financials!F77</f>
        <v>21.657062543921292</v>
      </c>
      <c r="J14" s="40" t="n">
        <f>Financials!G77</f>
        <v>23.48831264733449</v>
      </c>
      <c r="K14" s="40" t="n">
        <f>Financials!H77</f>
        <v>2.160904255319149</v>
      </c>
      <c r="L14" s="40" t="n">
        <f>Financials!I77</f>
        <v>25.60081670906413</v>
      </c>
      <c r="M14" s="40" t="n">
        <f>Financials!J77</f>
        <v>25.422474819660003</v>
      </c>
      <c r="N14" s="40" t="n">
        <f>Financials!K77</f>
        <v>23.25294731186194</v>
      </c>
      <c r="O14" s="40" t="n">
        <f>Financials!L77</f>
        <v>28.204747173175903</v>
      </c>
      <c r="P14" s="40" t="n">
        <f>Financials!M77</f>
        <v>23.3594604447685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0.06557211259432376</v>
      </c>
      <c r="F16" s="124" t="n">
        <f>AVERAGE(L16:P16)</f>
        <v>17.206000137329102</v>
      </c>
      <c r="G16" s="40" t="n">
        <f>Financials!D78</f>
        <v>16.389999389648438</v>
      </c>
      <c r="H16" s="40" t="n">
        <f>Financials!E78</f>
        <v>18.469999313354492</v>
      </c>
      <c r="I16" s="40" t="n">
        <f>Financials!F78</f>
        <v>17.549999237060547</v>
      </c>
      <c r="J16" s="40" t="n">
        <f>Financials!G78</f>
        <v>17.860000610351562</v>
      </c>
      <c r="K16" s="40" t="n">
        <f>Financials!H78</f>
        <v>1.690000057220459</v>
      </c>
      <c r="L16" s="40" t="n">
        <f>Financials!I78</f>
        <v>16.899999618530273</v>
      </c>
      <c r="M16" s="40" t="n">
        <f>Financials!J78</f>
        <v>17.010000228881836</v>
      </c>
      <c r="N16" s="40" t="n">
        <f>Financials!K78</f>
        <v>15.930000305175781</v>
      </c>
      <c r="O16" s="40" t="n">
        <f>Financials!L78</f>
        <v>20.350000381469727</v>
      </c>
      <c r="P16" s="40" t="n">
        <f>Financials!M78</f>
        <v>15.84000015258789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5" t="str">
        <f>U11</f>
        <v>K</v>
      </c>
      <c r="E18" s="48" t="s">
        <v>68</v>
      </c>
      <c r="F18" s="125" t="n">
        <f>AVERAGE(L18:P18)</f>
        <v>1.2555716265485592</v>
      </c>
      <c r="G18" s="42" t="n">
        <f>Financials!D59</f>
        <v>2.1969620253164557</v>
      </c>
      <c r="H18" s="42" t="n">
        <f>Financials!E59</f>
        <v>2.226998521832927</v>
      </c>
      <c r="I18" s="42" t="n">
        <f>Financials!F59</f>
        <v>2.1699643204670775</v>
      </c>
      <c r="J18" s="42" t="n">
        <f>Financials!G59</f>
        <v>2.473922471183475</v>
      </c>
      <c r="K18" s="42" t="n">
        <f>Financials!H59</f>
        <v>1.4110095949176409</v>
      </c>
      <c r="L18" s="42" t="n">
        <f>Financials!I59</f>
        <v>1.4739993595901377</v>
      </c>
      <c r="M18" s="42" t="n">
        <f>Financials!J59</f>
        <v>1.2588699810922033</v>
      </c>
      <c r="N18" s="42" t="n">
        <f>Financials!K59</f>
        <v>1.205775068834867</v>
      </c>
      <c r="O18" s="42" t="n">
        <f>Financials!L59</f>
        <v>1.3483173395834254</v>
      </c>
      <c r="P18" s="42" t="n">
        <f>Financials!M59</f>
        <v>0.9908963836421634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5" t="str">
        <f>U11</f>
        <v>K</v>
      </c>
      <c r="E20" s="49" t="s">
        <v>137</v>
      </c>
      <c r="F20" s="125" t="n">
        <f>AVERAGE(L20:P20)</f>
        <v>1.5749050758330587</v>
      </c>
      <c r="G20" s="42" t="n">
        <f>Financials!D58</f>
        <v>0.7917302472553441</v>
      </c>
      <c r="H20" s="42" t="n">
        <f>Financials!E58</f>
        <v>0.8688783117329969</v>
      </c>
      <c r="I20" s="42" t="n">
        <f>Financials!F58</f>
        <v>0.8750667603654252</v>
      </c>
      <c r="J20" s="42" t="n">
        <f>Financials!G58</f>
        <v>1.0052827402084694</v>
      </c>
      <c r="K20" s="42" t="n">
        <f>Financials!H58</f>
        <v>1.6147440159574469</v>
      </c>
      <c r="L20" s="42" t="n">
        <f>Financials!I58</f>
        <v>1.5598138974427633</v>
      </c>
      <c r="M20" s="42" t="n">
        <f>Financials!J58</f>
        <v>1.6521834171276757</v>
      </c>
      <c r="N20" s="42" t="n">
        <f>Financials!K58</f>
        <v>1.7638989854293752</v>
      </c>
      <c r="O20" s="42" t="n">
        <f>Financials!L58</f>
        <v>1.4589384380530375</v>
      </c>
      <c r="P20" s="42" t="n">
        <f>Financials!M58</f>
        <v>1.4396906411124422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4" t="str">
        <f>T11</f>
        <v>J</v>
      </c>
      <c r="E22" s="49" t="s">
        <v>161</v>
      </c>
      <c r="F22" s="125" t="n">
        <f>AVERAGE(L22:P22)</f>
        <v>1.0717352466811874</v>
      </c>
      <c r="G22" s="42" t="n">
        <f>Financials!D60</f>
        <v>0.6620634841786299</v>
      </c>
      <c r="H22" s="42" t="n">
        <f>Financials!E60</f>
        <v>0.6034799265703568</v>
      </c>
      <c r="I22" s="42" t="n">
        <f>Financials!F60</f>
        <v>0.5442807552281771</v>
      </c>
      <c r="J22" s="42" t="n">
        <f>Financials!G60</f>
        <v>0.9103890308709586</v>
      </c>
      <c r="K22" s="42" t="n">
        <f>Financials!H60</f>
        <v>1.2452301696841763</v>
      </c>
      <c r="L22" s="42" t="n">
        <f>Financials!I60</f>
        <v>1.0429475587703436</v>
      </c>
      <c r="M22" s="42" t="n">
        <f>Financials!J60</f>
        <v>1.0592515592515592</v>
      </c>
      <c r="N22" s="42" t="n">
        <f>Financials!K60</f>
        <v>1.3575291181364393</v>
      </c>
      <c r="O22" s="42" t="n">
        <f>Financials!L60</f>
        <v>0.9862837971186106</v>
      </c>
      <c r="P22" s="42" t="n">
        <f>Financials!M60</f>
        <v>0.9126642001289841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 t="n">
        <f>Financials!D12</f>
        <v>2877.0</v>
      </c>
      <c r="H24" s="40" t="n">
        <f>Financials!E12</f>
        <v>2863.89990234375</v>
      </c>
      <c r="I24" s="40" t="n">
        <f>Financials!F12</f>
        <v>2812.89990234375</v>
      </c>
      <c r="J24" s="40" t="n">
        <f>Financials!G12</f>
        <v>2788.89990234375</v>
      </c>
      <c r="K24" s="40" t="n">
        <f>Financials!H12</f>
        <v>2745.300048828125</v>
      </c>
      <c r="L24" s="40" t="n">
        <f>Financials!I12</f>
        <v>2728.699951171875</v>
      </c>
      <c r="M24" s="40" t="n">
        <f>Financials!J12</f>
        <v>2684.300048828125</v>
      </c>
      <c r="N24" s="40" t="n">
        <f>Financials!K12</f>
        <v>2670.699951171875</v>
      </c>
      <c r="O24" s="40" t="n">
        <f>Financials!L12</f>
        <v>2674.0</v>
      </c>
      <c r="P24" s="40" t="n">
        <f>Financials!M12</f>
        <v>2663.89990234375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163</v>
      </c>
      <c r="F26" s="57" t="n">
        <f>AVERAGEIF(L26:P26,"&lt;100")</f>
        <v>25.675000190734863</v>
      </c>
      <c r="G26" s="44" t="n">
        <f>Financials!D81</f>
        <v>20.440000534057617</v>
      </c>
      <c r="H26" s="44" t="n">
        <f>Financials!E81</f>
        <v>17.309999465942383</v>
      </c>
      <c r="I26" s="44" t="n">
        <f>Financials!F81</f>
        <v>19.68000030517578</v>
      </c>
      <c r="J26" s="44" t="n">
        <f>Financials!G81</f>
        <v>20.209999084472656</v>
      </c>
      <c r="K26" s="44" t="n">
        <f>Financials!H81</f>
        <v>24.299999237060547</v>
      </c>
      <c r="L26" s="44" t="n">
        <f>Financials!I81</f>
        <v>218.72999572753906</v>
      </c>
      <c r="M26" s="44" t="n">
        <f>Financials!J81</f>
        <v>27.780000686645508</v>
      </c>
      <c r="N26" s="44" t="n">
        <f>Financials!K81</f>
        <v>24.75</v>
      </c>
      <c r="O26" s="44" t="n">
        <f>Financials!L81</f>
        <v>25.56999969482422</v>
      </c>
      <c r="P26" s="44" t="n">
        <f>Financials!M81</f>
        <v>24.600000381469727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164</v>
      </c>
      <c r="F28" s="57" t="n">
        <f>AVERAGEIF(L28:P28, "&lt;100")</f>
        <v>18.35999984741211</v>
      </c>
      <c r="G28" s="44" t="n">
        <f>Financials!D82</f>
        <v>15.779999732971191</v>
      </c>
      <c r="H28" s="44" t="n">
        <f>Financials!E82</f>
        <v>16.459999084472656</v>
      </c>
      <c r="I28" s="44" t="n">
        <f>Financials!F82</f>
        <v>15.619999885559082</v>
      </c>
      <c r="J28" s="44" t="n">
        <f>Financials!G82</f>
        <v>19.059999465942383</v>
      </c>
      <c r="K28" s="44" t="n">
        <f>Financials!H82</f>
        <v>17.790000915527344</v>
      </c>
      <c r="L28" s="44" t="n">
        <f>Financials!I82</f>
        <v>15.979999542236328</v>
      </c>
      <c r="M28" s="44" t="n">
        <f>Financials!J82</f>
        <v>16.920000076293945</v>
      </c>
      <c r="N28" s="44" t="n">
        <f>Financials!K82</f>
        <v>19.469999313354492</v>
      </c>
      <c r="O28" s="44" t="n">
        <f>Financials!L82</f>
        <v>17.579999923706055</v>
      </c>
      <c r="P28" s="44" t="n">
        <f>Financials!M82</f>
        <v>21.850000381469727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4.300000190734863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6" t="str">
        <f>V11</f>
        <v>L</v>
      </c>
      <c r="E32" s="50" t="s">
        <v>77</v>
      </c>
      <c r="F32" s="52" t="n">
        <f>Financials!D63</f>
        <v>-0.03992753098795332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0.021885597790083366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 t="n">
        <f>Financials!D69</f>
        <v>0.021071661487346738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0.0791366117507597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0.0324001902474913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0.026359027299499793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0.030800890782184176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0.02903473209440066</v>
      </c>
    </row>
    <row r="43" spans="2:17">
      <c r="B43" s="138" t="s">
        <v>61</v>
      </c>
    </row>
    <row r="44" spans="2:17" ht="18.5">
      <c r="B44" s="138"/>
      <c r="C44" s="100" t="s">
        <v>128</v>
      </c>
      <c r="D44" s="55" t="str">
        <f>U11</f>
        <v>K</v>
      </c>
      <c r="E44" s="101">
        <v>0.75</v>
      </c>
      <c r="F44" s="103" t="n">
        <f>Financials!$D$73</f>
        <v>0.514786870714742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0.04235005800833136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0.05490595081720538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 t="n">
        <f>F45+F46</f>
        <v>0.09725600882553674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515.239990234375</v>
      </c>
    </row>
    <row r="6" spans="2:16">
      <c r="B6" s="4" t="s">
        <v>5</v>
      </c>
      <c r="C6" s="59" t="n">
        <v>5.5802E7</v>
      </c>
    </row>
    <row r="7" spans="2:16">
      <c r="B7" s="4" t="s">
        <v>4</v>
      </c>
      <c r="C7" s="59" t="n">
        <v>5.4772E7</v>
      </c>
    </row>
    <row r="8" spans="2:16">
      <c r="B8" s="4" t="s">
        <v>3</v>
      </c>
      <c r="C8" s="59" t="n">
        <v>276000.0</v>
      </c>
    </row>
    <row r="9" spans="2:16">
      <c r="B9" s="10" t="s">
        <v>6</v>
      </c>
      <c r="C9" s="59" t="n">
        <v>2.1725E7</v>
      </c>
    </row>
    <row r="10" spans="2:16">
      <c r="B10" s="10" t="s">
        <v>7</v>
      </c>
      <c r="C10" s="59" t="n">
        <v>3784000.0</v>
      </c>
    </row>
    <row r="11" spans="2:16">
      <c r="B11" s="10" t="s">
        <v>9</v>
      </c>
      <c r="C11" s="60" t="n">
        <v>0.5299999713897705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1.10574E8</v>
      </c>
    </row>
    <row r="18" spans="2:15" ht="18" thickTop="1" thickBot="1">
      <c r="B18" s="2" t="s">
        <v>20</v>
      </c>
      <c r="C18" s="12" t="n">
        <f>C8/C17</f>
        <v>0.0024960659829616366</v>
      </c>
    </row>
    <row r="19" spans="2:15" ht="18" thickTop="1" thickBot="1">
      <c r="B19" s="2" t="s">
        <v>19</v>
      </c>
      <c r="C19" s="12" t="n">
        <f>C14+C11*(C15-C14)</f>
        <v>0.07910999751091008</v>
      </c>
    </row>
    <row r="20" spans="2:15" ht="18" thickTop="1" thickBot="1">
      <c r="B20" s="2" t="s">
        <v>18</v>
      </c>
      <c r="C20" s="12" t="n">
        <f>C8/C17</f>
        <v>0.0024960659829616366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6.25813990234375E8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0.8233117160602487</v>
      </c>
      <c r="K22" t="s" s="0">
        <v>12</v>
      </c>
    </row>
    <row r="23" spans="2:15" ht="18" thickTop="1" thickBot="1">
      <c r="B23" s="16" t="s">
        <v>24</v>
      </c>
      <c r="C23" s="12" t="n">
        <f>C17/C21</f>
        <v>0.1766882839397513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0.06557211259432376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zoomScale="82" workbookViewId="0">
      <selection activeCell="G8" sqref="G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0.06557211259432376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0.014999999664723873</v>
      </c>
    </row>
    <row r="7" spans="2:12">
      <c r="B7" s="18" t="s">
        <v>31</v>
      </c>
      <c r="C7" s="13" t="n">
        <f>AVERAGEIF(C28:L28, "&lt;0.5")</f>
        <v>0.18420515503351448</v>
      </c>
    </row>
    <row r="8" spans="2:12">
      <c r="B8" s="18" t="s">
        <v>112</v>
      </c>
      <c r="C8" s="13" t="n">
        <f>AVERAGEIF(C29:L29,"&lt;2")</f>
        <v>1.204047922030176</v>
      </c>
    </row>
    <row r="9" spans="2:12">
      <c r="B9" s="18" t="s">
        <v>136</v>
      </c>
      <c r="C9" s="66" t="n">
        <v>13.0</v>
      </c>
    </row>
    <row r="10" spans="2:12">
      <c r="B10" s="18" t="s">
        <v>100</v>
      </c>
      <c r="C10" s="67" t="n">
        <v>0.004999999888241291</v>
      </c>
    </row>
    <row r="11" spans="2:12">
      <c r="B11" s="18" t="s">
        <v>44</v>
      </c>
      <c r="C11" s="59" t="n">
        <v>2.629268224E9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71312.0</v>
      </c>
      <c r="D16" s="21" t="n">
        <f>Financials!E3</f>
        <v>74331.0</v>
      </c>
      <c r="E16" s="21" t="n">
        <f>Financials!F3</f>
        <v>70074.0</v>
      </c>
      <c r="F16" s="21" t="n">
        <f>Financials!G3</f>
        <v>71890.0</v>
      </c>
      <c r="G16" s="21" t="n">
        <f>Financials!H3</f>
        <v>76450.0</v>
      </c>
      <c r="H16" s="21" t="n">
        <f>Financials!I3</f>
        <v>81581.0</v>
      </c>
      <c r="I16" s="21" t="n">
        <f>Financials!J3</f>
        <v>82059.0</v>
      </c>
      <c r="J16" s="21" t="n">
        <f>Financials!K3</f>
        <v>82584.0</v>
      </c>
      <c r="K16" s="21" t="n">
        <f>Financials!L3</f>
        <v>93775.0</v>
      </c>
      <c r="L16" s="21" t="n">
        <f>Financials!M3</f>
        <v>94943.0</v>
      </c>
    </row>
    <row r="17" spans="2:12">
      <c r="B17" s="18" t="s">
        <v>27</v>
      </c>
      <c r="C17" s="22"/>
      <c r="D17" s="20" t="n">
        <f t="shared" ref="D17:L17" si="0">(D16-C16)/C16</f>
        <v>0.04233509086829706</v>
      </c>
      <c r="E17" s="20" t="n">
        <f t="shared" si="0"/>
        <v>-0.05727085603583969</v>
      </c>
      <c r="F17" s="20" t="n">
        <f t="shared" si="0"/>
        <v>0.025915460798584353</v>
      </c>
      <c r="G17" s="20" t="n">
        <f t="shared" si="0"/>
        <v>0.06343024064543051</v>
      </c>
      <c r="H17" s="20" t="n">
        <f t="shared" si="0"/>
        <v>0.06711576193590582</v>
      </c>
      <c r="I17" s="20" t="n">
        <f t="shared" si="0"/>
        <v>0.0058592074134908865</v>
      </c>
      <c r="J17" s="20" t="n">
        <f t="shared" si="0"/>
        <v>0.006397835703579132</v>
      </c>
      <c r="K17" s="20" t="n">
        <f t="shared" si="0"/>
        <v>0.13551051051051052</v>
      </c>
      <c r="L17" s="20" t="n">
        <f t="shared" si="0"/>
        <v>0.012455345241268996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13831.0</v>
      </c>
      <c r="D19" s="21" t="n">
        <f>Financials!E6</f>
        <v>16323.0</v>
      </c>
      <c r="E19" s="21" t="n">
        <f>Financials!F6</f>
        <v>15409.0</v>
      </c>
      <c r="F19" s="21" t="n">
        <f>Financials!G6</f>
        <v>16540.0</v>
      </c>
      <c r="G19" s="21" t="n">
        <f>Financials!H6</f>
        <v>1300.0</v>
      </c>
      <c r="H19" s="21" t="n">
        <f>Financials!I6</f>
        <v>15297.0</v>
      </c>
      <c r="I19" s="21" t="n">
        <f>Financials!J6</f>
        <v>15119.0</v>
      </c>
      <c r="J19" s="21" t="n">
        <f>Financials!K6</f>
        <v>14714.0</v>
      </c>
      <c r="K19" s="21" t="n">
        <f>Financials!L6</f>
        <v>20878.0</v>
      </c>
      <c r="L19" s="21" t="n">
        <f>Financials!M6</f>
        <v>17941.0</v>
      </c>
    </row>
    <row r="20" spans="2:12">
      <c r="B20" s="18" t="s">
        <v>27</v>
      </c>
      <c r="C20" s="22"/>
      <c r="D20" s="20" t="n">
        <f>(D19-C19)/C19</f>
        <v>0.1801749692719254</v>
      </c>
      <c r="E20" s="20" t="n">
        <f t="shared" ref="E20:L20" si="1">(E19-D19)/D19</f>
        <v>-0.05599460883416039</v>
      </c>
      <c r="F20" s="20" t="n">
        <f t="shared" si="1"/>
        <v>0.07339866311895646</v>
      </c>
      <c r="G20" s="20" t="n">
        <f t="shared" si="1"/>
        <v>-0.9214026602176542</v>
      </c>
      <c r="H20" s="20" t="n">
        <f t="shared" si="1"/>
        <v>10.766923076923076</v>
      </c>
      <c r="I20" s="20" t="n">
        <f t="shared" si="1"/>
        <v>-0.011636268549388769</v>
      </c>
      <c r="J20" s="20" t="n">
        <f t="shared" si="1"/>
        <v>-0.02678748594483762</v>
      </c>
      <c r="K20" s="20" t="n">
        <f t="shared" si="1"/>
        <v>0.41892075574282994</v>
      </c>
      <c r="L20" s="20" t="n">
        <f t="shared" si="1"/>
        <v>-0.14067439409905164</v>
      </c>
    </row>
    <row r="22" spans="2:12">
      <c r="B22" s="18" t="s">
        <v>30</v>
      </c>
      <c r="C22" s="25" t="n">
        <f>Financials!D20</f>
        <v>14277.0</v>
      </c>
      <c r="D22" s="25" t="n">
        <f>Financials!E20</f>
        <v>19627.0</v>
      </c>
      <c r="E22" s="25" t="n">
        <f>Financials!F20</f>
        <v>19570.0</v>
      </c>
      <c r="F22" s="25" t="n">
        <f>Financials!G20</f>
        <v>16808.0</v>
      </c>
      <c r="G22" s="25" t="n">
        <f>Financials!H20</f>
        <v>19609.0</v>
      </c>
      <c r="H22" s="25" t="n">
        <f>Financials!I20</f>
        <v>21734.0</v>
      </c>
      <c r="I22" s="25" t="n">
        <f>Financials!J20</f>
        <v>23183.0</v>
      </c>
      <c r="J22" s="25" t="n">
        <f>Financials!K20</f>
        <v>20494.0</v>
      </c>
      <c r="K22" s="25" t="n">
        <f>Financials!L20</f>
        <v>20469.0</v>
      </c>
      <c r="L22" s="25" t="n">
        <f>Financials!M20</f>
        <v>17728.0</v>
      </c>
    </row>
    <row r="23" spans="2:12">
      <c r="B23" s="18" t="s">
        <v>27</v>
      </c>
      <c r="C23" s="26"/>
      <c r="D23" s="26" t="n">
        <f>(D22-C22)/C22</f>
        <v>0.37472858443650625</v>
      </c>
      <c r="E23" s="26" t="n">
        <f t="shared" ref="E23:L23" si="2">(E22-D22)/D22</f>
        <v>-0.002904162633107454</v>
      </c>
      <c r="F23" s="26" t="n">
        <f t="shared" si="2"/>
        <v>-0.14113438937148698</v>
      </c>
      <c r="G23" s="26" t="n">
        <f t="shared" si="2"/>
        <v>0.16664683484055212</v>
      </c>
      <c r="H23" s="26" t="n">
        <f t="shared" si="2"/>
        <v>0.10836860625223112</v>
      </c>
      <c r="I23" s="26" t="n">
        <f t="shared" si="2"/>
        <v>0.06666973405723751</v>
      </c>
      <c r="J23" s="26" t="n">
        <f t="shared" si="2"/>
        <v>-0.11599016520726395</v>
      </c>
      <c r="K23" s="26" t="n">
        <f t="shared" si="2"/>
        <v>-0.001219869230018542</v>
      </c>
      <c r="L23" s="26" t="n">
        <f t="shared" si="2"/>
        <v>-0.13390981484195613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20131.0</v>
      </c>
      <c r="D25" s="62" t="n">
        <f>Financials!E9</f>
        <v>25058.0</v>
      </c>
      <c r="E25" s="62" t="n">
        <f>Financials!F9</f>
        <v>23622.0</v>
      </c>
      <c r="F25" s="62" t="n">
        <f>Financials!G9</f>
        <v>24651.0</v>
      </c>
      <c r="G25" s="62" t="n">
        <f>Financials!H9</f>
        <v>24634.0</v>
      </c>
      <c r="H25" s="62" t="n">
        <f>Financials!I9</f>
        <v>26544.0</v>
      </c>
      <c r="I25" s="62" t="n">
        <f>Financials!J9</f>
        <v>25012.0</v>
      </c>
      <c r="J25" s="62" t="n">
        <f>Financials!K9</f>
        <v>24040.0</v>
      </c>
      <c r="K25" s="62" t="n">
        <f>Financials!L9</f>
        <v>30402.0</v>
      </c>
      <c r="L25" s="62" t="n">
        <f>Financials!M9</f>
        <v>29461.0</v>
      </c>
    </row>
    <row r="26" spans="2:12">
      <c r="B26" s="18" t="s">
        <v>27</v>
      </c>
      <c r="C26" s="63"/>
      <c r="D26" s="63" t="n">
        <f>Financials!E10</f>
        <v>0.24474690775420993</v>
      </c>
      <c r="E26" s="63" t="n">
        <f>Financials!F10</f>
        <v>-0.05730704764945327</v>
      </c>
      <c r="F26" s="63" t="n">
        <f>Financials!G10</f>
        <v>0.04356108712217424</v>
      </c>
      <c r="G26" s="63" t="n">
        <f>Financials!H10</f>
        <v>-6.89627195651292E-4</v>
      </c>
      <c r="H26" s="63" t="n">
        <f>Financials!I10</f>
        <v>0.07753511406998458</v>
      </c>
      <c r="I26" s="63" t="n">
        <f>Financials!J10</f>
        <v>-0.057715491259795054</v>
      </c>
      <c r="J26" s="63" t="n">
        <f>Financials!K10</f>
        <v>-0.038861346553654245</v>
      </c>
      <c r="K26" s="63" t="n">
        <f>Financials!L10</f>
        <v>0.26464226289517473</v>
      </c>
      <c r="L26" s="63" t="n">
        <f>Financials!M10</f>
        <v>-0.030951911058482995</v>
      </c>
    </row>
    <row r="28" spans="2:12" ht="15" thickBot="1">
      <c r="B28" s="1" t="s">
        <v>31</v>
      </c>
      <c r="C28" s="24" t="n">
        <f t="shared" ref="C28:L28" si="3">C19/C16</f>
        <v>0.19395052726048911</v>
      </c>
      <c r="D28" s="24" t="n">
        <f t="shared" si="3"/>
        <v>0.21959882148767002</v>
      </c>
      <c r="E28" s="24" t="n">
        <f t="shared" si="3"/>
        <v>0.21989610982675456</v>
      </c>
      <c r="F28" s="24" t="n">
        <f t="shared" si="3"/>
        <v>0.23007372374460983</v>
      </c>
      <c r="G28" s="24" t="n">
        <f t="shared" si="3"/>
        <v>0.017004578155657292</v>
      </c>
      <c r="H28" s="24" t="n">
        <f t="shared" si="3"/>
        <v>0.18750689498780354</v>
      </c>
      <c r="I28" s="24" t="n">
        <f t="shared" si="3"/>
        <v>0.1842454819093579</v>
      </c>
      <c r="J28" s="24" t="n">
        <f t="shared" si="3"/>
        <v>0.17817010558946042</v>
      </c>
      <c r="K28" s="24" t="n">
        <f t="shared" si="3"/>
        <v>0.22263929618768327</v>
      </c>
      <c r="L28" s="24" t="n">
        <f t="shared" si="3"/>
        <v>0.18896601118565876</v>
      </c>
    </row>
    <row r="29" spans="2:12" ht="15" thickBot="1">
      <c r="B29" s="1" t="s">
        <v>32</v>
      </c>
      <c r="C29" s="24" t="n">
        <f t="shared" ref="C29:L29" si="4">C22/C19</f>
        <v>1.0322464030077363</v>
      </c>
      <c r="D29" s="24" t="n">
        <f t="shared" si="4"/>
        <v>1.2024137719781902</v>
      </c>
      <c r="E29" s="24" t="n">
        <f t="shared" si="4"/>
        <v>1.2700369913686806</v>
      </c>
      <c r="F29" s="24" t="n">
        <f t="shared" si="4"/>
        <v>1.0162031438935912</v>
      </c>
      <c r="G29" s="24" t="n">
        <f t="shared" si="4"/>
        <v>15.083846153846153</v>
      </c>
      <c r="H29" s="24" t="n">
        <f t="shared" si="4"/>
        <v>1.420801464339413</v>
      </c>
      <c r="I29" s="24" t="n">
        <f t="shared" si="4"/>
        <v>1.5333686090349892</v>
      </c>
      <c r="J29" s="24" t="n">
        <f t="shared" si="4"/>
        <v>1.3928231616147886</v>
      </c>
      <c r="K29" s="24" t="n">
        <f t="shared" si="4"/>
        <v>0.9804100009579462</v>
      </c>
      <c r="L29" s="24" t="n">
        <f t="shared" si="4"/>
        <v>0.9881277520762499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97620.39247295487</v>
      </c>
      <c r="D36" s="21" t="n">
        <f>C36*(D37+1)</f>
        <v>100236.61909276506</v>
      </c>
      <c r="E36" s="21" t="n">
        <f>D36*(E37+1)</f>
        <v>102892.88965406196</v>
      </c>
      <c r="F36" s="21" t="n">
        <f t="shared" ref="F36:L36" si="5">E36*(F37+1)</f>
        <v>104436.282964375</v>
      </c>
      <c r="G36" s="21" t="n">
        <f t="shared" si="5"/>
        <v>106002.82717382522</v>
      </c>
      <c r="H36" s="21" t="n">
        <f t="shared" si="5"/>
        <v>107592.86954589175</v>
      </c>
      <c r="I36" s="21" t="n">
        <f t="shared" si="5"/>
        <v>109206.76255300664</v>
      </c>
      <c r="J36" s="21" t="n">
        <f t="shared" si="5"/>
        <v>110844.86395468726</v>
      </c>
      <c r="K36" s="21" t="n">
        <f t="shared" si="5"/>
        <v>112507.53687684324</v>
      </c>
      <c r="L36" s="21" t="n">
        <f t="shared" si="5"/>
        <v>114195.14989227412</v>
      </c>
    </row>
    <row r="37" spans="2:12">
      <c r="B37" s="18" t="s">
        <v>27</v>
      </c>
      <c r="C37" s="68" t="n">
        <v>0.028199998661875725</v>
      </c>
      <c r="D37" s="68" t="n">
        <v>0.02680000104010105</v>
      </c>
      <c r="E37" s="68" t="n">
        <v>0.026500001549720764</v>
      </c>
      <c r="F37" s="27" t="n">
        <f>C6</f>
        <v>0.014999999664723873</v>
      </c>
      <c r="G37" s="27" t="n">
        <f>C6</f>
        <v>0.014999999664723873</v>
      </c>
      <c r="H37" s="27" t="n">
        <f>C6</f>
        <v>0.014999999664723873</v>
      </c>
      <c r="I37" s="27" t="n">
        <f>C6</f>
        <v>0.014999999664723873</v>
      </c>
      <c r="J37" s="27" t="n">
        <f>C6</f>
        <v>0.014999999664723873</v>
      </c>
      <c r="K37" s="27" t="n">
        <f>C6</f>
        <v>0.014999999664723873</v>
      </c>
      <c r="L37" s="27" t="n">
        <f>C6</f>
        <v>0.014999999664723873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17982.17952991314</v>
      </c>
      <c r="D39" s="21" t="n">
        <f>D36*C7</f>
        <v>18464.101960018066</v>
      </c>
      <c r="E39" s="21" t="n">
        <f>E36*C7</f>
        <v>18953.40069057274</v>
      </c>
      <c r="F39" s="21" t="n">
        <f>F36*C7</f>
        <v>19237.701694576634</v>
      </c>
      <c r="G39" s="21" t="n">
        <f>G36*C7</f>
        <v>19526.267213545223</v>
      </c>
      <c r="H39" s="21" t="n">
        <f>H36*C7</f>
        <v>19819.161215201682</v>
      </c>
      <c r="I39" s="21" t="n">
        <f>I36*C7</f>
        <v>20116.448626784804</v>
      </c>
      <c r="J39" s="21" t="n">
        <f>J36*C7</f>
        <v>20418.195349441885</v>
      </c>
      <c r="K39" s="21" t="n">
        <f>K36*C7</f>
        <v>20724.468272837657</v>
      </c>
      <c r="L39" s="21" t="n">
        <f>L36*C7</f>
        <v>21035.3352899817</v>
      </c>
    </row>
    <row r="40" spans="2:12">
      <c r="B40" s="18"/>
      <c r="C40" s="20" t="n">
        <f>(C39-L19)/L19</f>
        <v>0.0022952750634379856</v>
      </c>
      <c r="D40" s="20" t="n">
        <f>(D39-C39)/C39</f>
        <v>0.02680000104009939</v>
      </c>
      <c r="E40" s="20" t="n">
        <f t="shared" ref="E40:L40" si="6">(E39-D39)/D39</f>
        <v>0.026500001549720337</v>
      </c>
      <c r="F40" s="20" t="n">
        <f t="shared" si="6"/>
        <v>0.01499999966471993</v>
      </c>
      <c r="G40" s="20" t="n">
        <f t="shared" si="6"/>
        <v>0.014999999664717746</v>
      </c>
      <c r="H40" s="20" t="n">
        <f t="shared" si="6"/>
        <v>0.014999999664722452</v>
      </c>
      <c r="I40" s="20" t="n">
        <f t="shared" si="6"/>
        <v>0.014999999664723273</v>
      </c>
      <c r="J40" s="20" t="n">
        <f t="shared" si="6"/>
        <v>0.014999999664717609</v>
      </c>
      <c r="K40" s="20" t="n">
        <f t="shared" si="6"/>
        <v>0.014999999664717895</v>
      </c>
      <c r="L40" s="20" t="n">
        <f t="shared" si="6"/>
        <v>0.014999999664718901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21651.405896565506</v>
      </c>
      <c r="D42" s="21" t="n">
        <f>D39*C8</f>
        <v>22231.663597113165</v>
      </c>
      <c r="E42" s="21" t="n">
        <f>E39*C8</f>
        <v>22820.802716889437</v>
      </c>
      <c r="F42" s="21" t="n">
        <f>F39*C8</f>
        <v>23163.114749991426</v>
      </c>
      <c r="G42" s="21" t="n">
        <f>G39*C8</f>
        <v>23510.561463475133</v>
      </c>
      <c r="H42" s="21" t="n">
        <f>H39*C8</f>
        <v>23863.219877544743</v>
      </c>
      <c r="I42" s="21" t="n">
        <f>I39*C8</f>
        <v>24221.168167707106</v>
      </c>
      <c r="J42" s="21" t="n">
        <f>J39*C8</f>
        <v>24584.485682101804</v>
      </c>
      <c r="K42" s="21" t="n">
        <f>K39*C8</f>
        <v>24953.252959090627</v>
      </c>
      <c r="L42" s="21" t="n">
        <f>L39*C8</f>
        <v>25327.55174511058</v>
      </c>
    </row>
    <row r="43" spans="2:12">
      <c r="B43" s="18" t="s">
        <v>27</v>
      </c>
      <c r="C43" s="20" t="n">
        <f>(C42-L22)/L22</f>
        <v>0.22131125319074402</v>
      </c>
      <c r="D43" s="20" t="n">
        <f>(D42-C42)/C42</f>
        <v>0.02680000104010357</v>
      </c>
      <c r="E43" s="20" t="n">
        <f t="shared" ref="E43:L43" si="7">(E42-D42)/D42</f>
        <v>0.02650000154971629</v>
      </c>
      <c r="F43" s="20" t="n">
        <f t="shared" si="7"/>
        <v>0.014999999664720294</v>
      </c>
      <c r="G43" s="20" t="n">
        <f t="shared" si="7"/>
        <v>0.014999999664718494</v>
      </c>
      <c r="H43" s="20" t="n">
        <f t="shared" si="7"/>
        <v>0.014999999664724447</v>
      </c>
      <c r="I43" s="20" t="n">
        <f t="shared" si="7"/>
        <v>0.014999999664722215</v>
      </c>
      <c r="J43" s="20" t="n">
        <f t="shared" si="7"/>
        <v>0.014999999664718504</v>
      </c>
      <c r="K43" s="20" t="n">
        <f t="shared" si="7"/>
        <v>0.014999999664719283</v>
      </c>
      <c r="L43" s="20" t="n">
        <f t="shared" si="7"/>
        <v>0.01499999966471686</v>
      </c>
    </row>
    <row r="45" spans="2:12">
      <c r="B45" s="18" t="s">
        <v>47</v>
      </c>
      <c r="C45" s="21" t="n">
        <f>L25*(1+C46)</f>
        <v>29608.30499670744</v>
      </c>
      <c r="D45" s="21" t="n">
        <f>C45*(1+D46)</f>
        <v>29756.346518381913</v>
      </c>
      <c r="E45" s="21" t="n">
        <f t="shared" ref="E45:L45" si="8">D45*(1+E46)</f>
        <v>29905.12824764824</v>
      </c>
      <c r="F45" s="21" t="n">
        <f t="shared" si="8"/>
        <v>30054.653885544245</v>
      </c>
      <c r="G45" s="21" t="n">
        <f t="shared" si="8"/>
        <v>30204.927151613014</v>
      </c>
      <c r="H45" s="21" t="n">
        <f t="shared" si="8"/>
        <v>30355.951783995362</v>
      </c>
      <c r="I45" s="21" t="n">
        <f t="shared" si="8"/>
        <v>30507.731539522796</v>
      </c>
      <c r="J45" s="21" t="n">
        <f t="shared" si="8"/>
        <v>30660.27019381087</v>
      </c>
      <c r="K45" s="21" t="n">
        <f t="shared" si="8"/>
        <v>30813.57154135336</v>
      </c>
      <c r="L45" s="21" t="n">
        <f t="shared" si="8"/>
        <v>30967.639395616443</v>
      </c>
    </row>
    <row r="46" spans="2:12">
      <c r="B46" s="18" t="s">
        <v>27</v>
      </c>
      <c r="C46" s="20" t="n">
        <f>C10</f>
        <v>0.004999999888241291</v>
      </c>
      <c r="D46" s="20" t="n">
        <f>C10</f>
        <v>0.004999999888241291</v>
      </c>
      <c r="E46" s="20" t="n">
        <f>C10</f>
        <v>0.004999999888241291</v>
      </c>
      <c r="F46" s="20" t="n">
        <f>C10</f>
        <v>0.004999999888241291</v>
      </c>
      <c r="G46" s="20" t="n">
        <f>C10</f>
        <v>0.004999999888241291</v>
      </c>
      <c r="H46" s="20" t="n">
        <f>C10</f>
        <v>0.004999999888241291</v>
      </c>
      <c r="I46" s="20" t="n">
        <f>C10</f>
        <v>0.004999999888241291</v>
      </c>
      <c r="J46" s="20" t="n">
        <f>C10</f>
        <v>0.004999999888241291</v>
      </c>
      <c r="K46" s="20" t="n">
        <f>C10</f>
        <v>0.004999999888241291</v>
      </c>
      <c r="L46" s="20" t="n">
        <f>C10</f>
        <v>0.004999999888241291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1.0655721125943238</v>
      </c>
      <c r="D51" s="61" t="n">
        <f>POWER((1+C4),2)</f>
        <v>1.1354439271387304</v>
      </c>
      <c r="E51" s="61" t="n">
        <f>POWER((1+C4),3)</f>
        <v>1.2098973841736125</v>
      </c>
      <c r="F51" s="61" t="n">
        <f>POWER((1+C4),4)</f>
        <v>1.2892329116762224</v>
      </c>
      <c r="G51" s="61" t="n">
        <f>POWER((1+C4),5)</f>
        <v>1.3737706373209635</v>
      </c>
      <c r="H51" s="61" t="n">
        <f>POWER((1+C4),6)</f>
        <v>1.4638516802301498</v>
      </c>
      <c r="I51" s="61" t="n">
        <f>POWER((1+C4),7)</f>
        <v>1.5598395274275914</v>
      </c>
      <c r="J51" s="61" t="n">
        <f>POWER((1+C4),8)</f>
        <v>1.66212150054915</v>
      </c>
      <c r="K51" s="61" t="n">
        <f>POWER((1+C4),9)</f>
        <v>1.7711103187286055</v>
      </c>
      <c r="L51" s="61" t="n">
        <f>POWER((1+C4),10)</f>
        <v>1.8872457639652465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20319.043301397407</v>
      </c>
      <c r="D53" s="21" t="n">
        <f t="shared" si="9"/>
        <v>19579.7106891364</v>
      </c>
      <c r="E53" s="21" t="n">
        <f t="shared" si="9"/>
        <v>18861.767134471967</v>
      </c>
      <c r="F53" s="21" t="n">
        <f t="shared" si="9"/>
        <v>17966.58659595918</v>
      </c>
      <c r="G53" s="21" t="n">
        <f t="shared" si="9"/>
        <v>17113.89137660119</v>
      </c>
      <c r="H53" s="21" t="n">
        <f t="shared" si="9"/>
        <v>16301.66512074015</v>
      </c>
      <c r="I53" s="21" t="n">
        <f t="shared" si="9"/>
        <v>15527.987169072096</v>
      </c>
      <c r="J53" s="21" t="n">
        <f t="shared" si="9"/>
        <v>14791.028016892451</v>
      </c>
      <c r="K53" s="21" t="n">
        <f t="shared" si="9"/>
        <v>14089.044987893962</v>
      </c>
      <c r="L53" s="21" t="n">
        <f t="shared" si="9"/>
        <v>13420.378113285811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2.010996455693136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339047.85051894</v>
      </c>
    </row>
    <row r="60" spans="2:12" ht="15" thickBot="1">
      <c r="B60" s="5" t="s">
        <v>41</v>
      </c>
      <c r="C60" s="23" t="n">
        <f>C59/C55</f>
        <v>168596.94086436304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507018.9530243906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192.83652705962606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402579.3121430132</v>
      </c>
    </row>
    <row r="70" spans="2:12" ht="15" thickBot="1">
      <c r="B70" s="5" t="s">
        <v>41</v>
      </c>
      <c r="C70" s="23" t="n">
        <f>C69/C55</f>
        <v>200188.97149386274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368160.07399931335</v>
      </c>
    </row>
    <row r="73" spans="2:12" ht="15" thickTop="1"/>
    <row r="74" spans="2:12" ht="18.5">
      <c r="B74" s="69" t="s">
        <v>42</v>
      </c>
      <c r="C74" s="70" t="n">
        <f>C72/(C11/1000000)</f>
        <v>140.02377948310573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6.730000019073486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4.5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77.04479659844299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tabSelected="1"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4.449999809265137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4.449999809265137</v>
      </c>
    </row>
    <row r="7" spans="2:16" ht="15" thickBot="1">
      <c r="B7" s="89" t="s">
        <v>121</v>
      </c>
      <c r="C7" s="90" t="n">
        <f>P6*(1+P7)</f>
        <v>4.538999803461159</v>
      </c>
      <c r="D7" s="90" t="n">
        <f>C7*(1+P7)</f>
        <v>4.629779797501314</v>
      </c>
      <c r="E7" s="90" t="n">
        <f>D7*(1+P7)</f>
        <v>4.722375391381686</v>
      </c>
      <c r="F7" s="90" t="n">
        <f>E7*(1+P7)</f>
        <v>4.81682289709828</v>
      </c>
      <c r="G7" s="90" t="n">
        <f>F7*(1+P7)</f>
        <v>4.913159352886981</v>
      </c>
      <c r="H7" s="90" t="n">
        <f>G7*(1+P7)</f>
        <v>5.01142253774839</v>
      </c>
      <c r="I7" s="90" t="n">
        <f>H7*(1+P7)</f>
        <v>5.111650986263101</v>
      </c>
      <c r="J7" s="90" t="n">
        <f>I7*(1+P7)</f>
        <v>5.213884003703301</v>
      </c>
      <c r="K7" s="90" t="n">
        <f>J7*(1+P7)</f>
        <v>5.318161681446603</v>
      </c>
      <c r="L7" s="90" t="n">
        <f>K7*(1+P7)</f>
        <v>5.424524912698154</v>
      </c>
      <c r="M7" s="159" t="n">
        <f>L7*(1+P7)/(P8-P7)</f>
        <v>121.41230764317966</v>
      </c>
      <c r="N7" s="160"/>
      <c r="O7" s="88" t="s">
        <v>122</v>
      </c>
      <c r="P7" s="104" t="n">
        <v>0.019999999552965164</v>
      </c>
    </row>
    <row r="8" spans="2:16" ht="15" thickBot="1">
      <c r="B8" s="89" t="s">
        <v>123</v>
      </c>
      <c r="C8" s="90" t="n">
        <f>C7/(1+P8)</f>
        <v>4.259683366159216</v>
      </c>
      <c r="D8" s="90" t="n">
        <f>D7/(1+P8)^2</f>
        <v>4.077506327563138</v>
      </c>
      <c r="E8" s="90" t="n">
        <f>E7/(1+P8)^3</f>
        <v>3.90312058952602</v>
      </c>
      <c r="F8" s="90" t="n">
        <f>F7/(1+P8)^4</f>
        <v>3.736192935716789</v>
      </c>
      <c r="G8" s="90" t="n">
        <f>G7/(1+P8)^5</f>
        <v>3.576404400714453</v>
      </c>
      <c r="H8" s="90" t="n">
        <f>H7/(1+P8)^6</f>
        <v>3.423449660528779</v>
      </c>
      <c r="I8" s="90" t="n">
        <f>I7/(1+P8)^7</f>
        <v>3.277036449187168</v>
      </c>
      <c r="J8" s="90" t="n">
        <f>J7/(1+P8)^8</f>
        <v>3.136885000272651</v>
      </c>
      <c r="K8" s="90" t="n">
        <f>K7/(1+P8)^9</f>
        <v>3.002727512346175</v>
      </c>
      <c r="L8" s="90" t="n">
        <f>L7/(1+P8)^10</f>
        <v>2.8743076372315186</v>
      </c>
      <c r="M8" s="159" t="n">
        <f>M7/POWER((1+P8),10)</f>
        <v>64.33306671627298</v>
      </c>
      <c r="N8" s="160"/>
      <c r="O8" s="91" t="s">
        <v>124</v>
      </c>
      <c r="P8" s="105" t="n">
        <f>WACC!$C$25</f>
        <v>0.06557211259432376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99.6003805955189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4.449999809265137</v>
      </c>
    </row>
    <row r="16" spans="2:16" ht="15" thickBot="1">
      <c r="B16" s="89" t="s">
        <v>121</v>
      </c>
      <c r="C16" s="90" t="n">
        <f>P15*(1+P16)</f>
        <v>4.561249806154527</v>
      </c>
      <c r="D16" s="90" t="n">
        <f>C16*(1+P16)</f>
        <v>4.675281053007596</v>
      </c>
      <c r="E16" s="90" t="n">
        <f>D16*(1+P16)</f>
        <v>4.792163081074473</v>
      </c>
      <c r="F16" s="90" t="n">
        <f>E16*(1+P16)</f>
        <v>4.911967159886556</v>
      </c>
      <c r="G16" s="90" t="n">
        <f>F16*(1+P16)</f>
        <v>5.034766340713579</v>
      </c>
      <c r="H16" s="90" t="n">
        <f>G16*(1+P16)</f>
        <v>5.160635501107021</v>
      </c>
      <c r="I16" s="90" t="n">
        <f>H16*(1+P16)</f>
        <v>5.289651390557187</v>
      </c>
      <c r="J16" s="90" t="n">
        <f>I16*(1+P16)</f>
        <v>5.421892677291674</v>
      </c>
      <c r="K16" s="90" t="n">
        <f>J16*(1+P16)</f>
        <v>5.5574399962437795</v>
      </c>
      <c r="L16" s="90" t="n">
        <f>K16*(1+P16)</f>
        <v>5.696375998220188</v>
      </c>
      <c r="M16" s="159" t="n">
        <f>L16*(1+P16)/(P17-P16)</f>
        <v>143.91129967251905</v>
      </c>
      <c r="N16" s="160"/>
      <c r="O16" s="88" t="s">
        <v>122</v>
      </c>
      <c r="P16" s="104" t="n">
        <v>0.02500000037252903</v>
      </c>
    </row>
    <row r="17" spans="2:16" ht="15" thickBot="1">
      <c r="B17" s="89" t="s">
        <v>123</v>
      </c>
      <c r="C17" s="90" t="n">
        <f>C16/(1+P17)</f>
        <v>4.280564170405489</v>
      </c>
      <c r="D17" s="90" t="n">
        <f>D16/(1+P17)^2</f>
        <v>4.117579865691041</v>
      </c>
      <c r="E17" s="90" t="n">
        <f>E16/(1+P17)^3</f>
        <v>3.960801257825379</v>
      </c>
      <c r="F17" s="90" t="n">
        <f>F16/(1+P17)^4</f>
        <v>3.8099920622567534</v>
      </c>
      <c r="G17" s="90" t="n">
        <f>G16/(1+P17)^5</f>
        <v>3.664924991068422</v>
      </c>
      <c r="H17" s="90" t="n">
        <f>H16/(1+P17)^6</f>
        <v>3.5253814104279018</v>
      </c>
      <c r="I17" s="90" t="n">
        <f>I16/(1+P17)^7</f>
        <v>3.3911510110790823</v>
      </c>
      <c r="J17" s="90" t="n">
        <f>J16/(1+P17)^8</f>
        <v>3.2620314913803385</v>
      </c>
      <c r="K17" s="90" t="n">
        <f>K16/(1+P17)^9</f>
        <v>3.13782825241128</v>
      </c>
      <c r="L17" s="90" t="n">
        <f>L16/(1+P17)^10</f>
        <v>3.0183541046883375</v>
      </c>
      <c r="M17" s="159" t="n">
        <f>M16/POWER((1+P17),10)</f>
        <v>76.25466826861499</v>
      </c>
      <c r="N17" s="160"/>
      <c r="O17" s="91" t="s">
        <v>124</v>
      </c>
      <c r="P17" s="105" t="n">
        <f>WACC!$C$25</f>
        <v>0.06557211259432376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112.423276885849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4.449999809265137</v>
      </c>
    </row>
    <row r="25" spans="2:16" ht="15" thickBot="1">
      <c r="B25" s="89" t="s">
        <v>121</v>
      </c>
      <c r="C25" s="90" t="n">
        <f>P24*(1+P25)</f>
        <v>4.583499800559147</v>
      </c>
      <c r="D25" s="90" t="n">
        <f>C25*(1+P25)</f>
        <v>4.721004791502459</v>
      </c>
      <c r="E25" s="90" t="n">
        <f>D25*(1+P25)</f>
        <v>4.862634932081864</v>
      </c>
      <c r="F25" s="90" t="n">
        <f>E25*(1+P25)</f>
        <v>5.008513976783676</v>
      </c>
      <c r="G25" s="90" t="n">
        <f>F25*(1+P25)</f>
        <v>5.158769392728732</v>
      </c>
      <c r="H25" s="90" t="n">
        <f>G25*(1+P25)</f>
        <v>5.313532471051379</v>
      </c>
      <c r="I25" s="90" t="n">
        <f>H25*(1+P25)</f>
        <v>5.472938441619932</v>
      </c>
      <c r="J25" s="90" t="n">
        <f>I25*(1+P25)</f>
        <v>5.6371265911986495</v>
      </c>
      <c r="K25" s="90" t="n">
        <f>J25*(1+P25)</f>
        <v>5.806240385154634</v>
      </c>
      <c r="L25" s="90" t="n">
        <f>K25*(1+P25)</f>
        <v>5.980427592815895</v>
      </c>
      <c r="M25" s="159" t="n">
        <f>L25*(1+P25)/(P26-P25)</f>
        <v>173.1648713339849</v>
      </c>
      <c r="N25" s="160"/>
      <c r="O25" s="88" t="s">
        <v>122</v>
      </c>
      <c r="P25" s="104" t="n">
        <v>0.029999999329447746</v>
      </c>
    </row>
    <row r="26" spans="2:16" ht="15" thickBot="1">
      <c r="B26" s="89" t="s">
        <v>123</v>
      </c>
      <c r="C26" s="90" t="n">
        <f>C25/(1+P26)</f>
        <v>4.301444966873078</v>
      </c>
      <c r="D26" s="90" t="n">
        <f>D25/(1+P26)^2</f>
        <v>4.1578493474346985</v>
      </c>
      <c r="E26" s="90" t="n">
        <f>E25/(1+P26)^3</f>
        <v>4.019047396654354</v>
      </c>
      <c r="F26" s="90" t="n">
        <f>F25/(1+P26)^4</f>
        <v>3.8848790869539376</v>
      </c>
      <c r="G26" s="90" t="n">
        <f>G25/(1+P26)^5</f>
        <v>3.7551897329739363</v>
      </c>
      <c r="H26" s="90" t="n">
        <f>H25/(1+P26)^6</f>
        <v>3.62982981323352</v>
      </c>
      <c r="I26" s="90" t="n">
        <f>I25/(1+P26)^7</f>
        <v>3.5086547977442453</v>
      </c>
      <c r="J26" s="90" t="n">
        <f>J25/(1+P26)^8</f>
        <v>3.3915249813784336</v>
      </c>
      <c r="K26" s="90" t="n">
        <f>K25/(1+P26)^9</f>
        <v>3.278305322800352</v>
      </c>
      <c r="L26" s="90" t="n">
        <f>L25/(1+P26)^10</f>
        <v>3.168865288774339</v>
      </c>
      <c r="M26" s="159" t="n">
        <f>M25/POWER((1+P26),10)</f>
        <v>91.75533713751841</v>
      </c>
      <c r="N26" s="160"/>
      <c r="O26" s="91" t="s">
        <v>124</v>
      </c>
      <c r="P26" s="105" t="n">
        <f>WACC!$C$25</f>
        <v>0.06557211259432376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128.850927872339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67224.0</v>
      </c>
      <c r="D3" s="110" t="n">
        <v>71312.0</v>
      </c>
      <c r="E3" s="110" t="n">
        <v>74331.0</v>
      </c>
      <c r="F3" s="110" t="n">
        <v>70074.0</v>
      </c>
      <c r="G3" s="110" t="n">
        <v>71890.0</v>
      </c>
      <c r="H3" s="110" t="n">
        <v>76450.0</v>
      </c>
      <c r="I3" s="110" t="n">
        <v>81581.0</v>
      </c>
      <c r="J3" s="110" t="n">
        <v>82059.0</v>
      </c>
      <c r="K3" s="110" t="n">
        <v>82584.0</v>
      </c>
      <c r="L3" s="110" t="n">
        <v>93775.0</v>
      </c>
      <c r="M3" s="110" t="n">
        <v>94943.0</v>
      </c>
      <c r="Q3" s="107"/>
    </row>
    <row r="4" spans="2:17">
      <c r="B4" s="18" t="s">
        <v>27</v>
      </c>
      <c r="C4" s="113"/>
      <c r="D4" s="121" t="n">
        <f t="shared" ref="D4:M4" si="0">(D3-C3)/C3</f>
        <v>0.060811614899440675</v>
      </c>
      <c r="E4" s="121" t="n">
        <f t="shared" si="0"/>
        <v>0.04233509086829706</v>
      </c>
      <c r="F4" s="121" t="n">
        <f t="shared" si="0"/>
        <v>-0.05727085603583969</v>
      </c>
      <c r="G4" s="121" t="n">
        <f t="shared" si="0"/>
        <v>0.025915460798584353</v>
      </c>
      <c r="H4" s="121" t="n">
        <f t="shared" si="0"/>
        <v>0.06343024064543051</v>
      </c>
      <c r="I4" s="121" t="n">
        <f t="shared" si="0"/>
        <v>0.06711576193590582</v>
      </c>
      <c r="J4" s="121" t="n">
        <f t="shared" si="0"/>
        <v>0.0058592074134908865</v>
      </c>
      <c r="K4" s="121" t="n">
        <f t="shared" si="0"/>
        <v>0.006397835703579132</v>
      </c>
      <c r="L4" s="121" t="n">
        <f t="shared" si="0"/>
        <v>0.13551051051051052</v>
      </c>
      <c r="M4" s="121" t="n">
        <f t="shared" si="0"/>
        <v>0.012455345241268996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10853.0</v>
      </c>
      <c r="D6" s="110" t="n">
        <v>13831.0</v>
      </c>
      <c r="E6" s="110" t="n">
        <v>16323.0</v>
      </c>
      <c r="F6" s="110" t="n">
        <v>15409.0</v>
      </c>
      <c r="G6" s="110" t="n">
        <v>16540.0</v>
      </c>
      <c r="H6" s="110" t="n">
        <v>1300.0</v>
      </c>
      <c r="I6" s="110" t="n">
        <v>15297.0</v>
      </c>
      <c r="J6" s="110" t="n">
        <v>15119.0</v>
      </c>
      <c r="K6" s="110" t="n">
        <v>14714.0</v>
      </c>
      <c r="L6" s="110" t="n">
        <v>20878.0</v>
      </c>
      <c r="M6" s="110" t="n">
        <v>17941.0</v>
      </c>
      <c r="Q6" s="107"/>
    </row>
    <row r="7" spans="2:17">
      <c r="B7" s="18" t="s">
        <v>27</v>
      </c>
      <c r="C7" s="113"/>
      <c r="D7" s="121" t="n">
        <f t="shared" ref="D7" si="1">(D6-C6)/C6</f>
        <v>0.2743941767253294</v>
      </c>
      <c r="E7" s="121" t="n">
        <f t="shared" ref="E7" si="2">(E6-D6)/D6</f>
        <v>0.1801749692719254</v>
      </c>
      <c r="F7" s="121" t="n">
        <f t="shared" ref="F7" si="3">(F6-E6)/E6</f>
        <v>-0.05599460883416039</v>
      </c>
      <c r="G7" s="121" t="n">
        <f t="shared" ref="G7" si="4">(G6-F6)/F6</f>
        <v>0.07339866311895646</v>
      </c>
      <c r="H7" s="121" t="n">
        <f t="shared" ref="H7" si="5">(H6-G6)/G6</f>
        <v>-0.9214026602176542</v>
      </c>
      <c r="I7" s="121" t="n">
        <f t="shared" ref="I7" si="6">(I6-H6)/H6</f>
        <v>10.766923076923076</v>
      </c>
      <c r="J7" s="121" t="n">
        <f t="shared" ref="J7" si="7">(J6-I6)/I6</f>
        <v>-0.011636268549388769</v>
      </c>
      <c r="K7" s="121" t="n">
        <f t="shared" ref="K7" si="8">(K6-J6)/J6</f>
        <v>-0.02678748594483762</v>
      </c>
      <c r="L7" s="121" t="n">
        <f t="shared" ref="L7" si="9">(L6-K6)/K6</f>
        <v>0.41892075574282994</v>
      </c>
      <c r="M7" s="121" t="n">
        <f t="shared" ref="M7" si="10">(M6-L6)/L6</f>
        <v>-0.14067439409905164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18037.0</v>
      </c>
      <c r="D9" s="110" t="n">
        <v>20131.0</v>
      </c>
      <c r="E9" s="110" t="n">
        <v>25058.0</v>
      </c>
      <c r="F9" s="110" t="n">
        <v>23622.0</v>
      </c>
      <c r="G9" s="110" t="n">
        <v>24651.0</v>
      </c>
      <c r="H9" s="110" t="n">
        <v>24634.0</v>
      </c>
      <c r="I9" s="110" t="n">
        <v>26544.0</v>
      </c>
      <c r="J9" s="110" t="n">
        <v>25012.0</v>
      </c>
      <c r="K9" s="110" t="n">
        <v>24040.0</v>
      </c>
      <c r="L9" s="110" t="n">
        <v>30402.0</v>
      </c>
      <c r="M9" s="110" t="n">
        <v>29461.0</v>
      </c>
      <c r="Q9" s="107"/>
    </row>
    <row r="10" spans="2:17">
      <c r="B10" s="18" t="s">
        <v>27</v>
      </c>
      <c r="C10" s="113"/>
      <c r="D10" s="121" t="n">
        <f t="shared" ref="D10" si="11">(D9-C9)/C9</f>
        <v>0.11609469423961856</v>
      </c>
      <c r="E10" s="121" t="n">
        <f t="shared" ref="E10" si="12">(E9-D9)/D9</f>
        <v>0.24474690775420993</v>
      </c>
      <c r="F10" s="121" t="n">
        <f t="shared" ref="F10" si="13">(F9-E9)/E9</f>
        <v>-0.05730704764945327</v>
      </c>
      <c r="G10" s="121" t="n">
        <f t="shared" ref="G10" si="14">(G9-F9)/F9</f>
        <v>0.04356108712217424</v>
      </c>
      <c r="H10" s="121" t="n">
        <f t="shared" ref="H10" si="15">(H9-G9)/G9</f>
        <v>-6.89627195651292E-4</v>
      </c>
      <c r="I10" s="121" t="n">
        <f t="shared" ref="I10" si="16">(I9-H9)/H9</f>
        <v>0.07753511406998458</v>
      </c>
      <c r="J10" s="121" t="n">
        <f t="shared" ref="J10" si="17">(J9-I9)/I9</f>
        <v>-0.057715491259795054</v>
      </c>
      <c r="K10" s="121" t="n">
        <f t="shared" ref="K10" si="18">(K9-J9)/J9</f>
        <v>-0.038861346553654245</v>
      </c>
      <c r="L10" s="121" t="n">
        <f t="shared" ref="L10" si="19">(L9-K9)/K9</f>
        <v>0.26464226289517473</v>
      </c>
      <c r="M10" s="121" t="n">
        <f t="shared" ref="M10" si="20">(M9-L9)/L9</f>
        <v>-0.030951911058482995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2812.60009765625</v>
      </c>
      <c r="D12" s="110" t="n">
        <v>2877.0</v>
      </c>
      <c r="E12" s="110" t="n">
        <v>2863.89990234375</v>
      </c>
      <c r="F12" s="110" t="n">
        <v>2812.89990234375</v>
      </c>
      <c r="G12" s="110" t="n">
        <v>2788.89990234375</v>
      </c>
      <c r="H12" s="110" t="n">
        <v>2745.300048828125</v>
      </c>
      <c r="I12" s="110" t="n">
        <v>2728.699951171875</v>
      </c>
      <c r="J12" s="110" t="n">
        <v>2684.300048828125</v>
      </c>
      <c r="K12" s="110" t="n">
        <v>2670.699951171875</v>
      </c>
      <c r="L12" s="110" t="n">
        <v>2674.0</v>
      </c>
      <c r="M12" s="110" t="n">
        <v>2663.89990234375</v>
      </c>
      <c r="Q12" s="107"/>
    </row>
    <row r="13" spans="2:17">
      <c r="B13" s="18" t="s">
        <v>27</v>
      </c>
      <c r="C13" s="113"/>
      <c r="D13" s="121" t="n">
        <f t="shared" ref="D13" si="21">(D12-C12)/C12</f>
        <v>0.022896928147522526</v>
      </c>
      <c r="E13" s="121" t="n">
        <f t="shared" ref="E13" si="22">(E12-D12)/D12</f>
        <v>-0.004553388132168926</v>
      </c>
      <c r="F13" s="121" t="n">
        <f t="shared" ref="F13" si="23">(F12-E12)/E12</f>
        <v>-0.017807884960735803</v>
      </c>
      <c r="G13" s="121" t="n">
        <f t="shared" ref="G13" si="24">(G12-F12)/F12</f>
        <v>-0.008532120172496306</v>
      </c>
      <c r="H13" s="121" t="n">
        <f t="shared" ref="H13" si="25">(H12-G12)/G12</f>
        <v>-0.01563335187433021</v>
      </c>
      <c r="I13" s="121" t="n">
        <f t="shared" ref="I13" si="26">(I12-H12)/H12</f>
        <v>-0.006046733457545373</v>
      </c>
      <c r="J13" s="121" t="n">
        <f t="shared" ref="J13" si="27">(J12-I12)/I12</f>
        <v>-0.01627144909233491</v>
      </c>
      <c r="K13" s="121" t="n">
        <f t="shared" ref="K13" si="28">(K12-J12)/J12</f>
        <v>-0.005066534071773131</v>
      </c>
      <c r="L13" s="121" t="n">
        <f t="shared" ref="L13" si="29">(L12-K12)/K12</f>
        <v>0.0012356494134344695</v>
      </c>
      <c r="M13" s="121" t="n">
        <f t="shared" ref="M13" si="30">(M12-L12)/L12</f>
        <v>-0.003777149460078534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3.859999895095825</v>
      </c>
      <c r="D15" s="110" t="n">
        <v>4.809999942779541</v>
      </c>
      <c r="E15" s="110" t="n">
        <v>5.699999809265137</v>
      </c>
      <c r="F15" s="110" t="n">
        <v>5.480000019073486</v>
      </c>
      <c r="G15" s="110" t="n">
        <v>5.929999828338623</v>
      </c>
      <c r="H15" s="110" t="n">
        <v>0.4699999988079071</v>
      </c>
      <c r="I15" s="110" t="n">
        <v>5.610000133514404</v>
      </c>
      <c r="J15" s="110" t="n">
        <v>5.630000114440918</v>
      </c>
      <c r="K15" s="110" t="n">
        <v>5.510000228881836</v>
      </c>
      <c r="L15" s="110" t="n">
        <v>7.809999942779541</v>
      </c>
      <c r="M15" s="110" t="n">
        <v>6.730000019073486</v>
      </c>
      <c r="Q15" s="107"/>
    </row>
    <row r="16" spans="2:17">
      <c r="B16" s="18" t="s">
        <v>27</v>
      </c>
      <c r="D16" s="121" t="n">
        <f t="shared" ref="D16" si="31">(D15-C15)/C15</f>
        <v>0.246114008679301</v>
      </c>
      <c r="E16" s="121" t="n">
        <f t="shared" ref="E16" si="32">(E15-D15)/D15</f>
        <v>0.18503115947467028</v>
      </c>
      <c r="F16" s="121" t="n">
        <f t="shared" ref="F16" si="33">(F15-E15)/E15</f>
        <v>-0.038596455711112206</v>
      </c>
      <c r="G16" s="121" t="n">
        <f t="shared" ref="G16" si="34">(G15-F15)/F15</f>
        <v>0.08211675322972334</v>
      </c>
      <c r="H16" s="121" t="n">
        <f t="shared" ref="H16" si="35">(H15-G15)/G15</f>
        <v>-0.9207419877886274</v>
      </c>
      <c r="I16" s="121" t="n">
        <f t="shared" ref="I16" si="36">(I15-H15)/H15</f>
        <v>10.936170527113687</v>
      </c>
      <c r="J16" s="121" t="n">
        <f t="shared" ref="J16" si="37">(J15-I15)/I15</f>
        <v>0.003565058903837255</v>
      </c>
      <c r="K16" s="121" t="n">
        <f t="shared" ref="K16" si="38">(K15-J15)/J15</f>
        <v>-0.021314366451127227</v>
      </c>
      <c r="L16" s="121" t="n">
        <f t="shared" ref="L16" si="39">(L15-K15)/K15</f>
        <v>0.4174227982499477</v>
      </c>
      <c r="M16" s="121" t="n">
        <f t="shared" ref="M16" si="40">(M15-L15)/L15</f>
        <v>-0.13828424220470395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13971.0</v>
      </c>
      <c r="D20" s="128" t="n">
        <v>14277.0</v>
      </c>
      <c r="E20" s="128" t="n">
        <v>19627.0</v>
      </c>
      <c r="F20" s="128" t="n">
        <v>19570.0</v>
      </c>
      <c r="G20" s="128" t="n">
        <v>16808.0</v>
      </c>
      <c r="H20" s="128" t="n">
        <v>19609.0</v>
      </c>
      <c r="I20" s="128" t="n">
        <v>21734.0</v>
      </c>
      <c r="J20" s="128" t="n">
        <v>23183.0</v>
      </c>
      <c r="K20" s="128" t="n">
        <v>20494.0</v>
      </c>
      <c r="L20" s="128" t="n">
        <v>20469.0</v>
      </c>
      <c r="M20" s="128" t="n">
        <v>17728.0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0.37472858443650625</v>
      </c>
      <c r="F21" s="131" t="n">
        <f t="shared" ref="F21" si="42">(F20-E20)/E20</f>
        <v>-0.002904162633107454</v>
      </c>
      <c r="G21" s="131" t="n">
        <f t="shared" ref="G21" si="43">(G20-F20)/F20</f>
        <v>-0.14113438937148698</v>
      </c>
      <c r="H21" s="131" t="n">
        <f t="shared" ref="H21" si="44">(H20-G20)/G20</f>
        <v>0.16664683484055212</v>
      </c>
      <c r="I21" s="131" t="n">
        <f t="shared" ref="I21" si="45">(I20-H20)/H20</f>
        <v>0.10836860625223112</v>
      </c>
      <c r="J21" s="131" t="n">
        <f t="shared" ref="J21" si="46">(J20-I20)/I20</f>
        <v>0.06666973405723751</v>
      </c>
      <c r="K21" s="131" t="n">
        <f t="shared" ref="K21" si="47">(K20-J20)/J20</f>
        <v>-0.11599016520726395</v>
      </c>
      <c r="L21" s="131" t="n">
        <f t="shared" ref="L21" si="48">(L20-K20)/K20</f>
        <v>-0.001219869230018542</v>
      </c>
      <c r="M21" s="131" t="n">
        <f t="shared" ref="M21" si="49">(M20-L20)/L20</f>
        <v>-0.13390981484195613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6614.0</v>
      </c>
      <c r="D23" s="130" t="n">
        <v>7286.0</v>
      </c>
      <c r="E23" s="130" t="n">
        <v>7768.0</v>
      </c>
      <c r="F23" s="130" t="n">
        <v>8173.0</v>
      </c>
      <c r="G23" s="130" t="n">
        <v>8621.0</v>
      </c>
      <c r="H23" s="130" t="n">
        <v>8943.0</v>
      </c>
      <c r="I23" s="130" t="n">
        <v>9494.0</v>
      </c>
      <c r="J23" s="130" t="n">
        <v>9917.0</v>
      </c>
      <c r="K23" s="130" t="n">
        <v>10481.0</v>
      </c>
      <c r="L23" s="130" t="n">
        <v>11032.0</v>
      </c>
      <c r="M23" s="130" t="n">
        <v>11682.0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0.10160266102207438</v>
      </c>
      <c r="E24" s="121" t="n">
        <f t="shared" ref="E24" si="51">(E23-D23)/D23</f>
        <v>0.0661542684600604</v>
      </c>
      <c r="F24" s="121" t="n">
        <f t="shared" ref="F24" si="52">(F23-E23)/E23</f>
        <v>0.05213697219361483</v>
      </c>
      <c r="G24" s="121" t="n">
        <f t="shared" ref="G24" si="53">(G23-F23)/F23</f>
        <v>0.05481463354949223</v>
      </c>
      <c r="H24" s="121" t="n">
        <f t="shared" ref="H24" si="54">(H23-G23)/G23</f>
        <v>0.03735065537640645</v>
      </c>
      <c r="I24" s="121" t="n">
        <f t="shared" ref="I24" si="55">(I23-H23)/H23</f>
        <v>0.06161243430616124</v>
      </c>
      <c r="J24" s="121" t="n">
        <f t="shared" ref="J24" si="56">(J23-I23)/I23</f>
        <v>0.04455445544554455</v>
      </c>
      <c r="K24" s="121" t="n">
        <f t="shared" ref="K24" si="57">(K23-J23)/J23</f>
        <v>0.05687203791469194</v>
      </c>
      <c r="L24" s="121" t="n">
        <f t="shared" ref="L24" si="58">(L23-K23)/K23</f>
        <v>0.05257131953057914</v>
      </c>
      <c r="M24" s="121" t="n">
        <f t="shared" ref="M24" si="59">(M23-L23)/L23</f>
        <v>0.05891950688905004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46116.0</v>
      </c>
      <c r="D28" s="110" t="n">
        <v>56407.0</v>
      </c>
      <c r="E28" s="110" t="n">
        <v>55744.0</v>
      </c>
      <c r="F28" s="110" t="n">
        <v>60210.0</v>
      </c>
      <c r="G28" s="110" t="n">
        <v>65032.0</v>
      </c>
      <c r="H28" s="110" t="n">
        <v>43088.0</v>
      </c>
      <c r="I28" s="110" t="n">
        <v>46033.0</v>
      </c>
      <c r="J28" s="110" t="n">
        <v>45274.0</v>
      </c>
      <c r="K28" s="110" t="n">
        <v>51237.0</v>
      </c>
      <c r="L28" s="110" t="n">
        <v>60979.0</v>
      </c>
      <c r="M28" s="110" t="n">
        <v>55294.0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0.22315465348252234</v>
      </c>
      <c r="E29" s="121" t="n">
        <f t="shared" ref="E29" si="61">(E28-D28)/D28</f>
        <v>-0.01175386033648306</v>
      </c>
      <c r="F29" s="121" t="n">
        <f t="shared" ref="F29" si="62">(F28-E28)/E28</f>
        <v>0.0801162456946039</v>
      </c>
      <c r="G29" s="121" t="n">
        <f t="shared" ref="G29" si="63">(G28-F28)/F28</f>
        <v>0.08008636439129713</v>
      </c>
      <c r="H29" s="121" t="n">
        <f t="shared" ref="H29" si="64">(H28-G28)/G28</f>
        <v>-0.3374338787058679</v>
      </c>
      <c r="I29" s="121" t="n">
        <f t="shared" ref="I29" si="65">(I28-H28)/H28</f>
        <v>0.0683484961010026</v>
      </c>
      <c r="J29" s="121" t="n">
        <f t="shared" ref="J29" si="66">(J28-I28)/I28</f>
        <v>-0.016488171529120414</v>
      </c>
      <c r="K29" s="121" t="n">
        <f t="shared" ref="K29" si="67">(K28-J28)/J28</f>
        <v>0.13170914873879047</v>
      </c>
      <c r="L29" s="121" t="n">
        <f t="shared" ref="L29" si="68">(L28-K28)/K28</f>
        <v>0.1901360345063138</v>
      </c>
      <c r="M29" s="121" t="n">
        <f t="shared" ref="M29" si="69">(M28-L28)/L28</f>
        <v>-0.09322881647780383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75231.0</v>
      </c>
      <c r="D31" s="110" t="n">
        <v>76276.0</v>
      </c>
      <c r="E31" s="110" t="n">
        <v>74614.0</v>
      </c>
      <c r="F31" s="110" t="n">
        <v>73201.0</v>
      </c>
      <c r="G31" s="110" t="n">
        <v>76176.0</v>
      </c>
      <c r="H31" s="110" t="n">
        <v>114215.0</v>
      </c>
      <c r="I31" s="110" t="n">
        <v>106921.0</v>
      </c>
      <c r="J31" s="110" t="n">
        <v>112454.0</v>
      </c>
      <c r="K31" s="110" t="n">
        <v>123657.0</v>
      </c>
      <c r="L31" s="110" t="n">
        <v>121039.0</v>
      </c>
      <c r="M31" s="110" t="n">
        <v>132084.0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0.013890550437984341</v>
      </c>
      <c r="E32" s="121" t="n">
        <f t="shared" ref="E32" si="71">(E31-D31)/D31</f>
        <v>-0.021789291520268497</v>
      </c>
      <c r="F32" s="121" t="n">
        <f t="shared" ref="F32" si="72">(F31-E31)/E31</f>
        <v>-0.018937464818934786</v>
      </c>
      <c r="G32" s="121" t="n">
        <f t="shared" ref="G32" si="73">(G31-F31)/F31</f>
        <v>0.04064152129069275</v>
      </c>
      <c r="H32" s="121" t="n">
        <f t="shared" ref="H32" si="74">(H31-G31)/G31</f>
        <v>0.49935675278302877</v>
      </c>
      <c r="I32" s="121" t="n">
        <f t="shared" ref="I32" si="75">(I31-H31)/H31</f>
        <v>-0.06386201462154709</v>
      </c>
      <c r="J32" s="121" t="n">
        <f t="shared" ref="J32" si="76">(J31-I31)/I31</f>
        <v>0.05174848720083052</v>
      </c>
      <c r="K32" s="121" t="n">
        <f t="shared" ref="K32" si="77">(K31-J31)/J31</f>
        <v>0.09962295694239422</v>
      </c>
      <c r="L32" s="121" t="n">
        <f t="shared" ref="L32" si="78">(L31-K31)/K31</f>
        <v>-0.021171466233209604</v>
      </c>
      <c r="M32" s="121" t="n">
        <f t="shared" ref="M32" si="79">(M31-L31)/L31</f>
        <v>0.09125158006923388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132683.0</v>
      </c>
      <c r="E34" s="111" t="n">
        <f t="shared" ref="E34:M34" si="80">E28+E31</f>
        <v>130358.0</v>
      </c>
      <c r="F34" s="111" t="n">
        <f t="shared" si="80"/>
        <v>133411.0</v>
      </c>
      <c r="G34" s="111" t="n">
        <f t="shared" si="80"/>
        <v>141208.0</v>
      </c>
      <c r="H34" s="111" t="n">
        <f t="shared" si="80"/>
        <v>157303.0</v>
      </c>
      <c r="I34" s="111" t="n">
        <f t="shared" si="80"/>
        <v>152954.0</v>
      </c>
      <c r="J34" s="111" t="n">
        <f t="shared" si="80"/>
        <v>157728.0</v>
      </c>
      <c r="K34" s="111" t="n">
        <f t="shared" si="80"/>
        <v>174894.0</v>
      </c>
      <c r="L34" s="111" t="n">
        <f t="shared" si="80"/>
        <v>182018.0</v>
      </c>
      <c r="M34" s="111" t="n">
        <f t="shared" si="80"/>
        <v>187378.0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24262.0</v>
      </c>
      <c r="D36" s="118" t="n">
        <v>25675.0</v>
      </c>
      <c r="E36" s="110" t="n">
        <v>25031.0</v>
      </c>
      <c r="F36" s="110" t="n">
        <v>27747.0</v>
      </c>
      <c r="G36" s="110" t="n">
        <v>26287.0</v>
      </c>
      <c r="H36" s="110" t="n">
        <v>30537.0</v>
      </c>
      <c r="I36" s="110" t="n">
        <v>31230.0</v>
      </c>
      <c r="J36" s="110" t="n">
        <v>35964.0</v>
      </c>
      <c r="K36" s="110" t="n">
        <v>42493.0</v>
      </c>
      <c r="L36" s="110" t="n">
        <v>45226.0</v>
      </c>
      <c r="M36" s="110" t="n">
        <v>55802.0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0.058239221828373586</v>
      </c>
      <c r="E37" s="121" t="n">
        <f t="shared" ref="E37" si="82">(E36-D36)/D36</f>
        <v>-0.02508276533592989</v>
      </c>
      <c r="F37" s="121" t="n">
        <f t="shared" ref="F37" si="83">(F36-E36)/E36</f>
        <v>0.1085054532379849</v>
      </c>
      <c r="G37" s="121" t="n">
        <f t="shared" ref="G37" si="84">(G36-F36)/F36</f>
        <v>-0.05261830107759397</v>
      </c>
      <c r="H37" s="121" t="n">
        <f t="shared" ref="H37" si="85">(H36-G36)/G36</f>
        <v>0.16167687450070378</v>
      </c>
      <c r="I37" s="121" t="n">
        <f t="shared" ref="I37" si="86">(I36-H36)/H36</f>
        <v>0.02269378131447097</v>
      </c>
      <c r="J37" s="121" t="n">
        <f t="shared" ref="J37" si="87">(J36-I36)/I36</f>
        <v>0.1515850144092219</v>
      </c>
      <c r="K37" s="121" t="n">
        <f t="shared" ref="K37" si="88">(K36-J36)/J36</f>
        <v>0.181542653764876</v>
      </c>
      <c r="L37" s="121" t="n">
        <f t="shared" ref="L37" si="89">(L36-K36)/K36</f>
        <v>0.06431647565481373</v>
      </c>
      <c r="M37" s="121" t="n">
        <f t="shared" ref="M37" si="90">(M36-L36)/L36</f>
        <v>0.23384778667138373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32259.0</v>
      </c>
      <c r="D39" s="110" t="n">
        <v>32955.0</v>
      </c>
      <c r="E39" s="110" t="n">
        <v>35575.0</v>
      </c>
      <c r="F39" s="110" t="n">
        <v>34514.0</v>
      </c>
      <c r="G39" s="110" t="n">
        <v>44503.0</v>
      </c>
      <c r="H39" s="110" t="n">
        <v>66606.0</v>
      </c>
      <c r="I39" s="110" t="n">
        <v>61972.0</v>
      </c>
      <c r="J39" s="110" t="n">
        <v>62293.0</v>
      </c>
      <c r="K39" s="110" t="n">
        <v>69123.0</v>
      </c>
      <c r="L39" s="110" t="n">
        <v>62769.0</v>
      </c>
      <c r="M39" s="110" t="n">
        <v>54772.0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0.02157537431414489</v>
      </c>
      <c r="E40" s="121" t="n">
        <f t="shared" ref="E40" si="92">(E39-D39)/D39</f>
        <v>0.0795023516917008</v>
      </c>
      <c r="F40" s="121" t="n">
        <f t="shared" ref="F40" si="93">(F39-E39)/E39</f>
        <v>-0.029824314827828532</v>
      </c>
      <c r="G40" s="121" t="n">
        <f t="shared" ref="G40" si="94">(G39-F39)/F39</f>
        <v>0.2894187865793591</v>
      </c>
      <c r="H40" s="121" t="n">
        <f t="shared" ref="H40" si="95">(H39-G39)/G39</f>
        <v>0.4966631463047435</v>
      </c>
      <c r="I40" s="121" t="n">
        <f t="shared" ref="I40" si="96">(I39-H39)/H39</f>
        <v>-0.06957331171365944</v>
      </c>
      <c r="J40" s="121" t="n">
        <f t="shared" ref="J40" si="97">(J39-I39)/I39</f>
        <v>0.005179758600658362</v>
      </c>
      <c r="K40" s="121" t="n">
        <f t="shared" ref="K40" si="98">(K39-J39)/J39</f>
        <v>0.10964313807329877</v>
      </c>
      <c r="L40" s="121" t="n">
        <f t="shared" ref="L40" si="99">(L39-K39)/K39</f>
        <v>-0.09192309361572848</v>
      </c>
      <c r="M40" s="121" t="n">
        <f t="shared" ref="M40" si="100">(M39-L39)/L39</f>
        <v>-0.12740365467029904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58630.0</v>
      </c>
      <c r="E42" s="111" t="n">
        <f t="shared" ref="E42:M42" si="101">E36+E39</f>
        <v>60606.0</v>
      </c>
      <c r="F42" s="111" t="n">
        <f t="shared" si="101"/>
        <v>62261.0</v>
      </c>
      <c r="G42" s="111" t="n">
        <f t="shared" si="101"/>
        <v>70790.0</v>
      </c>
      <c r="H42" s="111" t="n">
        <f t="shared" si="101"/>
        <v>97143.0</v>
      </c>
      <c r="I42" s="111" t="n">
        <f t="shared" si="101"/>
        <v>93202.0</v>
      </c>
      <c r="J42" s="111" t="n">
        <f t="shared" si="101"/>
        <v>98257.0</v>
      </c>
      <c r="K42" s="111" t="n">
        <f t="shared" si="101"/>
        <v>111616.0</v>
      </c>
      <c r="L42" s="111" t="n">
        <f t="shared" si="101"/>
        <v>107995.0</v>
      </c>
      <c r="M42" s="111" t="n">
        <f t="shared" si="101"/>
        <v>110574.0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74053.0</v>
      </c>
      <c r="E44" s="134" t="n">
        <f t="shared" ref="E44:M44" si="102">E34-E42</f>
        <v>69752.0</v>
      </c>
      <c r="F44" s="134" t="n">
        <f t="shared" si="102"/>
        <v>71150.0</v>
      </c>
      <c r="G44" s="134" t="n">
        <f t="shared" si="102"/>
        <v>70418.0</v>
      </c>
      <c r="H44" s="134" t="n">
        <f t="shared" si="102"/>
        <v>60160.0</v>
      </c>
      <c r="I44" s="134" t="n">
        <f t="shared" si="102"/>
        <v>59752.0</v>
      </c>
      <c r="J44" s="134" t="n">
        <f t="shared" si="102"/>
        <v>59471.0</v>
      </c>
      <c r="K44" s="134" t="n">
        <f t="shared" si="102"/>
        <v>63278.0</v>
      </c>
      <c r="L44" s="134" t="n">
        <f t="shared" si="102"/>
        <v>74023.0</v>
      </c>
      <c r="M44" s="134" t="n">
        <f t="shared" si="102"/>
        <v>76804.0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11489.0</v>
      </c>
      <c r="D46" s="133" t="n">
        <v>13328.0</v>
      </c>
      <c r="E46" s="133" t="n">
        <v>15122.0</v>
      </c>
      <c r="F46" s="133" t="n">
        <v>12857.0</v>
      </c>
      <c r="G46" s="133" t="n">
        <v>22442.0</v>
      </c>
      <c r="H46" s="133" t="n">
        <v>30675.0</v>
      </c>
      <c r="I46" s="133" t="n">
        <v>27684.0</v>
      </c>
      <c r="J46" s="133" t="n">
        <v>26494.0</v>
      </c>
      <c r="K46" s="136" t="n">
        <v>32635.0</v>
      </c>
      <c r="L46" s="133" t="n">
        <v>29985.0</v>
      </c>
      <c r="M46" s="133" t="n">
        <v>26888.0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0.19395052726048911</v>
      </c>
      <c r="E50" s="126" t="n">
        <f t="shared" si="103"/>
        <v>0.21959882148767002</v>
      </c>
      <c r="F50" s="126" t="n">
        <f t="shared" si="103"/>
        <v>0.21989610982675456</v>
      </c>
      <c r="G50" s="126" t="n">
        <f t="shared" si="103"/>
        <v>0.23007372374460983</v>
      </c>
      <c r="H50" s="126" t="n">
        <f t="shared" si="103"/>
        <v>0.017004578155657292</v>
      </c>
      <c r="I50" s="126" t="n">
        <f t="shared" si="103"/>
        <v>0.18750689498780354</v>
      </c>
      <c r="J50" s="126" t="n">
        <f t="shared" si="103"/>
        <v>0.1842454819093579</v>
      </c>
      <c r="K50" s="126" t="n">
        <f t="shared" si="103"/>
        <v>0.17817010558946042</v>
      </c>
      <c r="L50" s="126" t="n">
        <f t="shared" si="103"/>
        <v>0.22263929618768327</v>
      </c>
      <c r="M50" s="126" t="n">
        <f t="shared" si="103"/>
        <v>0.18896601118565876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0.28229470495849224</v>
      </c>
      <c r="E51" s="126" t="n">
        <f t="shared" si="104"/>
        <v>0.33711372105850856</v>
      </c>
      <c r="F51" s="126" t="n">
        <f t="shared" si="104"/>
        <v>0.3371007791762993</v>
      </c>
      <c r="G51" s="126" t="n">
        <f t="shared" si="104"/>
        <v>0.3428988732786201</v>
      </c>
      <c r="H51" s="126" t="n">
        <f t="shared" si="104"/>
        <v>0.32222367560497056</v>
      </c>
      <c r="I51" s="126" t="n">
        <f t="shared" si="104"/>
        <v>0.32536987779017174</v>
      </c>
      <c r="J51" s="126" t="n">
        <f t="shared" si="104"/>
        <v>0.30480507927223094</v>
      </c>
      <c r="K51" s="126" t="n">
        <f t="shared" si="104"/>
        <v>0.2910975491620653</v>
      </c>
      <c r="L51" s="126" t="n">
        <f t="shared" si="104"/>
        <v>0.3242015462543322</v>
      </c>
      <c r="M51" s="126" t="n">
        <f t="shared" si="104"/>
        <v>0.31030197065607784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0.2002047341260938</v>
      </c>
      <c r="E52" s="126" t="n">
        <f t="shared" si="105"/>
        <v>0.2640486472669546</v>
      </c>
      <c r="F52" s="126" t="n">
        <f t="shared" si="105"/>
        <v>0.27927619373804835</v>
      </c>
      <c r="G52" s="126" t="n">
        <f t="shared" si="105"/>
        <v>0.2338016413965781</v>
      </c>
      <c r="H52" s="126" t="n">
        <f t="shared" si="105"/>
        <v>0.2564944408109876</v>
      </c>
      <c r="I52" s="126" t="n">
        <f t="shared" si="105"/>
        <v>0.26641007097240776</v>
      </c>
      <c r="J52" s="126" t="n">
        <f t="shared" si="105"/>
        <v>0.2825162383163334</v>
      </c>
      <c r="K52" s="126" t="n">
        <f t="shared" si="105"/>
        <v>0.248159449772353</v>
      </c>
      <c r="L52" s="126" t="n">
        <f t="shared" si="105"/>
        <v>0.21827779258864302</v>
      </c>
      <c r="M52" s="126" t="n">
        <f t="shared" si="105"/>
        <v>0.1867225598517005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0.5103313020942775</v>
      </c>
      <c r="E55" s="126" t="n">
        <f t="shared" ref="E55:M55" si="106">E23/E20</f>
        <v>0.3957813216487492</v>
      </c>
      <c r="F55" s="126" t="n">
        <f t="shared" si="106"/>
        <v>0.41762902401635155</v>
      </c>
      <c r="G55" s="126" t="n">
        <f t="shared" si="106"/>
        <v>0.5129105188005711</v>
      </c>
      <c r="H55" s="126" t="n">
        <f t="shared" si="106"/>
        <v>0.4560660921005661</v>
      </c>
      <c r="I55" s="126" t="n">
        <f t="shared" si="106"/>
        <v>0.43682709119352164</v>
      </c>
      <c r="J55" s="126" t="n">
        <f t="shared" si="106"/>
        <v>0.4277703489626019</v>
      </c>
      <c r="K55" s="126" t="n">
        <f t="shared" si="106"/>
        <v>0.5114179759929736</v>
      </c>
      <c r="L55" s="126" t="n">
        <f t="shared" si="106"/>
        <v>0.5389613561971762</v>
      </c>
      <c r="M55" s="126" t="n">
        <f t="shared" si="106"/>
        <v>0.6589575812274369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0.7917302472553441</v>
      </c>
      <c r="E58" s="112" t="n">
        <f t="shared" ref="E58:M58" si="107">E42/E44</f>
        <v>0.8688783117329969</v>
      </c>
      <c r="F58" s="112" t="n">
        <f t="shared" si="107"/>
        <v>0.8750667603654252</v>
      </c>
      <c r="G58" s="112" t="n">
        <f t="shared" si="107"/>
        <v>1.0052827402084694</v>
      </c>
      <c r="H58" s="112" t="n">
        <f t="shared" si="107"/>
        <v>1.6147440159574469</v>
      </c>
      <c r="I58" s="112" t="n">
        <f t="shared" si="107"/>
        <v>1.5598138974427633</v>
      </c>
      <c r="J58" s="112" t="n">
        <f t="shared" si="107"/>
        <v>1.6521834171276757</v>
      </c>
      <c r="K58" s="112" t="n">
        <f t="shared" si="107"/>
        <v>1.7638989854293752</v>
      </c>
      <c r="L58" s="112" t="n">
        <f t="shared" si="107"/>
        <v>1.4589384380530375</v>
      </c>
      <c r="M58" s="112" t="n">
        <f t="shared" si="107"/>
        <v>1.4396906411124422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2.1969620253164557</v>
      </c>
      <c r="E59" s="112" t="n">
        <f t="shared" ref="E59:M59" si="108">E28/E36</f>
        <v>2.226998521832927</v>
      </c>
      <c r="F59" s="112" t="n">
        <f t="shared" si="108"/>
        <v>2.1699643204670775</v>
      </c>
      <c r="G59" s="112" t="n">
        <f t="shared" si="108"/>
        <v>2.473922471183475</v>
      </c>
      <c r="H59" s="112" t="n">
        <f t="shared" si="108"/>
        <v>1.4110095949176409</v>
      </c>
      <c r="I59" s="112" t="n">
        <f t="shared" si="108"/>
        <v>1.4739993595901377</v>
      </c>
      <c r="J59" s="112" t="n">
        <f t="shared" si="108"/>
        <v>1.2588699810922033</v>
      </c>
      <c r="K59" s="112" t="n">
        <f t="shared" si="108"/>
        <v>1.205775068834867</v>
      </c>
      <c r="L59" s="112" t="n">
        <f t="shared" si="108"/>
        <v>1.3483173395834254</v>
      </c>
      <c r="M59" s="112" t="n">
        <f t="shared" si="108"/>
        <v>0.9908963836421634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0.6620634841786299</v>
      </c>
      <c r="E60" s="112" t="n">
        <f t="shared" ref="E60:M60" si="109">E46/E9</f>
        <v>0.6034799265703568</v>
      </c>
      <c r="F60" s="112" t="n">
        <f t="shared" si="109"/>
        <v>0.5442807552281771</v>
      </c>
      <c r="G60" s="112" t="n">
        <f t="shared" si="109"/>
        <v>0.9103890308709586</v>
      </c>
      <c r="H60" s="112" t="n">
        <f t="shared" si="109"/>
        <v>1.2452301696841763</v>
      </c>
      <c r="I60" s="112" t="n">
        <f t="shared" si="109"/>
        <v>1.0429475587703436</v>
      </c>
      <c r="J60" s="112" t="n">
        <f t="shared" si="109"/>
        <v>1.0592515592515592</v>
      </c>
      <c r="K60" s="112" t="n">
        <f t="shared" si="109"/>
        <v>1.3575291181364393</v>
      </c>
      <c r="L60" s="112" t="n">
        <f t="shared" si="109"/>
        <v>0.9862837971186106</v>
      </c>
      <c r="M60" s="112" t="n">
        <f t="shared" si="109"/>
        <v>0.9126642001289841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-0.03992753098795332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0.021885597790083366</v>
      </c>
    </row>
    <row r="65" spans="2:13">
      <c r="B65" s="10" t="s">
        <v>74</v>
      </c>
      <c r="C65" s="114"/>
      <c r="D65" s="121" t="n">
        <f>(M6/I6)^0.2 - 1</f>
        <v>0.0324001902474913</v>
      </c>
    </row>
    <row r="66" spans="2:13">
      <c r="B66" s="10" t="s">
        <v>84</v>
      </c>
      <c r="C66" s="114"/>
      <c r="D66" s="121" t="n">
        <f>(M6/D6)^0.1 - 1</f>
        <v>0.026359027299499793</v>
      </c>
    </row>
    <row r="67" spans="2:13">
      <c r="B67" s="10" t="s">
        <v>75</v>
      </c>
      <c r="C67" s="114"/>
      <c r="D67" s="121" t="n">
        <f>(M3/I3)^0.2 - 1</f>
        <v>0.030800890782184176</v>
      </c>
    </row>
    <row r="68" spans="2:13">
      <c r="B68" s="10" t="s">
        <v>85</v>
      </c>
      <c r="C68" s="114"/>
      <c r="D68" s="121" t="n">
        <f>(M3/D3)^0.1 - 1</f>
        <v>0.02903473209440066</v>
      </c>
    </row>
    <row r="69" spans="2:13">
      <c r="B69" s="10" t="s">
        <v>88</v>
      </c>
      <c r="C69" s="114"/>
      <c r="D69" s="121" t="n">
        <f>(M9/I9)^0.2 - 1</f>
        <v>0.021071661487346738</v>
      </c>
    </row>
    <row r="70" spans="2:13">
      <c r="B70" s="10" t="s">
        <v>89</v>
      </c>
      <c r="C70" s="114"/>
      <c r="D70" s="121" t="n">
        <f>(M9/D9)^0.2 - 1</f>
        <v>0.0791366117507597</v>
      </c>
    </row>
    <row r="71" spans="2:13">
      <c r="B71" s="10" t="s">
        <v>131</v>
      </c>
      <c r="D71" s="121" t="n">
        <f>(M23/I23)^0.2 - 1</f>
        <v>0.04235005800833136</v>
      </c>
    </row>
    <row r="72" spans="2:13">
      <c r="B72" s="10" t="s">
        <v>132</v>
      </c>
      <c r="D72" s="121" t="n">
        <f>AVERAGE(I24:M24)</f>
        <v>0.05490595081720538</v>
      </c>
    </row>
    <row r="73" spans="2:13">
      <c r="B73" s="10" t="s">
        <v>135</v>
      </c>
      <c r="D73" s="121" t="n">
        <f>AVERAGE(I55:M55)</f>
        <v>0.514786870714742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10.424093516124898</v>
      </c>
      <c r="E76" s="110" t="n">
        <f t="shared" si="110"/>
        <v>12.521671090381872</v>
      </c>
      <c r="F76" s="110" t="n">
        <f t="shared" si="110"/>
        <v>11.55002211211969</v>
      </c>
      <c r="G76" s="110" t="n">
        <f t="shared" si="110"/>
        <v>11.713217381451475</v>
      </c>
      <c r="H76" s="110" t="n">
        <f t="shared" si="110"/>
        <v>0.8264305194433672</v>
      </c>
      <c r="I76" s="110" t="n">
        <f t="shared" si="110"/>
        <v>10.001046066137532</v>
      </c>
      <c r="J76" s="110" t="n">
        <f t="shared" si="110"/>
        <v>9.585488942990464</v>
      </c>
      <c r="K76" s="110" t="n">
        <f t="shared" si="110"/>
        <v>8.413095932393336</v>
      </c>
      <c r="L76" s="110" t="n">
        <f t="shared" si="110"/>
        <v>11.47029414673274</v>
      </c>
      <c r="M76" s="110" t="n">
        <f t="shared" si="110"/>
        <v>9.574763312662105</v>
      </c>
    </row>
    <row r="77" spans="2:13">
      <c r="B77" s="10" t="s">
        <v>139</v>
      </c>
      <c r="C77" s="110">
        <v>0</v>
      </c>
      <c r="D77" s="110" t="n">
        <f t="shared" ref="D77:M77" si="111">100*D6/D44</f>
        <v>18.677163653059296</v>
      </c>
      <c r="E77" s="110" t="n">
        <f t="shared" si="111"/>
        <v>23.401479527468748</v>
      </c>
      <c r="F77" s="110" t="n">
        <f t="shared" si="111"/>
        <v>21.657062543921292</v>
      </c>
      <c r="G77" s="110" t="n">
        <f t="shared" si="111"/>
        <v>23.48831264733449</v>
      </c>
      <c r="H77" s="110" t="n">
        <f t="shared" si="111"/>
        <v>2.160904255319149</v>
      </c>
      <c r="I77" s="110" t="n">
        <f t="shared" si="111"/>
        <v>25.60081670906413</v>
      </c>
      <c r="J77" s="110" t="n">
        <f t="shared" si="111"/>
        <v>25.422474819660003</v>
      </c>
      <c r="K77" s="110" t="n">
        <f t="shared" si="111"/>
        <v>23.25294731186194</v>
      </c>
      <c r="L77" s="110" t="n">
        <f t="shared" si="111"/>
        <v>28.204747173175903</v>
      </c>
      <c r="M77" s="110" t="n">
        <f t="shared" si="111"/>
        <v>23.3594604447685</v>
      </c>
    </row>
    <row r="78" spans="2:13">
      <c r="B78" s="10" t="s">
        <v>140</v>
      </c>
      <c r="C78" s="110" t="n">
        <v>0.0</v>
      </c>
      <c r="D78" s="40" t="n">
        <v>16.389999389648438</v>
      </c>
      <c r="E78" s="40" t="n">
        <v>18.469999313354492</v>
      </c>
      <c r="F78" s="40" t="n">
        <v>17.549999237060547</v>
      </c>
      <c r="G78" s="40" t="n">
        <v>17.860000610351562</v>
      </c>
      <c r="H78" s="40" t="n">
        <v>1.690000057220459</v>
      </c>
      <c r="I78" s="40" t="n">
        <v>16.899999618530273</v>
      </c>
      <c r="J78" s="40" t="n">
        <v>17.010000228881836</v>
      </c>
      <c r="K78" s="40" t="n">
        <v>15.930000305175781</v>
      </c>
      <c r="L78" s="40" t="n">
        <v>20.350000381469727</v>
      </c>
      <c r="M78" s="40" t="n">
        <v>15.84000015258789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20.440000534057617</v>
      </c>
      <c r="E81" s="40" t="n">
        <v>17.309999465942383</v>
      </c>
      <c r="F81" s="40" t="n">
        <v>19.68000030517578</v>
      </c>
      <c r="G81" s="40" t="n">
        <v>20.209999084472656</v>
      </c>
      <c r="H81" s="40" t="n">
        <v>24.299999237060547</v>
      </c>
      <c r="I81" s="40" t="n">
        <v>218.72999572753906</v>
      </c>
      <c r="J81" s="40" t="n">
        <v>27.780000686645508</v>
      </c>
      <c r="K81" s="40" t="n">
        <v>24.75</v>
      </c>
      <c r="L81" s="40" t="n">
        <v>25.56999969482422</v>
      </c>
      <c r="M81" s="40" t="n">
        <v>24.600000381469727</v>
      </c>
    </row>
    <row r="82" spans="2:13">
      <c r="B82" s="122" t="s">
        <v>148</v>
      </c>
      <c r="C82" s="110" t="n">
        <v>0.0</v>
      </c>
      <c r="D82" s="40" t="n">
        <v>15.779999732971191</v>
      </c>
      <c r="E82" s="40" t="n">
        <v>16.459999084472656</v>
      </c>
      <c r="F82" s="40" t="n">
        <v>15.619999885559082</v>
      </c>
      <c r="G82" s="40" t="n">
        <v>19.059999465942383</v>
      </c>
      <c r="H82" s="40" t="n">
        <v>17.790000915527344</v>
      </c>
      <c r="I82" s="40" t="n">
        <v>15.979999542236328</v>
      </c>
      <c r="J82" s="40" t="n">
        <v>16.920000076293945</v>
      </c>
      <c r="K82" s="40" t="n">
        <v>19.469999313354492</v>
      </c>
      <c r="L82" s="40" t="n">
        <v>17.579999923706055</v>
      </c>
      <c r="M82" s="40" t="n">
        <v>21.850000381469727</v>
      </c>
    </row>
    <row r="83" spans="2:13">
      <c r="B83" s="122" t="s">
        <v>153</v>
      </c>
      <c r="C83" s="110" t="n">
        <v>4.300000190734863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2023-04-20T18:46:10Z</dcterms:modified>
</cp:coreProperties>
</file>