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<sst xmlns="http://schemas.openxmlformats.org/spreadsheetml/2006/main" count="228" uniqueCount="162">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</sst>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155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>
        <f>AVERAGE(L12:P12)</f>
        <v>12.627915107487613</v>
      </c>
      <c r="G12" s="119">
        <f>Financials!D76</f>
        <v>12.208915502328676</v>
      </c>
      <c r="H12" s="119">
        <f>Financials!E76</f>
        <v>7.094133697135061</v>
      </c>
      <c r="I12" s="119">
        <f>Financials!F76</f>
        <v>3.5406475658047984</v>
      </c>
      <c r="J12" s="119">
        <f>Financials!G76</f>
        <v>10.769414861792509</v>
      </c>
      <c r="K12" s="119">
        <f>Financials!H76</f>
        <v>8.8383308869784027</v>
      </c>
      <c r="L12" s="119">
        <f>Financials!I76</f>
        <v>12.960377966283689</v>
      </c>
      <c r="M12" s="119">
        <f>Financials!J76</f>
        <v>8.99113550021106</v>
      </c>
      <c r="N12" s="119">
        <f>Financials!K76</f>
        <v>18.195984966541388</v>
      </c>
      <c r="O12" s="119">
        <f>Financials!L76</f>
        <v>15.782881002087683</v>
      </c>
      <c r="P12" s="119">
        <f>Financials!M76</f>
        <v>7.2091961023142508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37.752844010696826</v>
      </c>
      <c r="G14" s="40">
        <f>Financials!D77</f>
        <v>40.792886254168209</v>
      </c>
      <c r="H14" s="40">
        <f>Financials!E77</f>
        <v>20.2729044834308</v>
      </c>
      <c r="I14" s="40">
        <f>Financials!F77</f>
        <v>10.745846588900672</v>
      </c>
      <c r="J14" s="40">
        <f>Financials!G77</f>
        <v>29.791459781529294</v>
      </c>
      <c r="K14" s="40">
        <f>Financials!H77</f>
        <v>25.553197938769323</v>
      </c>
      <c r="L14" s="40">
        <f>Financials!I77</f>
        <v>35.720627404557561</v>
      </c>
      <c r="M14" s="40">
        <f>Financials!J77</f>
        <v>29.399585921325052</v>
      </c>
      <c r="N14" s="40">
        <f>Financials!K77</f>
        <v>50.96277278562259</v>
      </c>
      <c r="O14" s="40">
        <f>Financials!L77</f>
        <v>41.657482918227906</v>
      </c>
      <c r="P14" s="40">
        <f>Financials!M77</f>
        <v>31.023751023751025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6.7012860661763346E-2</v>
      </c>
      <c r="F16" s="124">
        <f>AVERAGE(L16:P16)</f>
        <v>20.578000068664551</v>
      </c>
      <c r="G16" s="40">
        <f>Financials!D78</f>
        <v>22.989999771118164</v>
      </c>
      <c r="H16" s="40">
        <f>Financials!E78</f>
        <v>12.75</v>
      </c>
      <c r="I16" s="40">
        <f>Financials!F78</f>
        <v>6.8600001335144043</v>
      </c>
      <c r="J16" s="40">
        <f>Financials!G78</f>
        <v>18.329999923706055</v>
      </c>
      <c r="K16" s="40">
        <f>Financials!H78</f>
        <v>15.489999771118164</v>
      </c>
      <c r="L16" s="40">
        <f>Financials!I78</f>
        <v>19.989999771118164</v>
      </c>
      <c r="M16" s="40">
        <f>Financials!J78</f>
        <v>14.409999847412109</v>
      </c>
      <c r="N16" s="40">
        <f>Financials!K78</f>
        <v>29.430000305175781</v>
      </c>
      <c r="O16" s="40">
        <f>Financials!L78</f>
        <v>24.680000305175781</v>
      </c>
      <c r="P16" s="40">
        <f>Financials!M78</f>
        <v>14.380000114440918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>
        <f>AVERAGE(L18:P18)</f>
        <v>1.6488084753352059</v>
      </c>
      <c r="G18" s="42">
        <f>Financials!D59</f>
        <v>2.0595469255663432</v>
      </c>
      <c r="H18" s="42">
        <f>Financials!E59</f>
        <v>2.0164424514200299</v>
      </c>
      <c r="I18" s="42">
        <f>Financials!F59</f>
        <v>1.7980645161290323</v>
      </c>
      <c r="J18" s="42">
        <f>Financials!G59</f>
        <v>2.2952646239554317</v>
      </c>
      <c r="K18" s="42">
        <f>Financials!H59</f>
        <v>1.790891597177678</v>
      </c>
      <c r="L18" s="42">
        <f>Financials!I59</f>
        <v>1.615514333895447</v>
      </c>
      <c r="M18" s="42">
        <f>Financials!J59</f>
        <v>1.5763968072976056</v>
      </c>
      <c r="N18" s="42">
        <f>Financials!K59</f>
        <v>1.9072478459199189</v>
      </c>
      <c r="O18" s="42">
        <f>Financials!L59</f>
        <v>1.5197604790419161</v>
      </c>
      <c r="P18" s="42">
        <f>Financials!M59</f>
        <v>1.6251229105211407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>
        <f>AVERAGE(L20:P20)</f>
        <v>2.1539039125615993</v>
      </c>
      <c r="G20" s="42">
        <f>Financials!D58</f>
        <v>2.341237495368655</v>
      </c>
      <c r="H20" s="42">
        <f>Financials!E58</f>
        <v>1.8576998050682261</v>
      </c>
      <c r="I20" s="42">
        <f>Financials!F58</f>
        <v>2.0349946977730649</v>
      </c>
      <c r="J20" s="42">
        <f>Financials!G58</f>
        <v>1.7663025488248925</v>
      </c>
      <c r="K20" s="42">
        <f>Financials!H58</f>
        <v>1.8911791451955138</v>
      </c>
      <c r="L20" s="42">
        <f>Financials!I58</f>
        <v>1.7561408700799053</v>
      </c>
      <c r="M20" s="42">
        <f>Financials!J58</f>
        <v>2.2698412698412698</v>
      </c>
      <c r="N20" s="42">
        <f>Financials!K58</f>
        <v>1.8007702182284981</v>
      </c>
      <c r="O20" s="42">
        <f>Financials!L58</f>
        <v>1.6394093013004187</v>
      </c>
      <c r="P20" s="42">
        <f>Financials!M58</f>
        <v>3.3033579033579032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">
        <v>97</v>
      </c>
      <c r="E22" s="49" t="s">
        <v>161</v>
      </c>
      <c r="F22" s="125">
        <f>AVERAGE(L22:P22)</f>
        <v>3.2730053443271787</v>
      </c>
      <c r="G22" s="42">
        <f>Financials!D60</f>
        <v>1.5801860974274768</v>
      </c>
      <c r="H22" s="42">
        <f>Financials!E60</f>
        <v>2.4488636363636362</v>
      </c>
      <c r="I22" s="42">
        <f>Financials!F60</f>
        <v>3.5820029027576199</v>
      </c>
      <c r="J22" s="42">
        <f>Financials!G60</f>
        <v>2.3515052888527257</v>
      </c>
      <c r="K22" s="42">
        <f>Financials!H60</f>
        <v>2.8406169665809768</v>
      </c>
      <c r="L22" s="42">
        <f>Financials!I60</f>
        <v>1.7647058823529411</v>
      </c>
      <c r="M22" s="42">
        <f>Financials!J60</f>
        <v>2.8647058823529412</v>
      </c>
      <c r="N22" s="42">
        <f>Financials!K60</f>
        <v>3.1637254901960783</v>
      </c>
      <c r="O22" s="42">
        <f>Financials!L60</f>
        <v>1.3666092943201378</v>
      </c>
      <c r="P22" s="42">
        <f>Financials!M60</f>
        <v>7.2052801724137927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159.33399963378906</v>
      </c>
      <c r="H24" s="40">
        <f>Financials!E12</f>
        <v>156.16700744628906</v>
      </c>
      <c r="I24" s="40">
        <f>Financials!F12</f>
        <v>152.28799438476563</v>
      </c>
      <c r="J24" s="40">
        <f>Financials!G12</f>
        <v>145.66799926757813</v>
      </c>
      <c r="K24" s="40">
        <f>Financials!H12</f>
        <v>138.31700134277344</v>
      </c>
      <c r="L24" s="40">
        <f>Financials!I12</f>
        <v>135.41700744628906</v>
      </c>
      <c r="M24" s="40">
        <f>Financials!J12</f>
        <v>124.65200042724609</v>
      </c>
      <c r="N24" s="40">
        <f>Financials!K12</f>
        <v>118.48100280761719</v>
      </c>
      <c r="O24" s="40">
        <f>Financials!L12</f>
        <v>112.08399963378906</v>
      </c>
      <c r="P24" s="40">
        <f>Financials!M12</f>
        <v>109.23500061035156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156</v>
      </c>
      <c r="F26" s="57">
        <f>AVERAGEIF(L26:P26,"&lt;100")</f>
        <v>13.193999671936036</v>
      </c>
      <c r="G26" s="44">
        <f>Financials!D81</f>
        <v>17.280000686645508</v>
      </c>
      <c r="H26" s="44">
        <f>Financials!E81</f>
        <v>6.9099998474121094</v>
      </c>
      <c r="I26" s="44">
        <f>Financials!F81</f>
        <v>19.739999771118164</v>
      </c>
      <c r="J26" s="44">
        <f>Financials!G81</f>
        <v>25.079999923706055</v>
      </c>
      <c r="K26" s="44">
        <f>Financials!H81</f>
        <v>18.399999618530273</v>
      </c>
      <c r="L26" s="44">
        <f>Financials!I81</f>
        <v>9.2899999618530273</v>
      </c>
      <c r="M26" s="44">
        <f>Financials!J81</f>
        <v>16.959999084472656</v>
      </c>
      <c r="N26" s="44">
        <f>Financials!K81</f>
        <v>26.139999389648438</v>
      </c>
      <c r="O26" s="44">
        <f>Financials!L81</f>
        <v>6.8400001525878906</v>
      </c>
      <c r="P26" s="44">
        <f>Financials!M81</f>
        <v>6.7399997711181641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157</v>
      </c>
      <c r="F28" s="57">
        <f>AVERAGEIF(L28:P28, "&lt;100")</f>
        <v>10.134000015258788</v>
      </c>
      <c r="G28" s="44">
        <f>Financials!D82</f>
        <v>13.220000267028809</v>
      </c>
      <c r="H28" s="44">
        <f>Financials!E82</f>
        <v>9.8900003433227539</v>
      </c>
      <c r="I28" s="44">
        <f>Financials!F82</f>
        <v>11.619999885559082</v>
      </c>
      <c r="J28" s="44">
        <f>Financials!G82</f>
        <v>10.770000457763672</v>
      </c>
      <c r="K28" s="44">
        <f>Financials!H82</f>
        <v>21.469999313354492</v>
      </c>
      <c r="L28" s="44">
        <f>Financials!I82</f>
        <v>9.7899999618530273</v>
      </c>
      <c r="M28" s="44">
        <f>Financials!J82</f>
        <v>10.529999732971191</v>
      </c>
      <c r="N28" s="44">
        <f>Financials!K82</f>
        <v>11.140000343322754</v>
      </c>
      <c r="O28" s="44">
        <f>Financials!L82</f>
        <v>13.199999809265137</v>
      </c>
      <c r="P28" s="44">
        <f>Financials!M82</f>
        <v>6.0100002288818359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4.0799999237060547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8.850937908362333E-3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0.12729866966655456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1.9761874665831902E-2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3.154636820357215E-3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9.4295317596001293E-2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5.574556466676106E-2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6.2160899259970703E-2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4.0394433568632371E-2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0.25475510338889701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1.1858265422722392E-2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4.488746211257684E-2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5.6745727535299231E-2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12.069999694824219</v>
      </c>
    </row>
    <row r="6" spans="2:16">
      <c r="B6" s="4" t="s">
        <v>5</v>
      </c>
      <c r="C6" s="59">
        <v>4068000</v>
      </c>
    </row>
    <row r="7" spans="2:16">
      <c r="B7" s="4" t="s">
        <v>4</v>
      </c>
      <c r="C7" s="59">
        <v>16099000</v>
      </c>
    </row>
    <row r="8" spans="2:16">
      <c r="B8" s="4" t="s">
        <v>3</v>
      </c>
      <c r="C8" s="59">
        <v>405000</v>
      </c>
    </row>
    <row r="9" spans="2:16">
      <c r="B9" s="10" t="s">
        <v>6</v>
      </c>
      <c r="C9" s="59">
        <v>1421000</v>
      </c>
    </row>
    <row r="10" spans="2:16">
      <c r="B10" s="10" t="s">
        <v>7</v>
      </c>
      <c r="C10" s="59">
        <v>-489000</v>
      </c>
    </row>
    <row r="11" spans="2:16">
      <c r="B11" s="10" t="s">
        <v>9</v>
      </c>
      <c r="C11" s="60">
        <v>1.2999999523162842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20167000</v>
      </c>
    </row>
    <row r="18" spans="2:15" ht="18" thickTop="1" thickBot="1">
      <c r="B18" s="2" t="s">
        <v>20</v>
      </c>
      <c r="C18" s="12">
        <f>C8/C17</f>
        <v>2.0082312689046464E-2</v>
      </c>
    </row>
    <row r="19" spans="2:15" ht="18" thickTop="1" thickBot="1">
      <c r="B19" s="2" t="s">
        <v>19</v>
      </c>
      <c r="C19" s="12">
        <f>C14+C11*(C15-C14)</f>
        <v>0.14609999585151673</v>
      </c>
    </row>
    <row r="20" spans="2:15" ht="18" thickTop="1" thickBot="1">
      <c r="B20" s="2" t="s">
        <v>18</v>
      </c>
      <c r="C20" s="12">
        <f>C8/C17</f>
        <v>2.0082312689046464E-2</v>
      </c>
      <c r="K20" t="s">
        <v>17</v>
      </c>
    </row>
    <row r="21" spans="2:15" ht="18" thickTop="1" thickBot="1">
      <c r="B21" s="16" t="s">
        <v>22</v>
      </c>
      <c r="C21" s="11">
        <f>C17+C5*1000000</f>
        <v>32236999.694824219</v>
      </c>
      <c r="K21" t="s">
        <v>11</v>
      </c>
    </row>
    <row r="22" spans="2:15" ht="18" thickTop="1" thickBot="1">
      <c r="B22" s="2" t="s">
        <v>23</v>
      </c>
      <c r="C22" s="12">
        <f>C5*1000000/C21</f>
        <v>0.37441448674152222</v>
      </c>
      <c r="K22" t="s">
        <v>12</v>
      </c>
    </row>
    <row r="23" spans="2:15" ht="18" thickTop="1" thickBot="1">
      <c r="B23" s="16" t="s">
        <v>24</v>
      </c>
      <c r="C23" s="12">
        <f>C17/C21</f>
        <v>0.62558551325847778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6.7012860661763346E-2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6.7012860661763346E-2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3.5000000149011612E-2</v>
      </c>
    </row>
    <row r="7" spans="2:12">
      <c r="B7" s="18" t="s">
        <v>31</v>
      </c>
      <c r="C7" s="13">
        <f>AVERAGEIF(C28:L28, "&lt;0.5")</f>
        <v>0.16909476964430609</v>
      </c>
    </row>
    <row r="8" spans="2:12">
      <c r="B8" s="18" t="s">
        <v>112</v>
      </c>
      <c r="C8" s="13">
        <f>AVERAGEIF(C29:L29,"&lt;2")</f>
        <v>0.74178682293885234</v>
      </c>
    </row>
    <row r="9" spans="2:12">
      <c r="B9" s="18" t="s">
        <v>136</v>
      </c>
      <c r="C9" s="66">
        <v>11.770000457763672</v>
      </c>
    </row>
    <row r="10" spans="2:12">
      <c r="B10" s="18" t="s">
        <v>100</v>
      </c>
      <c r="C10" s="67">
        <v>2.9999999329447746E-2</v>
      </c>
    </row>
    <row r="11" spans="2:12">
      <c r="B11" s="18" t="s">
        <v>44</v>
      </c>
      <c r="C11" s="59">
        <v>108474128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6510</v>
      </c>
      <c r="D16" s="21">
        <f>Financials!E3</f>
        <v>6802</v>
      </c>
      <c r="E16" s="21">
        <f>Financials!F3</f>
        <v>5674</v>
      </c>
      <c r="F16" s="21">
        <f>Financials!G3</f>
        <v>5389</v>
      </c>
      <c r="G16" s="21">
        <f>Financials!H3</f>
        <v>6140</v>
      </c>
      <c r="H16" s="21">
        <f>Financials!I3</f>
        <v>7155</v>
      </c>
      <c r="I16" s="21">
        <f>Financials!J3</f>
        <v>6297</v>
      </c>
      <c r="J16" s="21">
        <f>Financials!K3</f>
        <v>5655</v>
      </c>
      <c r="K16" s="21">
        <f>Financials!L3</f>
        <v>8537</v>
      </c>
      <c r="L16" s="21">
        <f>Financials!M3</f>
        <v>9673</v>
      </c>
    </row>
    <row r="17" spans="2:12">
      <c r="B17" s="18" t="s">
        <v>27</v>
      </c>
      <c r="C17" s="22"/>
      <c r="D17" s="20">
        <f t="shared" ref="D17:L17" si="0">(D16-C16)/C16</f>
        <v>4.4854070660522272E-2</v>
      </c>
      <c r="E17" s="20">
        <f t="shared" si="0"/>
        <v>-0.16583357835930609</v>
      </c>
      <c r="F17" s="20">
        <f t="shared" si="0"/>
        <v>-5.0229115262601341E-2</v>
      </c>
      <c r="G17" s="20">
        <f t="shared" si="0"/>
        <v>0.13935795138244572</v>
      </c>
      <c r="H17" s="20">
        <f t="shared" si="0"/>
        <v>0.16530944625407165</v>
      </c>
      <c r="I17" s="20">
        <f t="shared" si="0"/>
        <v>-0.119916142557652</v>
      </c>
      <c r="J17" s="20">
        <f t="shared" si="0"/>
        <v>-0.10195331110052405</v>
      </c>
      <c r="K17" s="20">
        <f t="shared" si="0"/>
        <v>0.50963748894783378</v>
      </c>
      <c r="L17" s="20">
        <f t="shared" si="0"/>
        <v>0.13306782242005388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1101</v>
      </c>
      <c r="D19" s="21">
        <f>Financials!E6</f>
        <v>624</v>
      </c>
      <c r="E19" s="21">
        <f>Financials!F6</f>
        <v>304</v>
      </c>
      <c r="F19" s="21">
        <f>Financials!G6</f>
        <v>900</v>
      </c>
      <c r="G19" s="21">
        <f>Financials!H6</f>
        <v>843</v>
      </c>
      <c r="H19" s="21">
        <f>Financials!I6</f>
        <v>1207</v>
      </c>
      <c r="I19" s="21">
        <f>Financials!J6</f>
        <v>852</v>
      </c>
      <c r="J19" s="21">
        <f>Financials!K6</f>
        <v>1985</v>
      </c>
      <c r="K19" s="21">
        <f>Financials!L6</f>
        <v>1890</v>
      </c>
      <c r="L19" s="21">
        <f>Financials!M6</f>
        <v>1894</v>
      </c>
    </row>
    <row r="20" spans="2:12">
      <c r="B20" s="18" t="s">
        <v>27</v>
      </c>
      <c r="C20" s="22"/>
      <c r="D20" s="20">
        <f>(D19-C19)/C19</f>
        <v>-0.43324250681198911</v>
      </c>
      <c r="E20" s="20">
        <f t="shared" ref="E20:L20" si="1">(E19-D19)/D19</f>
        <v>-0.51282051282051277</v>
      </c>
      <c r="F20" s="20">
        <f t="shared" si="1"/>
        <v>1.9605263157894737</v>
      </c>
      <c r="G20" s="20">
        <f t="shared" si="1"/>
        <v>-6.3333333333333339E-2</v>
      </c>
      <c r="H20" s="20">
        <f t="shared" si="1"/>
        <v>0.43179122182680901</v>
      </c>
      <c r="I20" s="20">
        <f t="shared" si="1"/>
        <v>-0.29411764705882354</v>
      </c>
      <c r="J20" s="20">
        <f t="shared" si="1"/>
        <v>1.32981220657277</v>
      </c>
      <c r="K20" s="20">
        <f t="shared" si="1"/>
        <v>-4.7858942065491183E-2</v>
      </c>
      <c r="L20" s="20">
        <f t="shared" si="1"/>
        <v>2.1164021164021165E-3</v>
      </c>
    </row>
    <row r="22" spans="2:12">
      <c r="B22" s="18" t="s">
        <v>30</v>
      </c>
      <c r="C22" s="25">
        <f>Financials!D20</f>
        <v>385</v>
      </c>
      <c r="D22" s="25">
        <f>Financials!E20</f>
        <v>284</v>
      </c>
      <c r="E22" s="25">
        <f>Financials!F20</f>
        <v>342</v>
      </c>
      <c r="F22" s="25">
        <f>Financials!G20</f>
        <v>647</v>
      </c>
      <c r="G22" s="25">
        <f>Financials!H20</f>
        <v>536</v>
      </c>
      <c r="H22" s="25">
        <f>Financials!I20</f>
        <v>1221</v>
      </c>
      <c r="I22" s="25">
        <f>Financials!J20</f>
        <v>1084</v>
      </c>
      <c r="J22" s="25">
        <f>Financials!K20</f>
        <v>979</v>
      </c>
      <c r="K22" s="25">
        <f>Financials!L20</f>
        <v>1290</v>
      </c>
      <c r="L22" s="25">
        <f>Financials!M20</f>
        <v>1276</v>
      </c>
    </row>
    <row r="23" spans="2:12">
      <c r="B23" s="18" t="s">
        <v>27</v>
      </c>
      <c r="C23" s="26"/>
      <c r="D23" s="26">
        <f>(D22-C22)/C22</f>
        <v>-0.26233766233766231</v>
      </c>
      <c r="E23" s="26">
        <f t="shared" ref="E23:L23" si="2">(E22-D22)/D22</f>
        <v>0.20422535211267606</v>
      </c>
      <c r="F23" s="26">
        <f t="shared" si="2"/>
        <v>0.89181286549707606</v>
      </c>
      <c r="G23" s="26">
        <f t="shared" si="2"/>
        <v>-0.17156105100463678</v>
      </c>
      <c r="H23" s="26">
        <f t="shared" si="2"/>
        <v>1.2779850746268657</v>
      </c>
      <c r="I23" s="26">
        <f t="shared" si="2"/>
        <v>-0.1122031122031122</v>
      </c>
      <c r="J23" s="26">
        <f t="shared" si="2"/>
        <v>-9.6863468634686353E-2</v>
      </c>
      <c r="K23" s="26">
        <f t="shared" si="2"/>
        <v>0.31767109295199181</v>
      </c>
      <c r="L23" s="26">
        <f t="shared" si="2"/>
        <v>-1.0852713178294573E-2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1827</v>
      </c>
      <c r="D25" s="62">
        <f>Financials!E9</f>
        <v>1056</v>
      </c>
      <c r="E25" s="62">
        <f>Financials!F9</f>
        <v>689</v>
      </c>
      <c r="F25" s="62">
        <f>Financials!G9</f>
        <v>1229</v>
      </c>
      <c r="G25" s="62">
        <f>Financials!H9</f>
        <v>1167</v>
      </c>
      <c r="H25" s="62">
        <f>Financials!I9</f>
        <v>1683</v>
      </c>
      <c r="I25" s="62">
        <f>Financials!J9</f>
        <v>1190</v>
      </c>
      <c r="J25" s="62">
        <f>Financials!K9</f>
        <v>1020</v>
      </c>
      <c r="K25" s="62">
        <f>Financials!L9</f>
        <v>2324</v>
      </c>
      <c r="L25" s="62">
        <f>Financials!M9</f>
        <v>1856</v>
      </c>
    </row>
    <row r="26" spans="2:12">
      <c r="B26" s="18" t="s">
        <v>27</v>
      </c>
      <c r="C26" s="63"/>
      <c r="D26" s="63">
        <f>Financials!E10</f>
        <v>-0.42200328407224957</v>
      </c>
      <c r="E26" s="63">
        <f>Financials!F10</f>
        <v>-0.34753787878787878</v>
      </c>
      <c r="F26" s="63">
        <f>Financials!G10</f>
        <v>0.78374455732946302</v>
      </c>
      <c r="G26" s="63">
        <f>Financials!H10</f>
        <v>-5.0447518307567128E-2</v>
      </c>
      <c r="H26" s="63">
        <f>Financials!I10</f>
        <v>0.44215938303341901</v>
      </c>
      <c r="I26" s="63">
        <f>Financials!J10</f>
        <v>-0.29292929292929293</v>
      </c>
      <c r="J26" s="63">
        <f>Financials!K10</f>
        <v>-0.14285714285714285</v>
      </c>
      <c r="K26" s="63">
        <f>Financials!L10</f>
        <v>1.2784313725490195</v>
      </c>
      <c r="L26" s="63">
        <f>Financials!M10</f>
        <v>-0.20137693631669534</v>
      </c>
    </row>
    <row r="28" spans="2:12" ht="15" thickBot="1">
      <c r="B28" s="1" t="s">
        <v>31</v>
      </c>
      <c r="C28" s="24">
        <f t="shared" ref="C28:L28" si="3">C19/C16</f>
        <v>0.16912442396313365</v>
      </c>
      <c r="D28" s="24">
        <f t="shared" si="3"/>
        <v>9.1737724198765067E-2</v>
      </c>
      <c r="E28" s="24">
        <f t="shared" si="3"/>
        <v>5.3577722946774764E-2</v>
      </c>
      <c r="F28" s="24">
        <f t="shared" si="3"/>
        <v>0.16700686583781776</v>
      </c>
      <c r="G28" s="24">
        <f t="shared" si="3"/>
        <v>0.13729641693811076</v>
      </c>
      <c r="H28" s="24">
        <f t="shared" si="3"/>
        <v>0.16869322152341021</v>
      </c>
      <c r="I28" s="24">
        <f t="shared" si="3"/>
        <v>0.13530252501191042</v>
      </c>
      <c r="J28" s="24">
        <f t="shared" si="3"/>
        <v>0.35101679929266139</v>
      </c>
      <c r="K28" s="24">
        <f t="shared" si="3"/>
        <v>0.22138924680801217</v>
      </c>
      <c r="L28" s="24">
        <f t="shared" si="3"/>
        <v>0.1958027499224646</v>
      </c>
    </row>
    <row r="29" spans="2:12" ht="15" thickBot="1">
      <c r="B29" s="1" t="s">
        <v>32</v>
      </c>
      <c r="C29" s="24">
        <f t="shared" ref="C29:L29" si="4">C22/C19</f>
        <v>0.34968210717529519</v>
      </c>
      <c r="D29" s="24">
        <f t="shared" si="4"/>
        <v>0.45512820512820512</v>
      </c>
      <c r="E29" s="24">
        <f t="shared" si="4"/>
        <v>1.125</v>
      </c>
      <c r="F29" s="24">
        <f t="shared" si="4"/>
        <v>0.71888888888888891</v>
      </c>
      <c r="G29" s="24">
        <f t="shared" si="4"/>
        <v>0.63582443653618026</v>
      </c>
      <c r="H29" s="24">
        <f t="shared" si="4"/>
        <v>1.0115990057995028</v>
      </c>
      <c r="I29" s="24">
        <f t="shared" si="4"/>
        <v>1.272300469483568</v>
      </c>
      <c r="J29" s="24">
        <f t="shared" si="4"/>
        <v>0.49319899244332494</v>
      </c>
      <c r="K29" s="24">
        <f t="shared" si="4"/>
        <v>0.68253968253968256</v>
      </c>
      <c r="L29" s="24">
        <f t="shared" si="4"/>
        <v>0.67370644139387537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11932.612853273749</v>
      </c>
      <c r="D36" s="21">
        <f>C36*(D37+1)</f>
        <v>12505.378275209563</v>
      </c>
      <c r="E36" s="21">
        <f>D36*(E37+1)</f>
        <v>12920.556827461727</v>
      </c>
      <c r="F36" s="21">
        <f t="shared" ref="F36:L36" si="5">E36*(F37+1)</f>
        <v>13372.7763183482</v>
      </c>
      <c r="G36" s="21">
        <f t="shared" si="5"/>
        <v>13840.823491483086</v>
      </c>
      <c r="H36" s="21">
        <f t="shared" si="5"/>
        <v>14325.252315747437</v>
      </c>
      <c r="I36" s="21">
        <f t="shared" si="5"/>
        <v>14826.636148933227</v>
      </c>
      <c r="J36" s="21">
        <f t="shared" si="5"/>
        <v>15345.568416355231</v>
      </c>
      <c r="K36" s="21">
        <f t="shared" si="5"/>
        <v>15882.663313214331</v>
      </c>
      <c r="L36" s="21">
        <f t="shared" si="5"/>
        <v>16438.556531543534</v>
      </c>
    </row>
    <row r="37" spans="2:12">
      <c r="B37" s="18" t="s">
        <v>27</v>
      </c>
      <c r="C37" s="68">
        <v>0.23360000550746918</v>
      </c>
      <c r="D37" s="68">
        <v>4.8000000417232513E-2</v>
      </c>
      <c r="E37" s="68">
        <v>3.319999948143959E-2</v>
      </c>
      <c r="F37" s="27">
        <f>C6</f>
        <v>3.5000000149011612E-2</v>
      </c>
      <c r="G37" s="27">
        <f>C6</f>
        <v>3.5000000149011612E-2</v>
      </c>
      <c r="H37" s="27">
        <f>C6</f>
        <v>3.5000000149011612E-2</v>
      </c>
      <c r="I37" s="27">
        <f>C6</f>
        <v>3.5000000149011612E-2</v>
      </c>
      <c r="J37" s="27">
        <f>C6</f>
        <v>3.5000000149011612E-2</v>
      </c>
      <c r="K37" s="27">
        <f>C6</f>
        <v>3.5000000149011612E-2</v>
      </c>
      <c r="L37" s="27">
        <f>C6</f>
        <v>3.5000000149011612E-2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2017.7424216790107</v>
      </c>
      <c r="D39" s="21">
        <f>D36*C7</f>
        <v>2114.5940587614709</v>
      </c>
      <c r="E39" s="21">
        <f>E36*C7</f>
        <v>2184.798580415807</v>
      </c>
      <c r="F39" s="21">
        <f>F36*C7</f>
        <v>2261.2665310559205</v>
      </c>
      <c r="G39" s="21">
        <f>G36*C7</f>
        <v>2340.4108599798328</v>
      </c>
      <c r="H39" s="21">
        <f>H36*C7</f>
        <v>2422.3252404278751</v>
      </c>
      <c r="I39" s="21">
        <f>I36*C7</f>
        <v>2507.1066242038055</v>
      </c>
      <c r="J39" s="21">
        <f>J36*C7</f>
        <v>2594.8553564245267</v>
      </c>
      <c r="K39" s="21">
        <f>K36*C7</f>
        <v>2685.6752942860485</v>
      </c>
      <c r="L39" s="21">
        <f>L36*C7</f>
        <v>2779.673929986257</v>
      </c>
    </row>
    <row r="40" spans="2:12">
      <c r="B40" s="18"/>
      <c r="C40" s="20">
        <f>(C39-L19)/L19</f>
        <v>6.5333907961462878E-2</v>
      </c>
      <c r="D40" s="20">
        <f>(D39-C39)/C39</f>
        <v>4.80000004172325E-2</v>
      </c>
      <c r="E40" s="20">
        <f t="shared" ref="E40:L40" si="6">(E39-D39)/D39</f>
        <v>3.319999948143959E-2</v>
      </c>
      <c r="F40" s="20">
        <f t="shared" si="6"/>
        <v>3.5000000149011556E-2</v>
      </c>
      <c r="G40" s="20">
        <f t="shared" si="6"/>
        <v>3.5000000149011674E-2</v>
      </c>
      <c r="H40" s="20">
        <f t="shared" si="6"/>
        <v>3.5000000149011494E-2</v>
      </c>
      <c r="I40" s="20">
        <f t="shared" si="6"/>
        <v>3.5000000149011688E-2</v>
      </c>
      <c r="J40" s="20">
        <f t="shared" si="6"/>
        <v>3.5000000149011612E-2</v>
      </c>
      <c r="K40" s="20">
        <f t="shared" si="6"/>
        <v>3.5000000149011529E-2</v>
      </c>
      <c r="L40" s="20">
        <f t="shared" si="6"/>
        <v>3.5000000149011619E-2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1496.7347404862194</v>
      </c>
      <c r="D42" s="21">
        <f>D39*C8</f>
        <v>1568.5780086540444</v>
      </c>
      <c r="E42" s="21">
        <f>E39*C8</f>
        <v>1620.6547977279563</v>
      </c>
      <c r="F42" s="21">
        <f>F39*C8</f>
        <v>1677.3777158899309</v>
      </c>
      <c r="G42" s="21">
        <f>G39*C8</f>
        <v>1736.0859361960274</v>
      </c>
      <c r="H42" s="21">
        <f>H39*C8</f>
        <v>1796.848944221585</v>
      </c>
      <c r="I42" s="21">
        <f>I39*C8</f>
        <v>1859.7386575370922</v>
      </c>
      <c r="J42" s="21">
        <f>J39*C8</f>
        <v>1924.8295108280129</v>
      </c>
      <c r="K42" s="21">
        <f>K39*C8</f>
        <v>1992.1985439938153</v>
      </c>
      <c r="L42" s="21">
        <f>L39*C8</f>
        <v>2061.9254933304596</v>
      </c>
    </row>
    <row r="43" spans="2:12">
      <c r="B43" s="18" t="s">
        <v>27</v>
      </c>
      <c r="C43" s="20">
        <f>(C42-L22)/L22</f>
        <v>0.1729896085315199</v>
      </c>
      <c r="D43" s="20">
        <f>(D42-C42)/C42</f>
        <v>4.800000041723259E-2</v>
      </c>
      <c r="E43" s="20">
        <f t="shared" ref="E43:L43" si="7">(E42-D42)/D42</f>
        <v>3.3199999481439618E-2</v>
      </c>
      <c r="F43" s="20">
        <f t="shared" si="7"/>
        <v>3.5000000149011438E-2</v>
      </c>
      <c r="G43" s="20">
        <f t="shared" si="7"/>
        <v>3.5000000149011744E-2</v>
      </c>
      <c r="H43" s="20">
        <f t="shared" si="7"/>
        <v>3.5000000149011432E-2</v>
      </c>
      <c r="I43" s="20">
        <f t="shared" si="7"/>
        <v>3.5000000149011785E-2</v>
      </c>
      <c r="J43" s="20">
        <f t="shared" si="7"/>
        <v>3.5000000149011501E-2</v>
      </c>
      <c r="K43" s="20">
        <f t="shared" si="7"/>
        <v>3.5000000149011626E-2</v>
      </c>
      <c r="L43" s="20">
        <f t="shared" si="7"/>
        <v>3.5000000149011654E-2</v>
      </c>
    </row>
    <row r="45" spans="2:12">
      <c r="B45" s="18" t="s">
        <v>47</v>
      </c>
      <c r="C45" s="21">
        <f>L25*(1+C46)</f>
        <v>1911.679998755455</v>
      </c>
      <c r="D45" s="21">
        <f>C45*(1+D46)</f>
        <v>1969.0303974362373</v>
      </c>
      <c r="E45" s="21">
        <f t="shared" ref="E45:L45" si="8">D45*(1+E46)</f>
        <v>2028.1013080389866</v>
      </c>
      <c r="F45" s="21">
        <f t="shared" si="8"/>
        <v>2088.9443459202084</v>
      </c>
      <c r="G45" s="21">
        <f t="shared" si="8"/>
        <v>2151.6126748970682</v>
      </c>
      <c r="H45" s="21">
        <f t="shared" si="8"/>
        <v>2216.1610537012116</v>
      </c>
      <c r="I45" s="21">
        <f t="shared" si="8"/>
        <v>2282.645883826196</v>
      </c>
      <c r="J45" s="21">
        <f t="shared" si="8"/>
        <v>2351.1252588103484</v>
      </c>
      <c r="K45" s="21">
        <f t="shared" si="8"/>
        <v>2421.6590149981066</v>
      </c>
      <c r="L45" s="21">
        <f t="shared" si="8"/>
        <v>2494.3087838242009</v>
      </c>
    </row>
    <row r="46" spans="2:12">
      <c r="B46" s="18" t="s">
        <v>27</v>
      </c>
      <c r="C46" s="20">
        <f>C10</f>
        <v>2.9999999329447746E-2</v>
      </c>
      <c r="D46" s="20">
        <f>C10</f>
        <v>2.9999999329447746E-2</v>
      </c>
      <c r="E46" s="20">
        <f>C10</f>
        <v>2.9999999329447746E-2</v>
      </c>
      <c r="F46" s="20">
        <f>C10</f>
        <v>2.9999999329447746E-2</v>
      </c>
      <c r="G46" s="20">
        <f>C10</f>
        <v>2.9999999329447746E-2</v>
      </c>
      <c r="H46" s="20">
        <f>C10</f>
        <v>2.9999999329447746E-2</v>
      </c>
      <c r="I46" s="20">
        <f>C10</f>
        <v>2.9999999329447746E-2</v>
      </c>
      <c r="J46" s="20">
        <f>C10</f>
        <v>2.9999999329447746E-2</v>
      </c>
      <c r="K46" s="20">
        <f>C10</f>
        <v>2.9999999329447746E-2</v>
      </c>
      <c r="L46" s="20">
        <f>C10</f>
        <v>2.9999999329447746E-2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1.0670128606617633</v>
      </c>
      <c r="D51" s="61">
        <f>POWER((1+C4),2)</f>
        <v>1.1385164448175995</v>
      </c>
      <c r="E51" s="61">
        <f>POWER((1+C4),3)</f>
        <v>1.2148116886952873</v>
      </c>
      <c r="F51" s="61">
        <f>POWER((1+C4),4)</f>
        <v>1.2962196951201062</v>
      </c>
      <c r="G51" s="61">
        <f>POWER((1+C4),5)</f>
        <v>1.383083084936223</v>
      </c>
      <c r="H51" s="61">
        <f>POWER((1+C4),6)</f>
        <v>1.4757674389906961</v>
      </c>
      <c r="I51" s="61">
        <f>POWER((1+C4),7)</f>
        <v>1.5746628367489466</v>
      </c>
      <c r="J51" s="61">
        <f>POWER((1+C4),8)</f>
        <v>1.680185498017261</v>
      </c>
      <c r="K51" s="61">
        <f>POWER((1+C4),9)</f>
        <v>1.792779534681807</v>
      </c>
      <c r="L51" s="61">
        <f>POWER((1+C4),10)</f>
        <v>1.9129188198367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1402.7335523940562</v>
      </c>
      <c r="D53" s="21">
        <f t="shared" si="9"/>
        <v>1377.7385612601711</v>
      </c>
      <c r="E53" s="21">
        <f t="shared" si="9"/>
        <v>1334.0790287164145</v>
      </c>
      <c r="F53" s="21">
        <f t="shared" si="9"/>
        <v>1294.0535637629755</v>
      </c>
      <c r="G53" s="21">
        <f t="shared" si="9"/>
        <v>1255.2289555880745</v>
      </c>
      <c r="H53" s="21">
        <f t="shared" si="9"/>
        <v>1217.5691757032412</v>
      </c>
      <c r="I53" s="21">
        <f t="shared" si="9"/>
        <v>1181.0392765582212</v>
      </c>
      <c r="J53" s="21">
        <f t="shared" si="9"/>
        <v>1145.605359110318</v>
      </c>
      <c r="K53" s="21">
        <f t="shared" si="9"/>
        <v>1111.2345413667399</v>
      </c>
      <c r="L53" s="21">
        <f t="shared" si="9"/>
        <v>1077.8949278707394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2.0411089821676813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26297.716548329321</v>
      </c>
    </row>
    <row r="60" spans="2:12" ht="15" thickBot="1">
      <c r="B60" s="5" t="s">
        <v>41</v>
      </c>
      <c r="C60" s="23">
        <f>C59/C55</f>
        <v>12884.033522012549</v>
      </c>
    </row>
    <row r="61" spans="2:12" ht="15" thickTop="1"/>
    <row r="62" spans="2:12" ht="14.5" customHeight="1" thickBot="1">
      <c r="B62" s="3" t="s">
        <v>43</v>
      </c>
      <c r="C62" s="71">
        <f>(SUM(C53:L53)+C59)</f>
        <v>38694.893490660274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356.72002351252161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29358.015527414791</v>
      </c>
    </row>
    <row r="70" spans="2:12" ht="15" thickBot="1">
      <c r="B70" s="5" t="s">
        <v>41</v>
      </c>
      <c r="C70" s="23">
        <f>C69/C55</f>
        <v>14383.365015735828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26780.54195806678</v>
      </c>
    </row>
    <row r="73" spans="2:12" ht="15" thickTop="1"/>
    <row r="74" spans="2:12" ht="18.5">
      <c r="B74" s="69" t="s">
        <v>42</v>
      </c>
      <c r="C74" s="70">
        <f>C72/(C11/1000000)</f>
        <v>246.88414142464259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17.340000152587891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2.6600000858306885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166.74646448736064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2.7400000095367432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2.7400000095367432</v>
      </c>
    </row>
    <row r="7" spans="2:16" ht="15" thickBot="1">
      <c r="B7" s="89" t="s">
        <v>121</v>
      </c>
      <c r="C7" s="90">
        <f>P6*(1+P7)</f>
        <v>2.7948000085026026</v>
      </c>
      <c r="D7" s="90">
        <f>C7*(1+P7)</f>
        <v>2.8506960074232817</v>
      </c>
      <c r="E7" s="90">
        <f>D7*(1+P7)</f>
        <v>2.9077099262973869</v>
      </c>
      <c r="F7" s="90">
        <f>E7*(1+P7)</f>
        <v>2.9658641235234868</v>
      </c>
      <c r="G7" s="90">
        <f>F7*(1+P7)</f>
        <v>3.0251814046681118</v>
      </c>
      <c r="H7" s="90">
        <f>G7*(1+P7)</f>
        <v>3.0856850314091124</v>
      </c>
      <c r="I7" s="90">
        <f>H7*(1+P7)</f>
        <v>3.1473987306578861</v>
      </c>
      <c r="J7" s="90">
        <f>I7*(1+P7)</f>
        <v>3.210346703864047</v>
      </c>
      <c r="K7" s="90">
        <f>J7*(1+P7)</f>
        <v>3.2745536365061909</v>
      </c>
      <c r="L7" s="90">
        <f>K7*(1+P7)</f>
        <v>3.3400447077724751</v>
      </c>
      <c r="M7" s="159">
        <f>L7*(1+P7)/(P8-P7)</f>
        <v>72.466246896793038</v>
      </c>
      <c r="N7" s="160"/>
      <c r="O7" s="88" t="s">
        <v>122</v>
      </c>
      <c r="P7" s="104">
        <v>1.9999999552965164E-2</v>
      </c>
    </row>
    <row r="8" spans="2:16" ht="15" thickBot="1">
      <c r="B8" s="89" t="s">
        <v>123</v>
      </c>
      <c r="C8" s="90">
        <f>C7/(1+P8)</f>
        <v>2.6192749043055232</v>
      </c>
      <c r="D8" s="90">
        <f>D7/(1+P8)^2</f>
        <v>2.5038689782649461</v>
      </c>
      <c r="E8" s="90">
        <f>E7/(1+P8)^3</f>
        <v>2.3935478670116184</v>
      </c>
      <c r="F8" s="90">
        <f>F7/(1+P8)^4</f>
        <v>2.2880875322980443</v>
      </c>
      <c r="G8" s="90">
        <f>G7/(1+P8)^5</f>
        <v>2.1872738070595443</v>
      </c>
      <c r="H8" s="90">
        <f>H7/(1+P8)^6</f>
        <v>2.0909019604873977</v>
      </c>
      <c r="I8" s="90">
        <f>I7/(1+P8)^7</f>
        <v>1.9987762822649797</v>
      </c>
      <c r="J8" s="90">
        <f>J7/(1+P8)^8</f>
        <v>1.9107096851225567</v>
      </c>
      <c r="K8" s="90">
        <f>K7/(1+P8)^9</f>
        <v>1.8265233249036268</v>
      </c>
      <c r="L8" s="90">
        <f>L7/(1+P8)^10</f>
        <v>1.7460462373712256</v>
      </c>
      <c r="M8" s="159">
        <f>M7/POWER((1+P8),10)</f>
        <v>37.882552121568473</v>
      </c>
      <c r="N8" s="160"/>
      <c r="O8" s="91" t="s">
        <v>124</v>
      </c>
      <c r="P8" s="105">
        <f>WACC!$C$25</f>
        <v>6.7012860661763346E-2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59.447562700657933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2.7400000095367432</v>
      </c>
    </row>
    <row r="16" spans="2:16" ht="15" thickBot="1">
      <c r="B16" s="89" t="s">
        <v>121</v>
      </c>
      <c r="C16" s="90">
        <f>P15*(1+P16)</f>
        <v>2.8085000107958913</v>
      </c>
      <c r="D16" s="90">
        <f>C16*(1+P16)</f>
        <v>2.8787125121120365</v>
      </c>
      <c r="E16" s="90">
        <f>D16*(1+P16)</f>
        <v>2.9506803259872414</v>
      </c>
      <c r="F16" s="90">
        <f>E16*(1+P16)</f>
        <v>3.0244473352361365</v>
      </c>
      <c r="G16" s="90">
        <f>F16*(1+P16)</f>
        <v>3.1000585197437345</v>
      </c>
      <c r="H16" s="90">
        <f>G16*(1+P16)</f>
        <v>3.1775599838921895</v>
      </c>
      <c r="I16" s="90">
        <f>H16*(1+P16)</f>
        <v>3.2569989846732277</v>
      </c>
      <c r="J16" s="90">
        <f>I16*(1+P16)</f>
        <v>3.338423960503385</v>
      </c>
      <c r="K16" s="90">
        <f>J16*(1+P16)</f>
        <v>3.4218845607596293</v>
      </c>
      <c r="L16" s="90">
        <f>K16*(1+P16)</f>
        <v>3.5074316760533715</v>
      </c>
      <c r="M16" s="159">
        <f>L16*(1+P16)/(P17-P16)</f>
        <v>85.571833112790117</v>
      </c>
      <c r="N16" s="160"/>
      <c r="O16" s="88" t="s">
        <v>122</v>
      </c>
      <c r="P16" s="104">
        <v>2.500000037252903E-2</v>
      </c>
    </row>
    <row r="17" spans="2:16" ht="15" thickBot="1">
      <c r="B17" s="89" t="s">
        <v>123</v>
      </c>
      <c r="C17" s="90">
        <f>C16/(1+P17)</f>
        <v>2.6321144892799651</v>
      </c>
      <c r="D17" s="90">
        <f>D16/(1+P17)^2</f>
        <v>2.5284768834175528</v>
      </c>
      <c r="E17" s="90">
        <f>E16/(1+P17)^3</f>
        <v>2.4289199333900746</v>
      </c>
      <c r="F17" s="90">
        <f>F16/(1+P17)^4</f>
        <v>2.3332829663230004</v>
      </c>
      <c r="G17" s="90">
        <f>G16/(1+P17)^5</f>
        <v>2.2414116357201239</v>
      </c>
      <c r="H17" s="90">
        <f>H16/(1+P17)^6</f>
        <v>2.1531576723669823</v>
      </c>
      <c r="I17" s="90">
        <f>I16/(1+P17)^7</f>
        <v>2.0683786450422854</v>
      </c>
      <c r="J17" s="90">
        <f>J16/(1+P17)^8</f>
        <v>1.9869377306511478</v>
      </c>
      <c r="K17" s="90">
        <f>K16/(1+P17)^9</f>
        <v>1.9087034934091689</v>
      </c>
      <c r="L17" s="90">
        <f>L16/(1+P17)^10</f>
        <v>1.8335496727209732</v>
      </c>
      <c r="M17" s="159">
        <f>M16/POWER((1+P17),10)</f>
        <v>44.73364589517454</v>
      </c>
      <c r="N17" s="160"/>
      <c r="O17" s="91" t="s">
        <v>124</v>
      </c>
      <c r="P17" s="105">
        <f>WACC!$C$25</f>
        <v>6.7012860661763346E-2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66.848579017495823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2.7400000095367432</v>
      </c>
    </row>
    <row r="25" spans="2:16" ht="15" thickBot="1">
      <c r="B25" s="89" t="s">
        <v>121</v>
      </c>
      <c r="C25" s="90">
        <f>P24*(1+P25)</f>
        <v>2.8222000079855323</v>
      </c>
      <c r="D25" s="90">
        <f>C25*(1+P25)</f>
        <v>2.9068660063326655</v>
      </c>
      <c r="E25" s="90">
        <f>D25*(1+P25)</f>
        <v>2.99407198457344</v>
      </c>
      <c r="F25" s="90">
        <f>E25*(1+P25)</f>
        <v>3.0838941421029613</v>
      </c>
      <c r="G25" s="90">
        <f>F25*(1+P25)</f>
        <v>3.176410964298138</v>
      </c>
      <c r="H25" s="90">
        <f>G25*(1+P25)</f>
        <v>3.2717032910971326</v>
      </c>
      <c r="I25" s="90">
        <f>H25*(1+P25)</f>
        <v>3.3698543876361988</v>
      </c>
      <c r="J25" s="90">
        <f>I25*(1+P25)</f>
        <v>3.4709500170056211</v>
      </c>
      <c r="K25" s="90">
        <f>J25*(1+P25)</f>
        <v>3.5750785151883364</v>
      </c>
      <c r="L25" s="90">
        <f>K25*(1+P25)</f>
        <v>3.6823308682467095</v>
      </c>
      <c r="M25" s="159">
        <f>L25*(1+P25)/(P26-P25)</f>
        <v>102.47250969795883</v>
      </c>
      <c r="N25" s="160"/>
      <c r="O25" s="88" t="s">
        <v>122</v>
      </c>
      <c r="P25" s="104">
        <v>2.9999999329447746E-2</v>
      </c>
    </row>
    <row r="26" spans="2:16" ht="15" thickBot="1">
      <c r="B26" s="89" t="s">
        <v>123</v>
      </c>
      <c r="C26" s="90">
        <f>C25/(1+P26)</f>
        <v>2.644954069471289</v>
      </c>
      <c r="D26" s="90">
        <f>D25/(1+P26)^2</f>
        <v>2.5532051114100258</v>
      </c>
      <c r="E26" s="90">
        <f>E25/(1+P26)^3</f>
        <v>2.4646387686548237</v>
      </c>
      <c r="F26" s="90">
        <f>F25/(1+P26)^4</f>
        <v>2.379144641693792</v>
      </c>
      <c r="G26" s="90">
        <f>G25/(1+P26)^5</f>
        <v>2.2966161605863391</v>
      </c>
      <c r="H26" s="90">
        <f>H25/(1+P26)^6</f>
        <v>2.216950452121853</v>
      </c>
      <c r="I26" s="90">
        <f>I25/(1+P26)^7</f>
        <v>2.1400482115864308</v>
      </c>
      <c r="J26" s="90">
        <f>J25/(1+P26)^8</f>
        <v>2.0658135789777914</v>
      </c>
      <c r="K26" s="90">
        <f>K25/(1+P26)^9</f>
        <v>1.9941540195140963</v>
      </c>
      <c r="L26" s="90">
        <f>L25/(1+P26)^10</f>
        <v>1.9249802082876988</v>
      </c>
      <c r="M26" s="159">
        <f>M25/POWER((1+P26),10)</f>
        <v>53.568666184541271</v>
      </c>
      <c r="N26" s="160"/>
      <c r="O26" s="91" t="s">
        <v>124</v>
      </c>
      <c r="P26" s="105">
        <f>WACC!$C$25</f>
        <v>6.7012860661763346E-2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76.24917140684542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6418</v>
      </c>
      <c r="D3" s="110">
        <v>6510</v>
      </c>
      <c r="E3" s="110">
        <v>6802</v>
      </c>
      <c r="F3" s="110">
        <v>5674</v>
      </c>
      <c r="G3" s="110">
        <v>5389</v>
      </c>
      <c r="H3" s="110">
        <v>6140</v>
      </c>
      <c r="I3" s="110">
        <v>7155</v>
      </c>
      <c r="J3" s="110">
        <v>6297</v>
      </c>
      <c r="K3" s="110">
        <v>5655</v>
      </c>
      <c r="L3" s="110">
        <v>8537</v>
      </c>
      <c r="M3" s="110">
        <v>9673</v>
      </c>
      <c r="Q3" s="107"/>
    </row>
    <row r="4" spans="2:17">
      <c r="B4" s="18" t="s">
        <v>27</v>
      </c>
      <c r="C4" s="113"/>
      <c r="D4" s="121">
        <f t="shared" ref="D4:M4" si="0">(D3-C3)/C3</f>
        <v>1.4334683702087878E-2</v>
      </c>
      <c r="E4" s="121">
        <f t="shared" si="0"/>
        <v>4.4854070660522272E-2</v>
      </c>
      <c r="F4" s="121">
        <f t="shared" si="0"/>
        <v>-0.16583357835930609</v>
      </c>
      <c r="G4" s="121">
        <f t="shared" si="0"/>
        <v>-5.0229115262601341E-2</v>
      </c>
      <c r="H4" s="121">
        <f t="shared" si="0"/>
        <v>0.13935795138244572</v>
      </c>
      <c r="I4" s="121">
        <f t="shared" si="0"/>
        <v>0.16530944625407165</v>
      </c>
      <c r="J4" s="121">
        <f t="shared" si="0"/>
        <v>-0.119916142557652</v>
      </c>
      <c r="K4" s="121">
        <f t="shared" si="0"/>
        <v>-0.10195331110052405</v>
      </c>
      <c r="L4" s="121">
        <f t="shared" si="0"/>
        <v>0.50963748894783378</v>
      </c>
      <c r="M4" s="121">
        <f t="shared" si="0"/>
        <v>0.13306782242005388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372</v>
      </c>
      <c r="D6" s="110">
        <v>1101</v>
      </c>
      <c r="E6" s="110">
        <v>624</v>
      </c>
      <c r="F6" s="110">
        <v>304</v>
      </c>
      <c r="G6" s="110">
        <v>900</v>
      </c>
      <c r="H6" s="110">
        <v>843</v>
      </c>
      <c r="I6" s="110">
        <v>1207</v>
      </c>
      <c r="J6" s="110">
        <v>852</v>
      </c>
      <c r="K6" s="110">
        <v>1985</v>
      </c>
      <c r="L6" s="110">
        <v>1890</v>
      </c>
      <c r="M6" s="110">
        <v>1894</v>
      </c>
      <c r="Q6" s="107"/>
    </row>
    <row r="7" spans="2:17">
      <c r="B7" s="18" t="s">
        <v>27</v>
      </c>
      <c r="C7" s="113"/>
      <c r="D7" s="121">
        <f t="shared" ref="D7" si="1">(D6-C6)/C6</f>
        <v>1.9596774193548387</v>
      </c>
      <c r="E7" s="121">
        <f t="shared" ref="E7" si="2">(E6-D6)/D6</f>
        <v>-0.43324250681198911</v>
      </c>
      <c r="F7" s="121">
        <f t="shared" ref="F7" si="3">(F6-E6)/E6</f>
        <v>-0.51282051282051277</v>
      </c>
      <c r="G7" s="121">
        <f t="shared" ref="G7" si="4">(G6-F6)/F6</f>
        <v>1.9605263157894737</v>
      </c>
      <c r="H7" s="121">
        <f t="shared" ref="H7" si="5">(H6-G6)/G6</f>
        <v>-6.3333333333333339E-2</v>
      </c>
      <c r="I7" s="121">
        <f t="shared" ref="I7" si="6">(I6-H6)/H6</f>
        <v>0.43179122182680901</v>
      </c>
      <c r="J7" s="121">
        <f t="shared" ref="J7" si="7">(J6-I6)/I6</f>
        <v>-0.29411764705882354</v>
      </c>
      <c r="K7" s="121">
        <f t="shared" ref="K7" si="8">(K6-J6)/J6</f>
        <v>1.32981220657277</v>
      </c>
      <c r="L7" s="121">
        <f t="shared" ref="L7" si="9">(L6-K6)/K6</f>
        <v>-4.7858942065491183E-2</v>
      </c>
      <c r="M7" s="121">
        <f t="shared" ref="M7" si="10">(M6-L6)/L6</f>
        <v>2.1164021164021165E-3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495</v>
      </c>
      <c r="D9" s="110">
        <v>1827</v>
      </c>
      <c r="E9" s="110">
        <v>1056</v>
      </c>
      <c r="F9" s="110">
        <v>689</v>
      </c>
      <c r="G9" s="110">
        <v>1229</v>
      </c>
      <c r="H9" s="110">
        <v>1167</v>
      </c>
      <c r="I9" s="110">
        <v>1683</v>
      </c>
      <c r="J9" s="110">
        <v>1190</v>
      </c>
      <c r="K9" s="110">
        <v>1020</v>
      </c>
      <c r="L9" s="110">
        <v>2324</v>
      </c>
      <c r="M9" s="110">
        <v>1856</v>
      </c>
      <c r="Q9" s="107"/>
    </row>
    <row r="10" spans="2:17">
      <c r="B10" s="18" t="s">
        <v>27</v>
      </c>
      <c r="C10" s="113"/>
      <c r="D10" s="121">
        <f t="shared" ref="D10" si="11">(D9-C9)/C9</f>
        <v>2.6909090909090909</v>
      </c>
      <c r="E10" s="121">
        <f t="shared" ref="E10" si="12">(E9-D9)/D9</f>
        <v>-0.42200328407224957</v>
      </c>
      <c r="F10" s="121">
        <f t="shared" ref="F10" si="13">(F9-E9)/E9</f>
        <v>-0.34753787878787878</v>
      </c>
      <c r="G10" s="121">
        <f t="shared" ref="G10" si="14">(G9-F9)/F9</f>
        <v>0.78374455732946302</v>
      </c>
      <c r="H10" s="121">
        <f t="shared" ref="H10" si="15">(H9-G9)/G9</f>
        <v>-5.0447518307567128E-2</v>
      </c>
      <c r="I10" s="121">
        <f t="shared" ref="I10" si="16">(I9-H9)/H9</f>
        <v>0.44215938303341901</v>
      </c>
      <c r="J10" s="121">
        <f t="shared" ref="J10" si="17">(J9-I9)/I9</f>
        <v>-0.29292929292929293</v>
      </c>
      <c r="K10" s="121">
        <f t="shared" ref="K10" si="18">(K9-J9)/J9</f>
        <v>-0.14285714285714285</v>
      </c>
      <c r="L10" s="121">
        <f t="shared" ref="L10" si="19">(L9-K9)/K9</f>
        <v>1.2784313725490195</v>
      </c>
      <c r="M10" s="121">
        <f t="shared" ref="M10" si="20">(M9-L9)/L9</f>
        <v>-0.20137693631669534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159.83099365234375</v>
      </c>
      <c r="D12" s="110">
        <v>159.33399963378906</v>
      </c>
      <c r="E12" s="110">
        <v>156.16700744628906</v>
      </c>
      <c r="F12" s="110">
        <v>152.28799438476563</v>
      </c>
      <c r="G12" s="110">
        <v>145.66799926757813</v>
      </c>
      <c r="H12" s="110">
        <v>138.31700134277344</v>
      </c>
      <c r="I12" s="110">
        <v>135.41700744628906</v>
      </c>
      <c r="J12" s="110">
        <v>124.65200042724609</v>
      </c>
      <c r="K12" s="110">
        <v>118.48100280761719</v>
      </c>
      <c r="L12" s="110">
        <v>112.08399963378906</v>
      </c>
      <c r="M12" s="110">
        <v>109.23500061035156</v>
      </c>
      <c r="Q12" s="107"/>
    </row>
    <row r="13" spans="2:17">
      <c r="B13" s="18" t="s">
        <v>27</v>
      </c>
      <c r="C13" s="113"/>
      <c r="D13" s="121">
        <f t="shared" ref="D13" si="21">(D12-C12)/C12</f>
        <v>-3.10949714568955E-3</v>
      </c>
      <c r="E13" s="121">
        <f t="shared" ref="E13" si="22">(E12-D12)/D12</f>
        <v>-1.9876436885906137E-2</v>
      </c>
      <c r="F13" s="121">
        <f t="shared" ref="F13" si="23">(F12-E12)/E12</f>
        <v>-2.4838876821389799E-2</v>
      </c>
      <c r="G13" s="121">
        <f t="shared" ref="G13" si="24">(G12-F12)/F12</f>
        <v>-4.347023640262572E-2</v>
      </c>
      <c r="H13" s="121">
        <f t="shared" ref="H13" si="25">(H12-G12)/G12</f>
        <v>-5.0464054986446336E-2</v>
      </c>
      <c r="I13" s="121">
        <f t="shared" ref="I13" si="26">(I12-H12)/H12</f>
        <v>-2.0966286633829552E-2</v>
      </c>
      <c r="J13" s="121">
        <f t="shared" ref="J13" si="27">(J12-I12)/I12</f>
        <v>-7.9495236396452881E-2</v>
      </c>
      <c r="K13" s="121">
        <f t="shared" ref="K13" si="28">(K12-J12)/J12</f>
        <v>-4.9505804948799415E-2</v>
      </c>
      <c r="L13" s="121">
        <f t="shared" ref="L13" si="29">(L12-K12)/K12</f>
        <v>-5.3991804780849299E-2</v>
      </c>
      <c r="M13" s="121">
        <f t="shared" ref="M13" si="30">(M12-L12)/L12</f>
        <v>-2.5418427543146268E-2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2.3299999237060547</v>
      </c>
      <c r="D15" s="110">
        <v>6.9099998474121094</v>
      </c>
      <c r="E15" s="110">
        <v>4</v>
      </c>
      <c r="F15" s="110">
        <v>2</v>
      </c>
      <c r="G15" s="110">
        <v>6.179999828338623</v>
      </c>
      <c r="H15" s="110">
        <v>6.0900001525878906</v>
      </c>
      <c r="I15" s="110">
        <v>8.9099998474121094</v>
      </c>
      <c r="J15" s="110">
        <v>6.8400001525878906</v>
      </c>
      <c r="K15" s="110">
        <v>16.75</v>
      </c>
      <c r="L15" s="110">
        <v>16.860000610351563</v>
      </c>
      <c r="M15" s="110">
        <v>17.340000152587891</v>
      </c>
      <c r="Q15" s="107"/>
    </row>
    <row r="16" spans="2:17">
      <c r="B16" s="18" t="s">
        <v>27</v>
      </c>
      <c r="D16" s="121">
        <f t="shared" ref="D16" si="31">(D15-C15)/C15</f>
        <v>1.9656652676714219</v>
      </c>
      <c r="E16" s="121">
        <f t="shared" ref="E16" si="32">(E15-D15)/D15</f>
        <v>-0.42112878605951704</v>
      </c>
      <c r="F16" s="121">
        <f t="shared" ref="F16" si="33">(F15-E15)/E15</f>
        <v>-0.5</v>
      </c>
      <c r="G16" s="121">
        <f t="shared" ref="G16" si="34">(G15-F15)/F15</f>
        <v>2.0899999141693115</v>
      </c>
      <c r="H16" s="121">
        <f t="shared" ref="H16" si="35">(H15-G15)/G15</f>
        <v>-1.4563054733114313E-2</v>
      </c>
      <c r="I16" s="121">
        <f t="shared" ref="I16" si="36">(I15-H15)/H15</f>
        <v>0.46305412547910779</v>
      </c>
      <c r="J16" s="121">
        <f t="shared" ref="J16" si="37">(J15-I15)/I15</f>
        <v>-0.2323232020509457</v>
      </c>
      <c r="K16" s="121">
        <f t="shared" ref="K16" si="38">(K15-J15)/J15</f>
        <v>1.4488303547277985</v>
      </c>
      <c r="L16" s="121">
        <f t="shared" ref="L16" si="39">(L15-K15)/K15</f>
        <v>6.5672006180037311E-3</v>
      </c>
      <c r="M16" s="121">
        <f t="shared" ref="M16" si="40">(M15-L15)/L15</f>
        <v>2.8469722708172503E-2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>
        <v>312</v>
      </c>
      <c r="D20" s="128">
        <v>385</v>
      </c>
      <c r="E20" s="128">
        <v>284</v>
      </c>
      <c r="F20" s="128">
        <v>342</v>
      </c>
      <c r="G20" s="128">
        <v>647</v>
      </c>
      <c r="H20" s="128">
        <v>536</v>
      </c>
      <c r="I20" s="128">
        <v>1221</v>
      </c>
      <c r="J20" s="128">
        <v>1084</v>
      </c>
      <c r="K20" s="128">
        <v>979</v>
      </c>
      <c r="L20" s="128">
        <v>1290</v>
      </c>
      <c r="M20" s="128">
        <v>1276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/>
      <c r="D21" s="129"/>
      <c r="E21" s="131">
        <f t="shared" ref="E21" si="41">(E20-D20)/D20</f>
        <v>-0.26233766233766231</v>
      </c>
      <c r="F21" s="131">
        <f t="shared" ref="F21" si="42">(F20-E20)/E20</f>
        <v>0.20422535211267606</v>
      </c>
      <c r="G21" s="131">
        <f t="shared" ref="G21" si="43">(G20-F20)/F20</f>
        <v>0.89181286549707606</v>
      </c>
      <c r="H21" s="131">
        <f t="shared" ref="H21" si="44">(H20-G20)/G20</f>
        <v>-0.17156105100463678</v>
      </c>
      <c r="I21" s="131">
        <f t="shared" ref="I21" si="45">(I20-H20)/H20</f>
        <v>1.2779850746268657</v>
      </c>
      <c r="J21" s="131">
        <f t="shared" ref="J21" si="46">(J20-I20)/I20</f>
        <v>-0.1122031122031122</v>
      </c>
      <c r="K21" s="131">
        <f t="shared" ref="K21" si="47">(K20-J20)/J20</f>
        <v>-9.6863468634686353E-2</v>
      </c>
      <c r="L21" s="131">
        <f t="shared" ref="L21" si="48">(L20-K20)/K20</f>
        <v>0.31767109295199181</v>
      </c>
      <c r="M21" s="131">
        <f t="shared" ref="M21" si="49">(M20-L20)/L20</f>
        <v>-1.0852713178294573E-2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43</v>
      </c>
      <c r="D23" s="130">
        <v>83</v>
      </c>
      <c r="E23" s="130">
        <v>144</v>
      </c>
      <c r="F23" s="130">
        <v>174</v>
      </c>
      <c r="G23" s="130">
        <v>201</v>
      </c>
      <c r="H23" s="130">
        <v>241</v>
      </c>
      <c r="I23" s="130">
        <v>280</v>
      </c>
      <c r="J23" s="130">
        <v>300</v>
      </c>
      <c r="K23" s="130">
        <v>293</v>
      </c>
      <c r="L23" s="130">
        <v>304</v>
      </c>
      <c r="M23" s="130">
        <v>297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0.93023255813953487</v>
      </c>
      <c r="E24" s="121">
        <f t="shared" ref="E24" si="51">(E23-D23)/D23</f>
        <v>0.73493975903614461</v>
      </c>
      <c r="F24" s="121">
        <f t="shared" ref="F24" si="52">(F23-E23)/E23</f>
        <v>0.20833333333333334</v>
      </c>
      <c r="G24" s="121">
        <f t="shared" ref="G24" si="53">(G23-F23)/F23</f>
        <v>0.15517241379310345</v>
      </c>
      <c r="H24" s="121">
        <f t="shared" ref="H24" si="54">(H23-G23)/G23</f>
        <v>0.19900497512437812</v>
      </c>
      <c r="I24" s="121">
        <f t="shared" ref="I24" si="55">(I23-H23)/H23</f>
        <v>0.16182572614107885</v>
      </c>
      <c r="J24" s="121">
        <f t="shared" ref="J24" si="56">(J23-I23)/I23</f>
        <v>7.1428571428571425E-2</v>
      </c>
      <c r="K24" s="121">
        <f t="shared" ref="K24" si="57">(K23-J23)/J23</f>
        <v>-2.3333333333333334E-2</v>
      </c>
      <c r="L24" s="121">
        <f t="shared" ref="L24" si="58">(L23-K23)/K23</f>
        <v>3.7542662116040959E-2</v>
      </c>
      <c r="M24" s="121">
        <f t="shared" ref="M24" si="59">(M23-L23)/L23</f>
        <v>-2.3026315789473683E-2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2839</v>
      </c>
      <c r="D28" s="110">
        <v>3182</v>
      </c>
      <c r="E28" s="110">
        <v>2698</v>
      </c>
      <c r="F28" s="110">
        <v>2787</v>
      </c>
      <c r="G28" s="110">
        <v>2472</v>
      </c>
      <c r="H28" s="110">
        <v>2792</v>
      </c>
      <c r="I28" s="110">
        <v>2874</v>
      </c>
      <c r="J28" s="110">
        <v>2765</v>
      </c>
      <c r="K28" s="110">
        <v>3763</v>
      </c>
      <c r="L28" s="110">
        <v>3807</v>
      </c>
      <c r="M28" s="110">
        <v>6611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0.12081718915110955</v>
      </c>
      <c r="E29" s="121">
        <f t="shared" ref="E29" si="61">(E28-D28)/D28</f>
        <v>-0.15210559396605908</v>
      </c>
      <c r="F29" s="121">
        <f t="shared" ref="F29" si="62">(F28-E28)/E28</f>
        <v>3.2987398072646404E-2</v>
      </c>
      <c r="G29" s="121">
        <f t="shared" ref="G29" si="63">(G28-F28)/F28</f>
        <v>-0.11302475780409042</v>
      </c>
      <c r="H29" s="121">
        <f t="shared" ref="H29" si="64">(H28-G28)/G28</f>
        <v>0.12944983818770225</v>
      </c>
      <c r="I29" s="121">
        <f t="shared" ref="I29" si="65">(I28-H28)/H28</f>
        <v>2.9369627507163324E-2</v>
      </c>
      <c r="J29" s="121">
        <f t="shared" ref="J29" si="66">(J28-I28)/I28</f>
        <v>-3.7926235212247736E-2</v>
      </c>
      <c r="K29" s="121">
        <f t="shared" ref="K29" si="67">(K28-J28)/J28</f>
        <v>0.3609403254972875</v>
      </c>
      <c r="L29" s="121">
        <f t="shared" ref="L29" si="68">(L28-K28)/K28</f>
        <v>1.1692798299229338E-2</v>
      </c>
      <c r="M29" s="121">
        <f t="shared" ref="M29" si="69">(M28-L28)/L28</f>
        <v>0.73653795639611241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6161</v>
      </c>
      <c r="D31" s="110">
        <v>5836</v>
      </c>
      <c r="E31" s="110">
        <v>6098</v>
      </c>
      <c r="F31" s="110">
        <v>5799</v>
      </c>
      <c r="G31" s="110">
        <v>5885</v>
      </c>
      <c r="H31" s="110">
        <v>6746</v>
      </c>
      <c r="I31" s="110">
        <v>6439</v>
      </c>
      <c r="J31" s="110">
        <v>6711</v>
      </c>
      <c r="K31" s="110">
        <v>7146</v>
      </c>
      <c r="L31" s="110">
        <v>8168</v>
      </c>
      <c r="M31" s="110">
        <v>19661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-5.2751176757019964E-2</v>
      </c>
      <c r="E32" s="121">
        <f t="shared" ref="E32" si="71">(E31-D31)/D31</f>
        <v>4.489376285126799E-2</v>
      </c>
      <c r="F32" s="121">
        <f t="shared" ref="F32" si="72">(F31-E31)/E31</f>
        <v>-4.9032469662184323E-2</v>
      </c>
      <c r="G32" s="121">
        <f t="shared" ref="G32" si="73">(G31-F31)/F31</f>
        <v>1.4830143128125538E-2</v>
      </c>
      <c r="H32" s="121">
        <f t="shared" ref="H32" si="74">(H31-G31)/G31</f>
        <v>0.14630416312659303</v>
      </c>
      <c r="I32" s="121">
        <f t="shared" ref="I32" si="75">(I31-H31)/H31</f>
        <v>-4.5508449451526829E-2</v>
      </c>
      <c r="J32" s="121">
        <f t="shared" ref="J32" si="76">(J31-I31)/I31</f>
        <v>4.2242584252213077E-2</v>
      </c>
      <c r="K32" s="121">
        <f t="shared" ref="K32" si="77">(K31-J31)/J31</f>
        <v>6.4818953956191333E-2</v>
      </c>
      <c r="L32" s="121">
        <f t="shared" ref="L32" si="78">(L31-K31)/K31</f>
        <v>0.14301707248810525</v>
      </c>
      <c r="M32" s="121">
        <f t="shared" ref="M32" si="79">(M31-L31)/L31</f>
        <v>1.4070763956904995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9018</v>
      </c>
      <c r="E34" s="111">
        <f t="shared" ref="E34:M34" si="80">E28+E31</f>
        <v>8796</v>
      </c>
      <c r="F34" s="111">
        <f t="shared" si="80"/>
        <v>8586</v>
      </c>
      <c r="G34" s="111">
        <f t="shared" si="80"/>
        <v>8357</v>
      </c>
      <c r="H34" s="111">
        <f t="shared" si="80"/>
        <v>9538</v>
      </c>
      <c r="I34" s="111">
        <f t="shared" si="80"/>
        <v>9313</v>
      </c>
      <c r="J34" s="111">
        <f t="shared" si="80"/>
        <v>9476</v>
      </c>
      <c r="K34" s="111">
        <f t="shared" si="80"/>
        <v>10909</v>
      </c>
      <c r="L34" s="111">
        <f t="shared" si="80"/>
        <v>11975</v>
      </c>
      <c r="M34" s="111">
        <f t="shared" si="80"/>
        <v>26272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1355</v>
      </c>
      <c r="D36" s="118">
        <v>1545</v>
      </c>
      <c r="E36" s="110">
        <v>1338</v>
      </c>
      <c r="F36" s="110">
        <v>1550</v>
      </c>
      <c r="G36" s="110">
        <v>1077</v>
      </c>
      <c r="H36" s="110">
        <v>1559</v>
      </c>
      <c r="I36" s="110">
        <v>1779</v>
      </c>
      <c r="J36" s="110">
        <v>1754</v>
      </c>
      <c r="K36" s="110">
        <v>1973</v>
      </c>
      <c r="L36" s="110">
        <v>2505</v>
      </c>
      <c r="M36" s="110">
        <v>4068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0.14022140221402213</v>
      </c>
      <c r="E37" s="121">
        <f t="shared" ref="E37" si="82">(E36-D36)/D36</f>
        <v>-0.13398058252427184</v>
      </c>
      <c r="F37" s="121">
        <f t="shared" ref="F37" si="83">(F36-E36)/E36</f>
        <v>0.15844544095665172</v>
      </c>
      <c r="G37" s="121">
        <f t="shared" ref="G37" si="84">(G36-F36)/F36</f>
        <v>-0.30516129032258066</v>
      </c>
      <c r="H37" s="121">
        <f t="shared" ref="H37" si="85">(H36-G36)/G36</f>
        <v>0.44753946146703805</v>
      </c>
      <c r="I37" s="121">
        <f t="shared" ref="I37" si="86">(I36-H36)/H36</f>
        <v>0.14111610006414368</v>
      </c>
      <c r="J37" s="121">
        <f t="shared" ref="J37" si="87">(J36-I36)/I36</f>
        <v>-1.4052838673412029E-2</v>
      </c>
      <c r="K37" s="121">
        <f t="shared" ref="K37" si="88">(K36-J36)/J36</f>
        <v>0.12485746864310149</v>
      </c>
      <c r="L37" s="121">
        <f t="shared" ref="L37" si="89">(L36-K36)/K36</f>
        <v>0.26964014191586416</v>
      </c>
      <c r="M37" s="121">
        <f t="shared" ref="M37" si="90">(M36-L36)/L36</f>
        <v>0.62395209580838318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5915</v>
      </c>
      <c r="D39" s="110">
        <v>4774</v>
      </c>
      <c r="E39" s="110">
        <v>4380</v>
      </c>
      <c r="F39" s="110">
        <v>4207</v>
      </c>
      <c r="G39" s="110">
        <v>4259</v>
      </c>
      <c r="H39" s="110">
        <v>4680</v>
      </c>
      <c r="I39" s="110">
        <v>4155</v>
      </c>
      <c r="J39" s="110">
        <v>4824</v>
      </c>
      <c r="K39" s="110">
        <v>5041</v>
      </c>
      <c r="L39" s="110">
        <v>4933</v>
      </c>
      <c r="M39" s="110">
        <v>16099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-0.19289940828402366</v>
      </c>
      <c r="E40" s="121">
        <f t="shared" ref="E40" si="92">(E39-D39)/D39</f>
        <v>-8.2530372852953504E-2</v>
      </c>
      <c r="F40" s="121">
        <f t="shared" ref="F40" si="93">(F39-E39)/E39</f>
        <v>-3.9497716894977171E-2</v>
      </c>
      <c r="G40" s="121">
        <f t="shared" ref="G40" si="94">(G39-F39)/F39</f>
        <v>1.2360351794628001E-2</v>
      </c>
      <c r="H40" s="121">
        <f t="shared" ref="H40" si="95">(H39-G39)/G39</f>
        <v>9.8849495186663541E-2</v>
      </c>
      <c r="I40" s="121">
        <f t="shared" ref="I40" si="96">(I39-H39)/H39</f>
        <v>-0.11217948717948718</v>
      </c>
      <c r="J40" s="121">
        <f t="shared" ref="J40" si="97">(J39-I39)/I39</f>
        <v>0.16101083032490976</v>
      </c>
      <c r="K40" s="121">
        <f t="shared" ref="K40" si="98">(K39-J39)/J39</f>
        <v>4.4983416252072972E-2</v>
      </c>
      <c r="L40" s="121">
        <f t="shared" ref="L40" si="99">(L39-K39)/K39</f>
        <v>-2.1424320571315214E-2</v>
      </c>
      <c r="M40" s="121">
        <f t="shared" ref="M40" si="100">(M39-L39)/L39</f>
        <v>2.2635313196837625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6319</v>
      </c>
      <c r="E42" s="111">
        <f t="shared" ref="E42:M42" si="101">E36+E39</f>
        <v>5718</v>
      </c>
      <c r="F42" s="111">
        <f t="shared" si="101"/>
        <v>5757</v>
      </c>
      <c r="G42" s="111">
        <f t="shared" si="101"/>
        <v>5336</v>
      </c>
      <c r="H42" s="111">
        <f t="shared" si="101"/>
        <v>6239</v>
      </c>
      <c r="I42" s="111">
        <f t="shared" si="101"/>
        <v>5934</v>
      </c>
      <c r="J42" s="111">
        <f t="shared" si="101"/>
        <v>6578</v>
      </c>
      <c r="K42" s="111">
        <f t="shared" si="101"/>
        <v>7014</v>
      </c>
      <c r="L42" s="111">
        <f t="shared" si="101"/>
        <v>7438</v>
      </c>
      <c r="M42" s="111">
        <f t="shared" si="101"/>
        <v>20167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2699</v>
      </c>
      <c r="E44" s="134">
        <f t="shared" ref="E44:M44" si="102">E34-E42</f>
        <v>3078</v>
      </c>
      <c r="F44" s="134">
        <f t="shared" si="102"/>
        <v>2829</v>
      </c>
      <c r="G44" s="134">
        <f t="shared" si="102"/>
        <v>3021</v>
      </c>
      <c r="H44" s="134">
        <f t="shared" si="102"/>
        <v>3299</v>
      </c>
      <c r="I44" s="134">
        <f t="shared" si="102"/>
        <v>3379</v>
      </c>
      <c r="J44" s="134">
        <f t="shared" si="102"/>
        <v>2898</v>
      </c>
      <c r="K44" s="134">
        <f t="shared" si="102"/>
        <v>3895</v>
      </c>
      <c r="L44" s="134">
        <f t="shared" si="102"/>
        <v>4537</v>
      </c>
      <c r="M44" s="134">
        <f t="shared" si="102"/>
        <v>6105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>
        <v>2930</v>
      </c>
      <c r="D46" s="133">
        <v>2887</v>
      </c>
      <c r="E46" s="133">
        <v>2586</v>
      </c>
      <c r="F46" s="133">
        <v>2468</v>
      </c>
      <c r="G46" s="133">
        <v>2890</v>
      </c>
      <c r="H46" s="133">
        <v>3315</v>
      </c>
      <c r="I46" s="133">
        <v>2970</v>
      </c>
      <c r="J46" s="133">
        <v>3409</v>
      </c>
      <c r="K46" s="136">
        <v>3227</v>
      </c>
      <c r="L46" s="133">
        <v>3176</v>
      </c>
      <c r="M46" s="133">
        <v>13373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0.16912442396313365</v>
      </c>
      <c r="E50" s="126">
        <f t="shared" si="103"/>
        <v>9.1737724198765067E-2</v>
      </c>
      <c r="F50" s="126">
        <f t="shared" si="103"/>
        <v>5.3577722946774764E-2</v>
      </c>
      <c r="G50" s="126">
        <f t="shared" si="103"/>
        <v>0.16700686583781776</v>
      </c>
      <c r="H50" s="126">
        <f t="shared" si="103"/>
        <v>0.13729641693811076</v>
      </c>
      <c r="I50" s="126">
        <f t="shared" si="103"/>
        <v>0.16869322152341021</v>
      </c>
      <c r="J50" s="126">
        <f t="shared" si="103"/>
        <v>0.13530252501191042</v>
      </c>
      <c r="K50" s="126">
        <f t="shared" si="103"/>
        <v>0.35101679929266139</v>
      </c>
      <c r="L50" s="126">
        <f t="shared" si="103"/>
        <v>0.22138924680801217</v>
      </c>
      <c r="M50" s="126">
        <f t="shared" si="103"/>
        <v>0.1958027499224646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0.28064516129032258</v>
      </c>
      <c r="E51" s="126">
        <f t="shared" si="104"/>
        <v>0.15524845633637166</v>
      </c>
      <c r="F51" s="126">
        <f t="shared" si="104"/>
        <v>0.1214310891787099</v>
      </c>
      <c r="G51" s="126">
        <f t="shared" si="104"/>
        <v>0.22805715346075339</v>
      </c>
      <c r="H51" s="126">
        <f t="shared" si="104"/>
        <v>0.19006514657980456</v>
      </c>
      <c r="I51" s="126">
        <f t="shared" si="104"/>
        <v>0.23522012578616353</v>
      </c>
      <c r="J51" s="126">
        <f t="shared" si="104"/>
        <v>0.18897887883118947</v>
      </c>
      <c r="K51" s="126">
        <f t="shared" si="104"/>
        <v>0.18037135278514588</v>
      </c>
      <c r="L51" s="126">
        <f t="shared" si="104"/>
        <v>0.2722267775565187</v>
      </c>
      <c r="M51" s="126">
        <f t="shared" si="104"/>
        <v>0.19187428925876149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5.9139784946236562E-2</v>
      </c>
      <c r="E52" s="126">
        <f t="shared" si="105"/>
        <v>4.1752425757130257E-2</v>
      </c>
      <c r="F52" s="126">
        <f t="shared" si="105"/>
        <v>6.0274938315121609E-2</v>
      </c>
      <c r="G52" s="126">
        <f t="shared" si="105"/>
        <v>0.12005938021896456</v>
      </c>
      <c r="H52" s="126">
        <f t="shared" si="105"/>
        <v>8.7296416938110744E-2</v>
      </c>
      <c r="I52" s="126">
        <f t="shared" si="105"/>
        <v>0.17064989517819706</v>
      </c>
      <c r="J52" s="126">
        <f t="shared" si="105"/>
        <v>0.17214546609496587</v>
      </c>
      <c r="K52" s="126">
        <f t="shared" si="105"/>
        <v>0.17312113174182139</v>
      </c>
      <c r="L52" s="126">
        <f t="shared" si="105"/>
        <v>0.15110694623404006</v>
      </c>
      <c r="M52" s="126">
        <f t="shared" si="105"/>
        <v>0.13191357386539854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0.21558441558441557</v>
      </c>
      <c r="E55" s="126">
        <f t="shared" ref="E55:M55" si="106">E23/E20</f>
        <v>0.50704225352112675</v>
      </c>
      <c r="F55" s="126">
        <f t="shared" si="106"/>
        <v>0.50877192982456143</v>
      </c>
      <c r="G55" s="126">
        <f t="shared" si="106"/>
        <v>0.31066460587326122</v>
      </c>
      <c r="H55" s="126">
        <f t="shared" si="106"/>
        <v>0.44962686567164178</v>
      </c>
      <c r="I55" s="126">
        <f t="shared" si="106"/>
        <v>0.22932022932022933</v>
      </c>
      <c r="J55" s="126">
        <f t="shared" si="106"/>
        <v>0.2767527675276753</v>
      </c>
      <c r="K55" s="126">
        <f t="shared" si="106"/>
        <v>0.2992849846782431</v>
      </c>
      <c r="L55" s="126">
        <f t="shared" si="106"/>
        <v>0.23565891472868217</v>
      </c>
      <c r="M55" s="126">
        <f t="shared" si="106"/>
        <v>0.23275862068965517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2.341237495368655</v>
      </c>
      <c r="E58" s="112">
        <f t="shared" ref="E58:M58" si="107">E42/E44</f>
        <v>1.8576998050682261</v>
      </c>
      <c r="F58" s="112">
        <f t="shared" si="107"/>
        <v>2.0349946977730649</v>
      </c>
      <c r="G58" s="112">
        <f t="shared" si="107"/>
        <v>1.7663025488248925</v>
      </c>
      <c r="H58" s="112">
        <f t="shared" si="107"/>
        <v>1.8911791451955138</v>
      </c>
      <c r="I58" s="112">
        <f t="shared" si="107"/>
        <v>1.7561408700799053</v>
      </c>
      <c r="J58" s="112">
        <f t="shared" si="107"/>
        <v>2.2698412698412698</v>
      </c>
      <c r="K58" s="112">
        <f t="shared" si="107"/>
        <v>1.8007702182284981</v>
      </c>
      <c r="L58" s="112">
        <f t="shared" si="107"/>
        <v>1.6394093013004187</v>
      </c>
      <c r="M58" s="112">
        <f t="shared" si="107"/>
        <v>3.3033579033579032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2.0595469255663432</v>
      </c>
      <c r="E59" s="112">
        <f t="shared" ref="E59:M59" si="108">E28/E36</f>
        <v>2.0164424514200299</v>
      </c>
      <c r="F59" s="112">
        <f t="shared" si="108"/>
        <v>1.7980645161290323</v>
      </c>
      <c r="G59" s="112">
        <f t="shared" si="108"/>
        <v>2.2952646239554317</v>
      </c>
      <c r="H59" s="112">
        <f t="shared" si="108"/>
        <v>1.790891597177678</v>
      </c>
      <c r="I59" s="112">
        <f t="shared" si="108"/>
        <v>1.615514333895447</v>
      </c>
      <c r="J59" s="112">
        <f t="shared" si="108"/>
        <v>1.5763968072976056</v>
      </c>
      <c r="K59" s="112">
        <f t="shared" si="108"/>
        <v>1.9072478459199189</v>
      </c>
      <c r="L59" s="112">
        <f t="shared" si="108"/>
        <v>1.5197604790419161</v>
      </c>
      <c r="M59" s="112">
        <f t="shared" si="108"/>
        <v>1.6251229105211407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>
        <f>D46/D9</f>
        <v>1.5801860974274768</v>
      </c>
      <c r="E60" s="112">
        <f t="shared" ref="E60:M60" si="109">E46/E9</f>
        <v>2.4488636363636362</v>
      </c>
      <c r="F60" s="112">
        <f t="shared" si="109"/>
        <v>3.5820029027576199</v>
      </c>
      <c r="G60" s="112">
        <f t="shared" si="109"/>
        <v>2.3515052888527257</v>
      </c>
      <c r="H60" s="112">
        <f t="shared" si="109"/>
        <v>2.8406169665809768</v>
      </c>
      <c r="I60" s="112">
        <f t="shared" si="109"/>
        <v>1.7647058823529411</v>
      </c>
      <c r="J60" s="112">
        <f t="shared" si="109"/>
        <v>2.8647058823529412</v>
      </c>
      <c r="K60" s="112">
        <f t="shared" si="109"/>
        <v>3.1637254901960783</v>
      </c>
      <c r="L60" s="112">
        <f t="shared" si="109"/>
        <v>1.3666092943201378</v>
      </c>
      <c r="M60" s="112">
        <f t="shared" si="109"/>
        <v>7.2052801724137927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8.850937908362333E-3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0.12729866966655456</v>
      </c>
    </row>
    <row r="65" spans="2:13">
      <c r="B65" s="10" t="s">
        <v>74</v>
      </c>
      <c r="C65" s="114"/>
      <c r="D65" s="121">
        <f>(M6/I6)^0.2 - 1</f>
        <v>9.4295317596001293E-2</v>
      </c>
    </row>
    <row r="66" spans="2:13">
      <c r="B66" s="10" t="s">
        <v>84</v>
      </c>
      <c r="C66" s="114"/>
      <c r="D66" s="121">
        <f>(M6/D6)^0.1 - 1</f>
        <v>5.574556466676106E-2</v>
      </c>
    </row>
    <row r="67" spans="2:13">
      <c r="B67" s="10" t="s">
        <v>75</v>
      </c>
      <c r="C67" s="114"/>
      <c r="D67" s="121">
        <f>(M3/I3)^0.2 - 1</f>
        <v>6.2160899259970703E-2</v>
      </c>
    </row>
    <row r="68" spans="2:13">
      <c r="B68" s="10" t="s">
        <v>85</v>
      </c>
      <c r="C68" s="114"/>
      <c r="D68" s="121">
        <f>(M3/D3)^0.1 - 1</f>
        <v>4.0394433568632371E-2</v>
      </c>
    </row>
    <row r="69" spans="2:13">
      <c r="B69" s="10" t="s">
        <v>88</v>
      </c>
      <c r="C69" s="114"/>
      <c r="D69" s="121">
        <f>(M9/I9)^0.2 - 1</f>
        <v>1.9761874665831902E-2</v>
      </c>
    </row>
    <row r="70" spans="2:13">
      <c r="B70" s="10" t="s">
        <v>89</v>
      </c>
      <c r="C70" s="114"/>
      <c r="D70" s="121">
        <f>(M9/D9)^0.2 - 1</f>
        <v>3.154636820357215E-3</v>
      </c>
    </row>
    <row r="71" spans="2:13">
      <c r="B71" s="10" t="s">
        <v>131</v>
      </c>
      <c r="D71" s="121">
        <f>(M23/I23)^0.2 - 1</f>
        <v>1.1858265422722392E-2</v>
      </c>
    </row>
    <row r="72" spans="2:13">
      <c r="B72" s="10" t="s">
        <v>132</v>
      </c>
      <c r="D72" s="121">
        <f>AVERAGE(I24:M24)</f>
        <v>4.488746211257684E-2</v>
      </c>
    </row>
    <row r="73" spans="2:13">
      <c r="B73" s="10" t="s">
        <v>135</v>
      </c>
      <c r="D73" s="121">
        <f>AVERAGE(I55:M55)</f>
        <v>0.25475510338889701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12.208915502328676</v>
      </c>
      <c r="E76" s="110">
        <f t="shared" si="110"/>
        <v>7.094133697135061</v>
      </c>
      <c r="F76" s="110">
        <f t="shared" si="110"/>
        <v>3.5406475658047984</v>
      </c>
      <c r="G76" s="110">
        <f t="shared" si="110"/>
        <v>10.769414861792509</v>
      </c>
      <c r="H76" s="110">
        <f t="shared" si="110"/>
        <v>8.8383308869784027</v>
      </c>
      <c r="I76" s="110">
        <f t="shared" si="110"/>
        <v>12.960377966283689</v>
      </c>
      <c r="J76" s="110">
        <f t="shared" si="110"/>
        <v>8.99113550021106</v>
      </c>
      <c r="K76" s="110">
        <f t="shared" si="110"/>
        <v>18.195984966541388</v>
      </c>
      <c r="L76" s="110">
        <f t="shared" si="110"/>
        <v>15.782881002087683</v>
      </c>
      <c r="M76" s="110">
        <f t="shared" si="110"/>
        <v>7.2091961023142508</v>
      </c>
    </row>
    <row r="77" spans="2:13">
      <c r="B77" s="10" t="s">
        <v>139</v>
      </c>
      <c r="C77" s="110">
        <v>0</v>
      </c>
      <c r="D77" s="110">
        <f t="shared" ref="D77:M77" si="111">100*D6/D44</f>
        <v>40.792886254168209</v>
      </c>
      <c r="E77" s="110">
        <f t="shared" si="111"/>
        <v>20.2729044834308</v>
      </c>
      <c r="F77" s="110">
        <f t="shared" si="111"/>
        <v>10.745846588900672</v>
      </c>
      <c r="G77" s="110">
        <f t="shared" si="111"/>
        <v>29.791459781529294</v>
      </c>
      <c r="H77" s="110">
        <f t="shared" si="111"/>
        <v>25.553197938769323</v>
      </c>
      <c r="I77" s="110">
        <f t="shared" si="111"/>
        <v>35.720627404557561</v>
      </c>
      <c r="J77" s="110">
        <f t="shared" si="111"/>
        <v>29.399585921325052</v>
      </c>
      <c r="K77" s="110">
        <f t="shared" si="111"/>
        <v>50.96277278562259</v>
      </c>
      <c r="L77" s="110">
        <f t="shared" si="111"/>
        <v>41.657482918227906</v>
      </c>
      <c r="M77" s="110">
        <f t="shared" si="111"/>
        <v>31.023751023751025</v>
      </c>
    </row>
    <row r="78" spans="2:13">
      <c r="B78" s="10" t="s">
        <v>140</v>
      </c>
      <c r="C78" s="110">
        <v>0</v>
      </c>
      <c r="D78" s="40">
        <v>22.989999771118164</v>
      </c>
      <c r="E78" s="40">
        <v>12.75</v>
      </c>
      <c r="F78" s="40">
        <v>6.8600001335144043</v>
      </c>
      <c r="G78" s="40">
        <v>18.329999923706055</v>
      </c>
      <c r="H78" s="40">
        <v>15.489999771118164</v>
      </c>
      <c r="I78" s="40">
        <v>19.989999771118164</v>
      </c>
      <c r="J78" s="40">
        <v>14.409999847412109</v>
      </c>
      <c r="K78" s="40">
        <v>29.430000305175781</v>
      </c>
      <c r="L78" s="40">
        <v>24.680000305175781</v>
      </c>
      <c r="M78" s="40">
        <v>14.380000114440918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17.280000686645508</v>
      </c>
      <c r="E81" s="40">
        <v>6.9099998474121094</v>
      </c>
      <c r="F81" s="40">
        <v>19.739999771118164</v>
      </c>
      <c r="G81" s="40">
        <v>25.079999923706055</v>
      </c>
      <c r="H81" s="40">
        <v>18.399999618530273</v>
      </c>
      <c r="I81" s="40">
        <v>9.2899999618530273</v>
      </c>
      <c r="J81" s="40">
        <v>16.959999084472656</v>
      </c>
      <c r="K81" s="40">
        <v>26.139999389648438</v>
      </c>
      <c r="L81" s="40">
        <v>6.8400001525878906</v>
      </c>
      <c r="M81" s="40">
        <v>6.7399997711181641</v>
      </c>
    </row>
    <row r="82" spans="2:13">
      <c r="B82" s="122" t="s">
        <v>148</v>
      </c>
      <c r="C82" s="110">
        <v>0</v>
      </c>
      <c r="D82" s="40">
        <v>13.220000267028809</v>
      </c>
      <c r="E82" s="40">
        <v>9.8900003433227539</v>
      </c>
      <c r="F82" s="40">
        <v>11.619999885559082</v>
      </c>
      <c r="G82" s="40">
        <v>10.770000457763672</v>
      </c>
      <c r="H82" s="40">
        <v>21.469999313354492</v>
      </c>
      <c r="I82" s="40">
        <v>9.7899999618530273</v>
      </c>
      <c r="J82" s="40">
        <v>10.529999732971191</v>
      </c>
      <c r="K82" s="40">
        <v>11.140000343322754</v>
      </c>
      <c r="L82" s="40">
        <v>13.199999809265137</v>
      </c>
      <c r="M82" s="40">
        <v>6.0100002288818359</v>
      </c>
    </row>
    <row r="83" spans="2:13">
      <c r="B83" s="122" t="s">
        <v>153</v>
      </c>
      <c r="C83" s="110">
        <v>4.0799999237060547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2023-04-20T18:46:10Z</dcterms:modified>
</cp:coreProperties>
</file>