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<sst xmlns="http://schemas.openxmlformats.org/spreadsheetml/2006/main" count="231" uniqueCount="165">
  <si>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</si>
  <si>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</si>
  <si>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</si>
  <si>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</si>
  <si>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</si>
  <si>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</si>
  <si>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</si>
  <si>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</si>
  <si>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</si>
  <si>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</si>
  <si>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</si>
  <si>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</si>
  <si>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</si>
  <si>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</si>
  <si>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</si>
  <si>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</si>
  <si>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</si>
  <si>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</si>
  <si>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</si>
  <si>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</si>
  <si>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</si>
  <si>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</si>
  <si>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</si>
  <si>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</si>
  <si>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</si>
  <si>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</si>
  <si>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</si>
  <si>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</si>
  <si>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</si>
  <si>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</si>
  <si>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</si>
  <si>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</si>
  <si>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</si>
  <si>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</si>
  <si>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</si>
  <si>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</si>
  <si>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</si>
  <si>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</si>
  <si>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</si>
  <si>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</si>
  <si>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</si>
  <si>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</si>
  <si>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</si>
  <si>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</si>
  <si>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</si>
  <si>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</si>
  <si>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</si>
  <si>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</si>
  <si>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</si>
  <si>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</si>
  <si>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</si>
  <si>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</si>
  <si>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</si>
  <si>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</si>
  <si>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</si>
  <si>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</si>
  <si>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</si>
  <si>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</si>
  <si>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</si>
  <si>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</si>
  <si>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</si>
  <si>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</si>
  <si>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</si>
  <si>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</si>
  <si>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</si>
  <si>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</si>
  <si>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</si>
  <si>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</si>
  <si>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</si>
  <si>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</si>
  <si>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</si>
  <si>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</si>
  <si>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</si>
  <si>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</si>
  <si>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</si>
  <si>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</si>
  <si>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</si>
  <si>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</si>
  <si>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</si>
  <si>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</si>
  <si>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</si>
  <si>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</si>
  <si>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</si>
  <si>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</si>
  <si>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</si>
  <si>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</si>
  <si>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</si>
  <si>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</si>
  <si>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</si>
  <si>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</si>
  <si>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</si>
  <si>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</si>
  <si>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</si>
  <si>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</si>
  <si>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</si>
  <si>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</si>
  <si>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</si>
  <si>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</si>
  <si>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</si>
  <si>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</si>
  <si>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</si>
  <si>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</si>
  <si>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</si>
  <si>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</si>
  <si>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</si>
  <si>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</si>
  <si>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</si>
  <si>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</si>
  <si>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</si>
  <si>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</si>
  <si>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</si>
  <si>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</si>
  <si>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</si>
  <si>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</si>
  <si>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</si>
  <si>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</si>
  <si>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</si>
  <si>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</si>
  <si>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</si>
  <si>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</si>
  <si>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</si>
  <si>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</si>
  <si>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</si>
  <si>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</si>
  <si>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</si>
  <si>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</si>
  <si>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</si>
  <si>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</si>
  <si>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</si>
  <si>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</si>
  <si>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</si>
  <si>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</si>
  <si>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</si>
  <si>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</si>
  <si>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</si>
  <si>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</si>
  <si>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</si>
  <si>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</si>
  <si>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</si>
  <si>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</si>
  <si>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</si>
  <si>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</si>
  <si>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</si>
  <si>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</si>
  <si>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</si>
  <si>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</si>
  <si>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</si>
  <si>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</si>
  <si>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</si>
  <si>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</si>
  <si>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</si>
  <si>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</si>
  <si>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</si>
  <si>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</si>
  <si>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</si>
  <si>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</si>
  <si>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</si>
  <si>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</si>
  <si>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</si>
  <si>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</si>
  <si>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</si>
  <si>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</si>
  <si>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CSCO_Cisco</t>
  </si>
  <si>
    <t>sector median (19.38)</t>
  </si>
  <si>
    <t>sector median (7.86)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</si>
</sst>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9.447094834626116</v>
      </c>
      <c r="G12" s="119" t="n">
        <f>Financials!D76</f>
        <v>9.86550187269619</v>
      </c>
      <c r="H12" s="119" t="n">
        <f>Financials!E76</f>
        <v>7.474064909108214</v>
      </c>
      <c r="I12" s="119" t="n">
        <f>Financials!F76</f>
        <v>7.921639190989036</v>
      </c>
      <c r="J12" s="119" t="n">
        <f>Financials!G76</f>
        <v>8.827639496268043</v>
      </c>
      <c r="K12" s="119" t="n">
        <f>Financials!H76</f>
        <v>7.401901123110816</v>
      </c>
      <c r="L12" s="119" t="n">
        <f>Financials!I76</f>
        <v>0.10111781144285924</v>
      </c>
      <c r="M12" s="119" t="n">
        <f>Financials!J76</f>
        <v>11.883263628276053</v>
      </c>
      <c r="N12" s="119" t="n">
        <f>Financials!K76</f>
        <v>11.822504296121366</v>
      </c>
      <c r="O12" s="119" t="n">
        <f>Financials!L76</f>
        <v>10.862898345590121</v>
      </c>
      <c r="P12" s="119" t="n">
        <f>Financials!M76</f>
        <v>12.565690091700176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23.960343381406354</v>
      </c>
      <c r="G14" s="40" t="n">
        <f>Financials!D77</f>
        <v>16.88370991746719</v>
      </c>
      <c r="H14" s="40" t="n">
        <f>Financials!E77</f>
        <v>13.85962125624327</v>
      </c>
      <c r="I14" s="40" t="n">
        <f>Financials!F77</f>
        <v>15.0417873951128</v>
      </c>
      <c r="J14" s="40" t="n">
        <f>Financials!G77</f>
        <v>16.88920342848156</v>
      </c>
      <c r="K14" s="40" t="n">
        <f>Financials!H77</f>
        <v>14.528932367661067</v>
      </c>
      <c r="L14" s="40" t="n">
        <f>Financials!I77</f>
        <v>0.2546060549949079</v>
      </c>
      <c r="M14" s="40" t="n">
        <f>Financials!J77</f>
        <v>34.616186589616035</v>
      </c>
      <c r="N14" s="40" t="n">
        <f>Financials!K77</f>
        <v>29.57278481012658</v>
      </c>
      <c r="O14" s="40" t="n">
        <f>Financials!L77</f>
        <v>25.659600242277406</v>
      </c>
      <c r="P14" s="40" t="n">
        <f>Financials!M77</f>
        <v>29.698539210016847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0.0959111265228183</v>
      </c>
      <c r="F16" s="124" t="n">
        <f>AVERAGE(L16:P16)</f>
        <v>15.989999890327454</v>
      </c>
      <c r="G16" s="40" t="n">
        <f>Financials!D78</f>
        <v>13.880000114440918</v>
      </c>
      <c r="H16" s="40" t="n">
        <f>Financials!E78</f>
        <v>10.140000343322754</v>
      </c>
      <c r="I16" s="40" t="n">
        <f>Financials!F78</f>
        <v>10.850000381469727</v>
      </c>
      <c r="J16" s="40" t="n">
        <f>Financials!G78</f>
        <v>11.8100004196167</v>
      </c>
      <c r="K16" s="40" t="n">
        <f>Financials!H78</f>
        <v>9.619999885559082</v>
      </c>
      <c r="L16" s="40" t="n">
        <f>Financials!I78</f>
        <v>-0.36000001430511475</v>
      </c>
      <c r="M16" s="40" t="n">
        <f>Financials!J78</f>
        <v>17.739999771118164</v>
      </c>
      <c r="N16" s="40" t="n">
        <f>Financials!K78</f>
        <v>19.770000457763672</v>
      </c>
      <c r="O16" s="40" t="n">
        <f>Financials!L78</f>
        <v>19.84000015258789</v>
      </c>
      <c r="P16" s="40" t="n">
        <f>Financials!M78</f>
        <v>22.959999084472656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1.686988071398423</v>
      </c>
      <c r="G18" s="42" t="n">
        <f>Financials!D59</f>
        <v>2.9787688670667394</v>
      </c>
      <c r="H18" s="42" t="n">
        <f>Financials!E59</f>
        <v>3.3880559341713363</v>
      </c>
      <c r="I18" s="42" t="n">
        <f>Financials!F59</f>
        <v>3.133777549974372</v>
      </c>
      <c r="J18" s="42" t="n">
        <f>Financials!G59</f>
        <v>3.1600096342981012</v>
      </c>
      <c r="K18" s="42" t="n">
        <f>Financials!H59</f>
        <v>3.0345865206830296</v>
      </c>
      <c r="L18" s="42" t="n">
        <f>Financials!I59</f>
        <v>2.287294248196782</v>
      </c>
      <c r="M18" s="42" t="n">
        <f>Financials!J59</f>
        <v>1.5058968213925328</v>
      </c>
      <c r="N18" s="42" t="n">
        <f>Financials!K59</f>
        <v>1.7201452765386285</v>
      </c>
      <c r="O18" s="42" t="n">
        <f>Financials!L59</f>
        <v>1.4895837300529382</v>
      </c>
      <c r="P18" s="42" t="n">
        <f>Financials!M59</f>
        <v>1.4320202808112326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1.5315855090276815</v>
      </c>
      <c r="G20" s="42" t="n">
        <f>Financials!D58</f>
        <v>0.711388851305642</v>
      </c>
      <c r="H20" s="42" t="n">
        <f>Financials!E58</f>
        <v>0.8543619067789132</v>
      </c>
      <c r="I20" s="42" t="n">
        <f>Financials!F58</f>
        <v>0.8988225836166613</v>
      </c>
      <c r="J20" s="42" t="n">
        <f>Financials!G58</f>
        <v>0.9132185263820083</v>
      </c>
      <c r="K20" s="42" t="n">
        <f>Financials!H58</f>
        <v>0.9628649621240758</v>
      </c>
      <c r="L20" s="42" t="n">
        <f>Financials!I58</f>
        <v>1.5179150078696417</v>
      </c>
      <c r="M20" s="42" t="n">
        <f>Financials!J58</f>
        <v>1.9130201662148878</v>
      </c>
      <c r="N20" s="42" t="n">
        <f>Financials!K58</f>
        <v>1.5013976793248944</v>
      </c>
      <c r="O20" s="42" t="n">
        <f>Financials!L58</f>
        <v>1.3621320411871594</v>
      </c>
      <c r="P20" s="42" t="n">
        <f>Financials!M58</f>
        <v>1.3634626505418248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0.8385585721177528</v>
      </c>
      <c r="G22" s="42" t="n">
        <f>Financials!D60</f>
        <v>0.9466900995899239</v>
      </c>
      <c r="H22" s="42" t="n">
        <f>Financials!E60</f>
        <v>1.7258146639511203</v>
      </c>
      <c r="I22" s="42" t="n">
        <f>Financials!F60</f>
        <v>1.6240538904026642</v>
      </c>
      <c r="J22" s="42" t="n">
        <f>Financials!G60</f>
        <v>1.6531397704253883</v>
      </c>
      <c r="K22" s="42" t="n">
        <f>Financials!H60</f>
        <v>1.8041237113402062</v>
      </c>
      <c r="L22" s="42" t="n">
        <f>Financials!I60</f>
        <v>1.4020412385352734</v>
      </c>
      <c r="M22" s="42" t="n">
        <f>Financials!J60</f>
        <v>0.8981757259865971</v>
      </c>
      <c r="N22" s="42" t="n">
        <f>Financials!K60</f>
        <v>0.7504537205081669</v>
      </c>
      <c r="O22" s="42" t="n">
        <f>Financials!L60</f>
        <v>0.6136781218101395</v>
      </c>
      <c r="P22" s="42" t="n">
        <f>Financials!M60</f>
        <v>0.5284440537485872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5380.0</v>
      </c>
      <c r="H24" s="40" t="n">
        <f>Financials!E12</f>
        <v>5281.0</v>
      </c>
      <c r="I24" s="40" t="n">
        <f>Financials!F12</f>
        <v>5146.0</v>
      </c>
      <c r="J24" s="40" t="n">
        <f>Financials!G12</f>
        <v>5088.0</v>
      </c>
      <c r="K24" s="40" t="n">
        <f>Financials!H12</f>
        <v>5049.0</v>
      </c>
      <c r="L24" s="40" t="n">
        <f>Financials!I12</f>
        <v>4881.0</v>
      </c>
      <c r="M24" s="40" t="n">
        <f>Financials!J12</f>
        <v>4453.0</v>
      </c>
      <c r="N24" s="40" t="n">
        <f>Financials!K12</f>
        <v>4254.0</v>
      </c>
      <c r="O24" s="40" t="n">
        <f>Financials!L12</f>
        <v>4236.0</v>
      </c>
      <c r="P24" s="40" t="n">
        <f>Financials!M12</f>
        <v>4192.0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19.477500438690186</v>
      </c>
      <c r="G26" s="44" t="n">
        <f>Financials!D81</f>
        <v>12.1899995803833</v>
      </c>
      <c r="H26" s="44" t="n">
        <f>Financials!E81</f>
        <v>18.920000076293945</v>
      </c>
      <c r="I26" s="44" t="n">
        <f>Financials!F81</f>
        <v>14.4399995803833</v>
      </c>
      <c r="J26" s="44" t="n">
        <f>Financials!G81</f>
        <v>14.460000038146973</v>
      </c>
      <c r="K26" s="44" t="n">
        <f>Financials!H81</f>
        <v>19.950000762939453</v>
      </c>
      <c r="L26" s="44" t="n">
        <f>Financials!I81</f>
        <v>139.77000427246094</v>
      </c>
      <c r="M26" s="44" t="n">
        <f>Financials!J81</f>
        <v>19.030000686645508</v>
      </c>
      <c r="N26" s="44" t="n">
        <f>Financials!K81</f>
        <v>18.1200008392334</v>
      </c>
      <c r="O26" s="44" t="n">
        <f>Financials!L81</f>
        <v>23.559999465942383</v>
      </c>
      <c r="P26" s="44" t="n">
        <f>Financials!M81</f>
        <v>17.200000762939453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14.461999893188477</v>
      </c>
      <c r="G28" s="44" t="n">
        <f>Financials!D82</f>
        <v>9.270000457763672</v>
      </c>
      <c r="H28" s="44" t="n">
        <f>Financials!E82</f>
        <v>11.90999984741211</v>
      </c>
      <c r="I28" s="44" t="n">
        <f>Financials!F82</f>
        <v>10.869999885559082</v>
      </c>
      <c r="J28" s="44" t="n">
        <f>Financials!G82</f>
        <v>11.329999923706055</v>
      </c>
      <c r="K28" s="44" t="n">
        <f>Financials!H82</f>
        <v>13.539999961853027</v>
      </c>
      <c r="L28" s="44" t="n">
        <f>Financials!I82</f>
        <v>14.449999809265137</v>
      </c>
      <c r="M28" s="44" t="n">
        <f>Financials!J82</f>
        <v>13.380000114440918</v>
      </c>
      <c r="N28" s="44" t="n">
        <f>Financials!K82</f>
        <v>11.930000305175781</v>
      </c>
      <c r="O28" s="44" t="n">
        <f>Financials!L82</f>
        <v>18.149999618530273</v>
      </c>
      <c r="P28" s="44" t="n">
        <f>Financials!M82</f>
        <v>14.399999618530273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2.0999999046325684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-7.925048418551128E-4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0.007843595921714464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0.018923905972873856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0.031232616367195876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1.547922128460688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0.016965539219843784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0.008870224638957813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0.005909436060298923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0.4340030962032483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0.008435565345554119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0.025057833160197697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0.033493398505751816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207.3300018310547</v>
      </c>
    </row>
    <row r="6" spans="2:16">
      <c r="B6" s="4" t="s">
        <v>5</v>
      </c>
      <c r="C6" s="59" t="n">
        <v>2.564E7</v>
      </c>
    </row>
    <row r="7" spans="2:16">
      <c r="B7" s="4" t="s">
        <v>4</v>
      </c>
      <c r="C7" s="59" t="n">
        <v>2.8589E7</v>
      </c>
    </row>
    <row r="8" spans="2:16">
      <c r="B8" s="4" t="s">
        <v>3</v>
      </c>
      <c r="C8" s="59" t="n">
        <v>390000.0</v>
      </c>
    </row>
    <row r="9" spans="2:16">
      <c r="B9" s="10" t="s">
        <v>6</v>
      </c>
      <c r="C9" s="59" t="n">
        <v>1.4107E7</v>
      </c>
    </row>
    <row r="10" spans="2:16">
      <c r="B10" s="10" t="s">
        <v>7</v>
      </c>
      <c r="C10" s="59" t="n">
        <v>2805000.0</v>
      </c>
    </row>
    <row r="11" spans="2:16">
      <c r="B11" s="10" t="s">
        <v>9</v>
      </c>
      <c r="C11" s="60" t="n">
        <v>0.9900000095367432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5.4229E7</v>
      </c>
    </row>
    <row r="18" spans="2:15" ht="18" thickTop="1" thickBot="1">
      <c r="B18" s="2" t="s">
        <v>20</v>
      </c>
      <c r="C18" s="12" t="n">
        <f>C8/C17</f>
        <v>0.007191723985321507</v>
      </c>
    </row>
    <row r="19" spans="2:15" ht="18" thickTop="1" thickBot="1">
      <c r="B19" s="2" t="s">
        <v>19</v>
      </c>
      <c r="C19" s="12" t="n">
        <f>C14+C11*(C15-C14)</f>
        <v>0.11913000082969664</v>
      </c>
    </row>
    <row r="20" spans="2:15" ht="18" thickTop="1" thickBot="1">
      <c r="B20" s="2" t="s">
        <v>18</v>
      </c>
      <c r="C20" s="12" t="n">
        <f>C8/C17</f>
        <v>0.007191723985321507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2.61559001831055E8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0.7926701064755273</v>
      </c>
      <c r="K22" t="s" s="0">
        <v>12</v>
      </c>
    </row>
    <row r="23" spans="2:15" ht="18" thickTop="1" thickBot="1">
      <c r="B23" s="16" t="s">
        <v>24</v>
      </c>
      <c r="C23" s="12" t="n">
        <f>C17/C21</f>
        <v>0.20732989352447273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0.0959111265228183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0.0959111265228183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0.029999999329447746</v>
      </c>
    </row>
    <row r="7" spans="2:12">
      <c r="B7" s="18" t="s">
        <v>31</v>
      </c>
      <c r="C7" s="13" t="n">
        <f>AVERAGEIF(C28:L28, "&lt;0.5")</f>
        <v>0.1868163286879544</v>
      </c>
    </row>
    <row r="8" spans="2:12">
      <c r="B8" s="18" t="s">
        <v>112</v>
      </c>
      <c r="C8" s="13" t="n">
        <f>AVERAGEIF(C29:L29,"&lt;2")</f>
        <v>1.2764494441552279</v>
      </c>
    </row>
    <row r="9" spans="2:12">
      <c r="B9" s="18" t="s">
        <v>136</v>
      </c>
      <c r="C9" s="66" t="n">
        <v>11.510000228881836</v>
      </c>
    </row>
    <row r="10" spans="2:12">
      <c r="B10" s="18" t="s">
        <v>100</v>
      </c>
      <c r="C10" s="67" t="n">
        <v>0.03999999910593033</v>
      </c>
    </row>
    <row r="11" spans="2:12">
      <c r="B11" s="18" t="s">
        <v>44</v>
      </c>
      <c r="C11" s="59" t="n">
        <v>4.108844288E9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48607.0</v>
      </c>
      <c r="D16" s="21" t="n">
        <f>Financials!E3</f>
        <v>47142.0</v>
      </c>
      <c r="E16" s="21" t="n">
        <f>Financials!F3</f>
        <v>49161.0</v>
      </c>
      <c r="F16" s="21" t="n">
        <f>Financials!G3</f>
        <v>49247.0</v>
      </c>
      <c r="G16" s="21" t="n">
        <f>Financials!H3</f>
        <v>48005.0</v>
      </c>
      <c r="H16" s="21" t="n">
        <f>Financials!I3</f>
        <v>49330.0</v>
      </c>
      <c r="I16" s="21" t="n">
        <f>Financials!J3</f>
        <v>51904.0</v>
      </c>
      <c r="J16" s="21" t="n">
        <f>Financials!K3</f>
        <v>49301.0</v>
      </c>
      <c r="K16" s="21" t="n">
        <f>Financials!L3</f>
        <v>49818.0</v>
      </c>
      <c r="L16" s="21" t="n">
        <f>Financials!M3</f>
        <v>51557.0</v>
      </c>
    </row>
    <row r="17" spans="2:12">
      <c r="B17" s="18" t="s">
        <v>27</v>
      </c>
      <c r="C17" s="22"/>
      <c r="D17" s="20" t="n">
        <f t="shared" ref="D17:L17" si="0">(D16-C16)/C16</f>
        <v>-0.030139691813936265</v>
      </c>
      <c r="E17" s="20" t="n">
        <f t="shared" si="0"/>
        <v>0.04282805141911671</v>
      </c>
      <c r="F17" s="20" t="n">
        <f t="shared" si="0"/>
        <v>0.0017493541628526678</v>
      </c>
      <c r="G17" s="20" t="n">
        <f t="shared" si="0"/>
        <v>-0.025219810343777287</v>
      </c>
      <c r="H17" s="20" t="n">
        <f t="shared" si="0"/>
        <v>0.02760129153213207</v>
      </c>
      <c r="I17" s="20" t="n">
        <f t="shared" si="0"/>
        <v>0.05217920129738496</v>
      </c>
      <c r="J17" s="20" t="n">
        <f t="shared" si="0"/>
        <v>-0.0501502774352651</v>
      </c>
      <c r="K17" s="20" t="n">
        <f t="shared" si="0"/>
        <v>0.010486602705827469</v>
      </c>
      <c r="L17" s="20" t="n">
        <f t="shared" si="0"/>
        <v>0.03490706170460476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9983.0</v>
      </c>
      <c r="D19" s="21" t="n">
        <f>Financials!E6</f>
        <v>7853.0</v>
      </c>
      <c r="E19" s="21" t="n">
        <f>Financials!F6</f>
        <v>8981.0</v>
      </c>
      <c r="F19" s="21" t="n">
        <f>Financials!G6</f>
        <v>10739.0</v>
      </c>
      <c r="G19" s="21" t="n">
        <f>Financials!H6</f>
        <v>9609.0</v>
      </c>
      <c r="H19" s="21" t="n">
        <f>Financials!I6</f>
        <v>110.0</v>
      </c>
      <c r="I19" s="21" t="n">
        <f>Financials!J6</f>
        <v>11621.0</v>
      </c>
      <c r="J19" s="21" t="n">
        <f>Financials!K6</f>
        <v>11214.0</v>
      </c>
      <c r="K19" s="21" t="n">
        <f>Financials!L6</f>
        <v>10591.0</v>
      </c>
      <c r="L19" s="21" t="n">
        <f>Financials!M6</f>
        <v>11812.0</v>
      </c>
    </row>
    <row r="20" spans="2:12">
      <c r="B20" s="18" t="s">
        <v>27</v>
      </c>
      <c r="C20" s="22"/>
      <c r="D20" s="20" t="n">
        <f>(D19-C19)/C19</f>
        <v>-0.213362716618251</v>
      </c>
      <c r="E20" s="20" t="n">
        <f t="shared" ref="E20:L20" si="1">(E19-D19)/D19</f>
        <v>0.14363937348783903</v>
      </c>
      <c r="F20" s="20" t="n">
        <f t="shared" si="1"/>
        <v>0.1957465761051108</v>
      </c>
      <c r="G20" s="20" t="n">
        <f t="shared" si="1"/>
        <v>-0.10522395008846261</v>
      </c>
      <c r="H20" s="20" t="n">
        <f t="shared" si="1"/>
        <v>-0.9885523987927984</v>
      </c>
      <c r="I20" s="20" t="n">
        <f t="shared" si="1"/>
        <v>104.64545454545454</v>
      </c>
      <c r="J20" s="20" t="n">
        <f t="shared" si="1"/>
        <v>-0.03502280354530591</v>
      </c>
      <c r="K20" s="20" t="n">
        <f t="shared" si="1"/>
        <v>-0.05555555555555555</v>
      </c>
      <c r="L20" s="20" t="n">
        <f t="shared" si="1"/>
        <v>0.11528656406382778</v>
      </c>
    </row>
    <row r="22" spans="2:12">
      <c r="B22" s="18" t="s">
        <v>30</v>
      </c>
      <c r="C22" s="25" t="n">
        <f>Financials!D20</f>
        <v>11875.0</v>
      </c>
      <c r="D22" s="25" t="n">
        <f>Financials!E20</f>
        <v>11289.0</v>
      </c>
      <c r="E22" s="25" t="n">
        <f>Financials!F20</f>
        <v>11347.0</v>
      </c>
      <c r="F22" s="25" t="n">
        <f>Financials!G20</f>
        <v>12465.0</v>
      </c>
      <c r="G22" s="25" t="n">
        <f>Financials!H20</f>
        <v>12919.0</v>
      </c>
      <c r="H22" s="25" t="n">
        <f>Financials!I20</f>
        <v>12891.0</v>
      </c>
      <c r="I22" s="25" t="n">
        <f>Financials!J20</f>
        <v>14944.0</v>
      </c>
      <c r="J22" s="25" t="n">
        <f>Financials!K20</f>
        <v>14835.0</v>
      </c>
      <c r="K22" s="25" t="n">
        <f>Financials!L20</f>
        <v>14790.0</v>
      </c>
      <c r="L22" s="25" t="n">
        <f>Financials!M20</f>
        <v>12840.0</v>
      </c>
    </row>
    <row r="23" spans="2:12">
      <c r="B23" s="18" t="s">
        <v>27</v>
      </c>
      <c r="C23" s="26"/>
      <c r="D23" s="26" t="n">
        <f>(D22-C22)/C22</f>
        <v>-0.04934736842105263</v>
      </c>
      <c r="E23" s="26" t="n">
        <f t="shared" ref="E23:L23" si="2">(E22-D22)/D22</f>
        <v>0.005137744707237133</v>
      </c>
      <c r="F23" s="26" t="n">
        <f t="shared" si="2"/>
        <v>0.09852824535119414</v>
      </c>
      <c r="G23" s="26" t="n">
        <f t="shared" si="2"/>
        <v>0.03642198154833534</v>
      </c>
      <c r="H23" s="26" t="n">
        <f t="shared" si="2"/>
        <v>-0.00216735041411874</v>
      </c>
      <c r="I23" s="26" t="n">
        <f t="shared" si="2"/>
        <v>0.15925839733147157</v>
      </c>
      <c r="J23" s="26" t="n">
        <f t="shared" si="2"/>
        <v>-0.00729389721627409</v>
      </c>
      <c r="K23" s="26" t="n">
        <f t="shared" si="2"/>
        <v>-0.003033367037411527</v>
      </c>
      <c r="L23" s="26" t="n">
        <f t="shared" si="2"/>
        <v>-0.13184584178498987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13656.0</v>
      </c>
      <c r="D25" s="62" t="n">
        <f>Financials!E9</f>
        <v>11784.0</v>
      </c>
      <c r="E25" s="62" t="n">
        <f>Financials!F9</f>
        <v>13212.0</v>
      </c>
      <c r="F25" s="62" t="n">
        <f>Financials!G9</f>
        <v>14810.0</v>
      </c>
      <c r="G25" s="62" t="n">
        <f>Financials!H9</f>
        <v>14259.0</v>
      </c>
      <c r="H25" s="62" t="n">
        <f>Financials!I9</f>
        <v>14501.0</v>
      </c>
      <c r="I25" s="62" t="n">
        <f>Financials!J9</f>
        <v>16116.0</v>
      </c>
      <c r="J25" s="62" t="n">
        <f>Financials!K9</f>
        <v>15428.0</v>
      </c>
      <c r="K25" s="62" t="n">
        <f>Financials!L9</f>
        <v>14695.0</v>
      </c>
      <c r="L25" s="62" t="n">
        <f>Financials!M9</f>
        <v>15926.0</v>
      </c>
    </row>
    <row r="26" spans="2:12">
      <c r="B26" s="18" t="s">
        <v>27</v>
      </c>
      <c r="C26" s="63"/>
      <c r="D26" s="63" t="n">
        <f>Financials!E10</f>
        <v>-0.13708260105448156</v>
      </c>
      <c r="E26" s="63" t="n">
        <f>Financials!F10</f>
        <v>0.12118126272912423</v>
      </c>
      <c r="F26" s="63" t="n">
        <f>Financials!G10</f>
        <v>0.12095065092340297</v>
      </c>
      <c r="G26" s="63" t="n">
        <f>Financials!H10</f>
        <v>-0.03720459149223498</v>
      </c>
      <c r="H26" s="63" t="n">
        <f>Financials!I10</f>
        <v>0.016971737148467635</v>
      </c>
      <c r="I26" s="63" t="n">
        <f>Financials!J10</f>
        <v>0.11137162954279015</v>
      </c>
      <c r="J26" s="63" t="n">
        <f>Financials!K10</f>
        <v>-0.04269049391908662</v>
      </c>
      <c r="K26" s="63" t="n">
        <f>Financials!L10</f>
        <v>-0.04751101892662691</v>
      </c>
      <c r="L26" s="63" t="n">
        <f>Financials!M10</f>
        <v>0.08376998979244642</v>
      </c>
    </row>
    <row r="28" spans="2:12" ht="15" thickBot="1">
      <c r="B28" s="1" t="s">
        <v>31</v>
      </c>
      <c r="C28" s="24" t="n">
        <f t="shared" ref="C28:L28" si="3">C19/C16</f>
        <v>0.2053819408727138</v>
      </c>
      <c r="D28" s="24" t="n">
        <f t="shared" si="3"/>
        <v>0.1665818166390904</v>
      </c>
      <c r="E28" s="24" t="n">
        <f t="shared" si="3"/>
        <v>0.1826854620532536</v>
      </c>
      <c r="F28" s="24" t="n">
        <f t="shared" si="3"/>
        <v>0.2180640445103255</v>
      </c>
      <c r="G28" s="24" t="n">
        <f t="shared" si="3"/>
        <v>0.2001666493073638</v>
      </c>
      <c r="H28" s="24" t="n">
        <f t="shared" si="3"/>
        <v>0.0022298803973241437</v>
      </c>
      <c r="I28" s="24" t="n">
        <f t="shared" si="3"/>
        <v>0.22389411220715166</v>
      </c>
      <c r="J28" s="24" t="n">
        <f t="shared" si="3"/>
        <v>0.22745988925173932</v>
      </c>
      <c r="K28" s="24" t="n">
        <f t="shared" si="3"/>
        <v>0.21259384158336345</v>
      </c>
      <c r="L28" s="24" t="n">
        <f t="shared" si="3"/>
        <v>0.22910565005721822</v>
      </c>
    </row>
    <row r="29" spans="2:12" ht="15" thickBot="1">
      <c r="B29" s="1" t="s">
        <v>32</v>
      </c>
      <c r="C29" s="24" t="n">
        <f t="shared" ref="C29:L29" si="4">C22/C19</f>
        <v>1.1895221877191224</v>
      </c>
      <c r="D29" s="24" t="n">
        <f t="shared" si="4"/>
        <v>1.4375397937094103</v>
      </c>
      <c r="E29" s="24" t="n">
        <f t="shared" si="4"/>
        <v>1.2634450506625097</v>
      </c>
      <c r="F29" s="24" t="n">
        <f t="shared" si="4"/>
        <v>1.160722599869634</v>
      </c>
      <c r="G29" s="24" t="n">
        <f t="shared" si="4"/>
        <v>1.3444687272348839</v>
      </c>
      <c r="H29" s="24" t="n">
        <f t="shared" si="4"/>
        <v>117.19090909090909</v>
      </c>
      <c r="I29" s="24" t="n">
        <f t="shared" si="4"/>
        <v>1.2859478530246966</v>
      </c>
      <c r="J29" s="24" t="n">
        <f t="shared" si="4"/>
        <v>1.322899946495452</v>
      </c>
      <c r="K29" s="24" t="n">
        <f t="shared" si="4"/>
        <v>1.3964686998394864</v>
      </c>
      <c r="L29" s="24" t="n">
        <f t="shared" si="4"/>
        <v>1.0870301388418557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56521.93902071565</v>
      </c>
      <c r="D36" s="21" t="n">
        <f>C36*(D37+1)</f>
        <v>58833.68650555537</v>
      </c>
      <c r="E36" s="21" t="n">
        <f>D36*(E37+1)</f>
        <v>60828.14848721118</v>
      </c>
      <c r="F36" s="21" t="n">
        <f t="shared" ref="F36:L36" si="5">E36*(F37+1)</f>
        <v>62652.99290103922</v>
      </c>
      <c r="G36" s="21" t="n">
        <f t="shared" si="5"/>
        <v>64532.582646058414</v>
      </c>
      <c r="H36" s="21" t="n">
        <f t="shared" si="5"/>
        <v>66468.56008216782</v>
      </c>
      <c r="I36" s="21" t="n">
        <f t="shared" si="5"/>
        <v>68462.61684006234</v>
      </c>
      <c r="J36" s="21" t="n">
        <f t="shared" si="5"/>
        <v>70516.49529935657</v>
      </c>
      <c r="K36" s="21" t="n">
        <f t="shared" si="5"/>
        <v>72631.99011105247</v>
      </c>
      <c r="L36" s="21" t="n">
        <f t="shared" si="5"/>
        <v>74810.94976568069</v>
      </c>
    </row>
    <row r="37" spans="2:12">
      <c r="B37" s="18" t="s">
        <v>27</v>
      </c>
      <c r="C37" s="68" t="n">
        <v>0.09629999846220016</v>
      </c>
      <c r="D37" s="68" t="n">
        <v>0.04090000316500664</v>
      </c>
      <c r="E37" s="68" t="n">
        <v>0.033900000154972076</v>
      </c>
      <c r="F37" s="27" t="n">
        <f>C6</f>
        <v>0.029999999329447746</v>
      </c>
      <c r="G37" s="27" t="n">
        <f>C6</f>
        <v>0.029999999329447746</v>
      </c>
      <c r="H37" s="27" t="n">
        <f>C6</f>
        <v>0.029999999329447746</v>
      </c>
      <c r="I37" s="27" t="n">
        <f>C6</f>
        <v>0.029999999329447746</v>
      </c>
      <c r="J37" s="27" t="n">
        <f>C6</f>
        <v>0.029999999329447746</v>
      </c>
      <c r="K37" s="27" t="n">
        <f>C6</f>
        <v>0.029999999329447746</v>
      </c>
      <c r="L37" s="27" t="n">
        <f>C6</f>
        <v>0.029999999329447746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10559.221138174498</v>
      </c>
      <c r="D39" s="21" t="n">
        <f>D36*C7</f>
        <v>10991.093316145882</v>
      </c>
      <c r="E39" s="21" t="n">
        <f>E36*C7</f>
        <v>11363.691381266519</v>
      </c>
      <c r="F39" s="21" t="n">
        <f>F36*C7</f>
        <v>11704.602115084588</v>
      </c>
      <c r="G39" s="21" t="n">
        <f>G36*C7</f>
        <v>12055.740170688603</v>
      </c>
      <c r="H39" s="21" t="n">
        <f>H36*C7</f>
        <v>12417.41236772528</v>
      </c>
      <c r="I39" s="21" t="n">
        <f>I36*C7</f>
        <v>12789.934730430534</v>
      </c>
      <c r="J39" s="21" t="n">
        <f>J36*C7</f>
        <v>13173.632763767166</v>
      </c>
      <c r="K39" s="21" t="n">
        <f>K36*C7</f>
        <v>13568.84173784661</v>
      </c>
      <c r="L39" s="21" t="n">
        <f>L36*C7</f>
        <v>13975.906980883421</v>
      </c>
    </row>
    <row r="40" spans="2:12">
      <c r="B40" s="18"/>
      <c r="C40" s="20" t="n">
        <f>(C39-L19)/L19</f>
        <v>-0.1060598426875635</v>
      </c>
      <c r="D40" s="20" t="n">
        <f>(D39-C39)/C39</f>
        <v>0.040900003165010516</v>
      </c>
      <c r="E40" s="20" t="n">
        <f t="shared" ref="E40:L40" si="6">(E39-D39)/D39</f>
        <v>0.03390000015497011</v>
      </c>
      <c r="F40" s="20" t="n">
        <f t="shared" si="6"/>
        <v>0.02999999932944976</v>
      </c>
      <c r="G40" s="20" t="n">
        <f t="shared" si="6"/>
        <v>0.029999999329449824</v>
      </c>
      <c r="H40" s="20" t="n">
        <f t="shared" si="6"/>
        <v>0.02999999932944955</v>
      </c>
      <c r="I40" s="20" t="n">
        <f t="shared" si="6"/>
        <v>0.029999999329449346</v>
      </c>
      <c r="J40" s="20" t="n">
        <f t="shared" si="6"/>
        <v>0.029999999329450605</v>
      </c>
      <c r="K40" s="20" t="n">
        <f t="shared" si="6"/>
        <v>0.029999999329450567</v>
      </c>
      <c r="L40" s="20" t="n">
        <f t="shared" si="6"/>
        <v>0.02999999932945006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13478.311952534996</v>
      </c>
      <c r="D42" s="21" t="n">
        <f>D39*C8</f>
        <v>14029.574954052698</v>
      </c>
      <c r="E42" s="21" t="n">
        <f>E39*C8</f>
        <v>14505.177547169202</v>
      </c>
      <c r="F42" s="21" t="n">
        <f>F39*C8</f>
        <v>14940.332863857868</v>
      </c>
      <c r="G42" s="21" t="n">
        <f>G39*C8</f>
        <v>15388.54283975534</v>
      </c>
      <c r="H42" s="21" t="n">
        <f>H39*C8</f>
        <v>15850.199114629238</v>
      </c>
      <c r="I42" s="21" t="n">
        <f>I39*C8</f>
        <v>16325.705077439683</v>
      </c>
      <c r="J42" s="21" t="n">
        <f>J39*C8</f>
        <v>16815.47621881577</v>
      </c>
      <c r="K42" s="21" t="n">
        <f>K39*C8</f>
        <v>17319.940494104576</v>
      </c>
      <c r="L42" s="21" t="n">
        <f>L39*C8</f>
        <v>17839.538697313816</v>
      </c>
    </row>
    <row r="43" spans="2:12">
      <c r="B43" s="18" t="s">
        <v>27</v>
      </c>
      <c r="C43" s="20" t="n">
        <f>(C42-L22)/L22</f>
        <v>0.04971276888901838</v>
      </c>
      <c r="D43" s="20" t="n">
        <f>(D42-C42)/C42</f>
        <v>0.040900003165012105</v>
      </c>
      <c r="E43" s="20" t="n">
        <f t="shared" ref="E43:L43" si="7">(E42-D42)/D42</f>
        <v>0.03390000015496674</v>
      </c>
      <c r="F43" s="20" t="n">
        <f t="shared" si="7"/>
        <v>0.029999999329452538</v>
      </c>
      <c r="G43" s="20" t="n">
        <f t="shared" si="7"/>
        <v>0.029999999329448405</v>
      </c>
      <c r="H43" s="20" t="n">
        <f t="shared" si="7"/>
        <v>0.029999999329451715</v>
      </c>
      <c r="I43" s="20" t="n">
        <f t="shared" si="7"/>
        <v>0.029999999329444953</v>
      </c>
      <c r="J43" s="20" t="n">
        <f t="shared" si="7"/>
        <v>0.029999999329455913</v>
      </c>
      <c r="K43" s="20" t="n">
        <f t="shared" si="7"/>
        <v>0.02999999932944706</v>
      </c>
      <c r="L43" s="20" t="n">
        <f t="shared" si="7"/>
        <v>0.029999999329449314</v>
      </c>
    </row>
    <row r="45" spans="2:12">
      <c r="B45" s="18" t="s">
        <v>47</v>
      </c>
      <c r="C45" s="60" t="n">
        <v>19486.0</v>
      </c>
      <c r="D45" s="60" t="n">
        <v>20415.0</v>
      </c>
      <c r="E45" s="60" t="n">
        <v>20814.0</v>
      </c>
      <c r="F45" s="21" t="n">
        <f t="shared" ref="E45:L45" si="8">E45*(1+F46)</f>
        <v>21646.559981390827</v>
      </c>
      <c r="G45" s="21" t="n">
        <f t="shared" si="8"/>
        <v>22512.42236129289</v>
      </c>
      <c r="H45" s="21" t="n">
        <f t="shared" si="8"/>
        <v>23412.919235616933</v>
      </c>
      <c r="I45" s="21" t="n">
        <f t="shared" si="8"/>
        <v>24349.435984108786</v>
      </c>
      <c r="J45" s="21" t="n">
        <f t="shared" si="8"/>
        <v>25323.413401703052</v>
      </c>
      <c r="K45" s="21" t="n">
        <f t="shared" si="8"/>
        <v>26336.34991513032</v>
      </c>
      <c r="L45" s="21" t="n">
        <f t="shared" si="8"/>
        <v>27389.803888188973</v>
      </c>
    </row>
    <row r="46" spans="2:12">
      <c r="B46" s="18" t="s">
        <v>27</v>
      </c>
      <c r="C46" s="20" t="n">
        <f>C10</f>
        <v>0.03999999910593033</v>
      </c>
      <c r="D46" s="20" t="n">
        <f>C10</f>
        <v>0.03999999910593033</v>
      </c>
      <c r="E46" s="20" t="n">
        <f>C10</f>
        <v>0.03999999910593033</v>
      </c>
      <c r="F46" s="20" t="n">
        <f>C10</f>
        <v>0.03999999910593033</v>
      </c>
      <c r="G46" s="20" t="n">
        <f>C10</f>
        <v>0.03999999910593033</v>
      </c>
      <c r="H46" s="20" t="n">
        <f>C10</f>
        <v>0.03999999910593033</v>
      </c>
      <c r="I46" s="20" t="n">
        <f>C10</f>
        <v>0.03999999910593033</v>
      </c>
      <c r="J46" s="20" t="n">
        <f>C10</f>
        <v>0.03999999910593033</v>
      </c>
      <c r="K46" s="20" t="n">
        <f>C10</f>
        <v>0.03999999910593033</v>
      </c>
      <c r="L46" s="20" t="n">
        <f>C10</f>
        <v>0.03999999910593033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1.0959111265228183</v>
      </c>
      <c r="D51" s="61" t="n">
        <f>POWER((1+C4),2)</f>
        <v>1.2010211972365126</v>
      </c>
      <c r="E51" s="61" t="n">
        <f>POWER((1+C4),3)</f>
        <v>1.3162124932412504</v>
      </c>
      <c r="F51" s="61" t="n">
        <f>POWER((1+C4),4)</f>
        <v>1.4424519162114262</v>
      </c>
      <c r="G51" s="61" t="n">
        <f>POWER((1+C4),5)</f>
        <v>1.580799104450262</v>
      </c>
      <c r="H51" s="61" t="n">
        <f>POWER((1+C4),6)</f>
        <v>1.732415327364349</v>
      </c>
      <c r="I51" s="61" t="n">
        <f>POWER((1+C4),7)</f>
        <v>1.8985732330172609</v>
      </c>
      <c r="J51" s="61" t="n">
        <f>POWER((1+C4),8)</f>
        <v>2.0806675305820153</v>
      </c>
      <c r="K51" s="61" t="n">
        <f>POWER((1+C4),9)</f>
        <v>2.2802266973595873</v>
      </c>
      <c r="L51" s="61" t="n">
        <f>POWER((1+C4),10)</f>
        <v>2.4989258086307506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12298.727174437847</v>
      </c>
      <c r="D53" s="21" t="n">
        <f t="shared" si="9"/>
        <v>11681.371641344927</v>
      </c>
      <c r="E53" s="21" t="n">
        <f t="shared" si="9"/>
        <v>11020.39193644892</v>
      </c>
      <c r="F53" s="21" t="n">
        <f t="shared" si="9"/>
        <v>10357.595075403535</v>
      </c>
      <c r="G53" s="21" t="n">
        <f t="shared" si="9"/>
        <v>9734.660651333576</v>
      </c>
      <c r="H53" s="21" t="n">
        <f t="shared" si="9"/>
        <v>9149.19122699247</v>
      </c>
      <c r="I53" s="21" t="n">
        <f t="shared" si="9"/>
        <v>8598.933553642533</v>
      </c>
      <c r="J53" s="21" t="n">
        <f t="shared" si="9"/>
        <v>8081.769899159261</v>
      </c>
      <c r="K53" s="21" t="n">
        <f t="shared" si="9"/>
        <v>7595.7098976870975</v>
      </c>
      <c r="L53" s="21" t="n">
        <f t="shared" si="9"/>
        <v>7138.882889479906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2.7386005980334707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103190.5050805007</v>
      </c>
    </row>
    <row r="60" spans="2:12" ht="15" thickBot="1">
      <c r="B60" s="5" t="s">
        <v>41</v>
      </c>
      <c r="C60" s="23" t="n">
        <f>C59/C55</f>
        <v>37680.01261469083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198847.73902643076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48.39505347213367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315256.64902208303</v>
      </c>
    </row>
    <row r="70" spans="2:12" ht="15" thickBot="1">
      <c r="B70" s="5" t="s">
        <v>41</v>
      </c>
      <c r="C70" s="23" t="n">
        <f>C69/C55</f>
        <v>115115.96442667178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210773.19837260185</v>
      </c>
    </row>
    <row r="73" spans="2:12" ht="15" thickTop="1"/>
    <row r="74" spans="2:12" ht="18.5">
      <c r="B74" s="69" t="s">
        <v>42</v>
      </c>
      <c r="C74" s="70" t="n">
        <f>C72/(C11/1000000)</f>
        <v>51.2974412265199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3.75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7.320000171661377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53.457014215478054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1.5199999809265137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1.5199999809265137</v>
      </c>
    </row>
    <row r="7" spans="2:16" ht="15" thickBot="1">
      <c r="B7" s="89" t="s">
        <v>121</v>
      </c>
      <c r="C7" s="90" t="n">
        <f>P6*(1+P7)</f>
        <v>1.5579999810159184</v>
      </c>
      <c r="D7" s="90" t="n">
        <f>C7*(1+P7)</f>
        <v>1.5969499811217198</v>
      </c>
      <c r="E7" s="90" t="n">
        <f>D7*(1+P7)</f>
        <v>1.6368737312446748</v>
      </c>
      <c r="F7" s="90" t="n">
        <f>E7*(1+P7)</f>
        <v>1.6777955751355713</v>
      </c>
      <c r="G7" s="90" t="n">
        <f>F7*(1+P7)</f>
        <v>1.7197404651389885</v>
      </c>
      <c r="H7" s="90" t="n">
        <f>G7*(1+P7)</f>
        <v>1.7627339774081197</v>
      </c>
      <c r="I7" s="90" t="n">
        <f>H7*(1+P7)</f>
        <v>1.8068023274999943</v>
      </c>
      <c r="J7" s="90" t="n">
        <f>I7*(1+P7)</f>
        <v>1.851972386360578</v>
      </c>
      <c r="K7" s="90" t="n">
        <f>J7*(1+P7)</f>
        <v>1.8982716967095097</v>
      </c>
      <c r="L7" s="90" t="n">
        <f>K7*(1+P7)</f>
        <v>1.945728489834411</v>
      </c>
      <c r="M7" s="159" t="n">
        <f>L7*(1+P7)/(P8-P7)</f>
        <v>28.12494753754483</v>
      </c>
      <c r="N7" s="160"/>
      <c r="O7" s="88" t="s">
        <v>122</v>
      </c>
      <c r="P7" s="104" t="n">
        <v>0.02500000037252903</v>
      </c>
    </row>
    <row r="8" spans="2:16" ht="15" thickBot="1">
      <c r="B8" s="89" t="s">
        <v>123</v>
      </c>
      <c r="C8" s="90" t="n">
        <f>C7/(1+P8)</f>
        <v>1.4216481093309512</v>
      </c>
      <c r="D8" s="90" t="n">
        <f>D7/(1+P8)^2</f>
        <v>1.3296601132404844</v>
      </c>
      <c r="E8" s="90" t="n">
        <f>E7/(1+P8)^3</f>
        <v>1.2436242169482628</v>
      </c>
      <c r="F8" s="90" t="n">
        <f>F7/(1+P8)^4</f>
        <v>1.1631552887684917</v>
      </c>
      <c r="G8" s="90" t="n">
        <f>G7/(1+P8)^5</f>
        <v>1.0878931170302304</v>
      </c>
      <c r="H8" s="90" t="n">
        <f>H7/(1+P8)^6</f>
        <v>1.0175007976233366</v>
      </c>
      <c r="I8" s="90" t="n">
        <f>I7/(1+P8)^7</f>
        <v>0.9516632258786113</v>
      </c>
      <c r="J8" s="90" t="n">
        <f>J7/(1+P8)^8</f>
        <v>0.8900856860310269</v>
      </c>
      <c r="K8" s="90" t="n">
        <f>K7/(1+P8)^9</f>
        <v>0.8324925319520342</v>
      </c>
      <c r="L8" s="90" t="n">
        <f>L7/(1+P8)^10</f>
        <v>0.778625953245304</v>
      </c>
      <c r="M8" s="159" t="n">
        <f>M7/POWER((1+P8),10)</f>
        <v>11.25481494504851</v>
      </c>
      <c r="N8" s="160"/>
      <c r="O8" s="91" t="s">
        <v>124</v>
      </c>
      <c r="P8" s="105" t="n">
        <f>WACC!$C$25</f>
        <v>0.0959111265228183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21.9711639850972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1.5199999809265137</v>
      </c>
    </row>
    <row r="16" spans="2:16" ht="15" thickBot="1">
      <c r="B16" s="89" t="s">
        <v>121</v>
      </c>
      <c r="C16" s="90" t="n">
        <f>P15*(1+P16)</f>
        <v>1.5617999801754938</v>
      </c>
      <c r="D16" s="90" t="n">
        <f>C16*(1+P16)</f>
        <v>1.604749479397592</v>
      </c>
      <c r="E16" s="90" t="n">
        <f>D16*(1+P16)</f>
        <v>1.6488800898419</v>
      </c>
      <c r="F16" s="90" t="n">
        <f>E16*(1+P16)</f>
        <v>1.6942242920668527</v>
      </c>
      <c r="G16" s="90" t="n">
        <f>F16*(1+P16)</f>
        <v>1.740815459846232</v>
      </c>
      <c r="H16" s="90" t="n">
        <f>G16*(1+P16)</f>
        <v>1.7886878847326024</v>
      </c>
      <c r="I16" s="90" t="n">
        <f>H16*(1+P16)</f>
        <v>1.8378768012962141</v>
      </c>
      <c r="J16" s="90" t="n">
        <f>I16*(1+P16)</f>
        <v>1.8884184130579937</v>
      </c>
      <c r="K16" s="90" t="n">
        <f>J16*(1+P16)</f>
        <v>1.9403499191356914</v>
      </c>
      <c r="L16" s="90" t="n">
        <f>K16*(1+P16)</f>
        <v>1.99370954162279</v>
      </c>
      <c r="M16" s="159" t="n">
        <f>L16*(1+P16)/(P17-P16)</f>
        <v>29.944493730489448</v>
      </c>
      <c r="N16" s="160"/>
      <c r="O16" s="88" t="s">
        <v>122</v>
      </c>
      <c r="P16" s="104" t="n">
        <v>0.027499999850988388</v>
      </c>
    </row>
    <row r="17" spans="2:16" ht="15" thickBot="1">
      <c r="B17" s="89" t="s">
        <v>123</v>
      </c>
      <c r="C17" s="90" t="n">
        <f>C16/(1+P17)</f>
        <v>1.425115543019326</v>
      </c>
      <c r="D17" s="90" t="n">
        <f>D16/(1+P17)^2</f>
        <v>1.3361541687107927</v>
      </c>
      <c r="E17" s="90" t="n">
        <f>E16/(1+P17)^3</f>
        <v>1.2527461168381988</v>
      </c>
      <c r="F17" s="90" t="n">
        <f>F16/(1+P17)^4</f>
        <v>1.1745447269512421</v>
      </c>
      <c r="G17" s="90" t="n">
        <f>G16/(1+P17)^5</f>
        <v>1.1012249785222503</v>
      </c>
      <c r="H17" s="90" t="n">
        <f>H16/(1+P17)^6</f>
        <v>1.0324821400961983</v>
      </c>
      <c r="I17" s="90" t="n">
        <f>I16/(1+P17)^7</f>
        <v>0.9680305027662327</v>
      </c>
      <c r="J17" s="90" t="n">
        <f>J16/(1+P17)^8</f>
        <v>0.9076021927105996</v>
      </c>
      <c r="K17" s="90" t="n">
        <f>K16/(1+P17)^9</f>
        <v>0.8509460578557985</v>
      </c>
      <c r="L17" s="90" t="n">
        <f>L16/(1+P17)^10</f>
        <v>0.797826624038596</v>
      </c>
      <c r="M17" s="159" t="n">
        <f>M16/POWER((1+P17),10)</f>
        <v>11.982946283185994</v>
      </c>
      <c r="N17" s="160"/>
      <c r="O17" s="91" t="s">
        <v>124</v>
      </c>
      <c r="P17" s="105" t="n">
        <f>WACC!$C$25</f>
        <v>0.0959111265228183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22.8296193346952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1.5199999809265137</v>
      </c>
    </row>
    <row r="25" spans="2:16" ht="15" thickBot="1">
      <c r="B25" s="89" t="s">
        <v>121</v>
      </c>
      <c r="C25" s="90" t="n">
        <f>P24*(1+P25)</f>
        <v>1.5655999793350692</v>
      </c>
      <c r="D25" s="90" t="n">
        <f>C25*(1+P25)</f>
        <v>1.612567977665309</v>
      </c>
      <c r="E25" s="90" t="n">
        <f>D25*(1+P25)</f>
        <v>1.6609450159139618</v>
      </c>
      <c r="F25" s="90" t="n">
        <f>E25*(1+P25)</f>
        <v>1.710773365277632</v>
      </c>
      <c r="G25" s="90" t="n">
        <f>F25*(1+P25)</f>
        <v>1.7620965650887999</v>
      </c>
      <c r="H25" s="90" t="n">
        <f>G25*(1+P25)</f>
        <v>1.8149594608598902</v>
      </c>
      <c r="I25" s="90" t="n">
        <f>H25*(1+P25)</f>
        <v>1.8694082434686656</v>
      </c>
      <c r="J25" s="90" t="n">
        <f>I25*(1+P25)</f>
        <v>1.9254904895191984</v>
      </c>
      <c r="K25" s="90" t="n">
        <f>J25*(1+P25)</f>
        <v>1.9832552029136383</v>
      </c>
      <c r="L25" s="90" t="n">
        <f>K25*(1+P25)</f>
        <v>2.0427528576711773</v>
      </c>
      <c r="M25" s="159" t="n">
        <f>L25*(1+P25)/(P26-P25)</f>
        <v>31.922310110987993</v>
      </c>
      <c r="N25" s="160"/>
      <c r="O25" s="88" t="s">
        <v>122</v>
      </c>
      <c r="P25" s="104" t="n">
        <v>0.029999999329447746</v>
      </c>
    </row>
    <row r="26" spans="2:16" ht="15" thickBot="1">
      <c r="B26" s="89" t="s">
        <v>123</v>
      </c>
      <c r="C26" s="90" t="n">
        <f>C25/(1+P26)</f>
        <v>1.42858297670771</v>
      </c>
      <c r="D26" s="90" t="n">
        <f>D25/(1+P26)^2</f>
        <v>1.3426640440449749</v>
      </c>
      <c r="E26" s="90" t="n">
        <f>E25/(1+P26)^3</f>
        <v>1.2619125137034568</v>
      </c>
      <c r="F26" s="90" t="n">
        <f>F25/(1+P26)^4</f>
        <v>1.1860176038109753</v>
      </c>
      <c r="G26" s="90" t="n">
        <f>G25/(1+P26)^5</f>
        <v>1.1146872237769823</v>
      </c>
      <c r="H26" s="90" t="n">
        <f>H25/(1+P26)^6</f>
        <v>1.0476468501471414</v>
      </c>
      <c r="I26" s="90" t="n">
        <f>I25/(1+P26)^7</f>
        <v>0.9846384700672092</v>
      </c>
      <c r="J26" s="90" t="n">
        <f>J25/(1+P26)^8</f>
        <v>0.9254195882898155</v>
      </c>
      <c r="K26" s="90" t="n">
        <f>K25/(1+P26)^9</f>
        <v>0.8697622939026936</v>
      </c>
      <c r="L26" s="90" t="n">
        <f>L25/(1+P26)^10</f>
        <v>0.8174523831863887</v>
      </c>
      <c r="M26" s="159" t="n">
        <f>M25/POWER((1+P26),10)</f>
        <v>12.774412910033277</v>
      </c>
      <c r="N26" s="160"/>
      <c r="O26" s="91" t="s">
        <v>124</v>
      </c>
      <c r="P26" s="105" t="n">
        <f>WACC!$C$25</f>
        <v>0.0959111265228183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23.7531968576706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46061.0</v>
      </c>
      <c r="D3" s="110" t="n">
        <v>48607.0</v>
      </c>
      <c r="E3" s="110" t="n">
        <v>47142.0</v>
      </c>
      <c r="F3" s="110" t="n">
        <v>49161.0</v>
      </c>
      <c r="G3" s="110" t="n">
        <v>49247.0</v>
      </c>
      <c r="H3" s="110" t="n">
        <v>48005.0</v>
      </c>
      <c r="I3" s="110" t="n">
        <v>49330.0</v>
      </c>
      <c r="J3" s="110" t="n">
        <v>51904.0</v>
      </c>
      <c r="K3" s="110" t="n">
        <v>49301.0</v>
      </c>
      <c r="L3" s="110" t="n">
        <v>49818.0</v>
      </c>
      <c r="M3" s="110" t="n">
        <v>51557.0</v>
      </c>
      <c r="Q3" s="107"/>
    </row>
    <row r="4" spans="2:17">
      <c r="B4" s="18" t="s">
        <v>27</v>
      </c>
      <c r="C4" s="113"/>
      <c r="D4" s="121" t="n">
        <f t="shared" ref="D4:M4" si="0">(D3-C3)/C3</f>
        <v>0.055274527257332666</v>
      </c>
      <c r="E4" s="121" t="n">
        <f t="shared" si="0"/>
        <v>-0.030139691813936265</v>
      </c>
      <c r="F4" s="121" t="n">
        <f t="shared" si="0"/>
        <v>0.04282805141911671</v>
      </c>
      <c r="G4" s="121" t="n">
        <f t="shared" si="0"/>
        <v>0.0017493541628526678</v>
      </c>
      <c r="H4" s="121" t="n">
        <f t="shared" si="0"/>
        <v>-0.025219810343777287</v>
      </c>
      <c r="I4" s="121" t="n">
        <f t="shared" si="0"/>
        <v>0.02760129153213207</v>
      </c>
      <c r="J4" s="121" t="n">
        <f t="shared" si="0"/>
        <v>0.05217920129738496</v>
      </c>
      <c r="K4" s="121" t="n">
        <f t="shared" si="0"/>
        <v>-0.0501502774352651</v>
      </c>
      <c r="L4" s="121" t="n">
        <f t="shared" si="0"/>
        <v>0.010486602705827469</v>
      </c>
      <c r="M4" s="121" t="n">
        <f t="shared" si="0"/>
        <v>0.03490706170460476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8041.0</v>
      </c>
      <c r="D6" s="110" t="n">
        <v>9983.0</v>
      </c>
      <c r="E6" s="110" t="n">
        <v>7853.0</v>
      </c>
      <c r="F6" s="110" t="n">
        <v>8981.0</v>
      </c>
      <c r="G6" s="110" t="n">
        <v>10739.0</v>
      </c>
      <c r="H6" s="110" t="n">
        <v>9609.0</v>
      </c>
      <c r="I6" s="110" t="n">
        <v>110.0</v>
      </c>
      <c r="J6" s="110" t="n">
        <v>11621.0</v>
      </c>
      <c r="K6" s="110" t="n">
        <v>11214.0</v>
      </c>
      <c r="L6" s="110" t="n">
        <v>10591.0</v>
      </c>
      <c r="M6" s="110" t="n">
        <v>11812.0</v>
      </c>
      <c r="Q6" s="107"/>
    </row>
    <row r="7" spans="2:17">
      <c r="B7" s="18" t="s">
        <v>27</v>
      </c>
      <c r="C7" s="113"/>
      <c r="D7" s="121" t="n">
        <f t="shared" ref="D7" si="1">(D6-C6)/C6</f>
        <v>0.24151224972018406</v>
      </c>
      <c r="E7" s="121" t="n">
        <f t="shared" ref="E7" si="2">(E6-D6)/D6</f>
        <v>-0.213362716618251</v>
      </c>
      <c r="F7" s="121" t="n">
        <f t="shared" ref="F7" si="3">(F6-E6)/E6</f>
        <v>0.14363937348783903</v>
      </c>
      <c r="G7" s="121" t="n">
        <f t="shared" ref="G7" si="4">(G6-F6)/F6</f>
        <v>0.1957465761051108</v>
      </c>
      <c r="H7" s="121" t="n">
        <f t="shared" ref="H7" si="5">(H6-G6)/G6</f>
        <v>-0.10522395008846261</v>
      </c>
      <c r="I7" s="121" t="n">
        <f t="shared" ref="I7" si="6">(I6-H6)/H6</f>
        <v>-0.9885523987927984</v>
      </c>
      <c r="J7" s="121" t="n">
        <f t="shared" ref="J7" si="7">(J6-I6)/I6</f>
        <v>104.64545454545454</v>
      </c>
      <c r="K7" s="121" t="n">
        <f t="shared" ref="K7" si="8">(K6-J6)/J6</f>
        <v>-0.03502280354530591</v>
      </c>
      <c r="L7" s="121" t="n">
        <f t="shared" ref="L7" si="9">(L6-K6)/K6</f>
        <v>-0.05555555555555555</v>
      </c>
      <c r="M7" s="121" t="n">
        <f t="shared" ref="M7" si="10">(M6-L6)/L6</f>
        <v>0.11528656406382778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12273.0</v>
      </c>
      <c r="D9" s="110" t="n">
        <v>13656.0</v>
      </c>
      <c r="E9" s="110" t="n">
        <v>11784.0</v>
      </c>
      <c r="F9" s="110" t="n">
        <v>13212.0</v>
      </c>
      <c r="G9" s="110" t="n">
        <v>14810.0</v>
      </c>
      <c r="H9" s="110" t="n">
        <v>14259.0</v>
      </c>
      <c r="I9" s="110" t="n">
        <v>14501.0</v>
      </c>
      <c r="J9" s="110" t="n">
        <v>16116.0</v>
      </c>
      <c r="K9" s="110" t="n">
        <v>15428.0</v>
      </c>
      <c r="L9" s="110" t="n">
        <v>14695.0</v>
      </c>
      <c r="M9" s="110" t="n">
        <v>15926.0</v>
      </c>
      <c r="Q9" s="107"/>
    </row>
    <row r="10" spans="2:17">
      <c r="B10" s="18" t="s">
        <v>27</v>
      </c>
      <c r="C10" s="113"/>
      <c r="D10" s="121" t="n">
        <f t="shared" ref="D10" si="11">(D9-C9)/C9</f>
        <v>0.11268638474700562</v>
      </c>
      <c r="E10" s="121" t="n">
        <f t="shared" ref="E10" si="12">(E9-D9)/D9</f>
        <v>-0.13708260105448156</v>
      </c>
      <c r="F10" s="121" t="n">
        <f t="shared" ref="F10" si="13">(F9-E9)/E9</f>
        <v>0.12118126272912423</v>
      </c>
      <c r="G10" s="121" t="n">
        <f t="shared" ref="G10" si="14">(G9-F9)/F9</f>
        <v>0.12095065092340297</v>
      </c>
      <c r="H10" s="121" t="n">
        <f t="shared" ref="H10" si="15">(H9-G9)/G9</f>
        <v>-0.03720459149223498</v>
      </c>
      <c r="I10" s="121" t="n">
        <f t="shared" ref="I10" si="16">(I9-H9)/H9</f>
        <v>0.016971737148467635</v>
      </c>
      <c r="J10" s="121" t="n">
        <f t="shared" ref="J10" si="17">(J9-I9)/I9</f>
        <v>0.11137162954279015</v>
      </c>
      <c r="K10" s="121" t="n">
        <f t="shared" ref="K10" si="18">(K9-J9)/J9</f>
        <v>-0.04269049391908662</v>
      </c>
      <c r="L10" s="121" t="n">
        <f t="shared" ref="L10" si="19">(L9-K9)/K9</f>
        <v>-0.04751101892662691</v>
      </c>
      <c r="M10" s="121" t="n">
        <f t="shared" ref="M10" si="20">(M9-L9)/L9</f>
        <v>0.08376998979244642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5404.0</v>
      </c>
      <c r="D12" s="110" t="n">
        <v>5380.0</v>
      </c>
      <c r="E12" s="110" t="n">
        <v>5281.0</v>
      </c>
      <c r="F12" s="110" t="n">
        <v>5146.0</v>
      </c>
      <c r="G12" s="110" t="n">
        <v>5088.0</v>
      </c>
      <c r="H12" s="110" t="n">
        <v>5049.0</v>
      </c>
      <c r="I12" s="110" t="n">
        <v>4881.0</v>
      </c>
      <c r="J12" s="110" t="n">
        <v>4453.0</v>
      </c>
      <c r="K12" s="110" t="n">
        <v>4254.0</v>
      </c>
      <c r="L12" s="110" t="n">
        <v>4236.0</v>
      </c>
      <c r="M12" s="110" t="n">
        <v>4192.0</v>
      </c>
      <c r="Q12" s="107"/>
    </row>
    <row r="13" spans="2:17">
      <c r="B13" s="18" t="s">
        <v>27</v>
      </c>
      <c r="C13" s="113"/>
      <c r="D13" s="121" t="n">
        <f t="shared" ref="D13" si="21">(D12-C12)/C12</f>
        <v>-0.0044411547002220575</v>
      </c>
      <c r="E13" s="121" t="n">
        <f t="shared" ref="E13" si="22">(E12-D12)/D12</f>
        <v>-0.018401486988847585</v>
      </c>
      <c r="F13" s="121" t="n">
        <f t="shared" ref="F13" si="23">(F12-E12)/E12</f>
        <v>-0.02556334027646279</v>
      </c>
      <c r="G13" s="121" t="n">
        <f t="shared" ref="G13" si="24">(G12-F12)/F12</f>
        <v>-0.011270890011659542</v>
      </c>
      <c r="H13" s="121" t="n">
        <f t="shared" ref="H13" si="25">(H12-G12)/G12</f>
        <v>-0.0076650943396226415</v>
      </c>
      <c r="I13" s="121" t="n">
        <f t="shared" ref="I13" si="26">(I12-H12)/H12</f>
        <v>-0.033273915626856804</v>
      </c>
      <c r="J13" s="121" t="n">
        <f t="shared" ref="J13" si="27">(J12-I12)/I12</f>
        <v>-0.08768694939561565</v>
      </c>
      <c r="K13" s="121" t="n">
        <f t="shared" ref="K13" si="28">(K12-J12)/J12</f>
        <v>-0.044688973725578264</v>
      </c>
      <c r="L13" s="121" t="n">
        <f t="shared" ref="L13" si="29">(L12-K12)/K12</f>
        <v>-0.004231311706629055</v>
      </c>
      <c r="M13" s="121" t="n">
        <f t="shared" ref="M13" si="30">(M12-L12)/L12</f>
        <v>-0.010387157695939566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1.4900000095367432</v>
      </c>
      <c r="D15" s="110" t="n">
        <v>1.8600000143051147</v>
      </c>
      <c r="E15" s="110" t="n">
        <v>1.4900000095367432</v>
      </c>
      <c r="F15" s="110" t="n">
        <v>1.75</v>
      </c>
      <c r="G15" s="110" t="n">
        <v>2.109999895095825</v>
      </c>
      <c r="H15" s="110" t="n">
        <v>1.899999976158142</v>
      </c>
      <c r="I15" s="110" t="n">
        <v>0.019999999552965164</v>
      </c>
      <c r="J15" s="110" t="n">
        <v>2.609999895095825</v>
      </c>
      <c r="K15" s="110" t="n">
        <v>2.640000104904175</v>
      </c>
      <c r="L15" s="110" t="n">
        <v>2.5</v>
      </c>
      <c r="M15" s="110" t="n">
        <v>2.819999933242798</v>
      </c>
      <c r="Q15" s="107"/>
    </row>
    <row r="16" spans="2:17">
      <c r="B16" s="18" t="s">
        <v>27</v>
      </c>
      <c r="D16" s="121" t="n">
        <f t="shared" ref="D16" si="31">(D15-C15)/C15</f>
        <v>0.2483221492618713</v>
      </c>
      <c r="E16" s="121" t="n">
        <f t="shared" ref="E16" si="32">(E15-D15)/D15</f>
        <v>-0.1989247322165225</v>
      </c>
      <c r="F16" s="121" t="n">
        <f t="shared" ref="F16" si="33">(F15-E15)/E15</f>
        <v>0.17449663677793822</v>
      </c>
      <c r="G16" s="121" t="n">
        <f t="shared" ref="G16" si="34">(G15-F15)/F15</f>
        <v>0.20571422576904286</v>
      </c>
      <c r="H16" s="121" t="n">
        <f t="shared" ref="H16" si="35">(H15-G15)/G15</f>
        <v>-0.09952603288074828</v>
      </c>
      <c r="I16" s="121" t="n">
        <f t="shared" ref="I16" si="36">(I15-H15)/H15</f>
        <v>-0.9894736843137226</v>
      </c>
      <c r="J16" s="121" t="n">
        <f t="shared" ref="J16" si="37">(J15-I15)/I15</f>
        <v>129.49999767169328</v>
      </c>
      <c r="K16" s="121" t="n">
        <f t="shared" ref="K16" si="38">(K15-J15)/J15</f>
        <v>0.011494333721897754</v>
      </c>
      <c r="L16" s="121" t="n">
        <f t="shared" ref="L16" si="39">(L15-K15)/K15</f>
        <v>-0.05303034065949664</v>
      </c>
      <c r="M16" s="121" t="n">
        <f t="shared" ref="M16" si="40">(M15-L15)/L15</f>
        <v>0.1279999732971192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10415.0</v>
      </c>
      <c r="D20" s="128" t="n">
        <v>11875.0</v>
      </c>
      <c r="E20" s="128" t="n">
        <v>11289.0</v>
      </c>
      <c r="F20" s="128" t="n">
        <v>11347.0</v>
      </c>
      <c r="G20" s="128" t="n">
        <v>12465.0</v>
      </c>
      <c r="H20" s="128" t="n">
        <v>12919.0</v>
      </c>
      <c r="I20" s="128" t="n">
        <v>12891.0</v>
      </c>
      <c r="J20" s="128" t="n">
        <v>14944.0</v>
      </c>
      <c r="K20" s="128" t="n">
        <v>14835.0</v>
      </c>
      <c r="L20" s="128" t="n">
        <v>14790.0</v>
      </c>
      <c r="M20" s="128" t="n">
        <v>12840.0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-0.04934736842105263</v>
      </c>
      <c r="F21" s="131" t="n">
        <f t="shared" ref="F21" si="42">(F20-E20)/E20</f>
        <v>0.005137744707237133</v>
      </c>
      <c r="G21" s="131" t="n">
        <f t="shared" ref="G21" si="43">(G20-F20)/F20</f>
        <v>0.09852824535119414</v>
      </c>
      <c r="H21" s="131" t="n">
        <f t="shared" ref="H21" si="44">(H20-G20)/G20</f>
        <v>0.03642198154833534</v>
      </c>
      <c r="I21" s="131" t="n">
        <f t="shared" ref="I21" si="45">(I20-H20)/H20</f>
        <v>-0.00216735041411874</v>
      </c>
      <c r="J21" s="131" t="n">
        <f t="shared" ref="J21" si="46">(J20-I20)/I20</f>
        <v>0.15925839733147157</v>
      </c>
      <c r="K21" s="131" t="n">
        <f t="shared" ref="K21" si="47">(K20-J20)/J20</f>
        <v>-0.00729389721627409</v>
      </c>
      <c r="L21" s="131" t="n">
        <f t="shared" ref="L21" si="48">(L20-K20)/K20</f>
        <v>-0.003033367037411527</v>
      </c>
      <c r="M21" s="131" t="n">
        <f t="shared" ref="M21" si="49">(M20-L20)/L20</f>
        <v>-0.13184584178498987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1501.0</v>
      </c>
      <c r="D23" s="130" t="n">
        <v>3310.0</v>
      </c>
      <c r="E23" s="130" t="n">
        <v>3758.0</v>
      </c>
      <c r="F23" s="130" t="n">
        <v>4086.0</v>
      </c>
      <c r="G23" s="130" t="n">
        <v>4750.0</v>
      </c>
      <c r="H23" s="130" t="n">
        <v>5511.0</v>
      </c>
      <c r="I23" s="130" t="n">
        <v>5968.0</v>
      </c>
      <c r="J23" s="130" t="n">
        <v>5979.0</v>
      </c>
      <c r="K23" s="130" t="n">
        <v>6016.0</v>
      </c>
      <c r="L23" s="130" t="n">
        <v>6163.0</v>
      </c>
      <c r="M23" s="130" t="n">
        <v>6224.0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1.2051965356429046</v>
      </c>
      <c r="E24" s="121" t="n">
        <f t="shared" ref="E24" si="51">(E23-D23)/D23</f>
        <v>0.13534743202416918</v>
      </c>
      <c r="F24" s="121" t="n">
        <f t="shared" ref="F24" si="52">(F23-E23)/E23</f>
        <v>0.08728046833422033</v>
      </c>
      <c r="G24" s="121" t="n">
        <f t="shared" ref="G24" si="53">(G23-F23)/F23</f>
        <v>0.16250611845325502</v>
      </c>
      <c r="H24" s="121" t="n">
        <f t="shared" ref="H24" si="54">(H23-G23)/G23</f>
        <v>0.16021052631578947</v>
      </c>
      <c r="I24" s="121" t="n">
        <f t="shared" ref="I24" si="55">(I23-H23)/H23</f>
        <v>0.08292505897296316</v>
      </c>
      <c r="J24" s="121" t="n">
        <f t="shared" ref="J24" si="56">(J23-I23)/I23</f>
        <v>0.0018431635388739946</v>
      </c>
      <c r="K24" s="121" t="n">
        <f t="shared" ref="K24" si="57">(K23-J23)/J23</f>
        <v>0.006188325806991136</v>
      </c>
      <c r="L24" s="121" t="n">
        <f t="shared" ref="L24" si="58">(L23-K23)/K23</f>
        <v>0.024434840425531915</v>
      </c>
      <c r="M24" s="121" t="n">
        <f t="shared" ref="M24" si="59">(M23-L23)/L23</f>
        <v>0.009897777056628266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61933.0</v>
      </c>
      <c r="D28" s="110" t="n">
        <v>65521.0</v>
      </c>
      <c r="E28" s="110" t="n">
        <v>67114.0</v>
      </c>
      <c r="F28" s="110" t="n">
        <v>73368.0</v>
      </c>
      <c r="G28" s="110" t="n">
        <v>78719.0</v>
      </c>
      <c r="H28" s="110" t="n">
        <v>83703.0</v>
      </c>
      <c r="I28" s="110" t="n">
        <v>61837.0</v>
      </c>
      <c r="J28" s="110" t="n">
        <v>47755.0</v>
      </c>
      <c r="K28" s="110" t="n">
        <v>43573.0</v>
      </c>
      <c r="L28" s="110" t="n">
        <v>39112.0</v>
      </c>
      <c r="M28" s="110" t="n">
        <v>36717.0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0.05793357337768233</v>
      </c>
      <c r="E29" s="121" t="n">
        <f t="shared" ref="E29" si="61">(E28-D28)/D28</f>
        <v>0.02431281573846553</v>
      </c>
      <c r="F29" s="121" t="n">
        <f t="shared" ref="F29" si="62">(F28-E28)/E28</f>
        <v>0.09318473045862265</v>
      </c>
      <c r="G29" s="121" t="n">
        <f t="shared" ref="G29" si="63">(G28-F28)/F28</f>
        <v>0.07293370406716825</v>
      </c>
      <c r="H29" s="121" t="n">
        <f t="shared" ref="H29" si="64">(H28-G28)/G28</f>
        <v>0.06331381242139764</v>
      </c>
      <c r="I29" s="121" t="n">
        <f t="shared" ref="I29" si="65">(I28-H28)/H28</f>
        <v>-0.2612331696593909</v>
      </c>
      <c r="J29" s="121" t="n">
        <f t="shared" ref="J29" si="66">(J28-I28)/I28</f>
        <v>-0.22772773582159547</v>
      </c>
      <c r="K29" s="121" t="n">
        <f t="shared" ref="K29" si="67">(K28-J28)/J28</f>
        <v>-0.08757198199141451</v>
      </c>
      <c r="L29" s="121" t="n">
        <f t="shared" ref="L29" si="68">(L28-K28)/K28</f>
        <v>-0.10237991416703004</v>
      </c>
      <c r="M29" s="121" t="n">
        <f t="shared" ref="M29" si="69">(M28-L28)/L28</f>
        <v>-0.061234403763550826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29826.0</v>
      </c>
      <c r="D31" s="110" t="n">
        <v>35670.0</v>
      </c>
      <c r="E31" s="110" t="n">
        <v>37956.0</v>
      </c>
      <c r="F31" s="110" t="n">
        <v>40005.0</v>
      </c>
      <c r="G31" s="110" t="n">
        <v>42933.0</v>
      </c>
      <c r="H31" s="110" t="n">
        <v>46115.0</v>
      </c>
      <c r="I31" s="110" t="n">
        <v>46947.0</v>
      </c>
      <c r="J31" s="110" t="n">
        <v>50038.0</v>
      </c>
      <c r="K31" s="110" t="n">
        <v>51280.0</v>
      </c>
      <c r="L31" s="110" t="n">
        <v>58385.0</v>
      </c>
      <c r="M31" s="110" t="n">
        <v>57285.0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0.19593643130154897</v>
      </c>
      <c r="E32" s="121" t="n">
        <f t="shared" ref="E32" si="71">(E31-D31)/D31</f>
        <v>0.0640874684608915</v>
      </c>
      <c r="F32" s="121" t="n">
        <f t="shared" ref="F32" si="72">(F31-E31)/E31</f>
        <v>0.05398355991147644</v>
      </c>
      <c r="G32" s="121" t="n">
        <f t="shared" ref="G32" si="73">(G31-F31)/F31</f>
        <v>0.07319085114360704</v>
      </c>
      <c r="H32" s="121" t="n">
        <f t="shared" ref="H32" si="74">(H31-G31)/G31</f>
        <v>0.07411548226306106</v>
      </c>
      <c r="I32" s="121" t="n">
        <f t="shared" ref="I32" si="75">(I31-H31)/H31</f>
        <v>0.018041851892009107</v>
      </c>
      <c r="J32" s="121" t="n">
        <f t="shared" ref="J32" si="76">(J31-I31)/I31</f>
        <v>0.0658402027818604</v>
      </c>
      <c r="K32" s="121" t="n">
        <f t="shared" ref="K32" si="77">(K31-J31)/J31</f>
        <v>0.024821135936688117</v>
      </c>
      <c r="L32" s="121" t="n">
        <f t="shared" ref="L32" si="78">(L31-K31)/K31</f>
        <v>0.13855304212168487</v>
      </c>
      <c r="M32" s="121" t="n">
        <f t="shared" ref="M32" si="79">(M31-L31)/L31</f>
        <v>-0.018840455596471697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101191.0</v>
      </c>
      <c r="E34" s="111" t="n">
        <f t="shared" ref="E34:M34" si="80">E28+E31</f>
        <v>105070.0</v>
      </c>
      <c r="F34" s="111" t="n">
        <f t="shared" si="80"/>
        <v>113373.0</v>
      </c>
      <c r="G34" s="111" t="n">
        <f t="shared" si="80"/>
        <v>121652.0</v>
      </c>
      <c r="H34" s="111" t="n">
        <f t="shared" si="80"/>
        <v>129818.0</v>
      </c>
      <c r="I34" s="111" t="n">
        <f t="shared" si="80"/>
        <v>108784.0</v>
      </c>
      <c r="J34" s="111" t="n">
        <f t="shared" si="80"/>
        <v>97793.0</v>
      </c>
      <c r="K34" s="111" t="n">
        <f t="shared" si="80"/>
        <v>94853.0</v>
      </c>
      <c r="L34" s="111" t="n">
        <f t="shared" si="80"/>
        <v>97497.0</v>
      </c>
      <c r="M34" s="111" t="n">
        <f t="shared" si="80"/>
        <v>94002.0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17731.0</v>
      </c>
      <c r="D36" s="118" t="n">
        <v>21996.0</v>
      </c>
      <c r="E36" s="110" t="n">
        <v>19809.0</v>
      </c>
      <c r="F36" s="110" t="n">
        <v>23412.0</v>
      </c>
      <c r="G36" s="110" t="n">
        <v>24911.0</v>
      </c>
      <c r="H36" s="110" t="n">
        <v>27583.0</v>
      </c>
      <c r="I36" s="110" t="n">
        <v>27035.0</v>
      </c>
      <c r="J36" s="110" t="n">
        <v>31712.0</v>
      </c>
      <c r="K36" s="110" t="n">
        <v>25331.0</v>
      </c>
      <c r="L36" s="110" t="n">
        <v>26257.0</v>
      </c>
      <c r="M36" s="110" t="n">
        <v>25640.0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0.24053916868760927</v>
      </c>
      <c r="E37" s="121" t="n">
        <f t="shared" ref="E37" si="82">(E36-D36)/D36</f>
        <v>-0.09942716857610474</v>
      </c>
      <c r="F37" s="121" t="n">
        <f t="shared" ref="F37" si="83">(F36-E36)/E36</f>
        <v>0.1818870210510374</v>
      </c>
      <c r="G37" s="121" t="n">
        <f t="shared" ref="G37" si="84">(G36-F36)/F36</f>
        <v>0.06402699470357082</v>
      </c>
      <c r="H37" s="121" t="n">
        <f t="shared" ref="H37" si="85">(H36-G36)/G36</f>
        <v>0.10726185219380996</v>
      </c>
      <c r="I37" s="121" t="n">
        <f t="shared" ref="I37" si="86">(I36-H36)/H36</f>
        <v>-0.019867309574738062</v>
      </c>
      <c r="J37" s="121" t="n">
        <f t="shared" ref="J37" si="87">(J36-I36)/I36</f>
        <v>0.17299796560014796</v>
      </c>
      <c r="K37" s="121" t="n">
        <f t="shared" ref="K37" si="88">(K36-J36)/J36</f>
        <v>-0.20121720484359232</v>
      </c>
      <c r="L37" s="121" t="n">
        <f t="shared" ref="L37" si="89">(L36-K36)/K36</f>
        <v>0.03655599857881647</v>
      </c>
      <c r="M37" s="121" t="n">
        <f t="shared" ref="M37" si="90">(M36-L36)/L36</f>
        <v>-0.023498495639258103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22727.0</v>
      </c>
      <c r="D39" s="110" t="n">
        <v>20067.0</v>
      </c>
      <c r="E39" s="110" t="n">
        <v>28600.0</v>
      </c>
      <c r="F39" s="110" t="n">
        <v>30254.0</v>
      </c>
      <c r="G39" s="110" t="n">
        <v>33156.0</v>
      </c>
      <c r="H39" s="110" t="n">
        <v>36098.0</v>
      </c>
      <c r="I39" s="110" t="n">
        <v>38545.0</v>
      </c>
      <c r="J39" s="110" t="n">
        <v>32510.0</v>
      </c>
      <c r="K39" s="110" t="n">
        <v>31602.0</v>
      </c>
      <c r="L39" s="110" t="n">
        <v>29965.0</v>
      </c>
      <c r="M39" s="110" t="n">
        <v>28589.0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-0.11704140449685396</v>
      </c>
      <c r="E40" s="121" t="n">
        <f t="shared" ref="E40" si="92">(E39-D39)/D39</f>
        <v>0.4252254945931131</v>
      </c>
      <c r="F40" s="121" t="n">
        <f t="shared" ref="F40" si="93">(F39-E39)/E39</f>
        <v>0.05783216783216783</v>
      </c>
      <c r="G40" s="121" t="n">
        <f t="shared" ref="G40" si="94">(G39-F39)/F39</f>
        <v>0.0959212005024129</v>
      </c>
      <c r="H40" s="121" t="n">
        <f t="shared" ref="H40" si="95">(H39-G39)/G39</f>
        <v>0.08873205453010014</v>
      </c>
      <c r="I40" s="121" t="n">
        <f t="shared" ref="I40" si="96">(I39-H39)/H39</f>
        <v>0.06778768906864646</v>
      </c>
      <c r="J40" s="121" t="n">
        <f t="shared" ref="J40" si="97">(J39-I39)/I39</f>
        <v>-0.15657024257361526</v>
      </c>
      <c r="K40" s="121" t="n">
        <f t="shared" ref="K40" si="98">(K39-J39)/J39</f>
        <v>-0.02792986773300523</v>
      </c>
      <c r="L40" s="121" t="n">
        <f t="shared" ref="L40" si="99">(L39-K39)/K39</f>
        <v>-0.05180051895449655</v>
      </c>
      <c r="M40" s="121" t="n">
        <f t="shared" ref="M40" si="100">(M39-L39)/L39</f>
        <v>-0.04592024028032705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42063.0</v>
      </c>
      <c r="E42" s="111" t="n">
        <f t="shared" ref="E42:M42" si="101">E36+E39</f>
        <v>48409.0</v>
      </c>
      <c r="F42" s="111" t="n">
        <f t="shared" si="101"/>
        <v>53666.0</v>
      </c>
      <c r="G42" s="111" t="n">
        <f t="shared" si="101"/>
        <v>58067.0</v>
      </c>
      <c r="H42" s="111" t="n">
        <f t="shared" si="101"/>
        <v>63681.0</v>
      </c>
      <c r="I42" s="111" t="n">
        <f t="shared" si="101"/>
        <v>65580.0</v>
      </c>
      <c r="J42" s="111" t="n">
        <f t="shared" si="101"/>
        <v>64222.0</v>
      </c>
      <c r="K42" s="111" t="n">
        <f t="shared" si="101"/>
        <v>56933.0</v>
      </c>
      <c r="L42" s="111" t="n">
        <f t="shared" si="101"/>
        <v>56222.0</v>
      </c>
      <c r="M42" s="111" t="n">
        <f t="shared" si="101"/>
        <v>54229.0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59128.0</v>
      </c>
      <c r="E44" s="134" t="n">
        <f t="shared" ref="E44:M44" si="102">E34-E42</f>
        <v>56661.0</v>
      </c>
      <c r="F44" s="134" t="n">
        <f t="shared" si="102"/>
        <v>59707.0</v>
      </c>
      <c r="G44" s="134" t="n">
        <f t="shared" si="102"/>
        <v>63585.0</v>
      </c>
      <c r="H44" s="134" t="n">
        <f t="shared" si="102"/>
        <v>66137.0</v>
      </c>
      <c r="I44" s="134" t="n">
        <f t="shared" si="102"/>
        <v>43204.0</v>
      </c>
      <c r="J44" s="134" t="n">
        <f t="shared" si="102"/>
        <v>33571.0</v>
      </c>
      <c r="K44" s="134" t="n">
        <f t="shared" si="102"/>
        <v>37920.0</v>
      </c>
      <c r="L44" s="134" t="n">
        <f t="shared" si="102"/>
        <v>41275.0</v>
      </c>
      <c r="M44" s="134" t="n">
        <f t="shared" si="102"/>
        <v>39773.0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16297.0</v>
      </c>
      <c r="D46" s="133" t="n">
        <v>12928.0</v>
      </c>
      <c r="E46" s="133" t="n">
        <v>20337.0</v>
      </c>
      <c r="F46" s="133" t="n">
        <v>21457.0</v>
      </c>
      <c r="G46" s="133" t="n">
        <v>24483.0</v>
      </c>
      <c r="H46" s="133" t="n">
        <v>25725.0</v>
      </c>
      <c r="I46" s="133" t="n">
        <v>20331.0</v>
      </c>
      <c r="J46" s="133" t="n">
        <v>14475.0</v>
      </c>
      <c r="K46" s="136" t="n">
        <v>11578.0</v>
      </c>
      <c r="L46" s="133" t="n">
        <v>9018.0</v>
      </c>
      <c r="M46" s="133" t="n">
        <v>8416.0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0.2053819408727138</v>
      </c>
      <c r="E50" s="126" t="n">
        <f t="shared" si="103"/>
        <v>0.1665818166390904</v>
      </c>
      <c r="F50" s="126" t="n">
        <f t="shared" si="103"/>
        <v>0.1826854620532536</v>
      </c>
      <c r="G50" s="126" t="n">
        <f t="shared" si="103"/>
        <v>0.2180640445103255</v>
      </c>
      <c r="H50" s="126" t="n">
        <f t="shared" si="103"/>
        <v>0.2001666493073638</v>
      </c>
      <c r="I50" s="126" t="n">
        <f t="shared" si="103"/>
        <v>0.0022298803973241437</v>
      </c>
      <c r="J50" s="126" t="n">
        <f t="shared" si="103"/>
        <v>0.22389411220715166</v>
      </c>
      <c r="K50" s="126" t="n">
        <f t="shared" si="103"/>
        <v>0.22745988925173932</v>
      </c>
      <c r="L50" s="126" t="n">
        <f t="shared" si="103"/>
        <v>0.21259384158336345</v>
      </c>
      <c r="M50" s="126" t="n">
        <f t="shared" si="103"/>
        <v>0.22910565005721822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0.28094718867652807</v>
      </c>
      <c r="E51" s="126" t="n">
        <f t="shared" si="104"/>
        <v>0.24996818123965892</v>
      </c>
      <c r="F51" s="126" t="n">
        <f t="shared" si="104"/>
        <v>0.2687496186001098</v>
      </c>
      <c r="G51" s="126" t="n">
        <f t="shared" si="104"/>
        <v>0.30072897841492885</v>
      </c>
      <c r="H51" s="126" t="n">
        <f t="shared" si="104"/>
        <v>0.297031559212582</v>
      </c>
      <c r="I51" s="126" t="n">
        <f t="shared" si="104"/>
        <v>0.29395905128724914</v>
      </c>
      <c r="J51" s="126" t="n">
        <f t="shared" si="104"/>
        <v>0.31049630086313196</v>
      </c>
      <c r="K51" s="126" t="n">
        <f t="shared" si="104"/>
        <v>0.31293482890813573</v>
      </c>
      <c r="L51" s="126" t="n">
        <f t="shared" si="104"/>
        <v>0.29497370428359226</v>
      </c>
      <c r="M51" s="126" t="n">
        <f t="shared" si="104"/>
        <v>0.3089008282095545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0.24430637562491</v>
      </c>
      <c r="E52" s="126" t="n">
        <f t="shared" si="105"/>
        <v>0.23946799032709687</v>
      </c>
      <c r="F52" s="126" t="n">
        <f t="shared" si="105"/>
        <v>0.230813042859177</v>
      </c>
      <c r="G52" s="126" t="n">
        <f t="shared" si="105"/>
        <v>0.2531118646821126</v>
      </c>
      <c r="H52" s="126" t="n">
        <f t="shared" si="105"/>
        <v>0.2691178002291428</v>
      </c>
      <c r="I52" s="126" t="n">
        <f t="shared" si="105"/>
        <v>0.26132171092641393</v>
      </c>
      <c r="J52" s="126" t="n">
        <f t="shared" si="105"/>
        <v>0.2879161528976572</v>
      </c>
      <c r="K52" s="126" t="n">
        <f t="shared" si="105"/>
        <v>0.3009066753209874</v>
      </c>
      <c r="L52" s="126" t="n">
        <f t="shared" si="105"/>
        <v>0.29688064554980126</v>
      </c>
      <c r="M52" s="126" t="n">
        <f t="shared" si="105"/>
        <v>0.24904474659115153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0.27873684210526317</v>
      </c>
      <c r="E55" s="126" t="n">
        <f t="shared" ref="E55:M55" si="106">E23/E20</f>
        <v>0.3328904243068474</v>
      </c>
      <c r="F55" s="126" t="n">
        <f t="shared" si="106"/>
        <v>0.3600951793425575</v>
      </c>
      <c r="G55" s="126" t="n">
        <f t="shared" si="106"/>
        <v>0.38106698756518254</v>
      </c>
      <c r="H55" s="126" t="n">
        <f t="shared" si="106"/>
        <v>0.42658100472172766</v>
      </c>
      <c r="I55" s="126" t="n">
        <f t="shared" si="106"/>
        <v>0.4629586533240245</v>
      </c>
      <c r="J55" s="126" t="n">
        <f t="shared" si="106"/>
        <v>0.4000936830835118</v>
      </c>
      <c r="K55" s="126" t="n">
        <f t="shared" si="106"/>
        <v>0.40552746882372764</v>
      </c>
      <c r="L55" s="126" t="n">
        <f t="shared" si="106"/>
        <v>0.4167004732927654</v>
      </c>
      <c r="M55" s="126" t="n">
        <f t="shared" si="106"/>
        <v>0.48473520249221186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0.711388851305642</v>
      </c>
      <c r="E58" s="112" t="n">
        <f t="shared" ref="E58:M58" si="107">E42/E44</f>
        <v>0.8543619067789132</v>
      </c>
      <c r="F58" s="112" t="n">
        <f t="shared" si="107"/>
        <v>0.8988225836166613</v>
      </c>
      <c r="G58" s="112" t="n">
        <f t="shared" si="107"/>
        <v>0.9132185263820083</v>
      </c>
      <c r="H58" s="112" t="n">
        <f t="shared" si="107"/>
        <v>0.9628649621240758</v>
      </c>
      <c r="I58" s="112" t="n">
        <f t="shared" si="107"/>
        <v>1.5179150078696417</v>
      </c>
      <c r="J58" s="112" t="n">
        <f t="shared" si="107"/>
        <v>1.9130201662148878</v>
      </c>
      <c r="K58" s="112" t="n">
        <f t="shared" si="107"/>
        <v>1.5013976793248944</v>
      </c>
      <c r="L58" s="112" t="n">
        <f t="shared" si="107"/>
        <v>1.3621320411871594</v>
      </c>
      <c r="M58" s="112" t="n">
        <f t="shared" si="107"/>
        <v>1.3634626505418248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2.9787688670667394</v>
      </c>
      <c r="E59" s="112" t="n">
        <f t="shared" ref="E59:M59" si="108">E28/E36</f>
        <v>3.3880559341713363</v>
      </c>
      <c r="F59" s="112" t="n">
        <f t="shared" si="108"/>
        <v>3.133777549974372</v>
      </c>
      <c r="G59" s="112" t="n">
        <f t="shared" si="108"/>
        <v>3.1600096342981012</v>
      </c>
      <c r="H59" s="112" t="n">
        <f t="shared" si="108"/>
        <v>3.0345865206830296</v>
      </c>
      <c r="I59" s="112" t="n">
        <f t="shared" si="108"/>
        <v>2.287294248196782</v>
      </c>
      <c r="J59" s="112" t="n">
        <f t="shared" si="108"/>
        <v>1.5058968213925328</v>
      </c>
      <c r="K59" s="112" t="n">
        <f t="shared" si="108"/>
        <v>1.7201452765386285</v>
      </c>
      <c r="L59" s="112" t="n">
        <f t="shared" si="108"/>
        <v>1.4895837300529382</v>
      </c>
      <c r="M59" s="112" t="n">
        <f t="shared" si="108"/>
        <v>1.4320202808112326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0.9466900995899239</v>
      </c>
      <c r="E60" s="112" t="n">
        <f t="shared" ref="E60:M60" si="109">E46/E9</f>
        <v>1.7258146639511203</v>
      </c>
      <c r="F60" s="112" t="n">
        <f t="shared" si="109"/>
        <v>1.6240538904026642</v>
      </c>
      <c r="G60" s="112" t="n">
        <f t="shared" si="109"/>
        <v>1.6531397704253883</v>
      </c>
      <c r="H60" s="112" t="n">
        <f t="shared" si="109"/>
        <v>1.8041237113402062</v>
      </c>
      <c r="I60" s="112" t="n">
        <f t="shared" si="109"/>
        <v>1.4020412385352734</v>
      </c>
      <c r="J60" s="112" t="n">
        <f t="shared" si="109"/>
        <v>0.8981757259865971</v>
      </c>
      <c r="K60" s="112" t="n">
        <f t="shared" si="109"/>
        <v>0.7504537205081669</v>
      </c>
      <c r="L60" s="112" t="n">
        <f t="shared" si="109"/>
        <v>0.6136781218101395</v>
      </c>
      <c r="M60" s="112" t="n">
        <f t="shared" si="109"/>
        <v>0.5284440537485872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-7.925048418551128E-4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0.007843595921714464</v>
      </c>
    </row>
    <row r="65" spans="2:13">
      <c r="B65" s="10" t="s">
        <v>74</v>
      </c>
      <c r="C65" s="114"/>
      <c r="D65" s="121" t="n">
        <f>(M6/I6)^0.2 - 1</f>
        <v>1.547922128460688</v>
      </c>
    </row>
    <row r="66" spans="2:13">
      <c r="B66" s="10" t="s">
        <v>84</v>
      </c>
      <c r="C66" s="114"/>
      <c r="D66" s="121" t="n">
        <f>(M6/D6)^0.1 - 1</f>
        <v>0.016965539219843784</v>
      </c>
    </row>
    <row r="67" spans="2:13">
      <c r="B67" s="10" t="s">
        <v>75</v>
      </c>
      <c r="C67" s="114"/>
      <c r="D67" s="121" t="n">
        <f>(M3/I3)^0.2 - 1</f>
        <v>0.008870224638957813</v>
      </c>
    </row>
    <row r="68" spans="2:13">
      <c r="B68" s="10" t="s">
        <v>85</v>
      </c>
      <c r="C68" s="114"/>
      <c r="D68" s="121" t="n">
        <f>(M3/D3)^0.1 - 1</f>
        <v>0.005909436060298923</v>
      </c>
    </row>
    <row r="69" spans="2:13">
      <c r="B69" s="10" t="s">
        <v>88</v>
      </c>
      <c r="C69" s="114"/>
      <c r="D69" s="121" t="n">
        <f>(M9/I9)^0.2 - 1</f>
        <v>0.018923905972873856</v>
      </c>
    </row>
    <row r="70" spans="2:13">
      <c r="B70" s="10" t="s">
        <v>89</v>
      </c>
      <c r="C70" s="114"/>
      <c r="D70" s="121" t="n">
        <f>(M9/D9)^0.2 - 1</f>
        <v>0.031232616367195876</v>
      </c>
    </row>
    <row r="71" spans="2:13">
      <c r="B71" s="10" t="s">
        <v>131</v>
      </c>
      <c r="D71" s="121" t="n">
        <f>(M23/I23)^0.2 - 1</f>
        <v>0.008435565345554119</v>
      </c>
    </row>
    <row r="72" spans="2:13">
      <c r="B72" s="10" t="s">
        <v>132</v>
      </c>
      <c r="D72" s="121" t="n">
        <f>AVERAGE(I24:M24)</f>
        <v>0.025057833160197697</v>
      </c>
    </row>
    <row r="73" spans="2:13">
      <c r="B73" s="10" t="s">
        <v>135</v>
      </c>
      <c r="D73" s="121" t="n">
        <f>AVERAGE(I55:M55)</f>
        <v>0.4340030962032483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9.86550187269619</v>
      </c>
      <c r="E76" s="110" t="n">
        <f t="shared" si="110"/>
        <v>7.474064909108214</v>
      </c>
      <c r="F76" s="110" t="n">
        <f t="shared" si="110"/>
        <v>7.921639190989036</v>
      </c>
      <c r="G76" s="110" t="n">
        <f t="shared" si="110"/>
        <v>8.827639496268043</v>
      </c>
      <c r="H76" s="110" t="n">
        <f t="shared" si="110"/>
        <v>7.401901123110816</v>
      </c>
      <c r="I76" s="110" t="n">
        <f t="shared" si="110"/>
        <v>0.10111781144285924</v>
      </c>
      <c r="J76" s="110" t="n">
        <f t="shared" si="110"/>
        <v>11.883263628276053</v>
      </c>
      <c r="K76" s="110" t="n">
        <f t="shared" si="110"/>
        <v>11.822504296121366</v>
      </c>
      <c r="L76" s="110" t="n">
        <f t="shared" si="110"/>
        <v>10.862898345590121</v>
      </c>
      <c r="M76" s="110" t="n">
        <f t="shared" si="110"/>
        <v>12.565690091700176</v>
      </c>
    </row>
    <row r="77" spans="2:13">
      <c r="B77" s="10" t="s">
        <v>139</v>
      </c>
      <c r="C77" s="110">
        <v>0</v>
      </c>
      <c r="D77" s="110" t="n">
        <f t="shared" ref="D77:M77" si="111">100*D6/D44</f>
        <v>16.88370991746719</v>
      </c>
      <c r="E77" s="110" t="n">
        <f t="shared" si="111"/>
        <v>13.85962125624327</v>
      </c>
      <c r="F77" s="110" t="n">
        <f t="shared" si="111"/>
        <v>15.0417873951128</v>
      </c>
      <c r="G77" s="110" t="n">
        <f t="shared" si="111"/>
        <v>16.88920342848156</v>
      </c>
      <c r="H77" s="110" t="n">
        <f t="shared" si="111"/>
        <v>14.528932367661067</v>
      </c>
      <c r="I77" s="110" t="n">
        <f t="shared" si="111"/>
        <v>0.2546060549949079</v>
      </c>
      <c r="J77" s="110" t="n">
        <f t="shared" si="111"/>
        <v>34.616186589616035</v>
      </c>
      <c r="K77" s="110" t="n">
        <f t="shared" si="111"/>
        <v>29.57278481012658</v>
      </c>
      <c r="L77" s="110" t="n">
        <f t="shared" si="111"/>
        <v>25.659600242277406</v>
      </c>
      <c r="M77" s="110" t="n">
        <f t="shared" si="111"/>
        <v>29.698539210016847</v>
      </c>
    </row>
    <row r="78" spans="2:13">
      <c r="B78" s="10" t="s">
        <v>140</v>
      </c>
      <c r="C78" s="110" t="n">
        <v>0.0</v>
      </c>
      <c r="D78" s="40" t="n">
        <v>13.880000114440918</v>
      </c>
      <c r="E78" s="40" t="n">
        <v>10.140000343322754</v>
      </c>
      <c r="F78" s="40" t="n">
        <v>10.850000381469727</v>
      </c>
      <c r="G78" s="40" t="n">
        <v>11.8100004196167</v>
      </c>
      <c r="H78" s="40" t="n">
        <v>9.619999885559082</v>
      </c>
      <c r="I78" s="40" t="n">
        <v>-0.36000001430511475</v>
      </c>
      <c r="J78" s="40" t="n">
        <v>17.739999771118164</v>
      </c>
      <c r="K78" s="40" t="n">
        <v>19.770000457763672</v>
      </c>
      <c r="L78" s="40" t="n">
        <v>19.84000015258789</v>
      </c>
      <c r="M78" s="40" t="n">
        <v>22.959999084472656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12.1899995803833</v>
      </c>
      <c r="E81" s="40" t="n">
        <v>18.920000076293945</v>
      </c>
      <c r="F81" s="40" t="n">
        <v>14.4399995803833</v>
      </c>
      <c r="G81" s="40" t="n">
        <v>14.460000038146973</v>
      </c>
      <c r="H81" s="40" t="n">
        <v>19.950000762939453</v>
      </c>
      <c r="I81" s="40" t="n">
        <v>139.77000427246094</v>
      </c>
      <c r="J81" s="40" t="n">
        <v>19.030000686645508</v>
      </c>
      <c r="K81" s="40" t="n">
        <v>18.1200008392334</v>
      </c>
      <c r="L81" s="40" t="n">
        <v>23.559999465942383</v>
      </c>
      <c r="M81" s="40" t="n">
        <v>17.200000762939453</v>
      </c>
    </row>
    <row r="82" spans="2:13">
      <c r="B82" s="122" t="s">
        <v>148</v>
      </c>
      <c r="C82" s="110" t="n">
        <v>0.0</v>
      </c>
      <c r="D82" s="40" t="n">
        <v>9.270000457763672</v>
      </c>
      <c r="E82" s="40" t="n">
        <v>11.90999984741211</v>
      </c>
      <c r="F82" s="40" t="n">
        <v>10.869999885559082</v>
      </c>
      <c r="G82" s="40" t="n">
        <v>11.329999923706055</v>
      </c>
      <c r="H82" s="40" t="n">
        <v>13.539999961853027</v>
      </c>
      <c r="I82" s="40" t="n">
        <v>14.449999809265137</v>
      </c>
      <c r="J82" s="40" t="n">
        <v>13.380000114440918</v>
      </c>
      <c r="K82" s="40" t="n">
        <v>11.930000305175781</v>
      </c>
      <c r="L82" s="40" t="n">
        <v>18.149999618530273</v>
      </c>
      <c r="M82" s="40" t="n">
        <v>14.399999618530273</v>
      </c>
    </row>
    <row r="83" spans="2:13">
      <c r="B83" s="122" t="s">
        <v>153</v>
      </c>
      <c r="C83" s="110" t="n">
        <v>2.0999999046325684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