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<sst xmlns="http://schemas.openxmlformats.org/spreadsheetml/2006/main" count="231" uniqueCount="165">
  <si>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</si>
  <si>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</si>
  <si>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</si>
  <si>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</si>
  <si>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</si>
  <si>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</si>
  <si>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</si>
  <si>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</si>
  <si>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</si>
  <si>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</si>
  <si>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</si>
  <si>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</si>
  <si>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</si>
  <si>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</si>
  <si>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</si>
  <si>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</si>
  <si>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</si>
  <si>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</si>
  <si>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</si>
  <si>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</si>
  <si>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</si>
  <si>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</si>
  <si>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</si>
  <si>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</si>
  <si>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</si>
  <si>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</si>
  <si>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</si>
  <si>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</si>
  <si>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</si>
  <si>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</si>
  <si>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</si>
  <si>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</si>
  <si>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</si>
  <si>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</si>
  <si>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</si>
  <si>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</si>
  <si>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</si>
  <si>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</si>
  <si>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</si>
  <si>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</si>
  <si>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</si>
  <si>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</si>
  <si>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</si>
  <si>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</si>
  <si>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</si>
  <si>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</si>
  <si>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</si>
  <si>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</si>
  <si>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</si>
  <si>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</si>
  <si>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</si>
  <si>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</si>
  <si>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</si>
  <si>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</si>
  <si>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</si>
  <si>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</si>
  <si>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</si>
  <si>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</si>
  <si>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</si>
  <si>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</si>
  <si>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</si>
  <si>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</si>
  <si>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</si>
  <si>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</si>
  <si>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</si>
  <si>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</si>
  <si>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</si>
  <si>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</si>
  <si>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</si>
  <si>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</si>
  <si>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</si>
  <si>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</si>
  <si>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</si>
  <si>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</si>
  <si>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</si>
  <si>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</si>
  <si>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</si>
  <si>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</si>
  <si>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</si>
  <si>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</si>
  <si>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</si>
  <si>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</si>
  <si>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</si>
  <si>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</si>
  <si>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</si>
  <si>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</si>
  <si>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</si>
  <si>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</si>
  <si>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</si>
  <si>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</si>
  <si>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</si>
  <si>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</si>
  <si>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</si>
  <si>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</si>
  <si>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</si>
  <si>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</si>
  <si>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</si>
  <si>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</si>
  <si>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</si>
  <si>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</si>
  <si>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</si>
  <si>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</si>
  <si>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</si>
  <si>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</si>
  <si>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</si>
  <si>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</si>
  <si>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</si>
  <si>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</si>
  <si>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</si>
  <si>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</si>
  <si>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</si>
  <si>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</si>
  <si>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</si>
  <si>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</si>
  <si>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</si>
  <si>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</si>
  <si>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</si>
  <si>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</si>
  <si>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</si>
  <si>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</si>
  <si>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</si>
  <si>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</si>
  <si>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</si>
  <si>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</si>
  <si>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</si>
  <si>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</si>
  <si>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</si>
  <si>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</si>
  <si>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</si>
  <si>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</si>
  <si>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</si>
  <si>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</si>
  <si>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</si>
  <si>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</si>
  <si>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</si>
  <si>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</si>
  <si>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</si>
  <si>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</si>
  <si>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</si>
  <si>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</si>
  <si>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</si>
  <si>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</si>
  <si>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</si>
  <si>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</si>
  <si>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</si>
  <si>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</si>
  <si>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</si>
  <si>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</si>
  <si>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</si>
  <si>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</si>
  <si>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</si>
  <si>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</si>
  <si>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</si>
  <si>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</si>
  <si>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</si>
  <si>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</si>
  <si>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</si>
  <si>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</si>
  <si>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</si>
  <si>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</si>
  <si>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</si>
  <si>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</si>
  <si>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BTI_BritishAmericanTabacco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</si>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</sst>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 t="n">
        <f>AVERAGE(L12:P12)</f>
        <v>4.415144385595987</v>
      </c>
      <c r="G12" s="119" t="n">
        <f>Financials!D76</f>
        <v>15.620696828259453</v>
      </c>
      <c r="H12" s="119" t="n">
        <f>Financials!E76</f>
        <v>12.966718974736175</v>
      </c>
      <c r="I12" s="119" t="n">
        <f>Financials!F76</f>
        <v>13.612560972493087</v>
      </c>
      <c r="J12" s="119" t="n">
        <f>Financials!G76</f>
        <v>11.686320499632107</v>
      </c>
      <c r="K12" s="119" t="n">
        <f>Financials!H76</f>
        <v>26.611975520933605</v>
      </c>
      <c r="L12" s="119" t="n">
        <f>Financials!I76</f>
        <v>4.121851939677739</v>
      </c>
      <c r="M12" s="119" t="n">
        <f>Financials!J76</f>
        <v>4.045247086659047</v>
      </c>
      <c r="N12" s="119" t="n">
        <f>Financials!K76</f>
        <v>4.648123837785652</v>
      </c>
      <c r="O12" s="119" t="n">
        <f>Financials!L76</f>
        <v>4.951042576994121</v>
      </c>
      <c r="P12" s="119" t="n">
        <f>Financials!M76</f>
        <v>4.309456486863376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9.413871465942504</v>
      </c>
      <c r="G14" s="40" t="n">
        <f>Financials!D77</f>
        <v>60.54794658615066</v>
      </c>
      <c r="H14" s="40" t="n">
        <f>Financials!E77</f>
        <v>58.3591800619017</v>
      </c>
      <c r="I14" s="40" t="n">
        <f>Financials!F77</f>
        <v>85.25421859280473</v>
      </c>
      <c r="J14" s="40" t="n">
        <f>Financials!G77</f>
        <v>55.29385509588359</v>
      </c>
      <c r="K14" s="40" t="n">
        <f>Financials!H77</f>
        <v>61.503287283558805</v>
      </c>
      <c r="L14" s="40" t="n">
        <f>Financials!I77</f>
        <v>9.182806099198336</v>
      </c>
      <c r="M14" s="40" t="n">
        <f>Financials!J77</f>
        <v>8.890275815667827</v>
      </c>
      <c r="N14" s="40" t="n">
        <f>Financials!K77</f>
        <v>10.165998378576546</v>
      </c>
      <c r="O14" s="40" t="n">
        <f>Financials!L77</f>
        <v>10.090353007004017</v>
      </c>
      <c r="P14" s="40" t="n">
        <f>Financials!M77</f>
        <v>8.739924029265795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0.041486673821312575</v>
      </c>
      <c r="F16" s="124" t="n">
        <f>AVERAGE(L16:P16)</f>
        <v>6.833999919891357</v>
      </c>
      <c r="G16" s="40" t="n">
        <f>Financials!D78</f>
        <v>23.56999969482422</v>
      </c>
      <c r="H16" s="40" t="n">
        <f>Financials!E78</f>
        <v>19.290000915527344</v>
      </c>
      <c r="I16" s="40" t="n">
        <f>Financials!F78</f>
        <v>23.6299991607666</v>
      </c>
      <c r="J16" s="40" t="n">
        <f>Financials!G78</f>
        <v>20.6299991607666</v>
      </c>
      <c r="K16" s="40" t="n">
        <f>Financials!H78</f>
        <v>55.63999938964844</v>
      </c>
      <c r="L16" s="40" t="n">
        <f>Financials!I78</f>
        <v>6.449999809265137</v>
      </c>
      <c r="M16" s="40" t="n">
        <f>Financials!J78</f>
        <v>6.269999980926514</v>
      </c>
      <c r="N16" s="40" t="n">
        <f>Financials!K78</f>
        <v>7.139999866485596</v>
      </c>
      <c r="O16" s="40" t="n">
        <f>Financials!L78</f>
        <v>7.409999847412109</v>
      </c>
      <c r="P16" s="40" t="n">
        <f>Financials!M78</f>
        <v>6.900000095367432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 t="n">
        <f>AVERAGE(L18:P18)</f>
        <v>0.8136860501387202</v>
      </c>
      <c r="G18" s="42" t="n">
        <f>Financials!D59</f>
        <v>1.128259542136078</v>
      </c>
      <c r="H18" s="42" t="n">
        <f>Financials!E59</f>
        <v>1.041395883190198</v>
      </c>
      <c r="I18" s="42" t="n">
        <f>Financials!F59</f>
        <v>1.0897186300925101</v>
      </c>
      <c r="J18" s="42" t="n">
        <f>Financials!G59</f>
        <v>1.042425396784494</v>
      </c>
      <c r="K18" s="42" t="n">
        <f>Financials!H59</f>
        <v>0.8984816347000552</v>
      </c>
      <c r="L18" s="42" t="n">
        <f>Financials!I59</f>
        <v>0.7750013755064508</v>
      </c>
      <c r="M18" s="42" t="n">
        <f>Financials!J59</f>
        <v>0.7052010382606291</v>
      </c>
      <c r="N18" s="42" t="n">
        <f>Financials!K59</f>
        <v>0.8794420050003144</v>
      </c>
      <c r="O18" s="42" t="n">
        <f>Financials!L59</f>
        <v>0.8456818601953509</v>
      </c>
      <c r="P18" s="42" t="n">
        <f>Financials!M59</f>
        <v>0.8631039717308562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1.1357537809052443</v>
      </c>
      <c r="G20" s="42" t="n">
        <f>Financials!D58</f>
        <v>2.8761360809853995</v>
      </c>
      <c r="H20" s="42" t="n">
        <f>Financials!E58</f>
        <v>3.5006898179567507</v>
      </c>
      <c r="I20" s="42" t="n">
        <f>Financials!F58</f>
        <v>5.262908115899572</v>
      </c>
      <c r="J20" s="42" t="n">
        <f>Financials!G58</f>
        <v>3.731502537314827</v>
      </c>
      <c r="K20" s="42" t="n">
        <f>Financials!H58</f>
        <v>1.3111131766666055</v>
      </c>
      <c r="L20" s="42" t="n">
        <f>Financials!I58</f>
        <v>1.2278350201769452</v>
      </c>
      <c r="M20" s="42" t="n">
        <f>Financials!J58</f>
        <v>1.1977089718418832</v>
      </c>
      <c r="N20" s="42" t="n">
        <f>Financials!K58</f>
        <v>1.187118659777272</v>
      </c>
      <c r="O20" s="42" t="n">
        <f>Financials!L58</f>
        <v>1.0380259006235564</v>
      </c>
      <c r="P20" s="42" t="n">
        <f>Financials!M58</f>
        <v>1.0280803521065645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3.5397414418914463</v>
      </c>
      <c r="G22" s="42" t="n">
        <f>Financials!D60</f>
        <v>1.7202542026598153</v>
      </c>
      <c r="H22" s="42" t="n">
        <f>Financials!E60</f>
        <v>2.1189592762940594</v>
      </c>
      <c r="I22" s="42" t="n">
        <f>Financials!F60</f>
        <v>2.9701098928413945</v>
      </c>
      <c r="J22" s="42" t="n">
        <f>Financials!G60</f>
        <v>3.133409660775596</v>
      </c>
      <c r="K22" s="42" t="n">
        <f>Financials!H60</f>
        <v>5.967334834278151</v>
      </c>
      <c r="L22" s="42" t="n">
        <f>Financials!I60</f>
        <v>4.181626289766277</v>
      </c>
      <c r="M22" s="42" t="n">
        <f>Financials!J60</f>
        <v>3.590806428987936</v>
      </c>
      <c r="N22" s="42" t="n">
        <f>Financials!K60</f>
        <v>3.498685277035528</v>
      </c>
      <c r="O22" s="42" t="n">
        <f>Financials!L60</f>
        <v>3.153492949763956</v>
      </c>
      <c r="P22" s="42" t="n">
        <f>Financials!M60</f>
        <v>3.274096263903536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 t="n">
        <f>Financials!D12</f>
        <v>1907.865966796875</v>
      </c>
      <c r="H24" s="40" t="n">
        <f>Financials!E12</f>
        <v>1869.748046875</v>
      </c>
      <c r="I24" s="40" t="n">
        <f>Financials!F12</f>
        <v>1863.0</v>
      </c>
      <c r="J24" s="40" t="n">
        <f>Financials!G12</f>
        <v>1865.0</v>
      </c>
      <c r="K24" s="40" t="n">
        <f>Financials!H12</f>
        <v>2051.0</v>
      </c>
      <c r="L24" s="40" t="n">
        <f>Financials!I12</f>
        <v>2292.0</v>
      </c>
      <c r="M24" s="40" t="n">
        <f>Financials!J12</f>
        <v>2291.0</v>
      </c>
      <c r="N24" s="40" t="n">
        <f>Financials!K12</f>
        <v>2295.0</v>
      </c>
      <c r="O24" s="40" t="n">
        <f>Financials!L12</f>
        <v>2297.0</v>
      </c>
      <c r="P24" s="40" t="n">
        <f>Financials!M12</f>
        <v>2267.0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9.55400025844574</v>
      </c>
      <c r="G26" s="44" t="n">
        <f>Financials!D81</f>
        <v>15.819999694824219</v>
      </c>
      <c r="H26" s="44" t="n">
        <f>Financials!E81</f>
        <v>18.079999923706055</v>
      </c>
      <c r="I26" s="44" t="n">
        <f>Financials!F81</f>
        <v>17.290000915527344</v>
      </c>
      <c r="J26" s="44" t="n">
        <f>Financials!G81</f>
        <v>19.799999237060547</v>
      </c>
      <c r="K26" s="44" t="n">
        <f>Financials!H81</f>
        <v>21.940000534057617</v>
      </c>
      <c r="L26" s="44" t="n">
        <f>Financials!I81</f>
        <v>1.3799999952316284</v>
      </c>
      <c r="M26" s="44" t="n">
        <f>Financials!J81</f>
        <v>12.0600004196167</v>
      </c>
      <c r="N26" s="44" t="n">
        <f>Financials!K81</f>
        <v>9.930000305175781</v>
      </c>
      <c r="O26" s="44" t="n">
        <f>Financials!L81</f>
        <v>10.270000457763672</v>
      </c>
      <c r="P26" s="44" t="n">
        <f>Financials!M81</f>
        <v>14.130000114440918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7.3620000839233395</v>
      </c>
      <c r="G28" s="44" t="n">
        <f>Financials!D82</f>
        <v>13.770000457763672</v>
      </c>
      <c r="H28" s="44" t="n">
        <f>Financials!E82</f>
        <v>15.229999542236328</v>
      </c>
      <c r="I28" s="44" t="n">
        <f>Financials!F82</f>
        <v>17.799999237060547</v>
      </c>
      <c r="J28" s="44" t="n">
        <f>Financials!G82</f>
        <v>19.34000015258789</v>
      </c>
      <c r="K28" s="44" t="n">
        <f>Financials!H82</f>
        <v>17.670000076293945</v>
      </c>
      <c r="L28" s="44" t="n">
        <f>Financials!I82</f>
        <v>7.579999923706055</v>
      </c>
      <c r="M28" s="44" t="n">
        <f>Financials!J82</f>
        <v>8.510000228881836</v>
      </c>
      <c r="N28" s="44" t="n">
        <f>Financials!K82</f>
        <v>6.190000057220459</v>
      </c>
      <c r="O28" s="44" t="n">
        <f>Financials!L82</f>
        <v>7.440000057220459</v>
      </c>
      <c r="P28" s="44" t="n">
        <f>Financials!M82</f>
        <v>7.090000152587891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3.450000047683716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-0.00848227705488458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0.06850236008698474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0.01150839432360562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0.10605941637184735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0.003283403943696639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0.022207668016311244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0.009098506189761713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0.03659593639067693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 t="n">
        <f>Financials!$D$73</f>
        <v>0.5242881537111308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0.009272372302474796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0.06747907667186974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0.07675144897434454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79.19999694824219</v>
      </c>
    </row>
    <row r="6" spans="2:16">
      <c r="B6" s="4" t="s">
        <v>5</v>
      </c>
      <c r="C6" s="59" t="n">
        <v>1.7853E7</v>
      </c>
    </row>
    <row r="7" spans="2:16">
      <c r="B7" s="4" t="s">
        <v>4</v>
      </c>
      <c r="C7" s="59" t="n">
        <v>5.9983E7</v>
      </c>
    </row>
    <row r="8" spans="2:16">
      <c r="B8" s="4" t="s">
        <v>3</v>
      </c>
      <c r="C8" s="59" t="n">
        <v>1663000.0</v>
      </c>
    </row>
    <row r="9" spans="2:16">
      <c r="B9" s="10" t="s">
        <v>6</v>
      </c>
      <c r="C9" s="59" t="n">
        <v>2478000.0</v>
      </c>
    </row>
    <row r="10" spans="2:16">
      <c r="B10" s="10" t="s">
        <v>7</v>
      </c>
      <c r="C10" s="59" t="n">
        <v>9324000.0</v>
      </c>
    </row>
    <row r="11" spans="2:16">
      <c r="B11" s="10" t="s">
        <v>9</v>
      </c>
      <c r="C11" s="60" t="n">
        <v>0.33000001311302185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7.7836E7</v>
      </c>
    </row>
    <row r="18" spans="2:15" ht="18" thickTop="1" thickBot="1">
      <c r="B18" s="2" t="s">
        <v>20</v>
      </c>
      <c r="C18" s="12" t="n">
        <f>C8/C17</f>
        <v>0.021365435017215686</v>
      </c>
    </row>
    <row r="19" spans="2:15" ht="18" thickTop="1" thickBot="1">
      <c r="B19" s="2" t="s">
        <v>19</v>
      </c>
      <c r="C19" s="12" t="n">
        <f>C14+C11*(C15-C14)</f>
        <v>0.061710001140832915</v>
      </c>
    </row>
    <row r="20" spans="2:15" ht="18" thickTop="1" thickBot="1">
      <c r="B20" s="2" t="s">
        <v>18</v>
      </c>
      <c r="C20" s="12" t="n">
        <f>C8/C17</f>
        <v>0.021365435017215686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1.570359969482422E8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0.5043429435758349</v>
      </c>
      <c r="K22" t="s" s="0">
        <v>12</v>
      </c>
    </row>
    <row r="23" spans="2:15" ht="18" thickTop="1" thickBot="1">
      <c r="B23" s="16" t="s">
        <v>24</v>
      </c>
      <c r="C23" s="12" t="n">
        <f>C17/C21</f>
        <v>0.49565705642416635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0.041486673821312575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0.041486673821312575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0.004999999888241291</v>
      </c>
    </row>
    <row r="7" spans="2:12">
      <c r="B7" s="18" t="s">
        <v>31</v>
      </c>
      <c r="C7" s="13" t="n">
        <f>AVERAGEIF(C28:L28, "&lt;0.5")</f>
        <v>0.2643968674522458</v>
      </c>
    </row>
    <row r="8" spans="2:12">
      <c r="B8" s="18" t="s">
        <v>112</v>
      </c>
      <c r="C8" s="13" t="n">
        <f>AVERAGEIF(C29:L29,"&lt;2")</f>
        <v>1.1303428321655047</v>
      </c>
    </row>
    <row r="9" spans="2:12">
      <c r="B9" s="18" t="s">
        <v>136</v>
      </c>
      <c r="C9" s="66" t="n">
        <v>8.649999618530273</v>
      </c>
    </row>
    <row r="10" spans="2:12">
      <c r="B10" s="18" t="s">
        <v>100</v>
      </c>
      <c r="C10" s="67" t="n">
        <v>0.03999999910593033</v>
      </c>
    </row>
    <row r="11" spans="2:12">
      <c r="B11" s="18" t="s">
        <v>44</v>
      </c>
      <c r="C11" s="59" t="n">
        <v>2.267000064E9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23878.83984375</v>
      </c>
      <c r="D16" s="21" t="n">
        <f>Financials!E3</f>
        <v>23025.599609375</v>
      </c>
      <c r="E16" s="21" t="n">
        <f>Financials!F3</f>
        <v>20035.359375</v>
      </c>
      <c r="F16" s="21" t="n">
        <f>Financials!G3</f>
        <v>19992.029296875</v>
      </c>
      <c r="G16" s="21" t="n">
        <f>Financials!H3</f>
        <v>26152.330078125</v>
      </c>
      <c r="H16" s="21" t="n">
        <f>Financials!I3</f>
        <v>32691.919921875</v>
      </c>
      <c r="I16" s="21" t="n">
        <f>Financials!J3</f>
        <v>33042.33984375</v>
      </c>
      <c r="J16" s="21" t="n">
        <f>Financials!K3</f>
        <v>33096.37890625</v>
      </c>
      <c r="K16" s="21" t="n">
        <f>Financials!L3</f>
        <v>35318.0703125</v>
      </c>
      <c r="L16" s="21" t="n">
        <f>Financials!M3</f>
        <v>34206.46875</v>
      </c>
    </row>
    <row r="17" spans="2:12">
      <c r="B17" s="18" t="s">
        <v>27</v>
      </c>
      <c r="C17" s="22"/>
      <c r="D17" s="20" t="n">
        <f t="shared" ref="D17:L17" si="0">(D16-C16)/C16</f>
        <v>-0.03573206403485827</v>
      </c>
      <c r="E17" s="20" t="n">
        <f t="shared" si="0"/>
        <v>-0.12986590078451235</v>
      </c>
      <c r="F17" s="20" t="n">
        <f t="shared" si="0"/>
        <v>-0.0021626803549661807</v>
      </c>
      <c r="G17" s="20" t="n">
        <f t="shared" si="0"/>
        <v>0.3081378428258371</v>
      </c>
      <c r="H17" s="20" t="n">
        <f t="shared" si="0"/>
        <v>0.25005763632587413</v>
      </c>
      <c r="I17" s="20" t="n">
        <f t="shared" si="0"/>
        <v>0.010718854160673662</v>
      </c>
      <c r="J17" s="20" t="n">
        <f t="shared" si="0"/>
        <v>0.0016354490255695846</v>
      </c>
      <c r="K17" s="20" t="n">
        <f t="shared" si="0"/>
        <v>0.06712792999328547</v>
      </c>
      <c r="L17" s="20" t="n">
        <f t="shared" si="0"/>
        <v>-0.031474017483525275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6570.58984375</v>
      </c>
      <c r="D19" s="21" t="n">
        <f>Financials!E6</f>
        <v>5592.0</v>
      </c>
      <c r="E19" s="21" t="n">
        <f>Financials!F6</f>
        <v>6559.19482421875</v>
      </c>
      <c r="F19" s="21" t="n">
        <f>Financials!G6</f>
        <v>6299.43505859375</v>
      </c>
      <c r="G19" s="21" t="n">
        <f>Financials!H6</f>
        <v>48372.53125</v>
      </c>
      <c r="H19" s="21" t="n">
        <f>Financials!I6</f>
        <v>8051.51416015625</v>
      </c>
      <c r="I19" s="21" t="n">
        <f>Financials!J6</f>
        <v>7283.43798828125</v>
      </c>
      <c r="J19" s="21" t="n">
        <f>Financials!K6</f>
        <v>8217.599609375</v>
      </c>
      <c r="K19" s="21" t="n">
        <f>Financials!L6</f>
        <v>9352.0546875</v>
      </c>
      <c r="L19" s="21" t="n">
        <f>Financials!M6</f>
        <v>8184.56689453125</v>
      </c>
    </row>
    <row r="20" spans="2:12">
      <c r="B20" s="18" t="s">
        <v>27</v>
      </c>
      <c r="C20" s="22"/>
      <c r="D20" s="20" t="n">
        <f>(D19-C19)/C19</f>
        <v>-0.14893485471184034</v>
      </c>
      <c r="E20" s="20" t="n">
        <f t="shared" ref="E20:L20" si="1">(E19-D19)/D19</f>
        <v>0.1729604478216649</v>
      </c>
      <c r="F20" s="20" t="n">
        <f t="shared" si="1"/>
        <v>-0.039602386052916085</v>
      </c>
      <c r="G20" s="20" t="n">
        <f t="shared" si="1"/>
        <v>6.678868152471828</v>
      </c>
      <c r="H20" s="20" t="n">
        <f t="shared" si="1"/>
        <v>-0.8335519363552801</v>
      </c>
      <c r="I20" s="20" t="n">
        <f t="shared" si="1"/>
        <v>-0.09539524573848536</v>
      </c>
      <c r="J20" s="20" t="n">
        <f t="shared" si="1"/>
        <v>0.1282583338523342</v>
      </c>
      <c r="K20" s="20" t="n">
        <f t="shared" si="1"/>
        <v>0.13805188036063032</v>
      </c>
      <c r="L20" s="20" t="n">
        <f t="shared" si="1"/>
        <v>-0.12483757120552552</v>
      </c>
    </row>
    <row r="22" spans="2:12">
      <c r="B22" s="18" t="s">
        <v>30</v>
      </c>
      <c r="C22" s="25" t="n">
        <f>Financials!D20</f>
        <v>6313.97021484375</v>
      </c>
      <c r="D22" s="25" t="n">
        <f>Financials!E20</f>
        <v>5354.669921875</v>
      </c>
      <c r="E22" s="25" t="n">
        <f>Financials!F20</f>
        <v>6643.2900390625</v>
      </c>
      <c r="F22" s="25" t="n">
        <f>Financials!G20</f>
        <v>5579.77001953125</v>
      </c>
      <c r="G22" s="25" t="n">
        <f>Financials!H20</f>
        <v>5994.2099609375</v>
      </c>
      <c r="H22" s="25" t="n">
        <f>Financials!I20</f>
        <v>12780.7099609375</v>
      </c>
      <c r="I22" s="25" t="n">
        <f>Financials!J20</f>
        <v>10682.5400390625</v>
      </c>
      <c r="J22" s="25" t="n">
        <f>Financials!K20</f>
        <v>11965.599609375</v>
      </c>
      <c r="K22" s="25" t="n">
        <f>Financials!L20</f>
        <v>12679.7998046875</v>
      </c>
      <c r="L22" s="25" t="n">
        <f>Financials!M20</f>
        <v>12247.7802734375</v>
      </c>
    </row>
    <row r="23" spans="2:12">
      <c r="B23" s="18" t="s">
        <v>27</v>
      </c>
      <c r="C23" s="26"/>
      <c r="D23" s="26" t="n">
        <f>(D22-C22)/C22</f>
        <v>-0.15193297724362</v>
      </c>
      <c r="E23" s="26" t="n">
        <f t="shared" ref="E23:L23" si="2">(E22-D22)/D22</f>
        <v>0.24065351104522884</v>
      </c>
      <c r="F23" s="26" t="n">
        <f t="shared" si="2"/>
        <v>-0.16008935531607976</v>
      </c>
      <c r="G23" s="26" t="n">
        <f t="shared" si="2"/>
        <v>0.07427545220601522</v>
      </c>
      <c r="H23" s="26" t="n">
        <f t="shared" si="2"/>
        <v>1.1321758904385433</v>
      </c>
      <c r="I23" s="26" t="n">
        <f t="shared" si="2"/>
        <v>-0.16416693034172364</v>
      </c>
      <c r="J23" s="26" t="n">
        <f t="shared" si="2"/>
        <v>0.12010809841299704</v>
      </c>
      <c r="K23" s="26" t="n">
        <f t="shared" si="2"/>
        <v>0.059687789883335805</v>
      </c>
      <c r="L23" s="26" t="n">
        <f t="shared" si="2"/>
        <v>-0.034071478880154715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8837.990234375</v>
      </c>
      <c r="D25" s="62" t="n">
        <f>Financials!E9</f>
        <v>7605.97900390625</v>
      </c>
      <c r="E25" s="62" t="n">
        <f>Financials!F9</f>
        <v>7621.81591796875</v>
      </c>
      <c r="F25" s="62" t="n">
        <f>Financials!G9</f>
        <v>7131.5888671875</v>
      </c>
      <c r="G25" s="62" t="n">
        <f>Financials!H9</f>
        <v>9508.767578125</v>
      </c>
      <c r="H25" s="62" t="n">
        <f>Financials!I9</f>
        <v>13816.509765625</v>
      </c>
      <c r="I25" s="62" t="n">
        <f>Financials!J9</f>
        <v>13443.2001953125</v>
      </c>
      <c r="J25" s="62" t="n">
        <f>Financials!K9</f>
        <v>14653.009765625</v>
      </c>
      <c r="K25" s="62" t="n">
        <f>Financials!L9</f>
        <v>15552.3798828125</v>
      </c>
      <c r="L25" s="62" t="n">
        <f>Financials!M9</f>
        <v>14630.0498046875</v>
      </c>
    </row>
    <row r="26" spans="2:12">
      <c r="B26" s="18" t="s">
        <v>27</v>
      </c>
      <c r="C26" s="63"/>
      <c r="D26" s="63" t="n">
        <f>Financials!E10</f>
        <v>-0.139399478591512</v>
      </c>
      <c r="E26" s="63" t="n">
        <f>Financials!F10</f>
        <v>0.0020821664185986495</v>
      </c>
      <c r="F26" s="63" t="n">
        <f>Financials!G10</f>
        <v>-0.06431893082402046</v>
      </c>
      <c r="G26" s="63" t="n">
        <f>Financials!H10</f>
        <v>0.33333086850742605</v>
      </c>
      <c r="H26" s="63" t="n">
        <f>Financials!I10</f>
        <v>0.4530284447597602</v>
      </c>
      <c r="I26" s="63" t="n">
        <f>Financials!J10</f>
        <v>-0.027019093580441085</v>
      </c>
      <c r="J26" s="63" t="n">
        <f>Financials!K10</f>
        <v>0.08999416453935928</v>
      </c>
      <c r="K26" s="63" t="n">
        <f>Financials!L10</f>
        <v>0.06137784192960571</v>
      </c>
      <c r="L26" s="63" t="n">
        <f>Financials!M10</f>
        <v>-0.05930475496835699</v>
      </c>
    </row>
    <row r="28" spans="2:12" ht="15" thickBot="1">
      <c r="B28" s="1" t="s">
        <v>31</v>
      </c>
      <c r="C28" s="24" t="n">
        <f t="shared" ref="C28:L28" si="3">C19/C16</f>
        <v>0.27516369667640167</v>
      </c>
      <c r="D28" s="24" t="n">
        <f t="shared" si="3"/>
        <v>0.24286012502897802</v>
      </c>
      <c r="E28" s="24" t="n">
        <f t="shared" si="3"/>
        <v>0.32738094193624867</v>
      </c>
      <c r="F28" s="24" t="n">
        <f t="shared" si="3"/>
        <v>0.31509733029344994</v>
      </c>
      <c r="G28" s="24" t="n">
        <f t="shared" si="3"/>
        <v>1.8496451790527448</v>
      </c>
      <c r="H28" s="24" t="n">
        <f t="shared" si="3"/>
        <v>0.24628453083811624</v>
      </c>
      <c r="I28" s="24" t="n">
        <f t="shared" si="3"/>
        <v>0.22042742804302104</v>
      </c>
      <c r="J28" s="24" t="n">
        <f t="shared" si="3"/>
        <v>0.24829301213442323</v>
      </c>
      <c r="K28" s="24" t="n">
        <f t="shared" si="3"/>
        <v>0.26479517722093837</v>
      </c>
      <c r="L28" s="24" t="n">
        <f t="shared" si="3"/>
        <v>0.23926956489863485</v>
      </c>
    </row>
    <row r="29" spans="2:12" ht="15" thickBot="1">
      <c r="B29" s="1" t="s">
        <v>32</v>
      </c>
      <c r="C29" s="24" t="n">
        <f t="shared" ref="C29:L29" si="4">C22/C19</f>
        <v>0.9609442021175088</v>
      </c>
      <c r="D29" s="24" t="n">
        <f t="shared" si="4"/>
        <v>0.9575589989046852</v>
      </c>
      <c r="E29" s="24" t="n">
        <f t="shared" si="4"/>
        <v>1.0128209661547545</v>
      </c>
      <c r="F29" s="24" t="n">
        <f t="shared" si="4"/>
        <v>0.8857572095960056</v>
      </c>
      <c r="G29" s="24" t="n">
        <f t="shared" si="4"/>
        <v>0.12391764098426211</v>
      </c>
      <c r="H29" s="24" t="n">
        <f t="shared" si="4"/>
        <v>1.5873672587181382</v>
      </c>
      <c r="I29" s="24" t="n">
        <f t="shared" si="4"/>
        <v>1.4666892278413388</v>
      </c>
      <c r="J29" s="24" t="n">
        <f t="shared" si="4"/>
        <v>1.456094258440642</v>
      </c>
      <c r="K29" s="24" t="n">
        <f t="shared" si="4"/>
        <v>1.355830374007049</v>
      </c>
      <c r="L29" s="24" t="n">
        <f t="shared" si="4"/>
        <v>1.496448184890663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36190.444007840815</v>
      </c>
      <c r="D36" s="21" t="n">
        <f>C36*(D37+1)</f>
        <v>37453.490447845084</v>
      </c>
      <c r="E36" s="21" t="n">
        <f>D36*(E37+1)</f>
        <v>38850.50571008437</v>
      </c>
      <c r="F36" s="21" t="n">
        <f t="shared" ref="F36:L36" si="5">E36*(F37+1)</f>
        <v>39044.75823429289</v>
      </c>
      <c r="G36" s="21" t="n">
        <f t="shared" si="5"/>
        <v>39239.982021100725</v>
      </c>
      <c r="H36" s="21" t="n">
        <f t="shared" si="5"/>
        <v>39436.18192682074</v>
      </c>
      <c r="I36" s="21" t="n">
        <f t="shared" si="5"/>
        <v>39633.362832047416</v>
      </c>
      <c r="J36" s="21" t="n">
        <f t="shared" si="5"/>
        <v>39831.529641778216</v>
      </c>
      <c r="K36" s="21" t="n">
        <f t="shared" si="5"/>
        <v>40030.68728553552</v>
      </c>
      <c r="L36" s="21" t="n">
        <f t="shared" si="5"/>
        <v>40230.84071748935</v>
      </c>
    </row>
    <row r="37" spans="2:12">
      <c r="B37" s="18" t="s">
        <v>27</v>
      </c>
      <c r="C37" s="68" t="n">
        <v>0.058000002056360245</v>
      </c>
      <c r="D37" s="68" t="n">
        <v>0.0348999984562397</v>
      </c>
      <c r="E37" s="68" t="n">
        <v>0.037300001829862595</v>
      </c>
      <c r="F37" s="27" t="n">
        <f>C6</f>
        <v>0.004999999888241291</v>
      </c>
      <c r="G37" s="27" t="n">
        <f>C6</f>
        <v>0.004999999888241291</v>
      </c>
      <c r="H37" s="27" t="n">
        <f>C6</f>
        <v>0.004999999888241291</v>
      </c>
      <c r="I37" s="27" t="n">
        <f>C6</f>
        <v>0.004999999888241291</v>
      </c>
      <c r="J37" s="27" t="n">
        <f>C6</f>
        <v>0.004999999888241291</v>
      </c>
      <c r="K37" s="27" t="n">
        <f>C6</f>
        <v>0.004999999888241291</v>
      </c>
      <c r="L37" s="27" t="n">
        <f>C6</f>
        <v>0.004999999888241291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9568.640027379015</v>
      </c>
      <c r="D39" s="21" t="n">
        <f>D36*C7</f>
        <v>9902.585549562862</v>
      </c>
      <c r="E39" s="21" t="n">
        <f>E36*C7</f>
        <v>10271.952008681912</v>
      </c>
      <c r="F39" s="21" t="n">
        <f>F36*C7</f>
        <v>10323.31176757733</v>
      </c>
      <c r="G39" s="21" t="n">
        <f>G36*C7</f>
        <v>10374.928325261479</v>
      </c>
      <c r="H39" s="21" t="n">
        <f>H36*C7</f>
        <v>10426.802965728271</v>
      </c>
      <c r="I39" s="21" t="n">
        <f>I36*C7</f>
        <v>10478.93697939161</v>
      </c>
      <c r="J39" s="21" t="n">
        <f>J36*C7</f>
        <v>10531.331663117438</v>
      </c>
      <c r="K39" s="21" t="n">
        <f>K36*C7</f>
        <v>10583.98832025604</v>
      </c>
      <c r="L39" s="21" t="n">
        <f>L36*C7</f>
        <v>10636.908260674467</v>
      </c>
    </row>
    <row r="40" spans="2:12">
      <c r="B40" s="18"/>
      <c r="C40" s="20" t="n">
        <f>(C39-L19)/L19</f>
        <v>0.1691076816505193</v>
      </c>
      <c r="D40" s="20" t="n">
        <f>(D39-C39)/C39</f>
        <v>0.034899998456240304</v>
      </c>
      <c r="E40" s="20" t="n">
        <f t="shared" ref="E40:L40" si="6">(E39-D39)/D39</f>
        <v>0.03730000182986102</v>
      </c>
      <c r="F40" s="20" t="n">
        <f t="shared" si="6"/>
        <v>0.00499999988824019</v>
      </c>
      <c r="G40" s="20" t="n">
        <f t="shared" si="6"/>
        <v>0.004999999888239556</v>
      </c>
      <c r="H40" s="20" t="n">
        <f t="shared" si="6"/>
        <v>0.004999999888238765</v>
      </c>
      <c r="I40" s="20" t="n">
        <f t="shared" si="6"/>
        <v>0.004999999888239703</v>
      </c>
      <c r="J40" s="20" t="n">
        <f t="shared" si="6"/>
        <v>0.0049999998882396274</v>
      </c>
      <c r="K40" s="20" t="n">
        <f t="shared" si="6"/>
        <v>0.0049999998882395945</v>
      </c>
      <c r="L40" s="20" t="n">
        <f t="shared" si="6"/>
        <v>0.004999999888241316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10815.843668519768</v>
      </c>
      <c r="D42" s="21" t="n">
        <f>D39*C8</f>
        <v>11193.316595854038</v>
      </c>
      <c r="E42" s="21" t="n">
        <f>E39*C8</f>
        <v>11610.827325361595</v>
      </c>
      <c r="F42" s="21" t="n">
        <f>F39*C8</f>
        <v>11668.88146069076</v>
      </c>
      <c r="G42" s="21" t="n">
        <f>G39*C8</f>
        <v>11727.225866690153</v>
      </c>
      <c r="H42" s="21" t="n">
        <f>H39*C8</f>
        <v>11785.861994712961</v>
      </c>
      <c r="I42" s="21" t="n">
        <f>I39*C8</f>
        <v>11844.791303369291</v>
      </c>
      <c r="J42" s="21" t="n">
        <f>J39*C8</f>
        <v>11904.015258562327</v>
      </c>
      <c r="K42" s="21" t="n">
        <f>K39*C8</f>
        <v>11963.53533352474</v>
      </c>
      <c r="L42" s="21" t="n">
        <f>L39*C8</f>
        <v>12023.353008855416</v>
      </c>
    </row>
    <row r="43" spans="2:12">
      <c r="B43" s="18" t="s">
        <v>27</v>
      </c>
      <c r="C43" s="20" t="n">
        <f>(C42-L22)/L22</f>
        <v>-0.11691396913963727</v>
      </c>
      <c r="D43" s="20" t="n">
        <f>(D42-C42)/C42</f>
        <v>0.03489999845623952</v>
      </c>
      <c r="E43" s="20" t="n">
        <f t="shared" ref="E43:L43" si="7">(E42-D42)/D42</f>
        <v>0.03730000182986013</v>
      </c>
      <c r="F43" s="20" t="n">
        <f t="shared" si="7"/>
        <v>0.004999999888238507</v>
      </c>
      <c r="G43" s="20" t="n">
        <f t="shared" si="7"/>
        <v>0.004999999888244525</v>
      </c>
      <c r="H43" s="20" t="n">
        <f t="shared" si="7"/>
        <v>0.004999999888239332</v>
      </c>
      <c r="I43" s="20" t="n">
        <f t="shared" si="7"/>
        <v>0.0049999998882360236</v>
      </c>
      <c r="J43" s="20" t="n">
        <f t="shared" si="7"/>
        <v>0.004999999888236916</v>
      </c>
      <c r="K43" s="20" t="n">
        <f t="shared" si="7"/>
        <v>0.0049999998882395</v>
      </c>
      <c r="L43" s="20" t="n">
        <f t="shared" si="7"/>
        <v>0.004999999888248134</v>
      </c>
    </row>
    <row r="45" spans="2:12">
      <c r="B45" s="18" t="s">
        <v>47</v>
      </c>
      <c r="C45" s="60" t="n">
        <v>16225.0</v>
      </c>
      <c r="D45" s="60" t="n">
        <v>16877.0</v>
      </c>
      <c r="E45" s="60" t="n">
        <v>17418.0</v>
      </c>
      <c r="F45" s="21" t="n">
        <f t="shared" ref="E45:L45" si="8">E45*(1+F46)</f>
        <v>18114.719984427087</v>
      </c>
      <c r="G45" s="21" t="n">
        <f t="shared" si="8"/>
        <v>18839.308767608356</v>
      </c>
      <c r="H45" s="21" t="n">
        <f t="shared" si="8"/>
        <v>19592.881101469076</v>
      </c>
      <c r="I45" s="21" t="n">
        <f t="shared" si="8"/>
        <v>20376.596328010455</v>
      </c>
      <c r="J45" s="21" t="n">
        <f t="shared" si="8"/>
        <v>21191.660162912816</v>
      </c>
      <c r="K45" s="21" t="n">
        <f t="shared" si="8"/>
        <v>22039.326550482485</v>
      </c>
      <c r="L45" s="21" t="n">
        <f t="shared" si="8"/>
        <v>22920.8995927971</v>
      </c>
    </row>
    <row r="46" spans="2:12">
      <c r="B46" s="18" t="s">
        <v>27</v>
      </c>
      <c r="C46" s="20" t="n">
        <f>C10</f>
        <v>0.03999999910593033</v>
      </c>
      <c r="D46" s="20" t="n">
        <f>C10</f>
        <v>0.03999999910593033</v>
      </c>
      <c r="E46" s="20" t="n">
        <f>C10</f>
        <v>0.03999999910593033</v>
      </c>
      <c r="F46" s="20" t="n">
        <f>C10</f>
        <v>0.03999999910593033</v>
      </c>
      <c r="G46" s="20" t="n">
        <f>C10</f>
        <v>0.03999999910593033</v>
      </c>
      <c r="H46" s="20" t="n">
        <f>C10</f>
        <v>0.03999999910593033</v>
      </c>
      <c r="I46" s="20" t="n">
        <f>C10</f>
        <v>0.03999999910593033</v>
      </c>
      <c r="J46" s="20" t="n">
        <f>C10</f>
        <v>0.03999999910593033</v>
      </c>
      <c r="K46" s="20" t="n">
        <f>C10</f>
        <v>0.03999999910593033</v>
      </c>
      <c r="L46" s="20" t="n">
        <f>C10</f>
        <v>0.03999999910593033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1.0414866738213127</v>
      </c>
      <c r="D51" s="61" t="n">
        <f>POWER((1+C4),2)</f>
        <v>1.0846944917473813</v>
      </c>
      <c r="E51" s="61" t="n">
        <f>POWER((1+C4),3)</f>
        <v>1.1296948583222794</v>
      </c>
      <c r="F51" s="61" t="n">
        <f>POWER((1+C4),4)</f>
        <v>1.1765621404271098</v>
      </c>
      <c r="G51" s="61" t="n">
        <f>POWER((1+C4),5)</f>
        <v>1.2253737901775148</v>
      </c>
      <c r="H51" s="61" t="n">
        <f>POWER((1+C4),6)</f>
        <v>1.276210472919795</v>
      </c>
      <c r="I51" s="61" t="n">
        <f>POWER((1+C4),7)</f>
        <v>1.3291562005371618</v>
      </c>
      <c r="J51" s="61" t="n">
        <f>POWER((1+C4),8)</f>
        <v>1.384298470286422</v>
      </c>
      <c r="K51" s="61" t="n">
        <f>POWER((1+C4),9)</f>
        <v>1.441728409394537</v>
      </c>
      <c r="L51" s="61" t="n">
        <f>POWER((1+C4),10)</f>
        <v>1.5015409256540082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10385.004379206772</v>
      </c>
      <c r="D53" s="21" t="n">
        <f t="shared" si="9"/>
        <v>10319.326484107258</v>
      </c>
      <c r="E53" s="21" t="n">
        <f t="shared" si="9"/>
        <v>10277.843826433755</v>
      </c>
      <c r="F53" s="21" t="n">
        <f t="shared" si="9"/>
        <v>9917.77744646349</v>
      </c>
      <c r="G53" s="21" t="n">
        <f t="shared" si="9"/>
        <v>9570.325365773795</v>
      </c>
      <c r="H53" s="21" t="n">
        <f t="shared" si="9"/>
        <v>9235.045664332001</v>
      </c>
      <c r="I53" s="21" t="n">
        <f t="shared" si="9"/>
        <v>8911.511904005258</v>
      </c>
      <c r="J53" s="21" t="n">
        <f t="shared" si="9"/>
        <v>8599.312586178965</v>
      </c>
      <c r="K53" s="21" t="n">
        <f t="shared" si="9"/>
        <v>8298.050628376559</v>
      </c>
      <c r="L53" s="21" t="n">
        <f t="shared" si="9"/>
        <v>8007.342859215454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1.5638348642659679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497827.9136017013</v>
      </c>
    </row>
    <row r="60" spans="2:12" ht="15" thickBot="1">
      <c r="B60" s="5" t="s">
        <v>41</v>
      </c>
      <c r="C60" s="23" t="n">
        <f>C59/C55</f>
        <v>318337.90445346705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591349.4547457946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260.85109750830384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198265.77273406554</v>
      </c>
    </row>
    <row r="70" spans="2:12" ht="15" thickBot="1">
      <c r="B70" s="5" t="s">
        <v>41</v>
      </c>
      <c r="C70" s="23" t="n">
        <f>C69/C55</f>
        <v>126781.78320773506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220303.32435182837</v>
      </c>
    </row>
    <row r="73" spans="2:12" ht="15" thickTop="1"/>
    <row r="74" spans="2:12" ht="18.5">
      <c r="B74" s="69" t="s">
        <v>42</v>
      </c>
      <c r="C74" s="70" t="n">
        <f>C72/(C11/1000000)</f>
        <v>97.17834941879737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4.309999942779541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10.0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72.93846057011538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2.630000114440918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2.630000114440918</v>
      </c>
    </row>
    <row r="7" spans="2:16" ht="15" thickBot="1">
      <c r="B7" s="89" t="s">
        <v>121</v>
      </c>
      <c r="C7" s="90" t="n">
        <f>P6*(1+P7)</f>
        <v>2.6826001155540493</v>
      </c>
      <c r="D7" s="90" t="n">
        <f>C7*(1+P7)</f>
        <v>2.7362521166659284</v>
      </c>
      <c r="E7" s="90" t="n">
        <f>D7*(1+P7)</f>
        <v>2.790977157776062</v>
      </c>
      <c r="F7" s="90" t="n">
        <f>E7*(1+P7)</f>
        <v>2.8467966996839307</v>
      </c>
      <c r="G7" s="90" t="n">
        <f>F7*(1+P7)</f>
        <v>2.903732632405005</v>
      </c>
      <c r="H7" s="90" t="n">
        <f>G7*(1+P7)</f>
        <v>2.9618072837550544</v>
      </c>
      <c r="I7" s="90" t="n">
        <f>H7*(1+P7)</f>
        <v>3.0210434281061342</v>
      </c>
      <c r="J7" s="90" t="n">
        <f>I7*(1+P7)</f>
        <v>3.0814642953177556</v>
      </c>
      <c r="K7" s="90" t="n">
        <f>J7*(1+P7)</f>
        <v>3.1430935798466084</v>
      </c>
      <c r="L7" s="90" t="n">
        <f>K7*(1+P7)</f>
        <v>3.205955450038485</v>
      </c>
      <c r="M7" s="159" t="n">
        <f>L7*(1+P7)/(P8-P7)</f>
        <v>152.19081914521016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2.5757411813166504</v>
      </c>
      <c r="D8" s="90" t="n">
        <f>D7/(1+P8)^2</f>
        <v>2.522601651878942</v>
      </c>
      <c r="E8" s="90" t="n">
        <f>E7/(1+P8)^3</f>
        <v>2.470558431965394</v>
      </c>
      <c r="F8" s="90" t="n">
        <f>F7/(1+P8)^4</f>
        <v>2.419588903864015</v>
      </c>
      <c r="G8" s="90" t="n">
        <f>G7/(1+P8)^5</f>
        <v>2.3696709164836713</v>
      </c>
      <c r="H8" s="90" t="n">
        <f>H7/(1+P8)^6</f>
        <v>2.3207827757273076</v>
      </c>
      <c r="I8" s="90" t="n">
        <f>I7/(1+P8)^7</f>
        <v>2.272903235063883</v>
      </c>
      <c r="J8" s="90" t="n">
        <f>J7/(1+P8)^8</f>
        <v>2.2260114862947047</v>
      </c>
      <c r="K8" s="90" t="n">
        <f>K7/(1+P8)^9</f>
        <v>2.1800871505102446</v>
      </c>
      <c r="L8" s="90" t="n">
        <f>L7/(1+P8)^10</f>
        <v>2.1351102692336585</v>
      </c>
      <c r="M8" s="159" t="n">
        <f>M7/POWER((1+P8),10)</f>
        <v>101.35642428721808</v>
      </c>
      <c r="N8" s="160"/>
      <c r="O8" s="91" t="s">
        <v>124</v>
      </c>
      <c r="P8" s="105" t="n">
        <f>WACC!$C$25</f>
        <v>0.041486673821312575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124.849480289557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2.630000114440918</v>
      </c>
    </row>
    <row r="16" spans="2:16" ht="15" thickBot="1">
      <c r="B16" s="89" t="s">
        <v>121</v>
      </c>
      <c r="C16" s="90" t="n">
        <f>P15*(1+P16)</f>
        <v>2.708900116110601</v>
      </c>
      <c r="D16" s="90" t="n">
        <f>C16*(1+P16)</f>
        <v>2.790167117777465</v>
      </c>
      <c r="E16" s="90" t="n">
        <f>D16*(1+P16)</f>
        <v>2.873872129439837</v>
      </c>
      <c r="F16" s="90" t="n">
        <f>E16*(1+P16)</f>
        <v>2.96008829139596</v>
      </c>
      <c r="G16" s="90" t="n">
        <f>F16*(1+P16)</f>
        <v>3.0488909381529514</v>
      </c>
      <c r="H16" s="90" t="n">
        <f>G16*(1+P16)</f>
        <v>3.140357664253105</v>
      </c>
      <c r="I16" s="90" t="n">
        <f>H16*(1+P16)</f>
        <v>3.234568392074926</v>
      </c>
      <c r="J16" s="90" t="n">
        <f>I16*(1+P16)</f>
        <v>3.331605441668238</v>
      </c>
      <c r="K16" s="90" t="n">
        <f>J16*(1+P16)</f>
        <v>3.431553602684279</v>
      </c>
      <c r="L16" s="90" t="n">
        <f>K16*(1+P16)</f>
        <v>3.53450020846378</v>
      </c>
      <c r="M16" s="159" t="n">
        <f>L16*(1+P16)/(P17-P16)</f>
        <v>316.9355251535998</v>
      </c>
      <c r="N16" s="160"/>
      <c r="O16" s="88" t="s">
        <v>122</v>
      </c>
      <c r="P16" s="104" t="n">
        <v>0.029999999329447746</v>
      </c>
    </row>
    <row r="17" spans="2:16" ht="15" thickBot="1">
      <c r="B17" s="89" t="s">
        <v>123</v>
      </c>
      <c r="C17" s="90" t="n">
        <f>C16/(1+P17)</f>
        <v>2.6009935452859874</v>
      </c>
      <c r="D17" s="90" t="n">
        <f>D16/(1+P17)^2</f>
        <v>2.572306892867744</v>
      </c>
      <c r="E17" s="90" t="n">
        <f>E16/(1+P17)^3</f>
        <v>2.543936628788285</v>
      </c>
      <c r="F17" s="90" t="n">
        <f>F16/(1+P17)^4</f>
        <v>2.515879263564781</v>
      </c>
      <c r="G17" s="90" t="n">
        <f>G16/(1+P17)^5</f>
        <v>2.4881313462003147</v>
      </c>
      <c r="H17" s="90" t="n">
        <f>H16/(1+P17)^6</f>
        <v>2.460689463759378</v>
      </c>
      <c r="I17" s="90" t="n">
        <f>I16/(1+P17)^7</f>
        <v>2.4335502409481475</v>
      </c>
      <c r="J17" s="90" t="n">
        <f>J16/(1+P17)^8</f>
        <v>2.4067103396992917</v>
      </c>
      <c r="K17" s="90" t="n">
        <f>K16/(1+P17)^9</f>
        <v>2.3801664587613804</v>
      </c>
      <c r="L17" s="90" t="n">
        <f>L16/(1+P17)^10</f>
        <v>2.3539153332928944</v>
      </c>
      <c r="M17" s="159" t="n">
        <f>M16/POWER((1+P17),10)</f>
        <v>211.07351770352568</v>
      </c>
      <c r="N17" s="160"/>
      <c r="O17" s="91" t="s">
        <v>124</v>
      </c>
      <c r="P17" s="105" t="n">
        <f>WACC!$C$25</f>
        <v>0.041486673821312575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235.829797216694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2.630000114440918</v>
      </c>
    </row>
    <row r="25" spans="2:16" ht="15" thickBot="1">
      <c r="B25" s="89" t="s">
        <v>121</v>
      </c>
      <c r="C25" s="90" t="n">
        <f>P24*(1+P25)</f>
        <v>2.7352001166671527</v>
      </c>
      <c r="D25" s="90" t="n">
        <f>C25*(1+P25)</f>
        <v>2.8446081188883756</v>
      </c>
      <c r="E25" s="90" t="n">
        <f>D25*(1+P25)</f>
        <v>2.9583924411006364</v>
      </c>
      <c r="F25" s="90" t="n">
        <f>E25*(1+P25)</f>
        <v>3.0767281360996557</v>
      </c>
      <c r="G25" s="90" t="n">
        <f>F25*(1+P25)</f>
        <v>3.1997972587928363</v>
      </c>
      <c r="H25" s="90" t="n">
        <f>G25*(1+P25)</f>
        <v>3.327789146283711</v>
      </c>
      <c r="I25" s="90" t="n">
        <f>H25*(1+P25)</f>
        <v>3.460900709159782</v>
      </c>
      <c r="J25" s="90" t="n">
        <f>I25*(1+P25)</f>
        <v>3.599336734431884</v>
      </c>
      <c r="K25" s="90" t="n">
        <f>J25*(1+P25)</f>
        <v>3.7433102005910963</v>
      </c>
      <c r="L25" s="90" t="n">
        <f>K25*(1+P25)</f>
        <v>3.8930426052679628</v>
      </c>
      <c r="M25" s="159" t="n">
        <f>L25*(1+P25)/(P26-P25)</f>
        <v>2723.3693181880894</v>
      </c>
      <c r="N25" s="160"/>
      <c r="O25" s="88" t="s">
        <v>122</v>
      </c>
      <c r="P25" s="104" t="n">
        <v>0.03999999910593033</v>
      </c>
    </row>
    <row r="26" spans="2:16" ht="15" thickBot="1">
      <c r="B26" s="89" t="s">
        <v>123</v>
      </c>
      <c r="C26" s="90" t="n">
        <f>C25/(1+P26)</f>
        <v>2.6262459092553248</v>
      </c>
      <c r="D26" s="90" t="n">
        <f>D25/(1+P26)^2</f>
        <v>2.622497063026365</v>
      </c>
      <c r="E26" s="90" t="n">
        <f>E25/(1+P26)^3</f>
        <v>2.6187535681043776</v>
      </c>
      <c r="F26" s="90" t="n">
        <f>F25/(1+P26)^4</f>
        <v>2.6150154168506226</v>
      </c>
      <c r="G26" s="90" t="n">
        <f>G25/(1+P26)^5</f>
        <v>2.6112826016372614</v>
      </c>
      <c r="H26" s="90" t="n">
        <f>H25/(1+P26)^6</f>
        <v>2.6075551148473157</v>
      </c>
      <c r="I26" s="90" t="n">
        <f>I25/(1+P26)^7</f>
        <v>2.603832948874711</v>
      </c>
      <c r="J26" s="90" t="n">
        <f>J25/(1+P26)^8</f>
        <v>2.6001160961242373</v>
      </c>
      <c r="K26" s="90" t="n">
        <f>K25/(1+P26)^9</f>
        <v>2.5964045490115013</v>
      </c>
      <c r="L26" s="90" t="n">
        <f>L25/(1+P26)^10</f>
        <v>2.5926982999629593</v>
      </c>
      <c r="M26" s="159" t="n">
        <f>M25/POWER((1+P26),10)</f>
        <v>1813.71634409625</v>
      </c>
      <c r="N26" s="160"/>
      <c r="O26" s="91" t="s">
        <v>124</v>
      </c>
      <c r="P26" s="105" t="n">
        <f>WACC!$C$25</f>
        <v>0.041486673821312575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1839.81074566394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24077.66015625</v>
      </c>
      <c r="D3" s="110" t="n">
        <v>23878.83984375</v>
      </c>
      <c r="E3" s="110" t="n">
        <v>23025.599609375</v>
      </c>
      <c r="F3" s="110" t="n">
        <v>20035.359375</v>
      </c>
      <c r="G3" s="110" t="n">
        <v>19992.029296875</v>
      </c>
      <c r="H3" s="110" t="n">
        <v>26152.330078125</v>
      </c>
      <c r="I3" s="110" t="n">
        <v>32691.919921875</v>
      </c>
      <c r="J3" s="110" t="n">
        <v>33042.33984375</v>
      </c>
      <c r="K3" s="110" t="n">
        <v>33096.37890625</v>
      </c>
      <c r="L3" s="110" t="n">
        <v>35318.0703125</v>
      </c>
      <c r="M3" s="110" t="n">
        <v>34206.46875</v>
      </c>
      <c r="Q3" s="107"/>
    </row>
    <row r="4" spans="2:17">
      <c r="B4" s="18" t="s">
        <v>27</v>
      </c>
      <c r="C4" s="113"/>
      <c r="D4" s="121" t="n">
        <f t="shared" ref="D4:M4" si="0">(D3-C3)/C3</f>
        <v>-0.00825745986984499</v>
      </c>
      <c r="E4" s="121" t="n">
        <f t="shared" si="0"/>
        <v>-0.03573206403485827</v>
      </c>
      <c r="F4" s="121" t="n">
        <f t="shared" si="0"/>
        <v>-0.12986590078451235</v>
      </c>
      <c r="G4" s="121" t="n">
        <f t="shared" si="0"/>
        <v>-0.0021626803549661807</v>
      </c>
      <c r="H4" s="121" t="n">
        <f t="shared" si="0"/>
        <v>0.3081378428258371</v>
      </c>
      <c r="I4" s="121" t="n">
        <f t="shared" si="0"/>
        <v>0.25005763632587413</v>
      </c>
      <c r="J4" s="121" t="n">
        <f t="shared" si="0"/>
        <v>0.010718854160673662</v>
      </c>
      <c r="K4" s="121" t="n">
        <f t="shared" si="0"/>
        <v>0.0016354490255695846</v>
      </c>
      <c r="L4" s="121" t="n">
        <f t="shared" si="0"/>
        <v>0.06712792999328547</v>
      </c>
      <c r="M4" s="121" t="n">
        <f t="shared" si="0"/>
        <v>-0.031474017483525275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6533.77978515625</v>
      </c>
      <c r="D6" s="110" t="n">
        <v>6570.58984375</v>
      </c>
      <c r="E6" s="110" t="n">
        <v>5592.0</v>
      </c>
      <c r="F6" s="110" t="n">
        <v>6559.19482421875</v>
      </c>
      <c r="G6" s="110" t="n">
        <v>6299.43505859375</v>
      </c>
      <c r="H6" s="110" t="n">
        <v>48372.53125</v>
      </c>
      <c r="I6" s="110" t="n">
        <v>8051.51416015625</v>
      </c>
      <c r="J6" s="110" t="n">
        <v>7283.43798828125</v>
      </c>
      <c r="K6" s="110" t="n">
        <v>8217.599609375</v>
      </c>
      <c r="L6" s="110" t="n">
        <v>9352.0546875</v>
      </c>
      <c r="M6" s="110" t="n">
        <v>8184.56689453125</v>
      </c>
      <c r="Q6" s="107"/>
    </row>
    <row r="7" spans="2:17">
      <c r="B7" s="18" t="s">
        <v>27</v>
      </c>
      <c r="C7" s="113"/>
      <c r="D7" s="121" t="n">
        <f t="shared" ref="D7" si="1">(D6-C6)/C6</f>
        <v>0.005633807658681248</v>
      </c>
      <c r="E7" s="121" t="n">
        <f t="shared" ref="E7" si="2">(E6-D6)/D6</f>
        <v>-0.14893485471184034</v>
      </c>
      <c r="F7" s="121" t="n">
        <f t="shared" ref="F7" si="3">(F6-E6)/E6</f>
        <v>0.1729604478216649</v>
      </c>
      <c r="G7" s="121" t="n">
        <f t="shared" ref="G7" si="4">(G6-F6)/F6</f>
        <v>-0.039602386052916085</v>
      </c>
      <c r="H7" s="121" t="n">
        <f t="shared" ref="H7" si="5">(H6-G6)/G6</f>
        <v>6.678868152471828</v>
      </c>
      <c r="I7" s="121" t="n">
        <f t="shared" ref="I7" si="6">(I6-H6)/H6</f>
        <v>-0.8335519363552801</v>
      </c>
      <c r="J7" s="121" t="n">
        <f t="shared" ref="J7" si="7">(J6-I6)/I6</f>
        <v>-0.09539524573848536</v>
      </c>
      <c r="K7" s="121" t="n">
        <f t="shared" ref="K7" si="8">(K6-J6)/J6</f>
        <v>0.1282583338523342</v>
      </c>
      <c r="L7" s="121" t="n">
        <f t="shared" ref="L7" si="9">(L6-K6)/K6</f>
        <v>0.13805188036063032</v>
      </c>
      <c r="M7" s="121" t="n">
        <f t="shared" ref="M7" si="10">(M6-L6)/L6</f>
        <v>-0.12483757120552552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9331.490234375</v>
      </c>
      <c r="D9" s="110" t="n">
        <v>8837.990234375</v>
      </c>
      <c r="E9" s="110" t="n">
        <v>7605.97900390625</v>
      </c>
      <c r="F9" s="110" t="n">
        <v>7621.81591796875</v>
      </c>
      <c r="G9" s="110" t="n">
        <v>7131.5888671875</v>
      </c>
      <c r="H9" s="110" t="n">
        <v>9508.767578125</v>
      </c>
      <c r="I9" s="110" t="n">
        <v>13816.509765625</v>
      </c>
      <c r="J9" s="110" t="n">
        <v>13443.2001953125</v>
      </c>
      <c r="K9" s="110" t="n">
        <v>14653.009765625</v>
      </c>
      <c r="L9" s="110" t="n">
        <v>15552.3798828125</v>
      </c>
      <c r="M9" s="110" t="n">
        <v>14630.0498046875</v>
      </c>
      <c r="Q9" s="107"/>
    </row>
    <row r="10" spans="2:17">
      <c r="B10" s="18" t="s">
        <v>27</v>
      </c>
      <c r="C10" s="113"/>
      <c r="D10" s="121" t="n">
        <f t="shared" ref="D10" si="11">(D9-C9)/C9</f>
        <v>-0.05288544354706206</v>
      </c>
      <c r="E10" s="121" t="n">
        <f t="shared" ref="E10" si="12">(E9-D9)/D9</f>
        <v>-0.139399478591512</v>
      </c>
      <c r="F10" s="121" t="n">
        <f t="shared" ref="F10" si="13">(F9-E9)/E9</f>
        <v>0.0020821664185986495</v>
      </c>
      <c r="G10" s="121" t="n">
        <f t="shared" ref="G10" si="14">(G9-F9)/F9</f>
        <v>-0.06431893082402046</v>
      </c>
      <c r="H10" s="121" t="n">
        <f t="shared" ref="H10" si="15">(H9-G9)/G9</f>
        <v>0.33333086850742605</v>
      </c>
      <c r="I10" s="121" t="n">
        <f t="shared" ref="I10" si="16">(I9-H9)/H9</f>
        <v>0.4530284447597602</v>
      </c>
      <c r="J10" s="121" t="n">
        <f t="shared" ref="J10" si="17">(J9-I9)/I9</f>
        <v>-0.027019093580441085</v>
      </c>
      <c r="K10" s="121" t="n">
        <f t="shared" ref="K10" si="18">(K9-J9)/J9</f>
        <v>0.08999416453935928</v>
      </c>
      <c r="L10" s="121" t="n">
        <f t="shared" ref="L10" si="19">(L9-K9)/K9</f>
        <v>0.06137784192960571</v>
      </c>
      <c r="M10" s="121" t="n">
        <f t="shared" ref="M10" si="20">(M9-L9)/L9</f>
        <v>-0.05930475496835699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1949.0</v>
      </c>
      <c r="D12" s="110" t="n">
        <v>1907.865966796875</v>
      </c>
      <c r="E12" s="110" t="n">
        <v>1869.748046875</v>
      </c>
      <c r="F12" s="110" t="n">
        <v>1863.0</v>
      </c>
      <c r="G12" s="110" t="n">
        <v>1865.0</v>
      </c>
      <c r="H12" s="110" t="n">
        <v>2051.0</v>
      </c>
      <c r="I12" s="110" t="n">
        <v>2292.0</v>
      </c>
      <c r="J12" s="110" t="n">
        <v>2291.0</v>
      </c>
      <c r="K12" s="110" t="n">
        <v>2295.0</v>
      </c>
      <c r="L12" s="110" t="n">
        <v>2297.0</v>
      </c>
      <c r="M12" s="110" t="n">
        <v>2267.0</v>
      </c>
      <c r="Q12" s="107"/>
    </row>
    <row r="13" spans="2:17">
      <c r="B13" s="18" t="s">
        <v>27</v>
      </c>
      <c r="C13" s="113"/>
      <c r="D13" s="121" t="n">
        <f t="shared" ref="D13" si="21">(D12-C12)/C12</f>
        <v>-0.021105199180669575</v>
      </c>
      <c r="E13" s="121" t="n">
        <f t="shared" ref="E13" si="22">(E12-D12)/D12</f>
        <v>-0.0199793489612225</v>
      </c>
      <c r="F13" s="121" t="n">
        <f t="shared" ref="F13" si="23">(F12-E12)/E12</f>
        <v>-0.0036090674817274636</v>
      </c>
      <c r="G13" s="121" t="n">
        <f t="shared" ref="G13" si="24">(G12-F12)/F12</f>
        <v>0.0010735373054213634</v>
      </c>
      <c r="H13" s="121" t="n">
        <f t="shared" ref="H13" si="25">(H12-G12)/G12</f>
        <v>0.0997319034852547</v>
      </c>
      <c r="I13" s="121" t="n">
        <f t="shared" ref="I13" si="26">(I12-H12)/H12</f>
        <v>0.11750365675280351</v>
      </c>
      <c r="J13" s="121" t="n">
        <f t="shared" ref="J13" si="27">(J12-I12)/I12</f>
        <v>-4.363001745200698E-4</v>
      </c>
      <c r="K13" s="121" t="n">
        <f t="shared" ref="K13" si="28">(K12-J12)/J12</f>
        <v>0.001745962461807071</v>
      </c>
      <c r="L13" s="121" t="n">
        <f t="shared" ref="L13" si="29">(L12-K12)/K12</f>
        <v>8.714596949891067E-4</v>
      </c>
      <c r="M13" s="121" t="n">
        <f t="shared" ref="M13" si="30">(M12-L12)/L12</f>
        <v>-0.013060513713539399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3.125</v>
      </c>
      <c r="D15" s="110" t="n">
        <v>3.4100000858306885</v>
      </c>
      <c r="E15" s="110" t="n">
        <v>2.5799999237060547</v>
      </c>
      <c r="F15" s="110" t="n">
        <v>3.5199999809265137</v>
      </c>
      <c r="G15" s="110" t="n">
        <v>3.377000093460083</v>
      </c>
      <c r="H15" s="110" t="n">
        <v>23.584999084472656</v>
      </c>
      <c r="I15" s="110" t="n">
        <v>3.513200044631958</v>
      </c>
      <c r="J15" s="110" t="n">
        <v>3.179500102996826</v>
      </c>
      <c r="K15" s="110" t="n">
        <v>3.5810999870300293</v>
      </c>
      <c r="L15" s="110" t="n">
        <v>4.078499794006348</v>
      </c>
      <c r="M15" s="110" t="n">
        <v>3.6105000972747803</v>
      </c>
      <c r="Q15" s="107"/>
    </row>
    <row r="16" spans="2:17">
      <c r="B16" s="18" t="s">
        <v>27</v>
      </c>
      <c r="D16" s="121" t="n">
        <f t="shared" ref="D16" si="31">(D15-C15)/C15</f>
        <v>0.09120002746582016</v>
      </c>
      <c r="E16" s="121" t="n">
        <f t="shared" ref="E16" si="32">(E15-D15)/D15</f>
        <v>-0.24340180094817873</v>
      </c>
      <c r="F16" s="121" t="n">
        <f t="shared" ref="F16" si="33">(F15-E15)/E15</f>
        <v>0.36434111822383025</v>
      </c>
      <c r="G16" s="121" t="n">
        <f t="shared" ref="G16" si="34">(G15-F15)/F15</f>
        <v>-0.04062496825036674</v>
      </c>
      <c r="H16" s="121" t="n">
        <f t="shared" ref="H16" si="35">(H15-G15)/G15</f>
        <v>5.984009011473686</v>
      </c>
      <c r="I16" s="121" t="n">
        <f t="shared" ref="I16" si="36">(I15-H15)/H15</f>
        <v>-0.8510409081616233</v>
      </c>
      <c r="J16" s="121" t="n">
        <f t="shared" ref="J16" si="37">(J15-I15)/I15</f>
        <v>-0.09498461157798663</v>
      </c>
      <c r="K16" s="121" t="n">
        <f t="shared" ref="K16" si="38">(K15-J15)/J15</f>
        <v>0.12630912754324997</v>
      </c>
      <c r="L16" s="121" t="n">
        <f t="shared" ref="L16" si="39">(L15-K15)/K15</f>
        <v>0.13889581658646577</v>
      </c>
      <c r="M16" s="121" t="n">
        <f t="shared" ref="M16" si="40">(M15-L15)/L15</f>
        <v>-0.11474800058083277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6053.490234375</v>
      </c>
      <c r="D20" s="128" t="n">
        <v>6313.97021484375</v>
      </c>
      <c r="E20" s="128" t="n">
        <v>5354.669921875</v>
      </c>
      <c r="F20" s="128" t="n">
        <v>6643.2900390625</v>
      </c>
      <c r="G20" s="128" t="n">
        <v>5579.77001953125</v>
      </c>
      <c r="H20" s="128" t="n">
        <v>5994.2099609375</v>
      </c>
      <c r="I20" s="128" t="n">
        <v>12780.7099609375</v>
      </c>
      <c r="J20" s="128" t="n">
        <v>10682.5400390625</v>
      </c>
      <c r="K20" s="128" t="n">
        <v>11965.599609375</v>
      </c>
      <c r="L20" s="128" t="n">
        <v>12679.7998046875</v>
      </c>
      <c r="M20" s="128" t="n">
        <v>12247.7802734375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-0.15193297724362</v>
      </c>
      <c r="F21" s="131" t="n">
        <f t="shared" ref="F21" si="42">(F20-E20)/E20</f>
        <v>0.24065351104522884</v>
      </c>
      <c r="G21" s="131" t="n">
        <f t="shared" ref="G21" si="43">(G20-F20)/F20</f>
        <v>-0.16008935531607976</v>
      </c>
      <c r="H21" s="131" t="n">
        <f t="shared" ref="H21" si="44">(H20-G20)/G20</f>
        <v>0.07427545220601522</v>
      </c>
      <c r="I21" s="131" t="n">
        <f t="shared" ref="I21" si="45">(I20-H20)/H20</f>
        <v>1.1321758904385433</v>
      </c>
      <c r="J21" s="131" t="n">
        <f t="shared" ref="J21" si="46">(J20-I20)/I20</f>
        <v>-0.16416693034172364</v>
      </c>
      <c r="K21" s="131" t="n">
        <f t="shared" ref="K21" si="47">(K20-J20)/J20</f>
        <v>0.12010809841299704</v>
      </c>
      <c r="L21" s="131" t="n">
        <f t="shared" ref="L21" si="48">(L20-K20)/K20</f>
        <v>0.059687789883335805</v>
      </c>
      <c r="M21" s="131" t="n">
        <f t="shared" ref="M21" si="49">(M20-L20)/L20</f>
        <v>-0.034071478880154715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4434.0</v>
      </c>
      <c r="D23" s="130" t="n">
        <v>4500.0</v>
      </c>
      <c r="E23" s="130" t="n">
        <v>4880.0</v>
      </c>
      <c r="F23" s="130" t="n">
        <v>4594.0</v>
      </c>
      <c r="G23" s="130" t="n">
        <v>4143.0</v>
      </c>
      <c r="H23" s="130" t="n">
        <v>4681.0</v>
      </c>
      <c r="I23" s="130" t="n">
        <v>5992.0</v>
      </c>
      <c r="J23" s="130" t="n">
        <v>6072.0</v>
      </c>
      <c r="K23" s="130" t="n">
        <v>6267.0</v>
      </c>
      <c r="L23" s="130" t="n">
        <v>6950.0</v>
      </c>
      <c r="M23" s="130" t="n">
        <v>6275.0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0.014884979702300407</v>
      </c>
      <c r="E24" s="121" t="n">
        <f t="shared" ref="E24" si="51">(E23-D23)/D23</f>
        <v>0.08444444444444445</v>
      </c>
      <c r="F24" s="121" t="n">
        <f t="shared" ref="F24" si="52">(F23-E23)/E23</f>
        <v>-0.05860655737704918</v>
      </c>
      <c r="G24" s="121" t="n">
        <f t="shared" ref="G24" si="53">(G23-F23)/F23</f>
        <v>-0.09817152808010449</v>
      </c>
      <c r="H24" s="121" t="n">
        <f t="shared" ref="H24" si="54">(H23-G23)/G23</f>
        <v>0.12985759111754766</v>
      </c>
      <c r="I24" s="121" t="n">
        <f t="shared" ref="I24" si="55">(I23-H23)/H23</f>
        <v>0.2800683614612262</v>
      </c>
      <c r="J24" s="121" t="n">
        <f t="shared" ref="J24" si="56">(J23-I23)/I23</f>
        <v>0.01335113484646195</v>
      </c>
      <c r="K24" s="121" t="n">
        <f t="shared" ref="K24" si="57">(K23-J23)/J23</f>
        <v>0.032114624505928856</v>
      </c>
      <c r="L24" s="121" t="n">
        <f t="shared" ref="L24" si="58">(L23-K23)/K23</f>
        <v>0.10898356470400511</v>
      </c>
      <c r="M24" s="121" t="n">
        <f t="shared" ref="M24" si="59">(M23-L23)/L23</f>
        <v>-0.09712230215827339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14560.7197265625</v>
      </c>
      <c r="D28" s="110" t="n">
        <v>14893.759765625</v>
      </c>
      <c r="E28" s="110" t="n">
        <v>15050.4404296875</v>
      </c>
      <c r="F28" s="110" t="n">
        <v>15005.1201171875</v>
      </c>
      <c r="G28" s="110" t="n">
        <v>16750.150390625</v>
      </c>
      <c r="H28" s="110" t="n">
        <v>17999.380859375</v>
      </c>
      <c r="I28" s="110" t="n">
        <v>16891.890625</v>
      </c>
      <c r="J28" s="110" t="n">
        <v>16949.5703125</v>
      </c>
      <c r="K28" s="110" t="n">
        <v>17477.810546875</v>
      </c>
      <c r="L28" s="110" t="n">
        <v>17610.91015625</v>
      </c>
      <c r="M28" s="110" t="n">
        <v>19059.390625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0.022872498428422414</v>
      </c>
      <c r="E29" s="121" t="n">
        <f t="shared" ref="E29" si="61">(E28-D28)/D28</f>
        <v>0.01051988661883221</v>
      </c>
      <c r="F29" s="121" t="n">
        <f t="shared" ref="F29" si="62">(F28-E28)/E28</f>
        <v>-0.003011228323299042</v>
      </c>
      <c r="G29" s="121" t="n">
        <f t="shared" ref="G29" si="63">(G28-F28)/F28</f>
        <v>0.11629565507034285</v>
      </c>
      <c r="H29" s="121" t="n">
        <f t="shared" ref="H29" si="64">(H28-G28)/G28</f>
        <v>0.07458025388531377</v>
      </c>
      <c r="I29" s="121" t="n">
        <f t="shared" ref="I29" si="65">(I28-H28)/H28</f>
        <v>-0.061529351649790905</v>
      </c>
      <c r="J29" s="121" t="n">
        <f t="shared" ref="J29" si="66">(J28-I28)/I28</f>
        <v>0.003414637756097832</v>
      </c>
      <c r="K29" s="121" t="n">
        <f t="shared" ref="K29" si="67">(K28-J28)/J28</f>
        <v>0.031165405649571685</v>
      </c>
      <c r="L29" s="121" t="n">
        <f t="shared" ref="L29" si="68">(L28-K28)/K28</f>
        <v>0.007615347987554309</v>
      </c>
      <c r="M29" s="121" t="n">
        <f t="shared" ref="M29" si="69">(M28-L28)/L28</f>
        <v>0.08224904084448716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28755.279296875</v>
      </c>
      <c r="D31" s="110" t="n">
        <v>27169.599609375</v>
      </c>
      <c r="E31" s="110" t="n">
        <v>28075.349609375</v>
      </c>
      <c r="F31" s="110" t="n">
        <v>33179.75</v>
      </c>
      <c r="G31" s="110" t="n">
        <v>37154.19921875</v>
      </c>
      <c r="H31" s="110" t="n">
        <v>163770.40625</v>
      </c>
      <c r="I31" s="110" t="n">
        <v>178445.40625</v>
      </c>
      <c r="J31" s="110" t="n">
        <v>163099.703125</v>
      </c>
      <c r="K31" s="110" t="n">
        <v>159316.09375</v>
      </c>
      <c r="L31" s="110" t="n">
        <v>171279.703125</v>
      </c>
      <c r="M31" s="110" t="n">
        <v>170861.703125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-0.055143950129266345</v>
      </c>
      <c r="E32" s="121" t="n">
        <f t="shared" ref="E32" si="71">(E31-D31)/D31</f>
        <v>0.033336891710670134</v>
      </c>
      <c r="F32" s="121" t="n">
        <f t="shared" ref="F32" si="72">(F31-E31)/E31</f>
        <v>0.1818107507705095</v>
      </c>
      <c r="G32" s="121" t="n">
        <f t="shared" ref="G32" si="73">(G31-F31)/F31</f>
        <v>0.1197853877364959</v>
      </c>
      <c r="H32" s="121" t="n">
        <f t="shared" ref="H32" si="74">(H31-G31)/G31</f>
        <v>3.407857246115876</v>
      </c>
      <c r="I32" s="121" t="n">
        <f t="shared" ref="I32" si="75">(I31-H31)/H31</f>
        <v>0.0896071539176511</v>
      </c>
      <c r="J32" s="121" t="n">
        <f t="shared" ref="J32" si="76">(J31-I31)/I31</f>
        <v>-0.0859966274699212</v>
      </c>
      <c r="K32" s="121" t="n">
        <f t="shared" ref="K32" si="77">(K31-J31)/J31</f>
        <v>-0.023198137718866557</v>
      </c>
      <c r="L32" s="121" t="n">
        <f t="shared" ref="L32" si="78">(L31-K31)/K31</f>
        <v>0.07509353947488434</v>
      </c>
      <c r="M32" s="121" t="n">
        <f t="shared" ref="M32" si="79">(M31-L31)/L31</f>
        <v>-0.0024404526185740957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42063.359375</v>
      </c>
      <c r="E34" s="111" t="n">
        <f t="shared" ref="E34:M34" si="80">E28+E31</f>
        <v>43125.7900390625</v>
      </c>
      <c r="F34" s="111" t="n">
        <f t="shared" si="80"/>
        <v>48184.8701171875</v>
      </c>
      <c r="G34" s="111" t="n">
        <f t="shared" si="80"/>
        <v>53904.349609375</v>
      </c>
      <c r="H34" s="111" t="n">
        <f t="shared" si="80"/>
        <v>181769.787109375</v>
      </c>
      <c r="I34" s="111" t="n">
        <f t="shared" si="80"/>
        <v>195337.296875</v>
      </c>
      <c r="J34" s="111" t="n">
        <f t="shared" si="80"/>
        <v>180049.2734375</v>
      </c>
      <c r="K34" s="111" t="n">
        <f t="shared" si="80"/>
        <v>176793.904296875</v>
      </c>
      <c r="L34" s="111" t="n">
        <f t="shared" si="80"/>
        <v>188890.61328125</v>
      </c>
      <c r="M34" s="111" t="n">
        <f t="shared" si="80"/>
        <v>189921.09375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12905.8798828125</v>
      </c>
      <c r="D36" s="118" t="n">
        <v>13200.650390625</v>
      </c>
      <c r="E36" s="110" t="n">
        <v>14452.1796875</v>
      </c>
      <c r="F36" s="110" t="n">
        <v>13769.7197265625</v>
      </c>
      <c r="G36" s="110" t="n">
        <v>16068.4404296875</v>
      </c>
      <c r="H36" s="110" t="n">
        <v>20033.109375</v>
      </c>
      <c r="I36" s="110" t="n">
        <v>21795.94921875</v>
      </c>
      <c r="J36" s="110" t="n">
        <v>24035.08984375</v>
      </c>
      <c r="K36" s="110" t="n">
        <v>19873.75</v>
      </c>
      <c r="L36" s="110" t="n">
        <v>20824.509765625</v>
      </c>
      <c r="M36" s="110" t="n">
        <v>22082.380859375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0.022840016371534867</v>
      </c>
      <c r="E37" s="121" t="n">
        <f t="shared" ref="E37" si="82">(E36-D36)/D36</f>
        <v>0.0948081541318469</v>
      </c>
      <c r="F37" s="121" t="n">
        <f t="shared" ref="F37" si="83">(F36-E36)/E36</f>
        <v>-0.04722193992147595</v>
      </c>
      <c r="G37" s="121" t="n">
        <f t="shared" ref="G37" si="84">(G36-F36)/F36</f>
        <v>0.1669402681225711</v>
      </c>
      <c r="H37" s="121" t="n">
        <f t="shared" ref="H37" si="85">(H36-G36)/G36</f>
        <v>0.24673638755803043</v>
      </c>
      <c r="I37" s="121" t="n">
        <f t="shared" ref="I37" si="86">(I36-H36)/H36</f>
        <v>0.08799631703453424</v>
      </c>
      <c r="J37" s="121" t="n">
        <f t="shared" ref="J37" si="87">(J36-I36)/I36</f>
        <v>0.10273196191307767</v>
      </c>
      <c r="K37" s="121" t="n">
        <f t="shared" ref="K37" si="88">(K36-J36)/J36</f>
        <v>-0.17313602199128456</v>
      </c>
      <c r="L37" s="121" t="n">
        <f t="shared" ref="L37" si="89">(L36-K36)/K36</f>
        <v>0.04783997814327945</v>
      </c>
      <c r="M37" s="121" t="n">
        <f t="shared" ref="M37" si="90">(M36-L36)/L36</f>
        <v>0.060403395225484095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18079.640625</v>
      </c>
      <c r="D39" s="110" t="n">
        <v>18010.830078125</v>
      </c>
      <c r="E39" s="110" t="n">
        <v>19091.5703125</v>
      </c>
      <c r="F39" s="110" t="n">
        <v>26721.4609375</v>
      </c>
      <c r="G39" s="110" t="n">
        <v>26443.259765625</v>
      </c>
      <c r="H39" s="110" t="n">
        <v>83086.359375</v>
      </c>
      <c r="I39" s="110" t="n">
        <v>85861.0234375</v>
      </c>
      <c r="J39" s="110" t="n">
        <v>74088.2890625</v>
      </c>
      <c r="K39" s="110" t="n">
        <v>76085.9921875</v>
      </c>
      <c r="L39" s="110" t="n">
        <v>75382.9765625</v>
      </c>
      <c r="M39" s="110" t="n">
        <v>74192.96875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-0.0038059687303657343</v>
      </c>
      <c r="E40" s="121" t="n">
        <f t="shared" ref="E40" si="92">(E39-D39)/D39</f>
        <v>0.060005020850627526</v>
      </c>
      <c r="F40" s="121" t="n">
        <f t="shared" ref="F40" si="93">(F39-E39)/E39</f>
        <v>0.39964709555632577</v>
      </c>
      <c r="G40" s="121" t="n">
        <f t="shared" ref="G40" si="94">(G39-F39)/F39</f>
        <v>-0.010411151266231175</v>
      </c>
      <c r="H40" s="121" t="n">
        <f t="shared" ref="H40" si="95">(H39-G39)/G39</f>
        <v>2.1420619133730394</v>
      </c>
      <c r="I40" s="121" t="n">
        <f t="shared" ref="I40" si="96">(I39-H39)/H39</f>
        <v>0.03339494091896478</v>
      </c>
      <c r="J40" s="121" t="n">
        <f t="shared" ref="J40" si="97">(J39-I39)/I39</f>
        <v>-0.1371138370318823</v>
      </c>
      <c r="K40" s="121" t="n">
        <f t="shared" ref="K40" si="98">(K39-J39)/J39</f>
        <v>0.026963817767673936</v>
      </c>
      <c r="L40" s="121" t="n">
        <f t="shared" ref="L40" si="99">(L39-K39)/K39</f>
        <v>-0.00923975103416601</v>
      </c>
      <c r="M40" s="121" t="n">
        <f t="shared" ref="M40" si="100">(M39-L39)/L39</f>
        <v>-0.015786161103805246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31211.48046875</v>
      </c>
      <c r="E42" s="111" t="n">
        <f t="shared" ref="E42:M42" si="101">E36+E39</f>
        <v>33543.75</v>
      </c>
      <c r="F42" s="111" t="n">
        <f t="shared" si="101"/>
        <v>40491.1806640625</v>
      </c>
      <c r="G42" s="111" t="n">
        <f t="shared" si="101"/>
        <v>42511.7001953125</v>
      </c>
      <c r="H42" s="111" t="n">
        <f t="shared" si="101"/>
        <v>103119.46875</v>
      </c>
      <c r="I42" s="111" t="n">
        <f t="shared" si="101"/>
        <v>107656.97265625</v>
      </c>
      <c r="J42" s="111" t="n">
        <f t="shared" si="101"/>
        <v>98123.37890625</v>
      </c>
      <c r="K42" s="111" t="n">
        <f t="shared" si="101"/>
        <v>95959.7421875</v>
      </c>
      <c r="L42" s="111" t="n">
        <f t="shared" si="101"/>
        <v>96207.486328125</v>
      </c>
      <c r="M42" s="111" t="n">
        <f t="shared" si="101"/>
        <v>96275.349609375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10851.87890625</v>
      </c>
      <c r="E44" s="134" t="n">
        <f t="shared" ref="E44:M44" si="102">E34-E42</f>
        <v>9582.0400390625</v>
      </c>
      <c r="F44" s="134" t="n">
        <f t="shared" si="102"/>
        <v>7693.689453125</v>
      </c>
      <c r="G44" s="134" t="n">
        <f t="shared" si="102"/>
        <v>11392.6494140625</v>
      </c>
      <c r="H44" s="134" t="n">
        <f t="shared" si="102"/>
        <v>78650.318359375</v>
      </c>
      <c r="I44" s="134" t="n">
        <f t="shared" si="102"/>
        <v>87680.32421875</v>
      </c>
      <c r="J44" s="134" t="n">
        <f t="shared" si="102"/>
        <v>81925.89453125</v>
      </c>
      <c r="K44" s="134" t="n">
        <f t="shared" si="102"/>
        <v>80834.162109375</v>
      </c>
      <c r="L44" s="134" t="n">
        <f t="shared" si="102"/>
        <v>92683.126953125</v>
      </c>
      <c r="M44" s="134" t="n">
        <f t="shared" si="102"/>
        <v>93645.744140625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14397.4599609375</v>
      </c>
      <c r="D46" s="133" t="n">
        <v>15203.58984375</v>
      </c>
      <c r="E46" s="133" t="n">
        <v>16116.759765625</v>
      </c>
      <c r="F46" s="133" t="n">
        <v>22637.630859375</v>
      </c>
      <c r="G46" s="133" t="n">
        <v>22346.189453125</v>
      </c>
      <c r="H46" s="133" t="n">
        <v>56742.0</v>
      </c>
      <c r="I46" s="133" t="n">
        <v>57775.48046875</v>
      </c>
      <c r="J46" s="133" t="n">
        <v>48271.9296875</v>
      </c>
      <c r="K46" s="136" t="n">
        <v>51266.26953125</v>
      </c>
      <c r="L46" s="133" t="n">
        <v>49044.3203125</v>
      </c>
      <c r="M46" s="133" t="n">
        <v>47900.19140625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0.27516369667640167</v>
      </c>
      <c r="E50" s="126" t="n">
        <f t="shared" si="103"/>
        <v>0.24286012502897802</v>
      </c>
      <c r="F50" s="126" t="n">
        <f t="shared" si="103"/>
        <v>0.32738094193624867</v>
      </c>
      <c r="G50" s="126" t="n">
        <f t="shared" si="103"/>
        <v>0.31509733029344994</v>
      </c>
      <c r="H50" s="126" t="n">
        <f t="shared" si="103"/>
        <v>1.8496451790527448</v>
      </c>
      <c r="I50" s="126" t="n">
        <f t="shared" si="103"/>
        <v>0.24628453083811624</v>
      </c>
      <c r="J50" s="126" t="n">
        <f t="shared" si="103"/>
        <v>0.22042742804302104</v>
      </c>
      <c r="K50" s="126" t="n">
        <f t="shared" si="103"/>
        <v>0.24829301213442323</v>
      </c>
      <c r="L50" s="126" t="n">
        <f t="shared" si="103"/>
        <v>0.26479517722093837</v>
      </c>
      <c r="M50" s="126" t="n">
        <f t="shared" si="103"/>
        <v>0.23926956489863485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0.37011807492348664</v>
      </c>
      <c r="E51" s="126" t="n">
        <f t="shared" si="104"/>
        <v>0.33032707651224136</v>
      </c>
      <c r="F51" s="126" t="n">
        <f t="shared" si="104"/>
        <v>0.3804182283587688</v>
      </c>
      <c r="G51" s="126" t="n">
        <f t="shared" si="104"/>
        <v>0.3567216094617396</v>
      </c>
      <c r="H51" s="126" t="n">
        <f t="shared" si="104"/>
        <v>0.3635916015788806</v>
      </c>
      <c r="I51" s="126" t="n">
        <f t="shared" si="104"/>
        <v>0.4226276645312599</v>
      </c>
      <c r="J51" s="126" t="n">
        <f t="shared" si="104"/>
        <v>0.406847706877977</v>
      </c>
      <c r="K51" s="126" t="n">
        <f t="shared" si="104"/>
        <v>0.44273755165577616</v>
      </c>
      <c r="L51" s="126" t="n">
        <f t="shared" si="104"/>
        <v>0.4403519146205477</v>
      </c>
      <c r="M51" s="126" t="n">
        <f t="shared" si="104"/>
        <v>0.42769833716575906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0.264416958954409</v>
      </c>
      <c r="E52" s="126" t="n">
        <f t="shared" si="105"/>
        <v>0.2325528981966149</v>
      </c>
      <c r="F52" s="126" t="n">
        <f t="shared" si="105"/>
        <v>0.331578281912525</v>
      </c>
      <c r="G52" s="126" t="n">
        <f t="shared" si="105"/>
        <v>0.27909973203187716</v>
      </c>
      <c r="H52" s="126" t="n">
        <f t="shared" si="105"/>
        <v>0.22920366724612926</v>
      </c>
      <c r="I52" s="126" t="n">
        <f t="shared" si="105"/>
        <v>0.39094400058118334</v>
      </c>
      <c r="J52" s="126" t="n">
        <f t="shared" si="105"/>
        <v>0.32329853423147076</v>
      </c>
      <c r="K52" s="126" t="n">
        <f t="shared" si="105"/>
        <v>0.3615380293798663</v>
      </c>
      <c r="L52" s="126" t="n">
        <f t="shared" si="105"/>
        <v>0.3590173441667277</v>
      </c>
      <c r="M52" s="126" t="n">
        <f t="shared" si="105"/>
        <v>0.35805450609214085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0.7127052942728144</v>
      </c>
      <c r="E55" s="126" t="n">
        <f t="shared" ref="E55:M55" si="106">E23/E20</f>
        <v>0.9113540276430729</v>
      </c>
      <c r="F55" s="126" t="n">
        <f t="shared" si="106"/>
        <v>0.6915248277566253</v>
      </c>
      <c r="G55" s="126" t="n">
        <f t="shared" si="106"/>
        <v>0.7425037206727113</v>
      </c>
      <c r="H55" s="126" t="n">
        <f t="shared" si="106"/>
        <v>0.7809202598014914</v>
      </c>
      <c r="I55" s="126" t="n">
        <f t="shared" si="106"/>
        <v>0.4688315452203933</v>
      </c>
      <c r="J55" s="126" t="n">
        <f t="shared" si="106"/>
        <v>0.5684041415053642</v>
      </c>
      <c r="K55" s="126" t="n">
        <f t="shared" si="106"/>
        <v>0.5237514378376684</v>
      </c>
      <c r="L55" s="126" t="n">
        <f t="shared" si="106"/>
        <v>0.5481159093245862</v>
      </c>
      <c r="M55" s="126" t="n">
        <f t="shared" si="106"/>
        <v>0.5123377346676419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2.8761360809853995</v>
      </c>
      <c r="E58" s="112" t="n">
        <f t="shared" ref="E58:M58" si="107">E42/E44</f>
        <v>3.5006898179567507</v>
      </c>
      <c r="F58" s="112" t="n">
        <f t="shared" si="107"/>
        <v>5.262908115899572</v>
      </c>
      <c r="G58" s="112" t="n">
        <f t="shared" si="107"/>
        <v>3.731502537314827</v>
      </c>
      <c r="H58" s="112" t="n">
        <f t="shared" si="107"/>
        <v>1.3111131766666055</v>
      </c>
      <c r="I58" s="112" t="n">
        <f t="shared" si="107"/>
        <v>1.2278350201769452</v>
      </c>
      <c r="J58" s="112" t="n">
        <f t="shared" si="107"/>
        <v>1.1977089718418832</v>
      </c>
      <c r="K58" s="112" t="n">
        <f t="shared" si="107"/>
        <v>1.187118659777272</v>
      </c>
      <c r="L58" s="112" t="n">
        <f t="shared" si="107"/>
        <v>1.0380259006235564</v>
      </c>
      <c r="M58" s="112" t="n">
        <f t="shared" si="107"/>
        <v>1.0280803521065645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1.128259542136078</v>
      </c>
      <c r="E59" s="112" t="n">
        <f t="shared" ref="E59:M59" si="108">E28/E36</f>
        <v>1.041395883190198</v>
      </c>
      <c r="F59" s="112" t="n">
        <f t="shared" si="108"/>
        <v>1.0897186300925101</v>
      </c>
      <c r="G59" s="112" t="n">
        <f t="shared" si="108"/>
        <v>1.042425396784494</v>
      </c>
      <c r="H59" s="112" t="n">
        <f t="shared" si="108"/>
        <v>0.8984816347000552</v>
      </c>
      <c r="I59" s="112" t="n">
        <f t="shared" si="108"/>
        <v>0.7750013755064508</v>
      </c>
      <c r="J59" s="112" t="n">
        <f t="shared" si="108"/>
        <v>0.7052010382606291</v>
      </c>
      <c r="K59" s="112" t="n">
        <f t="shared" si="108"/>
        <v>0.8794420050003144</v>
      </c>
      <c r="L59" s="112" t="n">
        <f t="shared" si="108"/>
        <v>0.8456818601953509</v>
      </c>
      <c r="M59" s="112" t="n">
        <f t="shared" si="108"/>
        <v>0.8631039717308562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1.7202542026598153</v>
      </c>
      <c r="E60" s="112" t="n">
        <f t="shared" ref="E60:M60" si="109">E46/E9</f>
        <v>2.1189592762940594</v>
      </c>
      <c r="F60" s="112" t="n">
        <f t="shared" si="109"/>
        <v>2.9701098928413945</v>
      </c>
      <c r="G60" s="112" t="n">
        <f t="shared" si="109"/>
        <v>3.133409660775596</v>
      </c>
      <c r="H60" s="112" t="n">
        <f t="shared" si="109"/>
        <v>5.967334834278151</v>
      </c>
      <c r="I60" s="112" t="n">
        <f t="shared" si="109"/>
        <v>4.181626289766277</v>
      </c>
      <c r="J60" s="112" t="n">
        <f t="shared" si="109"/>
        <v>3.590806428987936</v>
      </c>
      <c r="K60" s="112" t="n">
        <f t="shared" si="109"/>
        <v>3.498685277035528</v>
      </c>
      <c r="L60" s="112" t="n">
        <f t="shared" si="109"/>
        <v>3.153492949763956</v>
      </c>
      <c r="M60" s="112" t="n">
        <f t="shared" si="109"/>
        <v>3.274096263903536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-0.00848227705488458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0.06850236008698474</v>
      </c>
    </row>
    <row r="65" spans="2:13">
      <c r="B65" s="10" t="s">
        <v>74</v>
      </c>
      <c r="C65" s="114"/>
      <c r="D65" s="121" t="n">
        <f>(M6/I6)^0.2 - 1</f>
        <v>0.003283403943696639</v>
      </c>
    </row>
    <row r="66" spans="2:13">
      <c r="B66" s="10" t="s">
        <v>84</v>
      </c>
      <c r="C66" s="114"/>
      <c r="D66" s="121" t="n">
        <f>(M6/D6)^0.1 - 1</f>
        <v>0.022207668016311244</v>
      </c>
    </row>
    <row r="67" spans="2:13">
      <c r="B67" s="10" t="s">
        <v>75</v>
      </c>
      <c r="C67" s="114"/>
      <c r="D67" s="121" t="n">
        <f>(M3/I3)^0.2 - 1</f>
        <v>0.009098506189761713</v>
      </c>
    </row>
    <row r="68" spans="2:13">
      <c r="B68" s="10" t="s">
        <v>85</v>
      </c>
      <c r="C68" s="114"/>
      <c r="D68" s="121" t="n">
        <f>(M3/D3)^0.1 - 1</f>
        <v>0.03659593639067693</v>
      </c>
    </row>
    <row r="69" spans="2:13">
      <c r="B69" s="10" t="s">
        <v>88</v>
      </c>
      <c r="C69" s="114"/>
      <c r="D69" s="121" t="n">
        <f>(M9/I9)^0.2 - 1</f>
        <v>0.01150839432360562</v>
      </c>
    </row>
    <row r="70" spans="2:13">
      <c r="B70" s="10" t="s">
        <v>89</v>
      </c>
      <c r="C70" s="114"/>
      <c r="D70" s="121" t="n">
        <f>(M9/D9)^0.2 - 1</f>
        <v>0.10605941637184735</v>
      </c>
    </row>
    <row r="71" spans="2:13">
      <c r="B71" s="10" t="s">
        <v>131</v>
      </c>
      <c r="D71" s="121" t="n">
        <f>(M23/I23)^0.2 - 1</f>
        <v>0.009272372302474796</v>
      </c>
    </row>
    <row r="72" spans="2:13">
      <c r="B72" s="10" t="s">
        <v>132</v>
      </c>
      <c r="D72" s="121" t="n">
        <f>AVERAGE(I24:M24)</f>
        <v>0.06747907667186974</v>
      </c>
    </row>
    <row r="73" spans="2:13">
      <c r="B73" s="10" t="s">
        <v>135</v>
      </c>
      <c r="D73" s="121" t="n">
        <f>AVERAGE(I55:M55)</f>
        <v>0.5242881537111308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15.620696828259453</v>
      </c>
      <c r="E76" s="110" t="n">
        <f t="shared" si="110"/>
        <v>12.966718974736175</v>
      </c>
      <c r="F76" s="110" t="n">
        <f t="shared" si="110"/>
        <v>13.612560972493087</v>
      </c>
      <c r="G76" s="110" t="n">
        <f t="shared" si="110"/>
        <v>11.686320499632107</v>
      </c>
      <c r="H76" s="110" t="n">
        <f t="shared" si="110"/>
        <v>26.611975520933605</v>
      </c>
      <c r="I76" s="110" t="n">
        <f t="shared" si="110"/>
        <v>4.121851939677739</v>
      </c>
      <c r="J76" s="110" t="n">
        <f t="shared" si="110"/>
        <v>4.045247086659047</v>
      </c>
      <c r="K76" s="110" t="n">
        <f t="shared" si="110"/>
        <v>4.648123837785652</v>
      </c>
      <c r="L76" s="110" t="n">
        <f t="shared" si="110"/>
        <v>4.951042576994121</v>
      </c>
      <c r="M76" s="110" t="n">
        <f t="shared" si="110"/>
        <v>4.309456486863376</v>
      </c>
    </row>
    <row r="77" spans="2:13">
      <c r="B77" s="10" t="s">
        <v>139</v>
      </c>
      <c r="C77" s="110">
        <v>0</v>
      </c>
      <c r="D77" s="110" t="n">
        <f t="shared" ref="D77:M77" si="111">100*D6/D44</f>
        <v>60.54794658615066</v>
      </c>
      <c r="E77" s="110" t="n">
        <f t="shared" si="111"/>
        <v>58.3591800619017</v>
      </c>
      <c r="F77" s="110" t="n">
        <f t="shared" si="111"/>
        <v>85.25421859280473</v>
      </c>
      <c r="G77" s="110" t="n">
        <f t="shared" si="111"/>
        <v>55.29385509588359</v>
      </c>
      <c r="H77" s="110" t="n">
        <f t="shared" si="111"/>
        <v>61.503287283558805</v>
      </c>
      <c r="I77" s="110" t="n">
        <f t="shared" si="111"/>
        <v>9.182806099198336</v>
      </c>
      <c r="J77" s="110" t="n">
        <f t="shared" si="111"/>
        <v>8.890275815667827</v>
      </c>
      <c r="K77" s="110" t="n">
        <f t="shared" si="111"/>
        <v>10.165998378576546</v>
      </c>
      <c r="L77" s="110" t="n">
        <f t="shared" si="111"/>
        <v>10.090353007004017</v>
      </c>
      <c r="M77" s="110" t="n">
        <f t="shared" si="111"/>
        <v>8.739924029265795</v>
      </c>
    </row>
    <row r="78" spans="2:13">
      <c r="B78" s="10" t="s">
        <v>140</v>
      </c>
      <c r="C78" s="110" t="n">
        <v>0.0</v>
      </c>
      <c r="D78" s="40" t="n">
        <v>23.56999969482422</v>
      </c>
      <c r="E78" s="40" t="n">
        <v>19.290000915527344</v>
      </c>
      <c r="F78" s="40" t="n">
        <v>23.6299991607666</v>
      </c>
      <c r="G78" s="40" t="n">
        <v>20.6299991607666</v>
      </c>
      <c r="H78" s="40" t="n">
        <v>55.63999938964844</v>
      </c>
      <c r="I78" s="40" t="n">
        <v>6.449999809265137</v>
      </c>
      <c r="J78" s="40" t="n">
        <v>6.269999980926514</v>
      </c>
      <c r="K78" s="40" t="n">
        <v>7.139999866485596</v>
      </c>
      <c r="L78" s="40" t="n">
        <v>7.409999847412109</v>
      </c>
      <c r="M78" s="40" t="n">
        <v>6.900000095367432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15.819999694824219</v>
      </c>
      <c r="E81" s="40" t="n">
        <v>18.079999923706055</v>
      </c>
      <c r="F81" s="40" t="n">
        <v>17.290000915527344</v>
      </c>
      <c r="G81" s="40" t="n">
        <v>19.799999237060547</v>
      </c>
      <c r="H81" s="40" t="n">
        <v>21.940000534057617</v>
      </c>
      <c r="I81" s="40" t="n">
        <v>1.3799999952316284</v>
      </c>
      <c r="J81" s="40" t="n">
        <v>12.0600004196167</v>
      </c>
      <c r="K81" s="40" t="n">
        <v>9.930000305175781</v>
      </c>
      <c r="L81" s="40" t="n">
        <v>10.270000457763672</v>
      </c>
      <c r="M81" s="40" t="n">
        <v>14.130000114440918</v>
      </c>
    </row>
    <row r="82" spans="2:13">
      <c r="B82" s="122" t="s">
        <v>148</v>
      </c>
      <c r="C82" s="110" t="n">
        <v>0.0</v>
      </c>
      <c r="D82" s="40" t="n">
        <v>13.770000457763672</v>
      </c>
      <c r="E82" s="40" t="n">
        <v>15.229999542236328</v>
      </c>
      <c r="F82" s="40" t="n">
        <v>17.799999237060547</v>
      </c>
      <c r="G82" s="40" t="n">
        <v>19.34000015258789</v>
      </c>
      <c r="H82" s="40" t="n">
        <v>17.670000076293945</v>
      </c>
      <c r="I82" s="40" t="n">
        <v>7.579999923706055</v>
      </c>
      <c r="J82" s="40" t="n">
        <v>8.510000228881836</v>
      </c>
      <c r="K82" s="40" t="n">
        <v>6.190000057220459</v>
      </c>
      <c r="L82" s="40" t="n">
        <v>7.440000057220459</v>
      </c>
      <c r="M82" s="40" t="n">
        <v>7.090000152587891</v>
      </c>
    </row>
    <row r="83" spans="2:13">
      <c r="B83" s="122" t="s">
        <v>153</v>
      </c>
      <c r="C83" s="110" t="n">
        <v>3.450000047683716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