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A449CDF3-4847-49B3-B1C1-32D83E004718}" xr6:coauthVersionLast="47" xr6:coauthVersionMax="47" xr10:uidLastSave="{00000000-0000-0000-0000-000000000000}"/>
  <bookViews>
    <workbookView xWindow="-110" yWindow="-110" windowWidth="38620" windowHeight="21100" activeTab="3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<sst xmlns="http://schemas.openxmlformats.org/spreadsheetml/2006/main" count="231" uniqueCount="165">
  <si>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</si>
  <si>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</si>
  <si>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</si>
  <si>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</si>
  <si>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</si>
  <si>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</si>
  <si>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</si>
  <si>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</si>
  <si>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</si>
  <si>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</si>
  <si>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</si>
  <si>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</si>
  <si>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</si>
  <si>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</si>
  <si>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</si>
  <si>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</si>
  <si>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</si>
  <si>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</si>
  <si>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</si>
  <si>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</si>
  <si>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</si>
  <si>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</si>
  <si>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</si>
  <si>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</si>
  <si>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</si>
  <si>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</si>
  <si>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</si>
  <si>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</si>
  <si>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</si>
  <si>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</si>
  <si>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</si>
  <si>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</si>
  <si>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</si>
  <si>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</si>
  <si>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</si>
  <si>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</si>
  <si>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</si>
  <si>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</si>
  <si>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</si>
  <si>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</si>
  <si>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</si>
  <si>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</si>
  <si>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</si>
  <si>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</si>
  <si>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</si>
  <si>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</si>
  <si>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</si>
  <si>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</si>
  <si>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</si>
  <si>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</si>
  <si>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</si>
  <si>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</si>
  <si>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</si>
  <si>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</si>
  <si>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</si>
  <si>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</si>
  <si>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</si>
  <si>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</si>
  <si>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</si>
  <si>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</si>
  <si>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</si>
  <si>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</si>
  <si>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</si>
  <si>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</si>
  <si>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</si>
  <si>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</si>
  <si>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</si>
  <si>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</si>
  <si>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</si>
  <si>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</si>
  <si>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</si>
  <si>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</si>
  <si>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</si>
  <si>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</si>
  <si>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</si>
  <si>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</si>
  <si>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</si>
  <si>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</si>
  <si>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</si>
  <si>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</si>
  <si>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</si>
  <si>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</si>
  <si>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</si>
  <si>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</si>
  <si>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</si>
  <si>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</si>
  <si>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</si>
  <si>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</si>
  <si>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</si>
  <si>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</si>
  <si>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</si>
  <si>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</si>
  <si>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</si>
  <si>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</si>
  <si>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</si>
  <si>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</si>
  <si>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</si>
  <si>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</si>
  <si>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</si>
  <si>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</si>
  <si>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</si>
  <si>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</si>
  <si>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</si>
  <si>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</si>
  <si>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</si>
  <si>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</si>
  <si>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</si>
  <si>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</si>
  <si>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</si>
  <si>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</si>
  <si>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</si>
  <si>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</si>
  <si>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</si>
  <si>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</si>
  <si>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</si>
  <si>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</si>
  <si>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</si>
  <si>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</si>
  <si>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</si>
  <si>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</si>
  <si>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</si>
  <si>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</si>
  <si>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</si>
  <si>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</si>
  <si>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</si>
  <si>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</si>
  <si>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</si>
  <si>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</si>
  <si>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</si>
  <si>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</si>
  <si>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</si>
  <si>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</si>
  <si>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</si>
  <si>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</si>
  <si>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</si>
  <si>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</si>
  <si>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</si>
  <si>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</si>
  <si>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</si>
  <si>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</si>
  <si>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</si>
  <si>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</si>
  <si>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</si>
  <si>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</si>
  <si>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</si>
  <si>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</si>
  <si>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</si>
  <si>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</si>
  <si>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</si>
  <si>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</si>
  <si>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</si>
  <si>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</si>
  <si>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</si>
  <si>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</si>
  <si>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</si>
  <si>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</si>
  <si>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</si>
  <si>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</si>
  <si>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</si>
  <si>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</si>
  <si>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</si>
  <si>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</si>
  <si>
    <t>TSN_TysonFoods</t>
  </si>
  <si>
    <t>sector median (22.41)</t>
  </si>
  <si>
    <t>sector median (16.17)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</si>
</sst>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162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5" t="str">
        <f>U11</f>
        <v>K</v>
      </c>
      <c r="E12" s="45" t="s">
        <v>141</v>
      </c>
      <c r="F12" s="123" t="n">
        <f>AVERAGE(L12:P12)</f>
        <v>7.877054290638052</v>
      </c>
      <c r="G12" s="119" t="n">
        <f>Financials!D76</f>
        <v>6.389094193972243</v>
      </c>
      <c r="H12" s="119" t="n">
        <f>Financials!E76</f>
        <v>3.6066121222240777</v>
      </c>
      <c r="I12" s="119" t="n">
        <f>Financials!F76</f>
        <v>5.311506813531281</v>
      </c>
      <c r="J12" s="119" t="n">
        <f>Financials!G76</f>
        <v>7.902382335851249</v>
      </c>
      <c r="K12" s="119" t="n">
        <f>Financials!H76</f>
        <v>6.320815221264163</v>
      </c>
      <c r="L12" s="119" t="n">
        <f>Financials!I76</f>
        <v>10.203029990724518</v>
      </c>
      <c r="M12" s="119" t="n">
        <f>Financials!J76</f>
        <v>6.014946230026125</v>
      </c>
      <c r="N12" s="119" t="n">
        <f>Financials!K76</f>
        <v>5.98154167634084</v>
      </c>
      <c r="O12" s="119" t="n">
        <f>Financials!L76</f>
        <v>8.391858767798617</v>
      </c>
      <c r="P12" s="119" t="n">
        <f>Financials!M76</f>
        <v>8.793894788300154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 t="n">
        <f>AVERAGE(L14:P14)</f>
        <v>16.807537280358645</v>
      </c>
      <c r="G14" s="40" t="n">
        <f>Financials!D77</f>
        <v>12.481950906465586</v>
      </c>
      <c r="H14" s="40" t="n">
        <f>Financials!E77</f>
        <v>9.703504043126685</v>
      </c>
      <c r="I14" s="40" t="n">
        <f>Financials!F77</f>
        <v>12.569544611580465</v>
      </c>
      <c r="J14" s="40" t="n">
        <f>Financials!G77</f>
        <v>18.37073981712386</v>
      </c>
      <c r="K14" s="40" t="n">
        <f>Financials!H77</f>
        <v>16.80083341225495</v>
      </c>
      <c r="L14" s="40" t="n">
        <f>Financials!I77</f>
        <v>23.18320193583639</v>
      </c>
      <c r="M14" s="40" t="n">
        <f>Financials!J77</f>
        <v>14.048531289910601</v>
      </c>
      <c r="N14" s="40" t="n">
        <f>Financials!K77</f>
        <v>13.395294423501884</v>
      </c>
      <c r="O14" s="40" t="n">
        <f>Financials!L77</f>
        <v>17.066203651842724</v>
      </c>
      <c r="P14" s="40" t="n">
        <f>Financials!M77</f>
        <v>16.34445510070163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 t="n">
        <f>WACC!$C$25</f>
        <v>0.0637414548472269</v>
      </c>
      <c r="F16" s="124" t="n">
        <f>AVERAGE(L16:P16)</f>
        <v>11.933999824523926</v>
      </c>
      <c r="G16" s="40" t="n">
        <f>Financials!D78</f>
        <v>10.220000267028809</v>
      </c>
      <c r="H16" s="40" t="n">
        <f>Financials!E78</f>
        <v>7.400000095367432</v>
      </c>
      <c r="I16" s="40" t="n">
        <f>Financials!F78</f>
        <v>8.369999885559082</v>
      </c>
      <c r="J16" s="40" t="n">
        <f>Financials!G78</f>
        <v>11.970000267028809</v>
      </c>
      <c r="K16" s="40" t="n">
        <f>Financials!H78</f>
        <v>10.6899995803833</v>
      </c>
      <c r="L16" s="40" t="n">
        <f>Financials!I78</f>
        <v>15.079999923706055</v>
      </c>
      <c r="M16" s="40" t="n">
        <f>Financials!J78</f>
        <v>9.859999656677246</v>
      </c>
      <c r="N16" s="40" t="n">
        <f>Financials!K78</f>
        <v>9.5</v>
      </c>
      <c r="O16" s="40" t="n">
        <f>Financials!L78</f>
        <v>12.489999771118164</v>
      </c>
      <c r="P16" s="40" t="n">
        <f>Financials!M78</f>
        <v>12.739999771118164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4" t="str">
        <f>T11</f>
        <v>J</v>
      </c>
      <c r="E18" s="48" t="s">
        <v>68</v>
      </c>
      <c r="F18" s="125" t="n">
        <f>AVERAGE(L18:P18)</f>
        <v>1.511688752327525</v>
      </c>
      <c r="G18" s="42" t="n">
        <f>Financials!D59</f>
        <v>1.8617940199335548</v>
      </c>
      <c r="H18" s="42" t="n">
        <f>Financials!E59</f>
        <v>1.6383987358440875</v>
      </c>
      <c r="I18" s="42" t="n">
        <f>Financials!F59</f>
        <v>1.5222065063649222</v>
      </c>
      <c r="J18" s="42" t="n">
        <f>Financials!G59</f>
        <v>1.7697320782041999</v>
      </c>
      <c r="K18" s="42" t="n">
        <f>Financials!H59</f>
        <v>1.5520833333333333</v>
      </c>
      <c r="L18" s="42" t="n">
        <f>Financials!I59</f>
        <v>1.1305903398926656</v>
      </c>
      <c r="M18" s="42" t="n">
        <f>Financials!J59</f>
        <v>1.267912207509523</v>
      </c>
      <c r="N18" s="42" t="n">
        <f>Financials!K59</f>
        <v>1.7945205479452055</v>
      </c>
      <c r="O18" s="42" t="n">
        <f>Financials!L59</f>
        <v>1.5528853754940712</v>
      </c>
      <c r="P18" s="42" t="n">
        <f>Financials!M59</f>
        <v>1.8125352907961603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5" t="str">
        <f>U11</f>
        <v>K</v>
      </c>
      <c r="E20" s="49" t="s">
        <v>137</v>
      </c>
      <c r="F20" s="125" t="n">
        <f>AVERAGE(L20:P20)</f>
        <v>1.1479012085823475</v>
      </c>
      <c r="G20" s="42" t="n">
        <f>Financials!D58</f>
        <v>0.9536338841649286</v>
      </c>
      <c r="H20" s="42" t="n">
        <f>Financials!E58</f>
        <v>1.6904761904761905</v>
      </c>
      <c r="I20" s="42" t="n">
        <f>Financials!F58</f>
        <v>1.366474345765506</v>
      </c>
      <c r="J20" s="42" t="n">
        <f>Financials!G58</f>
        <v>1.3247090606816292</v>
      </c>
      <c r="K20" s="42" t="n">
        <f>Financials!H58</f>
        <v>1.6580168576569752</v>
      </c>
      <c r="L20" s="42" t="n">
        <f>Financials!I58</f>
        <v>1.272187963468894</v>
      </c>
      <c r="M20" s="42" t="n">
        <f>Financials!J58</f>
        <v>1.3356038030367532</v>
      </c>
      <c r="N20" s="42" t="n">
        <f>Financials!K58</f>
        <v>1.2394384505394513</v>
      </c>
      <c r="O20" s="42" t="n">
        <f>Financials!L58</f>
        <v>1.0336619244987117</v>
      </c>
      <c r="P20" s="42" t="n">
        <f>Financials!M58</f>
        <v>0.8586139013679269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4" t="str">
        <f>T11</f>
        <v>J</v>
      </c>
      <c r="E22" s="49" t="s">
        <v>161</v>
      </c>
      <c r="F22" s="125" t="n">
        <f>AVERAGE(L22:P22)</f>
        <v>1.9819169126481895</v>
      </c>
      <c r="G22" s="42" t="n">
        <f>Financials!D60</f>
        <v>1.0005279831045406</v>
      </c>
      <c r="H22" s="42" t="n">
        <f>Financials!E60</f>
        <v>3.8443877551020407</v>
      </c>
      <c r="I22" s="42" t="n">
        <f>Financials!F60</f>
        <v>2.0746527777777777</v>
      </c>
      <c r="J22" s="42" t="n">
        <f>Financials!G60</f>
        <v>1.7524024872809496</v>
      </c>
      <c r="K22" s="42" t="n">
        <f>Financials!H60</f>
        <v>2.5249864204236827</v>
      </c>
      <c r="L22" s="42" t="n">
        <f>Financials!I60</f>
        <v>2.035276073619632</v>
      </c>
      <c r="M22" s="42" t="n">
        <f>Financials!J60</f>
        <v>2.481070166582534</v>
      </c>
      <c r="N22" s="42" t="n">
        <f>Financials!K60</f>
        <v>2.5402542372881354</v>
      </c>
      <c r="O22" s="42" t="n">
        <f>Financials!L60</f>
        <v>1.460493827160494</v>
      </c>
      <c r="P22" s="42" t="n">
        <f>Financials!M60</f>
        <v>1.3924902585901524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 t="n">
        <f>Financials!D12</f>
        <v>367.0</v>
      </c>
      <c r="H24" s="40" t="n">
        <f>Financials!E12</f>
        <v>364.0</v>
      </c>
      <c r="I24" s="40" t="n">
        <f>Financials!F12</f>
        <v>413.0</v>
      </c>
      <c r="J24" s="40" t="n">
        <f>Financials!G12</f>
        <v>390.0</v>
      </c>
      <c r="K24" s="40" t="n">
        <f>Financials!H12</f>
        <v>370.0</v>
      </c>
      <c r="L24" s="40" t="n">
        <f>Financials!I12</f>
        <v>369.0</v>
      </c>
      <c r="M24" s="40" t="n">
        <f>Financials!J12</f>
        <v>366.0</v>
      </c>
      <c r="N24" s="40" t="n">
        <f>Financials!K12</f>
        <v>365.0</v>
      </c>
      <c r="O24" s="40" t="n">
        <f>Financials!L12</f>
        <v>365.0</v>
      </c>
      <c r="P24" s="40" t="n">
        <f>Financials!M12</f>
        <v>363.0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4" t="str">
        <f>T11</f>
        <v>J</v>
      </c>
      <c r="E26" s="51" t="s">
        <v>163</v>
      </c>
      <c r="F26" s="57" t="n">
        <f>AVERAGEIF(L26:P26,"&lt;100")</f>
        <v>10.28799991607666</v>
      </c>
      <c r="G26" s="44" t="n">
        <f>Financials!D81</f>
        <v>14.479999542236328</v>
      </c>
      <c r="H26" s="44" t="n">
        <f>Financials!E81</f>
        <v>16.920000076293945</v>
      </c>
      <c r="I26" s="44" t="n">
        <f>Financials!F81</f>
        <v>18.079999923706055</v>
      </c>
      <c r="J26" s="44" t="n">
        <f>Financials!G81</f>
        <v>13.619999885559082</v>
      </c>
      <c r="K26" s="44" t="n">
        <f>Financials!H81</f>
        <v>16.920000076293945</v>
      </c>
      <c r="L26" s="44" t="n">
        <f>Financials!I81</f>
        <v>6.519999980926514</v>
      </c>
      <c r="M26" s="44" t="n">
        <f>Financials!J81</f>
        <v>16.489999771118164</v>
      </c>
      <c r="N26" s="44" t="n">
        <f>Financials!K81</f>
        <v>11.0</v>
      </c>
      <c r="O26" s="44" t="n">
        <f>Financials!L81</f>
        <v>10.449999809265137</v>
      </c>
      <c r="P26" s="44" t="n">
        <f>Financials!M81</f>
        <v>6.980000019073486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4" t="str">
        <f>T11</f>
        <v>J</v>
      </c>
      <c r="E28" s="51" t="s">
        <v>164</v>
      </c>
      <c r="F28" s="57" t="n">
        <f>AVERAGEIF(L28:P28, "&lt;100")</f>
        <v>8.534000015258789</v>
      </c>
      <c r="G28" s="44" t="n">
        <f>Financials!D82</f>
        <v>9.350000381469727</v>
      </c>
      <c r="H28" s="44" t="n">
        <f>Financials!E82</f>
        <v>12.390000343322754</v>
      </c>
      <c r="I28" s="44" t="n">
        <f>Financials!F82</f>
        <v>8.569999694824219</v>
      </c>
      <c r="J28" s="44" t="n">
        <f>Financials!G82</f>
        <v>8.859999656677246</v>
      </c>
      <c r="K28" s="44" t="n">
        <f>Financials!H82</f>
        <v>11.539999961853027</v>
      </c>
      <c r="L28" s="44" t="n">
        <f>Financials!I82</f>
        <v>6.650000095367432</v>
      </c>
      <c r="M28" s="44" t="n">
        <f>Financials!J82</f>
        <v>13.260000228881836</v>
      </c>
      <c r="N28" s="44" t="n">
        <f>Financials!K82</f>
        <v>6.070000171661377</v>
      </c>
      <c r="O28" s="44" t="n">
        <f>Financials!L82</f>
        <v>8.279999732971191</v>
      </c>
      <c r="P28" s="44" t="n">
        <f>Financials!M82</f>
        <v>8.40999984741211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 t="n">
        <f>Financials!$C$83</f>
        <v>7.179999828338623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6" t="str">
        <f>V11</f>
        <v>L</v>
      </c>
      <c r="E32" s="50" t="s">
        <v>77</v>
      </c>
      <c r="F32" s="52" t="n">
        <f>Financials!D63</f>
        <v>-0.14617761843909893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 t="n">
        <f>Financials!D64</f>
        <v>0.005673066387681391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 t="n">
        <f>Financials!D69</f>
        <v>0.07613908606886355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 t="n">
        <f>Financials!D70</f>
        <v>0.24414838408334805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 t="n">
        <f>Financials!D65</f>
        <v>0.01742892212394387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 t="n">
        <f>Financials!D66</f>
        <v>0.15326662715954398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0.05874473131291502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 t="n">
        <f>Financials!D68</f>
        <v>0.044804524308318605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 t="n">
        <f>Financials!$D$73</f>
        <v>0.3910710795133568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 t="n">
        <f>Financials!D71</f>
        <v>0.08664373946331594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 t="n">
        <f>Financials!D72</f>
        <v>0.1602366639262953</v>
      </c>
    </row>
    <row r="47" spans="2:17" ht="18.5">
      <c r="B47" s="138"/>
      <c r="C47" s="100" t="s">
        <v>129</v>
      </c>
      <c r="D47" s="54" t="str">
        <f>T11</f>
        <v>J</v>
      </c>
      <c r="E47" s="101">
        <v>0.12</v>
      </c>
      <c r="F47" s="102" t="n">
        <f>F45+F46</f>
        <v>0.24688040338961123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22.06999969482422</v>
      </c>
    </row>
    <row r="6" spans="2:16">
      <c r="B6" s="4" t="s">
        <v>5</v>
      </c>
      <c r="C6" s="59" t="n">
        <v>5313000.0</v>
      </c>
    </row>
    <row r="7" spans="2:16">
      <c r="B7" s="4" t="s">
        <v>4</v>
      </c>
      <c r="C7" s="59" t="n">
        <v>1.1697E7</v>
      </c>
    </row>
    <row r="8" spans="2:16">
      <c r="B8" s="4" t="s">
        <v>3</v>
      </c>
      <c r="C8" s="59" t="n">
        <v>349000.0</v>
      </c>
    </row>
    <row r="9" spans="2:16">
      <c r="B9" s="10" t="s">
        <v>6</v>
      </c>
      <c r="C9" s="59" t="n">
        <v>3173000.0</v>
      </c>
    </row>
    <row r="10" spans="2:16">
      <c r="B10" s="10" t="s">
        <v>7</v>
      </c>
      <c r="C10" s="59" t="n">
        <v>730000.0</v>
      </c>
    </row>
    <row r="11" spans="2:16">
      <c r="B11" s="10" t="s">
        <v>9</v>
      </c>
      <c r="C11" s="60" t="n">
        <v>0.7400000095367432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1.701E7</v>
      </c>
    </row>
    <row r="18" spans="2:15" ht="18" thickTop="1" thickBot="1">
      <c r="B18" s="2" t="s">
        <v>20</v>
      </c>
      <c r="C18" s="12" t="n">
        <f>C8/C17</f>
        <v>0.020517342739564962</v>
      </c>
    </row>
    <row r="19" spans="2:15" ht="18" thickTop="1" thickBot="1">
      <c r="B19" s="2" t="s">
        <v>19</v>
      </c>
      <c r="C19" s="12" t="n">
        <f>C14+C11*(C15-C14)</f>
        <v>0.09738000082969664</v>
      </c>
    </row>
    <row r="20" spans="2:15" ht="18" thickTop="1" thickBot="1">
      <c r="B20" s="2" t="s">
        <v>18</v>
      </c>
      <c r="C20" s="12" t="n">
        <f>C8/C17</f>
        <v>0.020517342739564962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3.9079999694824204E7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0.5647389935304216</v>
      </c>
      <c r="K22" t="s" s="0">
        <v>12</v>
      </c>
    </row>
    <row r="23" spans="2:15" ht="18" thickTop="1" thickBot="1">
      <c r="B23" s="16" t="s">
        <v>24</v>
      </c>
      <c r="C23" s="12" t="n">
        <f>C17/C21</f>
        <v>0.43526100646957844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0.0637414548472269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abSelected="1" topLeftCell="A13" zoomScale="82" workbookViewId="0">
      <selection activeCell="E48" sqref="E48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0.0637414548472269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0.019999999552965164</v>
      </c>
    </row>
    <row r="7" spans="2:12">
      <c r="B7" s="18" t="s">
        <v>31</v>
      </c>
      <c r="C7" s="13" t="n">
        <f>AVERAGEIF(C28:L28, "&lt;0.5")</f>
        <v>0.04635214670901786</v>
      </c>
    </row>
    <row r="8" spans="2:12">
      <c r="B8" s="18" t="s">
        <v>112</v>
      </c>
      <c r="C8" s="13" t="n">
        <f>AVERAGEIF(C29:L29,"&lt;2")</f>
        <v>0.8651169475781874</v>
      </c>
    </row>
    <row r="9" spans="2:12">
      <c r="B9" s="18" t="s">
        <v>136</v>
      </c>
      <c r="C9" s="66" t="n">
        <v>8.0</v>
      </c>
    </row>
    <row r="10" spans="2:12">
      <c r="B10" s="18" t="s">
        <v>100</v>
      </c>
      <c r="C10" s="67" t="n">
        <v>0.11999999731779099</v>
      </c>
    </row>
    <row r="11" spans="2:12">
      <c r="B11" s="18" t="s">
        <v>44</v>
      </c>
      <c r="C11" s="59" t="n">
        <v>3.59589312E8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34374.0</v>
      </c>
      <c r="D16" s="21" t="n">
        <f>Financials!E3</f>
        <v>37580.0</v>
      </c>
      <c r="E16" s="21" t="n">
        <f>Financials!F3</f>
        <v>41373.0</v>
      </c>
      <c r="F16" s="21" t="n">
        <f>Financials!G3</f>
        <v>36881.0</v>
      </c>
      <c r="G16" s="21" t="n">
        <f>Financials!H3</f>
        <v>38260.0</v>
      </c>
      <c r="H16" s="21" t="n">
        <f>Financials!I3</f>
        <v>40052.0</v>
      </c>
      <c r="I16" s="21" t="n">
        <f>Financials!J3</f>
        <v>42405.0</v>
      </c>
      <c r="J16" s="21" t="n">
        <f>Financials!K3</f>
        <v>43185.0</v>
      </c>
      <c r="K16" s="21" t="n">
        <f>Financials!L3</f>
        <v>47049.0</v>
      </c>
      <c r="L16" s="21" t="n">
        <f>Financials!M3</f>
        <v>53282.0</v>
      </c>
    </row>
    <row r="17" spans="2:12">
      <c r="B17" s="18" t="s">
        <v>27</v>
      </c>
      <c r="C17" s="22"/>
      <c r="D17" s="20" t="n">
        <f t="shared" ref="D17:L17" si="0">(D16-C16)/C16</f>
        <v>0.09326816780124512</v>
      </c>
      <c r="E17" s="20" t="n">
        <f t="shared" si="0"/>
        <v>0.10093134646088345</v>
      </c>
      <c r="F17" s="20" t="n">
        <f t="shared" si="0"/>
        <v>-0.10857322408333937</v>
      </c>
      <c r="G17" s="20" t="n">
        <f t="shared" si="0"/>
        <v>0.03739052628724818</v>
      </c>
      <c r="H17" s="20" t="n">
        <f t="shared" si="0"/>
        <v>0.04683742812336644</v>
      </c>
      <c r="I17" s="20" t="n">
        <f t="shared" si="0"/>
        <v>0.05874862678517927</v>
      </c>
      <c r="J17" s="20" t="n">
        <f t="shared" si="0"/>
        <v>0.01839405730456314</v>
      </c>
      <c r="K17" s="20" t="n">
        <f t="shared" si="0"/>
        <v>0.08947551233067037</v>
      </c>
      <c r="L17" s="20" t="n">
        <f t="shared" si="0"/>
        <v>0.1324789049714128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778.0</v>
      </c>
      <c r="D19" s="21" t="n">
        <f>Financials!E6</f>
        <v>864.0</v>
      </c>
      <c r="E19" s="21" t="n">
        <f>Financials!F6</f>
        <v>1220.0</v>
      </c>
      <c r="F19" s="21" t="n">
        <f>Financials!G6</f>
        <v>1768.0</v>
      </c>
      <c r="G19" s="21" t="n">
        <f>Financials!H6</f>
        <v>1774.0</v>
      </c>
      <c r="H19" s="21" t="n">
        <f>Financials!I6</f>
        <v>2970.0</v>
      </c>
      <c r="I19" s="21" t="n">
        <f>Financials!J6</f>
        <v>1980.0</v>
      </c>
      <c r="J19" s="21" t="n">
        <f>Financials!K6</f>
        <v>2061.0</v>
      </c>
      <c r="K19" s="21" t="n">
        <f>Financials!L6</f>
        <v>3047.0</v>
      </c>
      <c r="L19" s="21" t="n">
        <f>Financials!M6</f>
        <v>3238.0</v>
      </c>
    </row>
    <row r="20" spans="2:12">
      <c r="B20" s="18" t="s">
        <v>27</v>
      </c>
      <c r="C20" s="22"/>
      <c r="D20" s="20" t="n">
        <f>(D19-C19)/C19</f>
        <v>0.11053984575835475</v>
      </c>
      <c r="E20" s="20" t="n">
        <f t="shared" ref="E20:L20" si="1">(E19-D19)/D19</f>
        <v>0.41203703703703703</v>
      </c>
      <c r="F20" s="20" t="n">
        <f t="shared" si="1"/>
        <v>0.4491803278688525</v>
      </c>
      <c r="G20" s="20" t="n">
        <f t="shared" si="1"/>
        <v>0.003393665158371041</v>
      </c>
      <c r="H20" s="20" t="n">
        <f t="shared" si="1"/>
        <v>0.6741826381059752</v>
      </c>
      <c r="I20" s="20" t="n">
        <f t="shared" si="1"/>
        <v>-0.3333333333333333</v>
      </c>
      <c r="J20" s="20" t="n">
        <f t="shared" si="1"/>
        <v>0.04090909090909091</v>
      </c>
      <c r="K20" s="20" t="n">
        <f t="shared" si="1"/>
        <v>0.4784085395439107</v>
      </c>
      <c r="L20" s="20" t="n">
        <f t="shared" si="1"/>
        <v>0.0626846078109616</v>
      </c>
    </row>
    <row r="22" spans="2:12">
      <c r="B22" s="18" t="s">
        <v>30</v>
      </c>
      <c r="C22" s="25" t="n">
        <f>Financials!D20</f>
        <v>756.0</v>
      </c>
      <c r="D22" s="25" t="n">
        <f>Financials!E20</f>
        <v>546.0</v>
      </c>
      <c r="E22" s="25" t="n">
        <f>Financials!F20</f>
        <v>1716.0</v>
      </c>
      <c r="F22" s="25" t="n">
        <f>Financials!G20</f>
        <v>2021.0</v>
      </c>
      <c r="G22" s="25" t="n">
        <f>Financials!H20</f>
        <v>1530.0</v>
      </c>
      <c r="H22" s="25" t="n">
        <f>Financials!I20</f>
        <v>1763.0</v>
      </c>
      <c r="I22" s="25" t="n">
        <f>Financials!J20</f>
        <v>1254.0</v>
      </c>
      <c r="J22" s="25" t="n">
        <f>Financials!K20</f>
        <v>2675.0</v>
      </c>
      <c r="K22" s="25" t="n">
        <f>Financials!L20</f>
        <v>2631.0</v>
      </c>
      <c r="L22" s="25" t="n">
        <f>Financials!M20</f>
        <v>800.0</v>
      </c>
    </row>
    <row r="23" spans="2:12">
      <c r="B23" s="18" t="s">
        <v>27</v>
      </c>
      <c r="C23" s="26"/>
      <c r="D23" s="26" t="n">
        <f>(D22-C22)/C22</f>
        <v>-0.2777777777777778</v>
      </c>
      <c r="E23" s="26" t="n">
        <f t="shared" ref="E23:L23" si="2">(E22-D22)/D22</f>
        <v>2.142857142857143</v>
      </c>
      <c r="F23" s="26" t="n">
        <f t="shared" si="2"/>
        <v>0.17773892773892774</v>
      </c>
      <c r="G23" s="26" t="n">
        <f t="shared" si="2"/>
        <v>-0.2429490351311232</v>
      </c>
      <c r="H23" s="26" t="n">
        <f t="shared" si="2"/>
        <v>0.1522875816993464</v>
      </c>
      <c r="I23" s="26" t="n">
        <f t="shared" si="2"/>
        <v>-0.288712422007941</v>
      </c>
      <c r="J23" s="26" t="n">
        <f t="shared" si="2"/>
        <v>1.1331738437001595</v>
      </c>
      <c r="K23" s="26" t="n">
        <f t="shared" si="2"/>
        <v>-0.01644859813084112</v>
      </c>
      <c r="L23" s="26" t="n">
        <f t="shared" si="2"/>
        <v>-0.6959331052831623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1894.0</v>
      </c>
      <c r="D25" s="62" t="n">
        <f>Financials!E9</f>
        <v>1960.0</v>
      </c>
      <c r="E25" s="62" t="n">
        <f>Financials!F9</f>
        <v>2880.0</v>
      </c>
      <c r="F25" s="62" t="n">
        <f>Financials!G9</f>
        <v>3538.0</v>
      </c>
      <c r="G25" s="62" t="n">
        <f>Financials!H9</f>
        <v>3682.0</v>
      </c>
      <c r="H25" s="62" t="n">
        <f>Financials!I9</f>
        <v>3912.0</v>
      </c>
      <c r="I25" s="62" t="n">
        <f>Financials!J9</f>
        <v>3962.0</v>
      </c>
      <c r="J25" s="62" t="n">
        <f>Financials!K9</f>
        <v>4248.0</v>
      </c>
      <c r="K25" s="62" t="n">
        <f>Financials!L9</f>
        <v>5670.0</v>
      </c>
      <c r="L25" s="62" t="n">
        <f>Financials!M9</f>
        <v>5646.0</v>
      </c>
    </row>
    <row r="26" spans="2:12">
      <c r="B26" s="18" t="s">
        <v>27</v>
      </c>
      <c r="C26" s="63"/>
      <c r="D26" s="63" t="n">
        <f>Financials!E10</f>
        <v>0.03484688489968321</v>
      </c>
      <c r="E26" s="63" t="n">
        <f>Financials!F10</f>
        <v>0.46938775510204084</v>
      </c>
      <c r="F26" s="63" t="n">
        <f>Financials!G10</f>
        <v>0.22847222222222222</v>
      </c>
      <c r="G26" s="63" t="n">
        <f>Financials!H10</f>
        <v>0.04070096099491238</v>
      </c>
      <c r="H26" s="63" t="n">
        <f>Financials!I10</f>
        <v>0.06246605105920695</v>
      </c>
      <c r="I26" s="63" t="n">
        <f>Financials!J10</f>
        <v>0.01278118609406953</v>
      </c>
      <c r="J26" s="63" t="n">
        <f>Financials!K10</f>
        <v>0.07218576476527007</v>
      </c>
      <c r="K26" s="63" t="n">
        <f>Financials!L10</f>
        <v>0.3347457627118644</v>
      </c>
      <c r="L26" s="63" t="n">
        <f>Financials!M10</f>
        <v>-0.004232804232804233</v>
      </c>
    </row>
    <row r="28" spans="2:12" ht="15" thickBot="1">
      <c r="B28" s="1" t="s">
        <v>31</v>
      </c>
      <c r="C28" s="24" t="n">
        <f t="shared" ref="C28:L28" si="3">C19/C16</f>
        <v>0.022633385698493047</v>
      </c>
      <c r="D28" s="24" t="n">
        <f t="shared" si="3"/>
        <v>0.022990952634379988</v>
      </c>
      <c r="E28" s="24" t="n">
        <f t="shared" si="3"/>
        <v>0.02948783022744302</v>
      </c>
      <c r="F28" s="24" t="n">
        <f t="shared" si="3"/>
        <v>0.04793796263658794</v>
      </c>
      <c r="G28" s="24" t="n">
        <f t="shared" si="3"/>
        <v>0.04636696288552013</v>
      </c>
      <c r="H28" s="24" t="n">
        <f t="shared" si="3"/>
        <v>0.07415360031958454</v>
      </c>
      <c r="I28" s="24" t="n">
        <f t="shared" si="3"/>
        <v>0.04669260700389105</v>
      </c>
      <c r="J28" s="24" t="n">
        <f t="shared" si="3"/>
        <v>0.047724904480722474</v>
      </c>
      <c r="K28" s="24" t="n">
        <f t="shared" si="3"/>
        <v>0.06476226912367956</v>
      </c>
      <c r="L28" s="24" t="n">
        <f t="shared" si="3"/>
        <v>0.06077099207987688</v>
      </c>
    </row>
    <row r="29" spans="2:12" ht="15" thickBot="1">
      <c r="B29" s="1" t="s">
        <v>32</v>
      </c>
      <c r="C29" s="24" t="n">
        <f t="shared" ref="C29:L29" si="4">C22/C19</f>
        <v>0.9717223650385605</v>
      </c>
      <c r="D29" s="24" t="n">
        <f t="shared" si="4"/>
        <v>0.6319444444444444</v>
      </c>
      <c r="E29" s="24" t="n">
        <f t="shared" si="4"/>
        <v>1.4065573770491804</v>
      </c>
      <c r="F29" s="24" t="n">
        <f t="shared" si="4"/>
        <v>1.1430995475113122</v>
      </c>
      <c r="G29" s="24" t="n">
        <f t="shared" si="4"/>
        <v>0.8624577226606539</v>
      </c>
      <c r="H29" s="24" t="n">
        <f t="shared" si="4"/>
        <v>0.5936026936026936</v>
      </c>
      <c r="I29" s="24" t="n">
        <f t="shared" si="4"/>
        <v>0.6333333333333333</v>
      </c>
      <c r="J29" s="24" t="n">
        <f t="shared" si="4"/>
        <v>1.2979136341581756</v>
      </c>
      <c r="K29" s="24" t="n">
        <f t="shared" si="4"/>
        <v>0.8634722678043978</v>
      </c>
      <c r="L29" s="24" t="n">
        <f t="shared" si="4"/>
        <v>0.24706609017912293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55077.603426359674</v>
      </c>
      <c r="D36" s="21" t="n">
        <f>C36*(D37+1)</f>
        <v>56019.43048647897</v>
      </c>
      <c r="E36" s="21" t="n">
        <f>D36*(E37+1)</f>
        <v>57111.80940350364</v>
      </c>
      <c r="F36" s="21" t="n">
        <f t="shared" ref="F36:L36" si="5">E36*(F37+1)</f>
        <v>58254.04556604298</v>
      </c>
      <c r="G36" s="21" t="n">
        <f t="shared" si="5"/>
        <v>59419.126451322554</v>
      </c>
      <c r="H36" s="21" t="n">
        <f t="shared" si="5"/>
        <v>60607.50895378692</v>
      </c>
      <c r="I36" s="21" t="n">
        <f t="shared" si="5"/>
        <v>61819.659105769264</v>
      </c>
      <c r="J36" s="21" t="n">
        <f t="shared" si="5"/>
        <v>63056.052260249446</v>
      </c>
      <c r="K36" s="21" t="n">
        <f t="shared" si="5"/>
        <v>64317.17327726644</v>
      </c>
      <c r="L36" s="21" t="n">
        <f t="shared" si="5"/>
        <v>65603.51671406002</v>
      </c>
    </row>
    <row r="37" spans="2:12">
      <c r="B37" s="18" t="s">
        <v>27</v>
      </c>
      <c r="C37" s="68" t="n">
        <v>0.03370000049471855</v>
      </c>
      <c r="D37" s="68" t="n">
        <v>0.017100000753998756</v>
      </c>
      <c r="E37" s="68" t="n">
        <v>0.019500000402331352</v>
      </c>
      <c r="F37" s="27" t="n">
        <f>C6</f>
        <v>0.019999999552965164</v>
      </c>
      <c r="G37" s="27" t="n">
        <f>C6</f>
        <v>0.019999999552965164</v>
      </c>
      <c r="H37" s="27" t="n">
        <f>C6</f>
        <v>0.019999999552965164</v>
      </c>
      <c r="I37" s="27" t="n">
        <f>C6</f>
        <v>0.019999999552965164</v>
      </c>
      <c r="J37" s="27" t="n">
        <f>C6</f>
        <v>0.019999999552965164</v>
      </c>
      <c r="K37" s="27" t="n">
        <f>C6</f>
        <v>0.019999999552965164</v>
      </c>
      <c r="L37" s="27" t="n">
        <f>C6</f>
        <v>0.019999999552965164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2552.965154399732</v>
      </c>
      <c r="D39" s="21" t="n">
        <f>D36*C7</f>
        <v>2596.6208604649046</v>
      </c>
      <c r="E39" s="21" t="n">
        <f>E36*C7</f>
        <v>2647.254968288667</v>
      </c>
      <c r="F39" s="21" t="n">
        <f>F36*C7</f>
        <v>2700.200066471039</v>
      </c>
      <c r="G39" s="21" t="n">
        <f>G36*C7</f>
        <v>2754.2040665933914</v>
      </c>
      <c r="H39" s="21" t="n">
        <f>H36*C7</f>
        <v>2809.288146694046</v>
      </c>
      <c r="I39" s="21" t="n">
        <f>I36*C7</f>
        <v>2865.473908372093</v>
      </c>
      <c r="J39" s="21" t="n">
        <f>J36*C7</f>
        <v>2922.78338525858</v>
      </c>
      <c r="K39" s="21" t="n">
        <f>K36*C7</f>
        <v>2981.2390516571777</v>
      </c>
      <c r="L39" s="21" t="n">
        <f>L36*C7</f>
        <v>3040.863831357617</v>
      </c>
    </row>
    <row r="40" spans="2:12">
      <c r="B40" s="18"/>
      <c r="C40" s="20" t="n">
        <f>(C39-L19)/L19</f>
        <v>-0.21156110117364668</v>
      </c>
      <c r="D40" s="20" t="n">
        <f>(D39-C39)/C39</f>
        <v>0.017100000754000585</v>
      </c>
      <c r="E40" s="20" t="n">
        <f t="shared" ref="E40:L40" si="6">(E39-D39)/D39</f>
        <v>0.019500000402329375</v>
      </c>
      <c r="F40" s="20" t="n">
        <f t="shared" si="6"/>
        <v>0.019999999552970372</v>
      </c>
      <c r="G40" s="20" t="n">
        <f t="shared" si="6"/>
        <v>0.019999999552970753</v>
      </c>
      <c r="H40" s="20" t="n">
        <f t="shared" si="6"/>
        <v>0.01999999955296958</v>
      </c>
      <c r="I40" s="20" t="n">
        <f t="shared" si="6"/>
        <v>0.019999999552970632</v>
      </c>
      <c r="J40" s="20" t="n">
        <f t="shared" si="6"/>
        <v>0.019999999552969338</v>
      </c>
      <c r="K40" s="20" t="n">
        <f t="shared" si="6"/>
        <v>0.0199999995529693</v>
      </c>
      <c r="L40" s="20" t="n">
        <f t="shared" si="6"/>
        <v>0.019999999552969695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2208.6134216477694</v>
      </c>
      <c r="D42" s="21" t="n">
        <f>D39*C8</f>
        <v>2246.3807128232397</v>
      </c>
      <c r="E42" s="21" t="n">
        <f>E39*C8</f>
        <v>2290.1851376270843</v>
      </c>
      <c r="F42" s="21" t="n">
        <f>F39*C8</f>
        <v>2335.9888393558435</v>
      </c>
      <c r="G42" s="21" t="n">
        <f>G39*C8</f>
        <v>2382.7086150987034</v>
      </c>
      <c r="H42" s="21" t="n">
        <f>H39*C8</f>
        <v>2430.3627863355387</v>
      </c>
      <c r="I42" s="21" t="n">
        <f>I39*C8</f>
        <v>2478.9700409758</v>
      </c>
      <c r="J42" s="21" t="n">
        <f>J39*C8</f>
        <v>2528.549440687143</v>
      </c>
      <c r="K42" s="21" t="n">
        <f>K39*C8</f>
        <v>2579.1204283705483</v>
      </c>
      <c r="L42" s="21" t="n">
        <f>L39*C8</f>
        <v>2630.702835785015</v>
      </c>
    </row>
    <row r="43" spans="2:12">
      <c r="B43" s="18" t="s">
        <v>27</v>
      </c>
      <c r="C43" s="20" t="n">
        <f>(C42-L22)/L22</f>
        <v>1.7607667770597124</v>
      </c>
      <c r="D43" s="20" t="n">
        <f>(D42-C42)/C42</f>
        <v>0.01710000075399951</v>
      </c>
      <c r="E43" s="20" t="n">
        <f t="shared" ref="E43:L43" si="7">(E42-D42)/D42</f>
        <v>0.019500000402332213</v>
      </c>
      <c r="F43" s="20" t="n">
        <f t="shared" si="7"/>
        <v>0.019999999552969633</v>
      </c>
      <c r="G43" s="20" t="n">
        <f t="shared" si="7"/>
        <v>0.01999999955297004</v>
      </c>
      <c r="H43" s="20" t="n">
        <f t="shared" si="7"/>
        <v>0.019999999552971482</v>
      </c>
      <c r="I43" s="20" t="n">
        <f t="shared" si="7"/>
        <v>0.019999999552968262</v>
      </c>
      <c r="J43" s="20" t="n">
        <f t="shared" si="7"/>
        <v>0.019999999552970313</v>
      </c>
      <c r="K43" s="20" t="n">
        <f t="shared" si="7"/>
        <v>0.019999999552969983</v>
      </c>
      <c r="L43" s="20" t="n">
        <f t="shared" si="7"/>
        <v>0.019999999552969924</v>
      </c>
    </row>
    <row r="45" spans="2:12">
      <c r="B45" s="18" t="s">
        <v>47</v>
      </c>
      <c r="C45" s="60" t="n">
        <v>3570.0</v>
      </c>
      <c r="D45" s="60" t="n">
        <v>4240.0</v>
      </c>
      <c r="E45" s="60" t="n">
        <v>5419.0</v>
      </c>
      <c r="F45" s="21" t="n">
        <f t="shared" ref="E45:L45" si="8">E45*(1+F46)</f>
        <v>6069.279985465104</v>
      </c>
      <c r="G45" s="21" t="n">
        <f t="shared" si="8"/>
        <v>6797.593567441829</v>
      </c>
      <c r="H45" s="21" t="n">
        <f t="shared" si="8"/>
        <v>7613.304777302276</v>
      </c>
      <c r="I45" s="21" t="n">
        <f t="shared" si="8"/>
        <v>8526.90133015807</v>
      </c>
      <c r="J45" s="21" t="n">
        <f t="shared" si="8"/>
        <v>9550.129466906099</v>
      </c>
      <c r="K45" s="21" t="n">
        <f t="shared" si="8"/>
        <v>10696.14497731938</v>
      </c>
      <c r="L45" s="21" t="n">
        <f t="shared" si="8"/>
        <v>11979.68234590842</v>
      </c>
    </row>
    <row r="46" spans="2:12">
      <c r="B46" s="18" t="s">
        <v>27</v>
      </c>
      <c r="C46" s="20" t="n">
        <f>C10</f>
        <v>0.11999999731779099</v>
      </c>
      <c r="D46" s="20" t="n">
        <f>C10</f>
        <v>0.11999999731779099</v>
      </c>
      <c r="E46" s="20" t="n">
        <f>C10</f>
        <v>0.11999999731779099</v>
      </c>
      <c r="F46" s="20" t="n">
        <f>C10</f>
        <v>0.11999999731779099</v>
      </c>
      <c r="G46" s="20" t="n">
        <f>C10</f>
        <v>0.11999999731779099</v>
      </c>
      <c r="H46" s="20" t="n">
        <f>C10</f>
        <v>0.11999999731779099</v>
      </c>
      <c r="I46" s="20" t="n">
        <f>C10</f>
        <v>0.11999999731779099</v>
      </c>
      <c r="J46" s="20" t="n">
        <f>C10</f>
        <v>0.11999999731779099</v>
      </c>
      <c r="K46" s="20" t="n">
        <f>C10</f>
        <v>0.11999999731779099</v>
      </c>
      <c r="L46" s="20" t="n">
        <f>C10</f>
        <v>0.11999999731779099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1.0637414548472268</v>
      </c>
      <c r="D51" s="61" t="n">
        <f>POWER((1+C4),2)</f>
        <v>1.1315458827604947</v>
      </c>
      <c r="E51" s="61" t="n">
        <f>POWER((1+C4),3)</f>
        <v>1.2036722635540382</v>
      </c>
      <c r="F51" s="61" t="n">
        <f>POWER((1+C4),4)</f>
        <v>1.280396084792227</v>
      </c>
      <c r="G51" s="61" t="n">
        <f>POWER((1+C4),5)</f>
        <v>1.362010394017577</v>
      </c>
      <c r="H51" s="61" t="n">
        <f>POWER((1+C4),6)</f>
        <v>1.4488269180493019</v>
      </c>
      <c r="I51" s="61" t="n">
        <f>POWER((1+C4),7)</f>
        <v>1.5411772536275883</v>
      </c>
      <c r="J51" s="61" t="n">
        <f>POWER((1+C4),8)</f>
        <v>1.6394141339512642</v>
      </c>
      <c r="K51" s="61" t="n">
        <f>POWER((1+C4),9)</f>
        <v>1.7439127759464244</v>
      </c>
      <c r="L51" s="61" t="n">
        <f>POWER((1+C4),10)</f>
        <v>1.8550723134119151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2076.269014038718</v>
      </c>
      <c r="D53" s="21" t="n">
        <f t="shared" si="9"/>
        <v>1985.2316614356175</v>
      </c>
      <c r="E53" s="21" t="n">
        <f t="shared" si="9"/>
        <v>1902.6650417821645</v>
      </c>
      <c r="F53" s="21" t="n">
        <f t="shared" si="9"/>
        <v>1824.426727870619</v>
      </c>
      <c r="G53" s="21" t="n">
        <f t="shared" si="9"/>
        <v>1749.4056033378151</v>
      </c>
      <c r="H53" s="21" t="n">
        <f t="shared" si="9"/>
        <v>1677.4693761265696</v>
      </c>
      <c r="I53" s="21" t="n">
        <f t="shared" si="9"/>
        <v>1608.4911940796255</v>
      </c>
      <c r="J53" s="21" t="n">
        <f t="shared" si="9"/>
        <v>1542.34942124899</v>
      </c>
      <c r="K53" s="21" t="n">
        <f t="shared" si="9"/>
        <v>1478.9274234033085</v>
      </c>
      <c r="L53" s="21" t="n">
        <f t="shared" si="9"/>
        <v>1418.1133623554117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1.9733173215156015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37519.65955192686</v>
      </c>
    </row>
    <row r="60" spans="2:12" ht="15" thickBot="1">
      <c r="B60" s="5" t="s">
        <v>41</v>
      </c>
      <c r="C60" s="23" t="n">
        <f>C59/C55</f>
        <v>19013.49526649371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54783.0083776057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152.34882280818653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95837.4587672672</v>
      </c>
    </row>
    <row r="70" spans="2:12" ht="15" thickBot="1">
      <c r="B70" s="5" t="s">
        <v>41</v>
      </c>
      <c r="C70" s="23" t="n">
        <f>C69/C55</f>
        <v>48566.67385540383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65830.02268108267</v>
      </c>
    </row>
    <row r="73" spans="2:12" ht="15" thickTop="1"/>
    <row r="74" spans="2:12" ht="18.5">
      <c r="B74" s="69" t="s">
        <v>42</v>
      </c>
      <c r="C74" s="70" t="n">
        <f>C72/(C11/1000000)</f>
        <v>183.07002039338337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6.730000019073486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7.5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97.14343918934141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28" sqref="P28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1.8600000143051147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1.8600000143051147</v>
      </c>
    </row>
    <row r="7" spans="2:16" ht="15" thickBot="1">
      <c r="B7" s="89" t="s">
        <v>121</v>
      </c>
      <c r="C7" s="90" t="n">
        <f>P6*(1+P7)</f>
        <v>1.911150014421342</v>
      </c>
      <c r="D7" s="90" t="n">
        <f>C7*(1+P7)</f>
        <v>1.9637066395331464</v>
      </c>
      <c r="E7" s="90" t="n">
        <f>D7*(1+P7)</f>
        <v>2.0177085718276997</v>
      </c>
      <c r="F7" s="90" t="n">
        <f>E7*(1+P7)</f>
        <v>2.073195557252303</v>
      </c>
      <c r="G7" s="90" t="n">
        <f>F7*(1+P7)</f>
        <v>2.130208434767811</v>
      </c>
      <c r="H7" s="90" t="n">
        <f>G7*(1+P7)</f>
        <v>2.1887891664065022</v>
      </c>
      <c r="I7" s="90" t="n">
        <f>H7*(1+P7)</f>
        <v>2.248980868156527</v>
      </c>
      <c r="J7" s="90" t="n">
        <f>I7*(1+P7)</f>
        <v>2.3108278416957138</v>
      </c>
      <c r="K7" s="90" t="n">
        <f>J7*(1+P7)</f>
        <v>2.3743756069980058</v>
      </c>
      <c r="L7" s="90" t="n">
        <f>K7*(1+P7)</f>
        <v>2.4396709358366495</v>
      </c>
      <c r="M7" s="159" t="n">
        <f>L7*(1+P7)/(P8-P7)</f>
        <v>69.1683566917718</v>
      </c>
      <c r="N7" s="160"/>
      <c r="O7" s="88" t="s">
        <v>122</v>
      </c>
      <c r="P7" s="104" t="n">
        <v>0.027499999850988388</v>
      </c>
    </row>
    <row r="8" spans="2:16" ht="15" thickBot="1">
      <c r="B8" s="89" t="s">
        <v>123</v>
      </c>
      <c r="C8" s="90" t="n">
        <f>C7/(1+P8)</f>
        <v>1.7966301921511663</v>
      </c>
      <c r="D8" s="90" t="n">
        <f>D7/(1+P8)^2</f>
        <v>1.735419366948287</v>
      </c>
      <c r="E8" s="90" t="n">
        <f>E7/(1+P8)^3</f>
        <v>1.6762939821094525</v>
      </c>
      <c r="F8" s="90" t="n">
        <f>F7/(1+P8)^4</f>
        <v>1.6191829871056795</v>
      </c>
      <c r="G8" s="90" t="n">
        <f>G7/(1+P8)^5</f>
        <v>1.5640177520850216</v>
      </c>
      <c r="H8" s="90" t="n">
        <f>H7/(1+P8)^6</f>
        <v>1.5107319854006336</v>
      </c>
      <c r="I8" s="90" t="n">
        <f>I7/(1+P8)^7</f>
        <v>1.4592616539485819</v>
      </c>
      <c r="J8" s="90" t="n">
        <f>J7/(1+P8)^8</f>
        <v>1.4095449062197796</v>
      </c>
      <c r="K8" s="90" t="n">
        <f>K7/(1+P8)^9</f>
        <v>1.3615219979734585</v>
      </c>
      <c r="L8" s="90" t="n">
        <f>L7/(1+P8)^10</f>
        <v>1.3151352204429776</v>
      </c>
      <c r="M8" s="159" t="n">
        <f>M7/POWER((1+P8),10)</f>
        <v>37.28607030124594</v>
      </c>
      <c r="N8" s="160"/>
      <c r="O8" s="91" t="s">
        <v>124</v>
      </c>
      <c r="P8" s="105" t="n">
        <f>WACC!$C$25</f>
        <v>0.0637414548472269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52.733810345631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1.8600000143051147</v>
      </c>
    </row>
    <row r="16" spans="2:16" ht="15" thickBot="1">
      <c r="B16" s="89" t="s">
        <v>121</v>
      </c>
      <c r="C16" s="90" t="n">
        <f>P15*(1+P16)</f>
        <v>1.9158000134870403</v>
      </c>
      <c r="D16" s="90" t="n">
        <f>C16*(1+P16)</f>
        <v>1.9732740126070114</v>
      </c>
      <c r="E16" s="90" t="n">
        <f>D16*(1+P16)</f>
        <v>2.0324722316620414</v>
      </c>
      <c r="F16" s="90" t="n">
        <f>E16*(1+P16)</f>
        <v>2.093446397249027</v>
      </c>
      <c r="G16" s="90" t="n">
        <f>F16*(1+P16)</f>
        <v>2.1562497877627402</v>
      </c>
      <c r="H16" s="90" t="n">
        <f>G16*(1+P16)</f>
        <v>2.220937279949749</v>
      </c>
      <c r="I16" s="90" t="n">
        <f>H16*(1+P16)</f>
        <v>2.287565396858993</v>
      </c>
      <c r="J16" s="90" t="n">
        <f>I16*(1+P16)</f>
        <v>2.3561923572308325</v>
      </c>
      <c r="K16" s="90" t="n">
        <f>J16*(1+P16)</f>
        <v>2.4268781263678103</v>
      </c>
      <c r="L16" s="90" t="n">
        <f>K16*(1+P16)</f>
        <v>2.4996844685315014</v>
      </c>
      <c r="M16" s="159" t="n">
        <f>L16*(1+P16)/(P17-P16)</f>
        <v>76.30598506797138</v>
      </c>
      <c r="N16" s="160"/>
      <c r="O16" s="88" t="s">
        <v>122</v>
      </c>
      <c r="P16" s="104" t="n">
        <v>0.029999999329447746</v>
      </c>
    </row>
    <row r="17" spans="2:16" ht="15" thickBot="1">
      <c r="B17" s="89" t="s">
        <v>123</v>
      </c>
      <c r="C17" s="90" t="n">
        <f>C16/(1+P17)</f>
        <v>1.8010015542378002</v>
      </c>
      <c r="D17" s="90" t="n">
        <f>D16/(1+P17)^2</f>
        <v>1.7438745018390787</v>
      </c>
      <c r="E17" s="90" t="n">
        <f>E16/(1+P17)^3</f>
        <v>1.6885594968025865</v>
      </c>
      <c r="F17" s="90" t="n">
        <f>F16/(1+P17)^4</f>
        <v>1.634999061707326</v>
      </c>
      <c r="G17" s="90" t="n">
        <f>G16/(1+P17)^5</f>
        <v>1.5831375422931673</v>
      </c>
      <c r="H17" s="90" t="n">
        <f>H16/(1+P17)^6</f>
        <v>1.5329210496309795</v>
      </c>
      <c r="I17" s="90" t="n">
        <f>I16/(1+P17)^7</f>
        <v>1.4842974041269865</v>
      </c>
      <c r="J17" s="90" t="n">
        <f>J16/(1+P17)^8</f>
        <v>1.4372160813033956</v>
      </c>
      <c r="K17" s="90" t="n">
        <f>K16/(1+P17)^9</f>
        <v>1.391628159298704</v>
      </c>
      <c r="L17" s="90" t="n">
        <f>L16/(1+P17)^10</f>
        <v>1.3474862680333926</v>
      </c>
      <c r="M17" s="159" t="n">
        <f>M16/POWER((1+P17),10)</f>
        <v>41.133698409646634</v>
      </c>
      <c r="N17" s="160"/>
      <c r="O17" s="91" t="s">
        <v>124</v>
      </c>
      <c r="P17" s="105" t="n">
        <f>WACC!$C$25</f>
        <v>0.0637414548472269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56.7788195289201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1.8600000143051147</v>
      </c>
    </row>
    <row r="25" spans="2:16" ht="15" thickBot="1">
      <c r="B25" s="89" t="s">
        <v>121</v>
      </c>
      <c r="C25" s="90" t="n">
        <f>P24*(1+P25)</f>
        <v>1.9251000150829474</v>
      </c>
      <c r="D25" s="90" t="n">
        <f>C25*(1+P25)</f>
        <v>1.9924785158977123</v>
      </c>
      <c r="E25" s="90" t="n">
        <f>D25*(1+P25)</f>
        <v>2.062215264251029</v>
      </c>
      <c r="F25" s="90" t="n">
        <f>E25*(1+P25)</f>
        <v>2.1343927988071068</v>
      </c>
      <c r="G25" s="90" t="n">
        <f>F25*(1+P25)</f>
        <v>2.2090965470834045</v>
      </c>
      <c r="H25" s="90" t="n">
        <f>G25*(1+P25)</f>
        <v>2.2864149265604965</v>
      </c>
      <c r="I25" s="90" t="n">
        <f>H25*(1+P25)</f>
        <v>2.3664394493308163</v>
      </c>
      <c r="J25" s="90" t="n">
        <f>I25*(1+P25)</f>
        <v>2.449264830410022</v>
      </c>
      <c r="K25" s="90" t="n">
        <f>J25*(1+P25)</f>
        <v>2.534989099839336</v>
      </c>
      <c r="L25" s="90" t="n">
        <f>K25*(1+P25)</f>
        <v>2.6237137187114556</v>
      </c>
      <c r="M25" s="159" t="n">
        <f>L25*(1+P25)/(P26-P25)</f>
        <v>94.48177650611197</v>
      </c>
      <c r="N25" s="160"/>
      <c r="O25" s="88" t="s">
        <v>122</v>
      </c>
      <c r="P25" s="104" t="n">
        <v>0.03500000014901161</v>
      </c>
    </row>
    <row r="26" spans="2:16" ht="15" thickBot="1">
      <c r="B26" s="89" t="s">
        <v>123</v>
      </c>
      <c r="C26" s="90" t="n">
        <f>C25/(1+P26)</f>
        <v>1.8097442816679778</v>
      </c>
      <c r="D26" s="90" t="n">
        <f>D25/(1+P26)^2</f>
        <v>1.760846419269284</v>
      </c>
      <c r="E26" s="90" t="n">
        <f>E25/(1+P26)^3</f>
        <v>1.7132697385266658</v>
      </c>
      <c r="F26" s="90" t="n">
        <f>F25/(1+P26)^4</f>
        <v>1.6669785421543664</v>
      </c>
      <c r="G26" s="90" t="n">
        <f>G25/(1+P26)^5</f>
        <v>1.6219380973790765</v>
      </c>
      <c r="H26" s="90" t="n">
        <f>H25/(1+P26)^6</f>
        <v>1.5781146098796455</v>
      </c>
      <c r="I26" s="90" t="n">
        <f>I25/(1+P26)^7</f>
        <v>1.5354751984307746</v>
      </c>
      <c r="J26" s="90" t="n">
        <f>J25/(1+P26)^8</f>
        <v>1.4939878702319624</v>
      </c>
      <c r="K26" s="90" t="n">
        <f>K25/(1+P26)^9</f>
        <v>1.4536214969029075</v>
      </c>
      <c r="L26" s="90" t="n">
        <f>L25/(1+P26)^10</f>
        <v>1.4143457911275843</v>
      </c>
      <c r="M26" s="159" t="n">
        <f>M25/POWER((1+P26),10)</f>
        <v>50.93158677590174</v>
      </c>
      <c r="N26" s="160"/>
      <c r="O26" s="91" t="s">
        <v>124</v>
      </c>
      <c r="P26" s="105" t="n">
        <f>WACC!$C$25</f>
        <v>0.0637414548472269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66.979908821472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33055.0</v>
      </c>
      <c r="D3" s="110" t="n">
        <v>34374.0</v>
      </c>
      <c r="E3" s="110" t="n">
        <v>37580.0</v>
      </c>
      <c r="F3" s="110" t="n">
        <v>41373.0</v>
      </c>
      <c r="G3" s="110" t="n">
        <v>36881.0</v>
      </c>
      <c r="H3" s="110" t="n">
        <v>38260.0</v>
      </c>
      <c r="I3" s="110" t="n">
        <v>40052.0</v>
      </c>
      <c r="J3" s="110" t="n">
        <v>42405.0</v>
      </c>
      <c r="K3" s="110" t="n">
        <v>43185.0</v>
      </c>
      <c r="L3" s="110" t="n">
        <v>47049.0</v>
      </c>
      <c r="M3" s="110" t="n">
        <v>53282.0</v>
      </c>
      <c r="Q3" s="107"/>
    </row>
    <row r="4" spans="2:17">
      <c r="B4" s="18" t="s">
        <v>27</v>
      </c>
      <c r="C4" s="113"/>
      <c r="D4" s="121" t="n">
        <f t="shared" ref="D4:M4" si="0">(D3-C3)/C3</f>
        <v>0.039903191650279835</v>
      </c>
      <c r="E4" s="121" t="n">
        <f t="shared" si="0"/>
        <v>0.09326816780124512</v>
      </c>
      <c r="F4" s="121" t="n">
        <f t="shared" si="0"/>
        <v>0.10093134646088345</v>
      </c>
      <c r="G4" s="121" t="n">
        <f t="shared" si="0"/>
        <v>-0.10857322408333937</v>
      </c>
      <c r="H4" s="121" t="n">
        <f t="shared" si="0"/>
        <v>0.03739052628724818</v>
      </c>
      <c r="I4" s="121" t="n">
        <f t="shared" si="0"/>
        <v>0.04683742812336644</v>
      </c>
      <c r="J4" s="121" t="n">
        <f t="shared" si="0"/>
        <v>0.05874862678517927</v>
      </c>
      <c r="K4" s="121" t="n">
        <f t="shared" si="0"/>
        <v>0.01839405730456314</v>
      </c>
      <c r="L4" s="121" t="n">
        <f t="shared" si="0"/>
        <v>0.08947551233067037</v>
      </c>
      <c r="M4" s="121" t="n">
        <f t="shared" si="0"/>
        <v>0.1324789049714128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583.0</v>
      </c>
      <c r="D6" s="110" t="n">
        <v>778.0</v>
      </c>
      <c r="E6" s="110" t="n">
        <v>864.0</v>
      </c>
      <c r="F6" s="110" t="n">
        <v>1220.0</v>
      </c>
      <c r="G6" s="110" t="n">
        <v>1768.0</v>
      </c>
      <c r="H6" s="110" t="n">
        <v>1774.0</v>
      </c>
      <c r="I6" s="110" t="n">
        <v>2970.0</v>
      </c>
      <c r="J6" s="110" t="n">
        <v>1980.0</v>
      </c>
      <c r="K6" s="110" t="n">
        <v>2061.0</v>
      </c>
      <c r="L6" s="110" t="n">
        <v>3047.0</v>
      </c>
      <c r="M6" s="110" t="n">
        <v>3238.0</v>
      </c>
      <c r="Q6" s="107"/>
    </row>
    <row r="7" spans="2:17">
      <c r="B7" s="18" t="s">
        <v>27</v>
      </c>
      <c r="C7" s="113"/>
      <c r="D7" s="121" t="n">
        <f t="shared" ref="D7" si="1">(D6-C6)/C6</f>
        <v>0.3344768439108062</v>
      </c>
      <c r="E7" s="121" t="n">
        <f t="shared" ref="E7" si="2">(E6-D6)/D6</f>
        <v>0.11053984575835475</v>
      </c>
      <c r="F7" s="121" t="n">
        <f t="shared" ref="F7" si="3">(F6-E6)/E6</f>
        <v>0.41203703703703703</v>
      </c>
      <c r="G7" s="121" t="n">
        <f t="shared" ref="G7" si="4">(G6-F6)/F6</f>
        <v>0.4491803278688525</v>
      </c>
      <c r="H7" s="121" t="n">
        <f t="shared" ref="H7" si="5">(H6-G6)/G6</f>
        <v>0.003393665158371041</v>
      </c>
      <c r="I7" s="121" t="n">
        <f t="shared" ref="I7" si="6">(I6-H6)/H6</f>
        <v>0.6741826381059752</v>
      </c>
      <c r="J7" s="121" t="n">
        <f t="shared" ref="J7" si="7">(J6-I6)/I6</f>
        <v>-0.3333333333333333</v>
      </c>
      <c r="K7" s="121" t="n">
        <f t="shared" ref="K7" si="8">(K6-J6)/J6</f>
        <v>0.04090909090909091</v>
      </c>
      <c r="L7" s="121" t="n">
        <f t="shared" ref="L7" si="9">(L6-K6)/K6</f>
        <v>0.4784085395439107</v>
      </c>
      <c r="M7" s="121" t="n">
        <f t="shared" ref="M7" si="10">(M6-L6)/L6</f>
        <v>0.0626846078109616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1785.0</v>
      </c>
      <c r="D9" s="110" t="n">
        <v>1894.0</v>
      </c>
      <c r="E9" s="110" t="n">
        <v>1960.0</v>
      </c>
      <c r="F9" s="110" t="n">
        <v>2880.0</v>
      </c>
      <c r="G9" s="110" t="n">
        <v>3538.0</v>
      </c>
      <c r="H9" s="110" t="n">
        <v>3682.0</v>
      </c>
      <c r="I9" s="110" t="n">
        <v>3912.0</v>
      </c>
      <c r="J9" s="110" t="n">
        <v>3962.0</v>
      </c>
      <c r="K9" s="110" t="n">
        <v>4248.0</v>
      </c>
      <c r="L9" s="110" t="n">
        <v>5670.0</v>
      </c>
      <c r="M9" s="110" t="n">
        <v>5646.0</v>
      </c>
      <c r="Q9" s="107"/>
    </row>
    <row r="10" spans="2:17">
      <c r="B10" s="18" t="s">
        <v>27</v>
      </c>
      <c r="C10" s="113"/>
      <c r="D10" s="121" t="n">
        <f t="shared" ref="D10" si="11">(D9-C9)/C9</f>
        <v>0.06106442577030812</v>
      </c>
      <c r="E10" s="121" t="n">
        <f t="shared" ref="E10" si="12">(E9-D9)/D9</f>
        <v>0.03484688489968321</v>
      </c>
      <c r="F10" s="121" t="n">
        <f t="shared" ref="F10" si="13">(F9-E9)/E9</f>
        <v>0.46938775510204084</v>
      </c>
      <c r="G10" s="121" t="n">
        <f t="shared" ref="G10" si="14">(G9-F9)/F9</f>
        <v>0.22847222222222222</v>
      </c>
      <c r="H10" s="121" t="n">
        <f t="shared" ref="H10" si="15">(H9-G9)/G9</f>
        <v>0.04070096099491238</v>
      </c>
      <c r="I10" s="121" t="n">
        <f t="shared" ref="I10" si="16">(I9-H9)/H9</f>
        <v>0.06246605105920695</v>
      </c>
      <c r="J10" s="121" t="n">
        <f t="shared" ref="J10" si="17">(J9-I9)/I9</f>
        <v>0.01278118609406953</v>
      </c>
      <c r="K10" s="121" t="n">
        <f t="shared" ref="K10" si="18">(K9-J9)/J9</f>
        <v>0.07218576476527007</v>
      </c>
      <c r="L10" s="121" t="n">
        <f t="shared" ref="L10" si="19">(L9-K9)/K9</f>
        <v>0.3347457627118644</v>
      </c>
      <c r="M10" s="121" t="n">
        <f t="shared" ref="M10" si="20">(M9-L9)/L9</f>
        <v>-0.004232804232804233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370.0</v>
      </c>
      <c r="D12" s="110" t="n">
        <v>367.0</v>
      </c>
      <c r="E12" s="110" t="n">
        <v>364.0</v>
      </c>
      <c r="F12" s="110" t="n">
        <v>413.0</v>
      </c>
      <c r="G12" s="110" t="n">
        <v>390.0</v>
      </c>
      <c r="H12" s="110" t="n">
        <v>370.0</v>
      </c>
      <c r="I12" s="110" t="n">
        <v>369.0</v>
      </c>
      <c r="J12" s="110" t="n">
        <v>366.0</v>
      </c>
      <c r="K12" s="110" t="n">
        <v>365.0</v>
      </c>
      <c r="L12" s="110" t="n">
        <v>365.0</v>
      </c>
      <c r="M12" s="110" t="n">
        <v>363.0</v>
      </c>
      <c r="Q12" s="107"/>
    </row>
    <row r="13" spans="2:17">
      <c r="B13" s="18" t="s">
        <v>27</v>
      </c>
      <c r="C13" s="113"/>
      <c r="D13" s="121" t="n">
        <f t="shared" ref="D13" si="21">(D12-C12)/C12</f>
        <v>-0.008108108108108109</v>
      </c>
      <c r="E13" s="121" t="n">
        <f t="shared" ref="E13" si="22">(E12-D12)/D12</f>
        <v>-0.008174386920980926</v>
      </c>
      <c r="F13" s="121" t="n">
        <f t="shared" ref="F13" si="23">(F12-E12)/E12</f>
        <v>0.1346153846153846</v>
      </c>
      <c r="G13" s="121" t="n">
        <f t="shared" ref="G13" si="24">(G12-F12)/F12</f>
        <v>-0.05569007263922518</v>
      </c>
      <c r="H13" s="121" t="n">
        <f t="shared" ref="H13" si="25">(H12-G12)/G12</f>
        <v>-0.05128205128205128</v>
      </c>
      <c r="I13" s="121" t="n">
        <f t="shared" ref="I13" si="26">(I12-H12)/H12</f>
        <v>-0.002702702702702703</v>
      </c>
      <c r="J13" s="121" t="n">
        <f t="shared" ref="J13" si="27">(J12-I12)/I12</f>
        <v>-0.008130081300813009</v>
      </c>
      <c r="K13" s="121" t="n">
        <f t="shared" ref="K13" si="28">(K12-J12)/J12</f>
        <v>-0.00273224043715847</v>
      </c>
      <c r="L13" s="121" t="n">
        <f t="shared" ref="L13" si="29">(L12-K12)/K12</f>
        <v>0.0</v>
      </c>
      <c r="M13" s="121" t="n">
        <f t="shared" ref="M13" si="30">(M12-L12)/L12</f>
        <v>-0.005479452054794521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1.5800000429153442</v>
      </c>
      <c r="D15" s="110" t="n">
        <v>2.119999885559082</v>
      </c>
      <c r="E15" s="110" t="n">
        <v>2.369999885559082</v>
      </c>
      <c r="F15" s="110" t="n">
        <v>2.950000047683716</v>
      </c>
      <c r="G15" s="110" t="n">
        <v>4.53000020980835</v>
      </c>
      <c r="H15" s="110" t="n">
        <v>4.789999961853027</v>
      </c>
      <c r="I15" s="110" t="n">
        <v>8.039999961853027</v>
      </c>
      <c r="J15" s="110" t="n">
        <v>5.400000095367432</v>
      </c>
      <c r="K15" s="110" t="n">
        <v>5.639999866485596</v>
      </c>
      <c r="L15" s="110" t="n">
        <v>8.34000015258789</v>
      </c>
      <c r="M15" s="110" t="n">
        <v>8.920000076293945</v>
      </c>
      <c r="Q15" s="107"/>
    </row>
    <row r="16" spans="2:17">
      <c r="B16" s="18" t="s">
        <v>27</v>
      </c>
      <c r="D16" s="121" t="n">
        <f t="shared" ref="D16" si="31">(D15-C15)/C15</f>
        <v>0.34177204302308517</v>
      </c>
      <c r="E16" s="121" t="n">
        <f t="shared" ref="E16" si="32">(E15-D15)/D15</f>
        <v>0.11792453466763785</v>
      </c>
      <c r="F16" s="121" t="n">
        <f t="shared" ref="F16" si="33">(F15-E15)/E15</f>
        <v>0.244725818620794</v>
      </c>
      <c r="G16" s="121" t="n">
        <f t="shared" ref="G16" si="34">(G15-F15)/F15</f>
        <v>0.5355932666391697</v>
      </c>
      <c r="H16" s="121" t="n">
        <f t="shared" ref="H16" si="35">(H15-G15)/G15</f>
        <v>0.0573950860933134</v>
      </c>
      <c r="I16" s="121" t="n">
        <f t="shared" ref="I16" si="36">(I15-H15)/H15</f>
        <v>0.6784968738794572</v>
      </c>
      <c r="J16" s="121" t="n">
        <f t="shared" ref="J16" si="37">(J15-I15)/I15</f>
        <v>-0.3283581939068993</v>
      </c>
      <c r="K16" s="121" t="n">
        <f t="shared" ref="K16" si="38">(K15-J15)/J15</f>
        <v>0.044444401274002905</v>
      </c>
      <c r="L16" s="121" t="n">
        <f t="shared" ref="L16" si="39">(L15-K15)/K15</f>
        <v>0.4787234663153841</v>
      </c>
      <c r="M16" s="121" t="n">
        <f t="shared" ref="M16" si="40">(M15-L15)/L15</f>
        <v>0.069544354088061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497.0</v>
      </c>
      <c r="D20" s="128" t="n">
        <v>756.0</v>
      </c>
      <c r="E20" s="128" t="n">
        <v>546.0</v>
      </c>
      <c r="F20" s="128" t="n">
        <v>1716.0</v>
      </c>
      <c r="G20" s="128" t="n">
        <v>2021.0</v>
      </c>
      <c r="H20" s="128" t="n">
        <v>1530.0</v>
      </c>
      <c r="I20" s="128" t="n">
        <v>1763.0</v>
      </c>
      <c r="J20" s="128" t="n">
        <v>1254.0</v>
      </c>
      <c r="K20" s="128" t="n">
        <v>2675.0</v>
      </c>
      <c r="L20" s="128" t="n">
        <v>2631.0</v>
      </c>
      <c r="M20" s="128" t="n">
        <v>800.0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-0.2777777777777778</v>
      </c>
      <c r="F21" s="131" t="n">
        <f t="shared" ref="F21" si="42">(F20-E20)/E20</f>
        <v>2.142857142857143</v>
      </c>
      <c r="G21" s="131" t="n">
        <f t="shared" ref="G21" si="43">(G20-F20)/F20</f>
        <v>0.17773892773892774</v>
      </c>
      <c r="H21" s="131" t="n">
        <f t="shared" ref="H21" si="44">(H20-G20)/G20</f>
        <v>-0.2429490351311232</v>
      </c>
      <c r="I21" s="131" t="n">
        <f t="shared" ref="I21" si="45">(I20-H20)/H20</f>
        <v>0.1522875816993464</v>
      </c>
      <c r="J21" s="131" t="n">
        <f t="shared" ref="J21" si="46">(J20-I20)/I20</f>
        <v>-0.288712422007941</v>
      </c>
      <c r="K21" s="131" t="n">
        <f t="shared" ref="K21" si="47">(K20-J20)/J20</f>
        <v>1.1331738437001595</v>
      </c>
      <c r="L21" s="131" t="n">
        <f t="shared" ref="L21" si="48">(L20-K20)/K20</f>
        <v>-0.01644859813084112</v>
      </c>
      <c r="M21" s="131" t="n">
        <f t="shared" ref="M21" si="49">(M20-L20)/L20</f>
        <v>-0.6959331052831623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57.0</v>
      </c>
      <c r="D23" s="130" t="n">
        <v>104.0</v>
      </c>
      <c r="E23" s="130" t="n">
        <v>104.0</v>
      </c>
      <c r="F23" s="130" t="n">
        <v>147.0</v>
      </c>
      <c r="G23" s="130" t="n">
        <v>216.0</v>
      </c>
      <c r="H23" s="130" t="n">
        <v>319.0</v>
      </c>
      <c r="I23" s="130" t="n">
        <v>431.0</v>
      </c>
      <c r="J23" s="130" t="n">
        <v>537.0</v>
      </c>
      <c r="K23" s="130" t="n">
        <v>601.0</v>
      </c>
      <c r="L23" s="130" t="n">
        <v>636.0</v>
      </c>
      <c r="M23" s="130" t="n">
        <v>653.0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n">
        <f t="shared" ref="D24" si="50">(D23-C23)/C23</f>
        <v>0.8245614035087719</v>
      </c>
      <c r="E24" s="121" t="n">
        <f t="shared" ref="E24" si="51">(E23-D23)/D23</f>
        <v>0.0</v>
      </c>
      <c r="F24" s="121" t="n">
        <f t="shared" ref="F24" si="52">(F23-E23)/E23</f>
        <v>0.41346153846153844</v>
      </c>
      <c r="G24" s="121" t="n">
        <f t="shared" ref="G24" si="53">(G23-F23)/F23</f>
        <v>0.46938775510204084</v>
      </c>
      <c r="H24" s="121" t="n">
        <f t="shared" ref="H24" si="54">(H23-G23)/G23</f>
        <v>0.47685185185185186</v>
      </c>
      <c r="I24" s="121" t="n">
        <f t="shared" ref="I24" si="55">(I23-H23)/H23</f>
        <v>0.3510971786833856</v>
      </c>
      <c r="J24" s="121" t="n">
        <f t="shared" ref="J24" si="56">(J23-I23)/I23</f>
        <v>0.2459396751740139</v>
      </c>
      <c r="K24" s="121" t="n">
        <f t="shared" ref="K24" si="57">(K23-J23)/J23</f>
        <v>0.1191806331471136</v>
      </c>
      <c r="L24" s="121" t="n">
        <f t="shared" ref="L24" si="58">(L23-K23)/K23</f>
        <v>0.05823627287853577</v>
      </c>
      <c r="M24" s="121" t="n">
        <f t="shared" ref="M24" si="59">(M23-L23)/L23</f>
        <v>0.026729559748427674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5403.0</v>
      </c>
      <c r="D28" s="110" t="n">
        <v>5604.0</v>
      </c>
      <c r="E28" s="110" t="n">
        <v>6221.0</v>
      </c>
      <c r="F28" s="110" t="n">
        <v>5381.0</v>
      </c>
      <c r="G28" s="110" t="n">
        <v>4888.0</v>
      </c>
      <c r="H28" s="110" t="n">
        <v>6258.0</v>
      </c>
      <c r="I28" s="110" t="n">
        <v>5688.0</v>
      </c>
      <c r="J28" s="110" t="n">
        <v>6990.0</v>
      </c>
      <c r="K28" s="110" t="n">
        <v>7598.0</v>
      </c>
      <c r="L28" s="110" t="n">
        <v>9822.0</v>
      </c>
      <c r="M28" s="110" t="n">
        <v>9630.0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0.03720155469183787</v>
      </c>
      <c r="E29" s="121" t="n">
        <f t="shared" ref="E29" si="61">(E28-D28)/D28</f>
        <v>0.11009992862241257</v>
      </c>
      <c r="F29" s="121" t="n">
        <f t="shared" ref="F29" si="62">(F28-E28)/E28</f>
        <v>-0.13502652306703103</v>
      </c>
      <c r="G29" s="121" t="n">
        <f t="shared" ref="G29" si="63">(G28-F28)/F28</f>
        <v>-0.09161865824196246</v>
      </c>
      <c r="H29" s="121" t="n">
        <f t="shared" ref="H29" si="64">(H28-G28)/G28</f>
        <v>0.280278232405892</v>
      </c>
      <c r="I29" s="121" t="n">
        <f t="shared" ref="I29" si="65">(I28-H28)/H28</f>
        <v>-0.09108341323106424</v>
      </c>
      <c r="J29" s="121" t="n">
        <f t="shared" ref="J29" si="66">(J28-I28)/I28</f>
        <v>0.2289029535864979</v>
      </c>
      <c r="K29" s="121" t="n">
        <f t="shared" ref="K29" si="67">(K28-J28)/J28</f>
        <v>0.08698140200286122</v>
      </c>
      <c r="L29" s="121" t="n">
        <f t="shared" ref="L29" si="68">(L28-K28)/K28</f>
        <v>0.2927086075282969</v>
      </c>
      <c r="M29" s="121" t="n">
        <f t="shared" ref="M29" si="69">(M28-L28)/L28</f>
        <v>-0.019547953573610263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6493.0</v>
      </c>
      <c r="D31" s="110" t="n">
        <v>6573.0</v>
      </c>
      <c r="E31" s="110" t="n">
        <v>17735.0</v>
      </c>
      <c r="F31" s="110" t="n">
        <v>17588.0</v>
      </c>
      <c r="G31" s="110" t="n">
        <v>17485.0</v>
      </c>
      <c r="H31" s="110" t="n">
        <v>21808.0</v>
      </c>
      <c r="I31" s="110" t="n">
        <v>23421.0</v>
      </c>
      <c r="J31" s="110" t="n">
        <v>25928.0</v>
      </c>
      <c r="K31" s="110" t="n">
        <v>26858.0</v>
      </c>
      <c r="L31" s="110" t="n">
        <v>26487.0</v>
      </c>
      <c r="M31" s="110" t="n">
        <v>27191.0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0.012320961034960727</v>
      </c>
      <c r="E32" s="121" t="n">
        <f t="shared" ref="E32" si="71">(E31-D31)/D31</f>
        <v>1.6981591358588164</v>
      </c>
      <c r="F32" s="121" t="n">
        <f t="shared" ref="F32" si="72">(F31-E31)/E31</f>
        <v>-0.008288694671553425</v>
      </c>
      <c r="G32" s="121" t="n">
        <f t="shared" ref="G32" si="73">(G31-F31)/F31</f>
        <v>-0.005856265635660678</v>
      </c>
      <c r="H32" s="121" t="n">
        <f t="shared" ref="H32" si="74">(H31-G31)/G31</f>
        <v>0.24724049185015728</v>
      </c>
      <c r="I32" s="121" t="n">
        <f t="shared" ref="I32" si="75">(I31-H31)/H31</f>
        <v>0.07396368305209097</v>
      </c>
      <c r="J32" s="121" t="n">
        <f t="shared" ref="J32" si="76">(J31-I31)/I31</f>
        <v>0.1070406899790786</v>
      </c>
      <c r="K32" s="121" t="n">
        <f t="shared" ref="K32" si="77">(K31-J31)/J31</f>
        <v>0.03586855908670163</v>
      </c>
      <c r="L32" s="121" t="n">
        <f t="shared" ref="L32" si="78">(L31-K31)/K31</f>
        <v>-0.013813388934395711</v>
      </c>
      <c r="M32" s="121" t="n">
        <f t="shared" ref="M32" si="79">(M31-L31)/L31</f>
        <v>0.02657907652810813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12177.0</v>
      </c>
      <c r="E34" s="111" t="n">
        <f t="shared" ref="E34:M34" si="80">E28+E31</f>
        <v>23956.0</v>
      </c>
      <c r="F34" s="111" t="n">
        <f t="shared" si="80"/>
        <v>22969.0</v>
      </c>
      <c r="G34" s="111" t="n">
        <f t="shared" si="80"/>
        <v>22373.0</v>
      </c>
      <c r="H34" s="111" t="n">
        <f t="shared" si="80"/>
        <v>28066.0</v>
      </c>
      <c r="I34" s="111" t="n">
        <f t="shared" si="80"/>
        <v>29109.0</v>
      </c>
      <c r="J34" s="111" t="n">
        <f t="shared" si="80"/>
        <v>32918.0</v>
      </c>
      <c r="K34" s="111" t="n">
        <f t="shared" si="80"/>
        <v>34456.0</v>
      </c>
      <c r="L34" s="111" t="n">
        <f t="shared" si="80"/>
        <v>36309.0</v>
      </c>
      <c r="M34" s="111" t="n">
        <f t="shared" si="80"/>
        <v>36821.0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2830.0</v>
      </c>
      <c r="D36" s="118" t="n">
        <v>3010.0</v>
      </c>
      <c r="E36" s="110" t="n">
        <v>3797.0</v>
      </c>
      <c r="F36" s="110" t="n">
        <v>3535.0</v>
      </c>
      <c r="G36" s="110" t="n">
        <v>2762.0</v>
      </c>
      <c r="H36" s="110" t="n">
        <v>4032.0</v>
      </c>
      <c r="I36" s="110" t="n">
        <v>5031.0</v>
      </c>
      <c r="J36" s="110" t="n">
        <v>5513.0</v>
      </c>
      <c r="K36" s="110" t="n">
        <v>4234.0</v>
      </c>
      <c r="L36" s="110" t="n">
        <v>6325.0</v>
      </c>
      <c r="M36" s="110" t="n">
        <v>5313.0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0.0636042402826855</v>
      </c>
      <c r="E37" s="121" t="n">
        <f t="shared" ref="E37" si="82">(E36-D36)/D36</f>
        <v>0.2614617940199336</v>
      </c>
      <c r="F37" s="121" t="n">
        <f t="shared" ref="F37" si="83">(F36-E36)/E36</f>
        <v>-0.06900184356070582</v>
      </c>
      <c r="G37" s="121" t="n">
        <f t="shared" ref="G37" si="84">(G36-F36)/F36</f>
        <v>-0.21867043847241868</v>
      </c>
      <c r="H37" s="121" t="n">
        <f t="shared" ref="H37" si="85">(H36-G36)/G36</f>
        <v>0.45981173062997827</v>
      </c>
      <c r="I37" s="121" t="n">
        <f t="shared" ref="I37" si="86">(I36-H36)/H36</f>
        <v>0.24776785714285715</v>
      </c>
      <c r="J37" s="121" t="n">
        <f t="shared" ref="J37" si="87">(J36-I36)/I36</f>
        <v>0.09580600278274697</v>
      </c>
      <c r="K37" s="121" t="n">
        <f t="shared" ref="K37" si="88">(K36-J36)/J36</f>
        <v>-0.23199709776890984</v>
      </c>
      <c r="L37" s="121" t="n">
        <f t="shared" ref="L37" si="89">(L36-K36)/K36</f>
        <v>0.49385923476617855</v>
      </c>
      <c r="M37" s="121" t="n">
        <f t="shared" ref="M37" si="90">(M36-L36)/L36</f>
        <v>-0.16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3024.0</v>
      </c>
      <c r="D39" s="110" t="n">
        <v>2934.0</v>
      </c>
      <c r="E39" s="110" t="n">
        <v>11255.0</v>
      </c>
      <c r="F39" s="110" t="n">
        <v>9728.0</v>
      </c>
      <c r="G39" s="110" t="n">
        <v>9987.0</v>
      </c>
      <c r="H39" s="110" t="n">
        <v>13475.0</v>
      </c>
      <c r="I39" s="110" t="n">
        <v>11267.0</v>
      </c>
      <c r="J39" s="110" t="n">
        <v>13311.0</v>
      </c>
      <c r="K39" s="110" t="n">
        <v>14836.0</v>
      </c>
      <c r="L39" s="110" t="n">
        <v>12130.0</v>
      </c>
      <c r="M39" s="110" t="n">
        <v>11697.0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-0.02976190476190476</v>
      </c>
      <c r="E40" s="121" t="n">
        <f t="shared" ref="E40" si="92">(E39-D39)/D39</f>
        <v>2.8360599863667346</v>
      </c>
      <c r="F40" s="121" t="n">
        <f t="shared" ref="F40" si="93">(F39-E39)/E39</f>
        <v>-0.1356730342070191</v>
      </c>
      <c r="G40" s="121" t="n">
        <f t="shared" ref="G40" si="94">(G39-F39)/F39</f>
        <v>0.026624177631578948</v>
      </c>
      <c r="H40" s="121" t="n">
        <f t="shared" ref="H40" si="95">(H39-G39)/G39</f>
        <v>0.3492540302393111</v>
      </c>
      <c r="I40" s="121" t="n">
        <f t="shared" ref="I40" si="96">(I39-H39)/H39</f>
        <v>-0.16385899814471244</v>
      </c>
      <c r="J40" s="121" t="n">
        <f t="shared" ref="J40" si="97">(J39-I39)/I39</f>
        <v>0.18141475104286856</v>
      </c>
      <c r="K40" s="121" t="n">
        <f t="shared" ref="K40" si="98">(K39-J39)/J39</f>
        <v>0.11456689955675757</v>
      </c>
      <c r="L40" s="121" t="n">
        <f t="shared" ref="L40" si="99">(L39-K39)/K39</f>
        <v>-0.18239417632785118</v>
      </c>
      <c r="M40" s="121" t="n">
        <f t="shared" ref="M40" si="100">(M39-L39)/L39</f>
        <v>-0.035696619950535864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5944.0</v>
      </c>
      <c r="E42" s="111" t="n">
        <f t="shared" ref="E42:M42" si="101">E36+E39</f>
        <v>15052.0</v>
      </c>
      <c r="F42" s="111" t="n">
        <f t="shared" si="101"/>
        <v>13263.0</v>
      </c>
      <c r="G42" s="111" t="n">
        <f t="shared" si="101"/>
        <v>12749.0</v>
      </c>
      <c r="H42" s="111" t="n">
        <f t="shared" si="101"/>
        <v>17507.0</v>
      </c>
      <c r="I42" s="111" t="n">
        <f t="shared" si="101"/>
        <v>16298.0</v>
      </c>
      <c r="J42" s="111" t="n">
        <f t="shared" si="101"/>
        <v>18824.0</v>
      </c>
      <c r="K42" s="111" t="n">
        <f t="shared" si="101"/>
        <v>19070.0</v>
      </c>
      <c r="L42" s="111" t="n">
        <f t="shared" si="101"/>
        <v>18455.0</v>
      </c>
      <c r="M42" s="111" t="n">
        <f t="shared" si="101"/>
        <v>17010.0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6233.0</v>
      </c>
      <c r="E44" s="134" t="n">
        <f t="shared" ref="E44:M44" si="102">E34-E42</f>
        <v>8904.0</v>
      </c>
      <c r="F44" s="134" t="n">
        <f t="shared" si="102"/>
        <v>9706.0</v>
      </c>
      <c r="G44" s="134" t="n">
        <f t="shared" si="102"/>
        <v>9624.0</v>
      </c>
      <c r="H44" s="134" t="n">
        <f t="shared" si="102"/>
        <v>10559.0</v>
      </c>
      <c r="I44" s="134" t="n">
        <f t="shared" si="102"/>
        <v>12811.0</v>
      </c>
      <c r="J44" s="134" t="n">
        <f t="shared" si="102"/>
        <v>14094.0</v>
      </c>
      <c r="K44" s="134" t="n">
        <f t="shared" si="102"/>
        <v>15386.0</v>
      </c>
      <c r="L44" s="134" t="n">
        <f t="shared" si="102"/>
        <v>17854.0</v>
      </c>
      <c r="M44" s="134" t="n">
        <f t="shared" si="102"/>
        <v>19811.0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1917.0</v>
      </c>
      <c r="D46" s="133" t="n">
        <v>1895.0</v>
      </c>
      <c r="E46" s="133" t="n">
        <v>7535.0</v>
      </c>
      <c r="F46" s="133" t="n">
        <v>5975.0</v>
      </c>
      <c r="G46" s="133" t="n">
        <v>6200.0</v>
      </c>
      <c r="H46" s="133" t="n">
        <v>9297.0</v>
      </c>
      <c r="I46" s="133" t="n">
        <v>7962.0</v>
      </c>
      <c r="J46" s="133" t="n">
        <v>9830.0</v>
      </c>
      <c r="K46" s="136" t="n">
        <v>10791.0</v>
      </c>
      <c r="L46" s="133" t="n">
        <v>8281.0</v>
      </c>
      <c r="M46" s="133" t="n">
        <v>7862.0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0.022633385698493047</v>
      </c>
      <c r="E50" s="126" t="n">
        <f t="shared" si="103"/>
        <v>0.022990952634379988</v>
      </c>
      <c r="F50" s="126" t="n">
        <f t="shared" si="103"/>
        <v>0.02948783022744302</v>
      </c>
      <c r="G50" s="126" t="n">
        <f t="shared" si="103"/>
        <v>0.04793796263658794</v>
      </c>
      <c r="H50" s="126" t="n">
        <f t="shared" si="103"/>
        <v>0.04636696288552013</v>
      </c>
      <c r="I50" s="126" t="n">
        <f t="shared" si="103"/>
        <v>0.07415360031958454</v>
      </c>
      <c r="J50" s="126" t="n">
        <f t="shared" si="103"/>
        <v>0.04669260700389105</v>
      </c>
      <c r="K50" s="126" t="n">
        <f t="shared" si="103"/>
        <v>0.047724904480722474</v>
      </c>
      <c r="L50" s="126" t="n">
        <f t="shared" si="103"/>
        <v>0.06476226912367956</v>
      </c>
      <c r="M50" s="126" t="n">
        <f t="shared" si="103"/>
        <v>0.06077099207987688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0.05509978472101006</v>
      </c>
      <c r="E51" s="126" t="n">
        <f t="shared" si="104"/>
        <v>0.052155401809473124</v>
      </c>
      <c r="F51" s="126" t="n">
        <f t="shared" si="104"/>
        <v>0.06961061561888188</v>
      </c>
      <c r="G51" s="126" t="n">
        <f t="shared" si="104"/>
        <v>0.09593015373769692</v>
      </c>
      <c r="H51" s="126" t="n">
        <f t="shared" si="104"/>
        <v>0.09623627809722948</v>
      </c>
      <c r="I51" s="126" t="n">
        <f t="shared" si="104"/>
        <v>0.09767302506741236</v>
      </c>
      <c r="J51" s="126" t="n">
        <f t="shared" si="104"/>
        <v>0.09343237825728098</v>
      </c>
      <c r="K51" s="126" t="n">
        <f t="shared" si="104"/>
        <v>0.09836748871135811</v>
      </c>
      <c r="L51" s="126" t="n">
        <f t="shared" si="104"/>
        <v>0.12051265701715233</v>
      </c>
      <c r="M51" s="126" t="n">
        <f t="shared" si="104"/>
        <v>0.10596449082241657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0.021993367079769593</v>
      </c>
      <c r="E52" s="126" t="n">
        <f t="shared" si="105"/>
        <v>0.014529004789781799</v>
      </c>
      <c r="F52" s="126" t="n">
        <f t="shared" si="105"/>
        <v>0.04147632513958378</v>
      </c>
      <c r="G52" s="126" t="n">
        <f t="shared" si="105"/>
        <v>0.05479786339849787</v>
      </c>
      <c r="H52" s="126" t="n">
        <f t="shared" si="105"/>
        <v>0.03998954521693675</v>
      </c>
      <c r="I52" s="126" t="n">
        <f t="shared" si="105"/>
        <v>0.044017776890042944</v>
      </c>
      <c r="J52" s="126" t="n">
        <f t="shared" si="105"/>
        <v>0.029571984435797664</v>
      </c>
      <c r="K52" s="126" t="n">
        <f t="shared" si="105"/>
        <v>0.06194280421442631</v>
      </c>
      <c r="L52" s="126" t="n">
        <f t="shared" si="105"/>
        <v>0.05592042338838232</v>
      </c>
      <c r="M52" s="126" t="n">
        <f t="shared" si="105"/>
        <v>0.015014451409481626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0.13756613756613756</v>
      </c>
      <c r="E55" s="126" t="n">
        <f t="shared" ref="E55:M55" si="106">E23/E20</f>
        <v>0.19047619047619047</v>
      </c>
      <c r="F55" s="126" t="n">
        <f t="shared" si="106"/>
        <v>0.08566433566433566</v>
      </c>
      <c r="G55" s="126" t="n">
        <f t="shared" si="106"/>
        <v>0.10687778327560614</v>
      </c>
      <c r="H55" s="126" t="n">
        <f t="shared" si="106"/>
        <v>0.2084967320261438</v>
      </c>
      <c r="I55" s="126" t="n">
        <f t="shared" si="106"/>
        <v>0.24446965399886558</v>
      </c>
      <c r="J55" s="126" t="n">
        <f t="shared" si="106"/>
        <v>0.42822966507177035</v>
      </c>
      <c r="K55" s="126" t="n">
        <f t="shared" si="106"/>
        <v>0.22467289719626168</v>
      </c>
      <c r="L55" s="126" t="n">
        <f t="shared" si="106"/>
        <v>0.24173318129988597</v>
      </c>
      <c r="M55" s="126" t="n">
        <f t="shared" si="106"/>
        <v>0.81625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0.9536338841649286</v>
      </c>
      <c r="E58" s="112" t="n">
        <f t="shared" ref="E58:M58" si="107">E42/E44</f>
        <v>1.6904761904761905</v>
      </c>
      <c r="F58" s="112" t="n">
        <f t="shared" si="107"/>
        <v>1.366474345765506</v>
      </c>
      <c r="G58" s="112" t="n">
        <f t="shared" si="107"/>
        <v>1.3247090606816292</v>
      </c>
      <c r="H58" s="112" t="n">
        <f t="shared" si="107"/>
        <v>1.6580168576569752</v>
      </c>
      <c r="I58" s="112" t="n">
        <f t="shared" si="107"/>
        <v>1.272187963468894</v>
      </c>
      <c r="J58" s="112" t="n">
        <f t="shared" si="107"/>
        <v>1.3356038030367532</v>
      </c>
      <c r="K58" s="112" t="n">
        <f t="shared" si="107"/>
        <v>1.2394384505394513</v>
      </c>
      <c r="L58" s="112" t="n">
        <f t="shared" si="107"/>
        <v>1.0336619244987117</v>
      </c>
      <c r="M58" s="112" t="n">
        <f t="shared" si="107"/>
        <v>0.8586139013679269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1.8617940199335548</v>
      </c>
      <c r="E59" s="112" t="n">
        <f t="shared" ref="E59:M59" si="108">E28/E36</f>
        <v>1.6383987358440875</v>
      </c>
      <c r="F59" s="112" t="n">
        <f t="shared" si="108"/>
        <v>1.5222065063649222</v>
      </c>
      <c r="G59" s="112" t="n">
        <f t="shared" si="108"/>
        <v>1.7697320782041999</v>
      </c>
      <c r="H59" s="112" t="n">
        <f t="shared" si="108"/>
        <v>1.5520833333333333</v>
      </c>
      <c r="I59" s="112" t="n">
        <f t="shared" si="108"/>
        <v>1.1305903398926656</v>
      </c>
      <c r="J59" s="112" t="n">
        <f t="shared" si="108"/>
        <v>1.267912207509523</v>
      </c>
      <c r="K59" s="112" t="n">
        <f t="shared" si="108"/>
        <v>1.7945205479452055</v>
      </c>
      <c r="L59" s="112" t="n">
        <f t="shared" si="108"/>
        <v>1.5528853754940712</v>
      </c>
      <c r="M59" s="112" t="n">
        <f t="shared" si="108"/>
        <v>1.8125352907961603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1.0005279831045406</v>
      </c>
      <c r="E60" s="112" t="n">
        <f t="shared" ref="E60:M60" si="109">E46/E9</f>
        <v>3.8443877551020407</v>
      </c>
      <c r="F60" s="112" t="n">
        <f t="shared" si="109"/>
        <v>2.0746527777777777</v>
      </c>
      <c r="G60" s="112" t="n">
        <f t="shared" si="109"/>
        <v>1.7524024872809496</v>
      </c>
      <c r="H60" s="112" t="n">
        <f t="shared" si="109"/>
        <v>2.5249864204236827</v>
      </c>
      <c r="I60" s="112" t="n">
        <f t="shared" si="109"/>
        <v>2.035276073619632</v>
      </c>
      <c r="J60" s="112" t="n">
        <f t="shared" si="109"/>
        <v>2.481070166582534</v>
      </c>
      <c r="K60" s="112" t="n">
        <f t="shared" si="109"/>
        <v>2.5402542372881354</v>
      </c>
      <c r="L60" s="112" t="n">
        <f t="shared" si="109"/>
        <v>1.460493827160494</v>
      </c>
      <c r="M60" s="112" t="n">
        <f t="shared" si="109"/>
        <v>1.3924902585901524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-0.14617761843909893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0.005673066387681391</v>
      </c>
    </row>
    <row r="65" spans="2:13">
      <c r="B65" s="10" t="s">
        <v>74</v>
      </c>
      <c r="C65" s="114"/>
      <c r="D65" s="121" t="n">
        <f>(M6/I6)^0.2 - 1</f>
        <v>0.01742892212394387</v>
      </c>
    </row>
    <row r="66" spans="2:13">
      <c r="B66" s="10" t="s">
        <v>84</v>
      </c>
      <c r="C66" s="114"/>
      <c r="D66" s="121" t="n">
        <f>(M6/D6)^0.1 - 1</f>
        <v>0.15326662715954398</v>
      </c>
    </row>
    <row r="67" spans="2:13">
      <c r="B67" s="10" t="s">
        <v>75</v>
      </c>
      <c r="C67" s="114"/>
      <c r="D67" s="121" t="n">
        <f>(M3/I3)^0.2 - 1</f>
        <v>0.05874473131291502</v>
      </c>
    </row>
    <row r="68" spans="2:13">
      <c r="B68" s="10" t="s">
        <v>85</v>
      </c>
      <c r="C68" s="114"/>
      <c r="D68" s="121" t="n">
        <f>(M3/D3)^0.1 - 1</f>
        <v>0.044804524308318605</v>
      </c>
    </row>
    <row r="69" spans="2:13">
      <c r="B69" s="10" t="s">
        <v>88</v>
      </c>
      <c r="C69" s="114"/>
      <c r="D69" s="121" t="n">
        <f>(M9/I9)^0.2 - 1</f>
        <v>0.07613908606886355</v>
      </c>
    </row>
    <row r="70" spans="2:13">
      <c r="B70" s="10" t="s">
        <v>89</v>
      </c>
      <c r="C70" s="114"/>
      <c r="D70" s="121" t="n">
        <f>(M9/D9)^0.2 - 1</f>
        <v>0.24414838408334805</v>
      </c>
    </row>
    <row r="71" spans="2:13">
      <c r="B71" s="10" t="s">
        <v>131</v>
      </c>
      <c r="D71" s="121" t="n">
        <f>(M23/I23)^0.2 - 1</f>
        <v>0.08664373946331594</v>
      </c>
    </row>
    <row r="72" spans="2:13">
      <c r="B72" s="10" t="s">
        <v>132</v>
      </c>
      <c r="D72" s="121" t="n">
        <f>AVERAGE(I24:M24)</f>
        <v>0.1602366639262953</v>
      </c>
    </row>
    <row r="73" spans="2:13">
      <c r="B73" s="10" t="s">
        <v>135</v>
      </c>
      <c r="D73" s="121" t="n">
        <f>AVERAGE(I55:M55)</f>
        <v>0.3910710795133568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6.389094193972243</v>
      </c>
      <c r="E76" s="110" t="n">
        <f t="shared" si="110"/>
        <v>3.6066121222240777</v>
      </c>
      <c r="F76" s="110" t="n">
        <f t="shared" si="110"/>
        <v>5.311506813531281</v>
      </c>
      <c r="G76" s="110" t="n">
        <f t="shared" si="110"/>
        <v>7.902382335851249</v>
      </c>
      <c r="H76" s="110" t="n">
        <f t="shared" si="110"/>
        <v>6.320815221264163</v>
      </c>
      <c r="I76" s="110" t="n">
        <f t="shared" si="110"/>
        <v>10.203029990724518</v>
      </c>
      <c r="J76" s="110" t="n">
        <f t="shared" si="110"/>
        <v>6.014946230026125</v>
      </c>
      <c r="K76" s="110" t="n">
        <f t="shared" si="110"/>
        <v>5.98154167634084</v>
      </c>
      <c r="L76" s="110" t="n">
        <f t="shared" si="110"/>
        <v>8.391858767798617</v>
      </c>
      <c r="M76" s="110" t="n">
        <f t="shared" si="110"/>
        <v>8.793894788300154</v>
      </c>
    </row>
    <row r="77" spans="2:13">
      <c r="B77" s="10" t="s">
        <v>139</v>
      </c>
      <c r="C77" s="110">
        <v>0</v>
      </c>
      <c r="D77" s="110" t="n">
        <f t="shared" ref="D77:M77" si="111">100*D6/D44</f>
        <v>12.481950906465586</v>
      </c>
      <c r="E77" s="110" t="n">
        <f t="shared" si="111"/>
        <v>9.703504043126685</v>
      </c>
      <c r="F77" s="110" t="n">
        <f t="shared" si="111"/>
        <v>12.569544611580465</v>
      </c>
      <c r="G77" s="110" t="n">
        <f t="shared" si="111"/>
        <v>18.37073981712386</v>
      </c>
      <c r="H77" s="110" t="n">
        <f t="shared" si="111"/>
        <v>16.80083341225495</v>
      </c>
      <c r="I77" s="110" t="n">
        <f t="shared" si="111"/>
        <v>23.18320193583639</v>
      </c>
      <c r="J77" s="110" t="n">
        <f t="shared" si="111"/>
        <v>14.048531289910601</v>
      </c>
      <c r="K77" s="110" t="n">
        <f t="shared" si="111"/>
        <v>13.395294423501884</v>
      </c>
      <c r="L77" s="110" t="n">
        <f t="shared" si="111"/>
        <v>17.066203651842724</v>
      </c>
      <c r="M77" s="110" t="n">
        <f t="shared" si="111"/>
        <v>16.34445510070163</v>
      </c>
    </row>
    <row r="78" spans="2:13">
      <c r="B78" s="10" t="s">
        <v>140</v>
      </c>
      <c r="C78" s="110" t="n">
        <v>0.0</v>
      </c>
      <c r="D78" s="40" t="n">
        <v>10.220000267028809</v>
      </c>
      <c r="E78" s="40" t="n">
        <v>7.400000095367432</v>
      </c>
      <c r="F78" s="40" t="n">
        <v>8.369999885559082</v>
      </c>
      <c r="G78" s="40" t="n">
        <v>11.970000267028809</v>
      </c>
      <c r="H78" s="40" t="n">
        <v>10.6899995803833</v>
      </c>
      <c r="I78" s="40" t="n">
        <v>15.079999923706055</v>
      </c>
      <c r="J78" s="40" t="n">
        <v>9.859999656677246</v>
      </c>
      <c r="K78" s="40" t="n">
        <v>9.5</v>
      </c>
      <c r="L78" s="40" t="n">
        <v>12.489999771118164</v>
      </c>
      <c r="M78" s="40" t="n">
        <v>12.739999771118164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14.479999542236328</v>
      </c>
      <c r="E81" s="40" t="n">
        <v>16.920000076293945</v>
      </c>
      <c r="F81" s="40" t="n">
        <v>18.079999923706055</v>
      </c>
      <c r="G81" s="40" t="n">
        <v>13.619999885559082</v>
      </c>
      <c r="H81" s="40" t="n">
        <v>16.920000076293945</v>
      </c>
      <c r="I81" s="40" t="n">
        <v>6.519999980926514</v>
      </c>
      <c r="J81" s="40" t="n">
        <v>16.489999771118164</v>
      </c>
      <c r="K81" s="40" t="n">
        <v>11.0</v>
      </c>
      <c r="L81" s="40" t="n">
        <v>10.449999809265137</v>
      </c>
      <c r="M81" s="40" t="n">
        <v>6.980000019073486</v>
      </c>
    </row>
    <row r="82" spans="2:13">
      <c r="B82" s="122" t="s">
        <v>148</v>
      </c>
      <c r="C82" s="110" t="n">
        <v>0.0</v>
      </c>
      <c r="D82" s="40" t="n">
        <v>9.350000381469727</v>
      </c>
      <c r="E82" s="40" t="n">
        <v>12.390000343322754</v>
      </c>
      <c r="F82" s="40" t="n">
        <v>8.569999694824219</v>
      </c>
      <c r="G82" s="40" t="n">
        <v>8.859999656677246</v>
      </c>
      <c r="H82" s="40" t="n">
        <v>11.539999961853027</v>
      </c>
      <c r="I82" s="40" t="n">
        <v>6.650000095367432</v>
      </c>
      <c r="J82" s="40" t="n">
        <v>13.260000228881836</v>
      </c>
      <c r="K82" s="40" t="n">
        <v>6.070000171661377</v>
      </c>
      <c r="L82" s="40" t="n">
        <v>8.279999732971191</v>
      </c>
      <c r="M82" s="40" t="n">
        <v>8.40999984741211</v>
      </c>
    </row>
    <row r="83" spans="2:13">
      <c r="B83" s="122" t="s">
        <v>153</v>
      </c>
      <c r="C83" s="110" t="n">
        <v>7.179999828338623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2023-05-03T14:16:06Z</dcterms:modified>
</cp:coreProperties>
</file>