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A449CDF3-4847-49B3-B1C1-32D83E004718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<sst xmlns="http://schemas.openxmlformats.org/spreadsheetml/2006/main" count="231" uniqueCount="165">
  <si>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</si>
  <si>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</si>
  <si>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</si>
  <si>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</si>
  <si>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</si>
  <si>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</si>
  <si>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</si>
  <si>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</si>
  <si>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</si>
  <si>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</si>
  <si>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</si>
  <si>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</si>
  <si>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</si>
  <si>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</si>
  <si>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</si>
  <si>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</si>
  <si>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</si>
  <si>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</si>
  <si>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</si>
  <si>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</si>
  <si>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</si>
  <si>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</si>
  <si>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</si>
  <si>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</si>
  <si>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</si>
  <si>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</si>
  <si>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</si>
  <si>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</si>
  <si>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</si>
  <si>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</si>
  <si>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</si>
  <si>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</si>
  <si>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</si>
  <si>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</si>
  <si>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</si>
  <si>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</si>
  <si>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</si>
  <si>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</si>
  <si>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</si>
  <si>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</si>
  <si>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</si>
  <si>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</si>
  <si>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</si>
  <si>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</si>
  <si>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</si>
  <si>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</si>
  <si>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</si>
  <si>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</si>
  <si>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</si>
  <si>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</si>
  <si>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</si>
  <si>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</si>
  <si>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</si>
  <si>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</si>
  <si>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</si>
  <si>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</si>
  <si>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</si>
  <si>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</si>
  <si>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</si>
  <si>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</si>
  <si>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</si>
  <si>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</si>
  <si>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</si>
  <si>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</si>
  <si>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</si>
  <si>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</si>
  <si>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</si>
  <si>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</si>
  <si>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</si>
  <si>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</si>
  <si>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</si>
  <si>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</si>
  <si>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</si>
  <si>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</si>
  <si>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</si>
  <si>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</si>
  <si>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</si>
  <si>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</si>
  <si>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</si>
  <si>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</si>
  <si>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</si>
  <si>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</si>
  <si>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</si>
  <si>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</si>
  <si>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</si>
  <si>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</si>
  <si>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</si>
  <si>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</si>
  <si>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</si>
  <si>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</si>
  <si>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</si>
  <si>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</si>
  <si>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</si>
  <si>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</si>
  <si>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</si>
  <si>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</si>
  <si>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</si>
  <si>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</si>
  <si>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</si>
  <si>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</si>
  <si>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</si>
  <si>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</si>
  <si>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</si>
  <si>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</si>
  <si>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</si>
  <si>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</si>
  <si>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</si>
  <si>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</si>
  <si>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</si>
  <si>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</si>
  <si>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</si>
  <si>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</si>
  <si>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</si>
  <si>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</si>
  <si>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</si>
  <si>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</si>
  <si>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</si>
  <si>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</si>
  <si>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</si>
  <si>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</si>
  <si>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</si>
  <si>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</si>
  <si>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</si>
  <si>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</si>
  <si>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</si>
  <si>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</si>
  <si>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</si>
  <si>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</si>
  <si>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</si>
  <si>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</si>
  <si>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</si>
  <si>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</si>
  <si>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</si>
  <si>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</si>
  <si>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</si>
  <si>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</si>
  <si>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</si>
  <si>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</si>
  <si>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</si>
  <si>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</si>
  <si>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</si>
  <si>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</si>
  <si>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</si>
  <si>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</si>
  <si>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</si>
  <si>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</si>
  <si>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</si>
  <si>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</si>
  <si>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</si>
  <si>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</si>
  <si>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</si>
  <si>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</si>
  <si>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</si>
  <si>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</si>
  <si>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</si>
  <si>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</si>
  <si>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</si>
  <si>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</si>
  <si>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</si>
  <si>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</si>
  <si>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</si>
  <si>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</si>
  <si>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UL_Unilever</t>
  </si>
  <si>
    <t>sector median (22.41)</t>
  </si>
  <si>
    <t>sector median (16.17)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</si>
</sst>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4" t="str">
        <f>T11</f>
        <v>J</v>
      </c>
      <c r="E12" s="45" t="s">
        <v>141</v>
      </c>
      <c r="F12" s="123" t="n">
        <f>AVERAGE(L12:P12)</f>
        <v>10.119016284286804</v>
      </c>
      <c r="G12" s="119" t="n">
        <f>Financials!D76</f>
        <v>11.563729579742487</v>
      </c>
      <c r="H12" s="119" t="n">
        <f>Financials!E76</f>
        <v>11.483118818342064</v>
      </c>
      <c r="I12" s="119" t="n">
        <f>Financials!F76</f>
        <v>9.386592296933113</v>
      </c>
      <c r="J12" s="119" t="n">
        <f>Financials!G76</f>
        <v>9.186764711286983</v>
      </c>
      <c r="K12" s="119" t="n">
        <f>Financials!H76</f>
        <v>10.040641202769557</v>
      </c>
      <c r="L12" s="119" t="n">
        <f>Financials!I76</f>
        <v>15.7915102065203</v>
      </c>
      <c r="M12" s="119" t="n">
        <f>Financials!J76</f>
        <v>8.679751790743714</v>
      </c>
      <c r="N12" s="119" t="n">
        <f>Financials!K76</f>
        <v>8.24871765544348</v>
      </c>
      <c r="O12" s="119" t="n">
        <f>Financials!L76</f>
        <v>8.055130204643648</v>
      </c>
      <c r="P12" s="119" t="n">
        <f>Financials!M76</f>
        <v>9.819971564082874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42.870375117990946</v>
      </c>
      <c r="G14" s="40" t="n">
        <f>Financials!D77</f>
        <v>35.52479895588567</v>
      </c>
      <c r="H14" s="40" t="n">
        <f>Financials!E77</f>
        <v>38.666484262996285</v>
      </c>
      <c r="I14" s="40" t="n">
        <f>Financials!F77</f>
        <v>30.524822352965817</v>
      </c>
      <c r="J14" s="40" t="n">
        <f>Financials!G77</f>
        <v>30.530026636303777</v>
      </c>
      <c r="K14" s="40" t="n">
        <f>Financials!H77</f>
        <v>42.07272348173163</v>
      </c>
      <c r="L14" s="40" t="n">
        <f>Financials!I77</f>
        <v>76.38297222532042</v>
      </c>
      <c r="M14" s="40" t="n">
        <f>Financials!J77</f>
        <v>40.50841985138624</v>
      </c>
      <c r="N14" s="40" t="n">
        <f>Financials!K77</f>
        <v>31.611444848217435</v>
      </c>
      <c r="O14" s="40" t="n">
        <f>Financials!L77</f>
        <v>30.634052482199774</v>
      </c>
      <c r="P14" s="40" t="n">
        <f>Financials!M77</f>
        <v>35.214986182830835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0.03534760624990182</v>
      </c>
      <c r="F16" s="124" t="n">
        <f>AVERAGE(L16:P16)</f>
        <v>17.5939998626709</v>
      </c>
      <c r="G16" s="40" t="n">
        <f>Financials!D78</f>
        <v>19.969999313354492</v>
      </c>
      <c r="H16" s="40" t="n">
        <f>Financials!E78</f>
        <v>21.40999984741211</v>
      </c>
      <c r="I16" s="40" t="n">
        <f>Financials!F78</f>
        <v>18.940000534057617</v>
      </c>
      <c r="J16" s="40" t="n">
        <f>Financials!G78</f>
        <v>18.0</v>
      </c>
      <c r="K16" s="40" t="n">
        <f>Financials!H78</f>
        <v>18.399999618530273</v>
      </c>
      <c r="L16" s="40" t="n">
        <f>Financials!I78</f>
        <v>26.65999984741211</v>
      </c>
      <c r="M16" s="40" t="n">
        <f>Financials!J78</f>
        <v>15.6899995803833</v>
      </c>
      <c r="N16" s="40" t="n">
        <f>Financials!K78</f>
        <v>14.3100004196167</v>
      </c>
      <c r="O16" s="40" t="n">
        <f>Financials!L78</f>
        <v>14.229999542236328</v>
      </c>
      <c r="P16" s="40" t="n">
        <f>Financials!M78</f>
        <v>17.079999923706055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6" t="str">
        <f>V11</f>
        <v>L</v>
      </c>
      <c r="E18" s="48" t="s">
        <v>68</v>
      </c>
      <c r="F18" s="125" t="n">
        <f>AVERAGE(L18:P18)</f>
        <v>0.7612980242371026</v>
      </c>
      <c r="G18" s="42" t="n">
        <f>Financials!D59</f>
        <v>0.6973880321456569</v>
      </c>
      <c r="H18" s="42" t="n">
        <f>Financials!E59</f>
        <v>0.6286017089884366</v>
      </c>
      <c r="I18" s="42" t="n">
        <f>Financials!F59</f>
        <v>0.6336978480121044</v>
      </c>
      <c r="J18" s="42" t="n">
        <f>Financials!G59</f>
        <v>0.6754230547244595</v>
      </c>
      <c r="K18" s="42" t="n">
        <f>Financials!H59</f>
        <v>0.7327522037831797</v>
      </c>
      <c r="L18" s="42" t="n">
        <f>Financials!I59</f>
        <v>0.7829759574906232</v>
      </c>
      <c r="M18" s="42" t="n">
        <f>Financials!J59</f>
        <v>0.7832014533455077</v>
      </c>
      <c r="N18" s="42" t="n">
        <f>Financials!K59</f>
        <v>0.7846251224842314</v>
      </c>
      <c r="O18" s="42" t="n">
        <f>Financials!L59</f>
        <v>0.7022761301849272</v>
      </c>
      <c r="P18" s="42" t="n">
        <f>Financials!M59</f>
        <v>0.7534114576802233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6" t="str">
        <f>V11</f>
        <v>L</v>
      </c>
      <c r="E20" s="49" t="s">
        <v>137</v>
      </c>
      <c r="F20" s="125" t="n">
        <f>AVERAGE(L20:P20)</f>
        <v>3.145071798340978</v>
      </c>
      <c r="G20" s="42" t="n">
        <f>Financials!D58</f>
        <v>2.0720883527161114</v>
      </c>
      <c r="H20" s="42" t="n">
        <f>Financials!E58</f>
        <v>2.36724585669479</v>
      </c>
      <c r="I20" s="42" t="n">
        <f>Financials!F58</f>
        <v>2.2519599645271917</v>
      </c>
      <c r="J20" s="42" t="n">
        <f>Financials!G58</f>
        <v>2.3232620618653894</v>
      </c>
      <c r="K20" s="42" t="n">
        <f>Financials!H58</f>
        <v>3.190242697859427</v>
      </c>
      <c r="L20" s="42" t="n">
        <f>Financials!I58</f>
        <v>3.83696437049966</v>
      </c>
      <c r="M20" s="42" t="n">
        <f>Financials!J58</f>
        <v>3.6670021019017334</v>
      </c>
      <c r="N20" s="42" t="n">
        <f>Financials!K58</f>
        <v>2.832285958697648</v>
      </c>
      <c r="O20" s="42" t="n">
        <f>Financials!L58</f>
        <v>2.803048703612482</v>
      </c>
      <c r="P20" s="42" t="n">
        <f>Financials!M58</f>
        <v>2.5860578569933668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4" t="str">
        <f>T11</f>
        <v>J</v>
      </c>
      <c r="E22" s="49" t="s">
        <v>161</v>
      </c>
      <c r="F22" s="125" t="n">
        <f>AVERAGE(L22:P22)</f>
        <v>2.5812878302554694</v>
      </c>
      <c r="G22" s="42" t="n">
        <f>Financials!D60</f>
        <v>1.536256781047782</v>
      </c>
      <c r="H22" s="42" t="n">
        <f>Financials!E60</f>
        <v>1.500396397555253</v>
      </c>
      <c r="I22" s="42" t="n">
        <f>Financials!F60</f>
        <v>0.30404683852873643</v>
      </c>
      <c r="J22" s="42" t="n">
        <f>Financials!G60</f>
        <v>2.039180036716878</v>
      </c>
      <c r="K22" s="42" t="n">
        <f>Financials!H60</f>
        <v>2.1858025888324155</v>
      </c>
      <c r="L22" s="42" t="n">
        <f>Financials!I60</f>
        <v>1.917941843860599</v>
      </c>
      <c r="M22" s="42" t="n">
        <f>Financials!J60</f>
        <v>2.8009321584806446</v>
      </c>
      <c r="N22" s="42" t="n">
        <f>Financials!K60</f>
        <v>2.8496957415748283</v>
      </c>
      <c r="O22" s="42" t="n">
        <f>Financials!L60</f>
        <v>2.9212981217415255</v>
      </c>
      <c r="P22" s="42" t="n">
        <f>Financials!M60</f>
        <v>2.416571285619749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 t="n">
        <f>Financials!D12</f>
        <v>2924.0</v>
      </c>
      <c r="H24" s="40" t="n">
        <f>Financials!E12</f>
        <v>2882.60009765625</v>
      </c>
      <c r="I24" s="40" t="n">
        <f>Financials!F12</f>
        <v>2854.0048828125</v>
      </c>
      <c r="J24" s="40" t="n">
        <f>Financials!G12</f>
        <v>2853.89990234375</v>
      </c>
      <c r="K24" s="40" t="n">
        <f>Financials!H12</f>
        <v>2814.0</v>
      </c>
      <c r="L24" s="40" t="n">
        <f>Financials!I12</f>
        <v>2694.800048828125</v>
      </c>
      <c r="M24" s="40" t="n">
        <f>Financials!J12</f>
        <v>2626.699951171875</v>
      </c>
      <c r="N24" s="40" t="n">
        <f>Financials!K12</f>
        <v>2629.800048828125</v>
      </c>
      <c r="O24" s="40" t="n">
        <f>Financials!L12</f>
        <v>2609.60009765625</v>
      </c>
      <c r="P24" s="40" t="n">
        <f>Financials!M12</f>
        <v>2559.800048828125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4" t="str">
        <f>T11</f>
        <v>J</v>
      </c>
      <c r="E26" s="51" t="s">
        <v>163</v>
      </c>
      <c r="F26" s="57" t="n">
        <f>AVERAGEIF(L26:P26,"&lt;100")</f>
        <v>20.271999549865722</v>
      </c>
      <c r="G26" s="44" t="n">
        <f>Financials!D81</f>
        <v>18.190000534057617</v>
      </c>
      <c r="H26" s="44" t="n">
        <f>Financials!E81</f>
        <v>18.489999771118164</v>
      </c>
      <c r="I26" s="44" t="n">
        <f>Financials!F81</f>
        <v>23.34000015258789</v>
      </c>
      <c r="J26" s="44" t="n">
        <f>Financials!G81</f>
        <v>22.25</v>
      </c>
      <c r="K26" s="44" t="n">
        <f>Financials!H81</f>
        <v>22.84000015258789</v>
      </c>
      <c r="L26" s="44" t="n">
        <f>Financials!I81</f>
        <v>21.049999237060547</v>
      </c>
      <c r="M26" s="44" t="n">
        <f>Financials!J81</f>
        <v>14.539999961853027</v>
      </c>
      <c r="N26" s="44" t="n">
        <f>Financials!K81</f>
        <v>21.809999465942383</v>
      </c>
      <c r="O26" s="44" t="n">
        <f>Financials!L81</f>
        <v>23.059999465942383</v>
      </c>
      <c r="P26" s="44" t="n">
        <f>Financials!M81</f>
        <v>20.899999618530273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6" t="str">
        <f>V11</f>
        <v>L</v>
      </c>
      <c r="E28" s="51" t="s">
        <v>164</v>
      </c>
      <c r="F28" s="57" t="n">
        <f>AVERAGEIF(L28:P28, "&lt;100")</f>
        <v>16.288000297546386</v>
      </c>
      <c r="G28" s="44" t="n">
        <f>Financials!D82</f>
        <v>13.609999656677246</v>
      </c>
      <c r="H28" s="44" t="n">
        <f>Financials!E82</f>
        <v>16.3700008392334</v>
      </c>
      <c r="I28" s="44" t="n">
        <f>Financials!F82</f>
        <v>18.6200008392334</v>
      </c>
      <c r="J28" s="44" t="n">
        <f>Financials!G82</f>
        <v>15.930000305175781</v>
      </c>
      <c r="K28" s="44" t="n">
        <f>Financials!H82</f>
        <v>17.81999969482422</v>
      </c>
      <c r="L28" s="44" t="n">
        <f>Financials!I82</f>
        <v>16.780000686645508</v>
      </c>
      <c r="M28" s="44" t="n">
        <f>Financials!J82</f>
        <v>20.8700008392334</v>
      </c>
      <c r="N28" s="44" t="n">
        <f>Financials!K82</f>
        <v>13.949999809265137</v>
      </c>
      <c r="O28" s="44" t="n">
        <f>Financials!L82</f>
        <v>14.569999694824219</v>
      </c>
      <c r="P28" s="44" t="n">
        <f>Financials!M82</f>
        <v>15.270000457763672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4.800000190734863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 t="n">
        <f>Financials!D63</f>
        <v>0.026491056537449653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0.039033519891011226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6" t="str">
        <f>V11</f>
        <v>L</v>
      </c>
      <c r="E35" s="50" t="s">
        <v>77</v>
      </c>
      <c r="F35" s="52" t="n">
        <f>Financials!D69</f>
        <v>-0.04523841000667006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0.030527832848427305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6" t="str">
        <f>V11</f>
        <v>L</v>
      </c>
      <c r="E38" s="50" t="s">
        <v>77</v>
      </c>
      <c r="F38" s="52" t="n">
        <f>Financials!D65</f>
        <v>-0.06200030150071667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0.014227407462441555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0.010037887842590187</v>
      </c>
    </row>
    <row r="42" spans="2:17" ht="18.5">
      <c r="B42" s="154"/>
      <c r="C42" s="35" t="s">
        <v>82</v>
      </c>
      <c r="D42" s="56" t="str">
        <f>V11</f>
        <v>L</v>
      </c>
      <c r="E42" s="50" t="s">
        <v>77</v>
      </c>
      <c r="F42" s="52" t="n">
        <f>Financials!D68</f>
        <v>-0.004398428246461861</v>
      </c>
    </row>
    <row r="43" spans="2:17">
      <c r="B43" s="138" t="s">
        <v>61</v>
      </c>
    </row>
    <row r="44" spans="2:17" ht="18.5">
      <c r="B44" s="138"/>
      <c r="C44" s="100" t="s">
        <v>128</v>
      </c>
      <c r="D44" s="56" t="str">
        <f>V11</f>
        <v>L</v>
      </c>
      <c r="E44" s="101">
        <v>0.75</v>
      </c>
      <c r="F44" s="103" t="n">
        <f>Financials!$D$73</f>
        <v>0.7738548358208511</v>
      </c>
    </row>
    <row r="45" spans="2:17" ht="18.5">
      <c r="B45" s="138"/>
      <c r="C45" s="100" t="s">
        <v>133</v>
      </c>
      <c r="D45" s="56" t="str">
        <f>V11</f>
        <v>L</v>
      </c>
      <c r="E45" s="101" t="s">
        <v>134</v>
      </c>
      <c r="F45" s="103" t="n">
        <f>Financials!D71</f>
        <v>-0.010245275929794073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0.009712322029584664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 t="n">
        <f>F45+F46</f>
        <v>-5.329539002094097E-4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134.5399932861328</v>
      </c>
    </row>
    <row r="6" spans="2:16">
      <c r="B6" s="4" t="s">
        <v>5</v>
      </c>
      <c r="C6" s="59" t="n">
        <v>2.5427E7</v>
      </c>
    </row>
    <row r="7" spans="2:16">
      <c r="B7" s="4" t="s">
        <v>4</v>
      </c>
      <c r="C7" s="59" t="n">
        <v>3.0693E7</v>
      </c>
    </row>
    <row r="8" spans="2:16">
      <c r="B8" s="4" t="s">
        <v>3</v>
      </c>
      <c r="C8" s="59" t="n">
        <v>789000.0</v>
      </c>
    </row>
    <row r="9" spans="2:16">
      <c r="B9" s="10" t="s">
        <v>6</v>
      </c>
      <c r="C9" s="59" t="n">
        <v>1.0337E7</v>
      </c>
    </row>
    <row r="10" spans="2:16">
      <c r="B10" s="10" t="s">
        <v>7</v>
      </c>
      <c r="C10" s="59" t="n">
        <v>2068000.0</v>
      </c>
    </row>
    <row r="11" spans="2:16">
      <c r="B11" s="10" t="s">
        <v>9</v>
      </c>
      <c r="C11" s="60" t="n">
        <v>0.12999999523162842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5.612E7</v>
      </c>
    </row>
    <row r="18" spans="2:15" ht="18" thickTop="1" thickBot="1">
      <c r="B18" s="2" t="s">
        <v>20</v>
      </c>
      <c r="C18" s="12" t="n">
        <f>C8/C17</f>
        <v>0.014059158945117604</v>
      </c>
    </row>
    <row r="19" spans="2:15" ht="18" thickTop="1" thickBot="1">
      <c r="B19" s="2" t="s">
        <v>19</v>
      </c>
      <c r="C19" s="12" t="n">
        <f>C14+C11*(C15-C14)</f>
        <v>0.04430999958515164</v>
      </c>
    </row>
    <row r="20" spans="2:15" ht="18" thickTop="1" thickBot="1">
      <c r="B20" s="2" t="s">
        <v>18</v>
      </c>
      <c r="C20" s="12" t="n">
        <f>C8/C17</f>
        <v>0.014059158945117604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1.90659993286133E8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0.705654033482641</v>
      </c>
      <c r="K22" t="s" s="0">
        <v>12</v>
      </c>
    </row>
    <row r="23" spans="2:15" ht="18" thickTop="1" thickBot="1">
      <c r="B23" s="16" t="s">
        <v>24</v>
      </c>
      <c r="C23" s="12" t="n">
        <f>C17/C21</f>
        <v>0.294345966517359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0.03534760624990182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abSelected="1" topLeftCell="A13" zoomScale="82" workbookViewId="0">
      <selection activeCell="E48" sqref="E4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0.03534760624990182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0.02500000037252903</v>
      </c>
    </row>
    <row r="7" spans="2:12">
      <c r="B7" s="18" t="s">
        <v>31</v>
      </c>
      <c r="C7" s="13" t="n">
        <f>AVERAGEIF(C28:L28, "&lt;0.5")</f>
        <v>0.11676899606223586</v>
      </c>
    </row>
    <row r="8" spans="2:12">
      <c r="B8" s="18" t="s">
        <v>112</v>
      </c>
      <c r="C8" s="13" t="n">
        <f>AVERAGEIF(C29:L29,"&lt;2")</f>
        <v>0.7899629977382245</v>
      </c>
    </row>
    <row r="9" spans="2:12">
      <c r="B9" s="18" t="s">
        <v>136</v>
      </c>
      <c r="C9" s="66" t="n">
        <v>13.579999923706055</v>
      </c>
    </row>
    <row r="10" spans="2:12">
      <c r="B10" s="18" t="s">
        <v>100</v>
      </c>
      <c r="C10" s="67" t="n">
        <v>0.02500000037252903</v>
      </c>
    </row>
    <row r="11" spans="2:12">
      <c r="B11" s="18" t="s">
        <v>44</v>
      </c>
      <c r="C11" s="59" t="n">
        <v>2.510000128E9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66145.3515625</v>
      </c>
      <c r="D16" s="21" t="n">
        <f>Financials!E3</f>
        <v>64385.96875</v>
      </c>
      <c r="E16" s="21" t="n">
        <f>Financials!F3</f>
        <v>59155.359375</v>
      </c>
      <c r="F16" s="21" t="n">
        <f>Financials!G3</f>
        <v>58332.2109375</v>
      </c>
      <c r="G16" s="21" t="n">
        <f>Financials!H3</f>
        <v>60714.05859375</v>
      </c>
      <c r="H16" s="21" t="n">
        <f>Financials!I3</f>
        <v>60209.73828125</v>
      </c>
      <c r="I16" s="21" t="n">
        <f>Financials!J3</f>
        <v>58217.6015625</v>
      </c>
      <c r="J16" s="21" t="n">
        <f>Financials!K3</f>
        <v>57942.01953125</v>
      </c>
      <c r="K16" s="21" t="n">
        <f>Financials!L3</f>
        <v>62046.5</v>
      </c>
      <c r="L16" s="21" t="n">
        <f>Financials!M3</f>
        <v>63292.91015625</v>
      </c>
    </row>
    <row r="17" spans="2:12">
      <c r="B17" s="18" t="s">
        <v>27</v>
      </c>
      <c r="C17" s="22"/>
      <c r="D17" s="20" t="n">
        <f t="shared" ref="D17:L17" si="0">(D16-C16)/C16</f>
        <v>-0.026598737038045356</v>
      </c>
      <c r="E17" s="20" t="n">
        <f t="shared" si="0"/>
        <v>-0.08123834239894076</v>
      </c>
      <c r="F17" s="20" t="n">
        <f t="shared" si="0"/>
        <v>-0.013915027246844446</v>
      </c>
      <c r="G17" s="20" t="n">
        <f t="shared" si="0"/>
        <v>0.040832459767417846</v>
      </c>
      <c r="H17" s="20" t="n">
        <f t="shared" si="0"/>
        <v>-0.008306483278848295</v>
      </c>
      <c r="I17" s="20" t="n">
        <f t="shared" si="0"/>
        <v>-0.033086619799680715</v>
      </c>
      <c r="J17" s="20" t="n">
        <f t="shared" si="0"/>
        <v>-0.0047336548372599405</v>
      </c>
      <c r="K17" s="20" t="n">
        <f t="shared" si="0"/>
        <v>0.07083771849782214</v>
      </c>
      <c r="L17" s="20" t="n">
        <f t="shared" si="0"/>
        <v>0.02008832337440468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6990.83984375</v>
      </c>
      <c r="D19" s="21" t="n">
        <f>Financials!E6</f>
        <v>7331.080078125</v>
      </c>
      <c r="E19" s="21" t="n">
        <f>Financials!F6</f>
        <v>5451.14990234375</v>
      </c>
      <c r="F19" s="21" t="n">
        <f>Financials!G6</f>
        <v>5736.61376953125</v>
      </c>
      <c r="G19" s="21" t="n">
        <f>Financials!H6</f>
        <v>6841.7060546875</v>
      </c>
      <c r="H19" s="21" t="n">
        <f>Financials!I6</f>
        <v>11088.41015625</v>
      </c>
      <c r="I19" s="21" t="n">
        <f>Financials!J6</f>
        <v>6300.0</v>
      </c>
      <c r="J19" s="21" t="n">
        <f>Financials!K6</f>
        <v>6375.17578125</v>
      </c>
      <c r="K19" s="21" t="n">
        <f>Financials!L6</f>
        <v>7156.57177734375</v>
      </c>
      <c r="L19" s="21" t="n">
        <f>Financials!M6</f>
        <v>8051.61083984375</v>
      </c>
    </row>
    <row r="20" spans="2:12">
      <c r="B20" s="18" t="s">
        <v>27</v>
      </c>
      <c r="C20" s="22"/>
      <c r="D20" s="20" t="n">
        <f>(D19-C19)/C19</f>
        <v>0.04866943628799964</v>
      </c>
      <c r="E20" s="20" t="n">
        <f t="shared" ref="E20:L20" si="1">(E19-D19)/D19</f>
        <v>-0.2564329069860688</v>
      </c>
      <c r="F20" s="20" t="n">
        <f t="shared" si="1"/>
        <v>0.05236764211249508</v>
      </c>
      <c r="G20" s="20" t="n">
        <f t="shared" si="1"/>
        <v>0.1926384326282697</v>
      </c>
      <c r="H20" s="20" t="n">
        <f t="shared" si="1"/>
        <v>0.6207083536792595</v>
      </c>
      <c r="I20" s="20" t="n">
        <f t="shared" si="1"/>
        <v>-0.4318391986565364</v>
      </c>
      <c r="J20" s="20" t="n">
        <f t="shared" si="1"/>
        <v>0.01193266369047619</v>
      </c>
      <c r="K20" s="20" t="n">
        <f t="shared" si="1"/>
        <v>0.12256854130860362</v>
      </c>
      <c r="L20" s="20" t="n">
        <f t="shared" si="1"/>
        <v>0.125065337195878</v>
      </c>
    </row>
    <row r="22" spans="2:12">
      <c r="B22" s="18" t="s">
        <v>30</v>
      </c>
      <c r="C22" s="25" t="n">
        <f>Financials!D20</f>
        <v>3856.0</v>
      </c>
      <c r="D22" s="25" t="n">
        <f>Financials!E20</f>
        <v>3100.0</v>
      </c>
      <c r="E22" s="25" t="n">
        <f>Financials!F20</f>
        <v>4796.0</v>
      </c>
      <c r="F22" s="25" t="n">
        <f>Financials!G20</f>
        <v>4802.0</v>
      </c>
      <c r="G22" s="25" t="n">
        <f>Financials!H20</f>
        <v>5355.0</v>
      </c>
      <c r="H22" s="25" t="n">
        <f>Financials!I20</f>
        <v>4962.0</v>
      </c>
      <c r="I22" s="25" t="n">
        <f>Financials!J20</f>
        <v>6680.0</v>
      </c>
      <c r="J22" s="25" t="n">
        <f>Financials!K20</f>
        <v>8126.0</v>
      </c>
      <c r="K22" s="25" t="n">
        <f>Financials!L20</f>
        <v>6733.0</v>
      </c>
      <c r="L22" s="25" t="n">
        <f>Financials!M20</f>
        <v>5655.0</v>
      </c>
    </row>
    <row r="23" spans="2:12">
      <c r="B23" s="18" t="s">
        <v>27</v>
      </c>
      <c r="C23" s="26"/>
      <c r="D23" s="26" t="n">
        <f>(D22-C22)/C22</f>
        <v>-0.19605809128630705</v>
      </c>
      <c r="E23" s="26" t="n">
        <f t="shared" ref="E23:L23" si="2">(E22-D22)/D22</f>
        <v>0.5470967741935484</v>
      </c>
      <c r="F23" s="26" t="n">
        <f t="shared" si="2"/>
        <v>0.0012510425354462051</v>
      </c>
      <c r="G23" s="26" t="n">
        <f t="shared" si="2"/>
        <v>0.1151603498542274</v>
      </c>
      <c r="H23" s="26" t="n">
        <f t="shared" si="2"/>
        <v>-0.07338935574229692</v>
      </c>
      <c r="I23" s="26" t="n">
        <f t="shared" si="2"/>
        <v>0.34623135832325674</v>
      </c>
      <c r="J23" s="26" t="n">
        <f t="shared" si="2"/>
        <v>0.21646706586826348</v>
      </c>
      <c r="K23" s="26" t="n">
        <f t="shared" si="2"/>
        <v>-0.17142505537779965</v>
      </c>
      <c r="L23" s="26" t="n">
        <f t="shared" si="2"/>
        <v>-0.16010693598693004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11513.7001953125</v>
      </c>
      <c r="D25" s="62" t="n">
        <f>Financials!E9</f>
        <v>12511.3603515625</v>
      </c>
      <c r="E25" s="62" t="n">
        <f>Financials!F9</f>
        <v>59155.359375</v>
      </c>
      <c r="F25" s="62" t="n">
        <f>Financials!G9</f>
        <v>10252.650390625</v>
      </c>
      <c r="G25" s="62" t="n">
        <f>Financials!H9</f>
        <v>11749.4599609375</v>
      </c>
      <c r="H25" s="62" t="n">
        <f>Financials!I9</f>
        <v>16867.0390625</v>
      </c>
      <c r="I25" s="62" t="n">
        <f>Financials!J9</f>
        <v>11972.7998046875</v>
      </c>
      <c r="J25" s="62" t="n">
        <f>Financials!K9</f>
        <v>11789.6796875</v>
      </c>
      <c r="K25" s="62" t="n">
        <f>Financials!L9</f>
        <v>12381.1396484375</v>
      </c>
      <c r="L25" s="62" t="n">
        <f>Financials!M9</f>
        <v>13381.76953125</v>
      </c>
    </row>
    <row r="26" spans="2:12">
      <c r="B26" s="18" t="s">
        <v>27</v>
      </c>
      <c r="C26" s="63"/>
      <c r="D26" s="63" t="n">
        <f>Financials!E10</f>
        <v>0.08664982927522909</v>
      </c>
      <c r="E26" s="63" t="n">
        <f>Financials!F10</f>
        <v>3.7281316909405695</v>
      </c>
      <c r="F26" s="63" t="n">
        <f>Financials!G10</f>
        <v>-0.8266826455126239</v>
      </c>
      <c r="G26" s="63" t="n">
        <f>Financials!H10</f>
        <v>0.1459924520279341</v>
      </c>
      <c r="H26" s="63" t="n">
        <f>Financials!I10</f>
        <v>0.43555866555369444</v>
      </c>
      <c r="I26" s="63" t="n">
        <f>Financials!J10</f>
        <v>-0.29016588149687284</v>
      </c>
      <c r="J26" s="63" t="n">
        <f>Financials!K10</f>
        <v>-0.015294677951251319</v>
      </c>
      <c r="K26" s="63" t="n">
        <f>Financials!L10</f>
        <v>0.05016760222625853</v>
      </c>
      <c r="L26" s="63" t="n">
        <f>Financials!M10</f>
        <v>0.08081888349743148</v>
      </c>
    </row>
    <row r="28" spans="2:12" ht="15" thickBot="1">
      <c r="B28" s="1" t="s">
        <v>31</v>
      </c>
      <c r="C28" s="24" t="n">
        <f t="shared" ref="C28:L28" si="3">C19/C16</f>
        <v>0.10568905718407791</v>
      </c>
      <c r="D28" s="24" t="n">
        <f t="shared" si="3"/>
        <v>0.11386145491714761</v>
      </c>
      <c r="E28" s="24" t="n">
        <f t="shared" si="3"/>
        <v>0.09214972168096561</v>
      </c>
      <c r="F28" s="24" t="n">
        <f t="shared" si="3"/>
        <v>0.09834384257572099</v>
      </c>
      <c r="G28" s="24" t="n">
        <f t="shared" si="3"/>
        <v>0.11268734479549018</v>
      </c>
      <c r="H28" s="24" t="n">
        <f t="shared" si="3"/>
        <v>0.18416306851317202</v>
      </c>
      <c r="I28" s="24" t="n">
        <f t="shared" si="3"/>
        <v>0.10821469505638397</v>
      </c>
      <c r="J28" s="24" t="n">
        <f t="shared" si="3"/>
        <v>0.11002681357717713</v>
      </c>
      <c r="K28" s="24" t="n">
        <f t="shared" si="3"/>
        <v>0.11534207050105566</v>
      </c>
      <c r="L28" s="24" t="n">
        <f t="shared" si="3"/>
        <v>0.12721189182116752</v>
      </c>
    </row>
    <row r="29" spans="2:12" ht="15" thickBot="1">
      <c r="B29" s="1" t="s">
        <v>32</v>
      </c>
      <c r="C29" s="24" t="n">
        <f t="shared" ref="C29:L29" si="4">C22/C19</f>
        <v>0.5515789356049071</v>
      </c>
      <c r="D29" s="24" t="n">
        <f t="shared" si="4"/>
        <v>0.4228572007077103</v>
      </c>
      <c r="E29" s="24" t="n">
        <f t="shared" si="4"/>
        <v>0.879814366861923</v>
      </c>
      <c r="F29" s="24" t="n">
        <f t="shared" si="4"/>
        <v>0.8370791886852758</v>
      </c>
      <c r="G29" s="24" t="n">
        <f t="shared" si="4"/>
        <v>0.7826995134248856</v>
      </c>
      <c r="H29" s="24" t="n">
        <f t="shared" si="4"/>
        <v>0.4474942692486137</v>
      </c>
      <c r="I29" s="24" t="n">
        <f t="shared" si="4"/>
        <v>1.0603174603174603</v>
      </c>
      <c r="J29" s="24" t="n">
        <f t="shared" si="4"/>
        <v>1.274631520576945</v>
      </c>
      <c r="K29" s="24" t="n">
        <f t="shared" si="4"/>
        <v>0.940813591965263</v>
      </c>
      <c r="L29" s="24" t="n">
        <f t="shared" si="4"/>
        <v>0.7023439299892618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64489.14613028652</v>
      </c>
      <c r="D36" s="21" t="n">
        <f>C36*(D37+1)</f>
        <v>67017.12068857602</v>
      </c>
      <c r="E36" s="21" t="n">
        <f>D36*(E37+1)</f>
        <v>69423.03535365175</v>
      </c>
      <c r="F36" s="21" t="n">
        <f t="shared" ref="F36:L36" si="5">E36*(F37+1)</f>
        <v>71158.61126335525</v>
      </c>
      <c r="G36" s="21" t="n">
        <f t="shared" si="5"/>
        <v>72937.5765714479</v>
      </c>
      <c r="H36" s="21" t="n">
        <f t="shared" si="5"/>
        <v>74761.01601290553</v>
      </c>
      <c r="I36" s="21" t="n">
        <f t="shared" si="5"/>
        <v>76630.04144107887</v>
      </c>
      <c r="J36" s="21" t="n">
        <f t="shared" si="5"/>
        <v>78545.79250565286</v>
      </c>
      <c r="K36" s="21" t="n">
        <f t="shared" si="5"/>
        <v>80509.4373475549</v>
      </c>
      <c r="L36" s="21" t="n">
        <f t="shared" si="5"/>
        <v>82522.17331123595</v>
      </c>
    </row>
    <row r="37" spans="2:12">
      <c r="B37" s="18" t="s">
        <v>27</v>
      </c>
      <c r="C37" s="68" t="n">
        <v>0.01889999955892563</v>
      </c>
      <c r="D37" s="68" t="n">
        <v>0.03920000046491623</v>
      </c>
      <c r="E37" s="68" t="n">
        <v>0.03590000048279762</v>
      </c>
      <c r="F37" s="27" t="n">
        <f>C6</f>
        <v>0.02500000037252903</v>
      </c>
      <c r="G37" s="27" t="n">
        <f>C6</f>
        <v>0.02500000037252903</v>
      </c>
      <c r="H37" s="27" t="n">
        <f>C6</f>
        <v>0.02500000037252903</v>
      </c>
      <c r="I37" s="27" t="n">
        <f>C6</f>
        <v>0.02500000037252903</v>
      </c>
      <c r="J37" s="27" t="n">
        <f>C6</f>
        <v>0.02500000037252903</v>
      </c>
      <c r="K37" s="27" t="n">
        <f>C6</f>
        <v>0.02500000037252903</v>
      </c>
      <c r="L37" s="27" t="n">
        <f>C6</f>
        <v>0.02500000037252903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7530.332850544386</v>
      </c>
      <c r="D39" s="21" t="n">
        <f>D36*C7</f>
        <v>7825.521901786726</v>
      </c>
      <c r="E39" s="21" t="n">
        <f>E36*C7</f>
        <v>8106.458141839038</v>
      </c>
      <c r="F39" s="21" t="n">
        <f>F36*C7</f>
        <v>8309.119598404917</v>
      </c>
      <c r="G39" s="21" t="n">
        <f>G36*C7</f>
        <v>8516.847591460437</v>
      </c>
      <c r="H39" s="21" t="n">
        <f>H36*C7</f>
        <v>8729.768784419724</v>
      </c>
      <c r="I39" s="21" t="n">
        <f>I36*C7</f>
        <v>8948.013007282323</v>
      </c>
      <c r="J39" s="21" t="n">
        <f>J36*C7</f>
        <v>9171.71333579779</v>
      </c>
      <c r="K39" s="21" t="n">
        <f>K36*C7</f>
        <v>9401.006172609474</v>
      </c>
      <c r="L39" s="21" t="n">
        <f>L36*C7</f>
        <v>9636.031330426873</v>
      </c>
    </row>
    <row r="40" spans="2:12">
      <c r="B40" s="18"/>
      <c r="C40" s="20" t="n">
        <f>(C39-L19)/L19</f>
        <v>-0.06474207455727951</v>
      </c>
      <c r="D40" s="20" t="n">
        <f>(D39-C39)/C39</f>
        <v>0.03920000046491968</v>
      </c>
      <c r="E40" s="20" t="n">
        <f t="shared" ref="E40:L40" si="6">(E39-D39)/D39</f>
        <v>0.03590000048280082</v>
      </c>
      <c r="F40" s="20" t="n">
        <f t="shared" si="6"/>
        <v>0.02500000037253051</v>
      </c>
      <c r="G40" s="20" t="n">
        <f t="shared" si="6"/>
        <v>0.02500000037253008</v>
      </c>
      <c r="H40" s="20" t="n">
        <f t="shared" si="6"/>
        <v>0.0250000003725295</v>
      </c>
      <c r="I40" s="20" t="n">
        <f t="shared" si="6"/>
        <v>0.025000000372530598</v>
      </c>
      <c r="J40" s="20" t="n">
        <f t="shared" si="6"/>
        <v>0.025000000372530525</v>
      </c>
      <c r="K40" s="20" t="n">
        <f t="shared" si="6"/>
        <v>0.025000000372530206</v>
      </c>
      <c r="L40" s="20" t="n">
        <f t="shared" si="6"/>
        <v>0.025000000372530577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5948.684312582679</v>
      </c>
      <c r="D42" s="21" t="n">
        <f>D39*C8</f>
        <v>6181.872740401581</v>
      </c>
      <c r="E42" s="21" t="n">
        <f>E39*C8</f>
        <v>6403.801974766609</v>
      </c>
      <c r="F42" s="21" t="n">
        <f>F39*C8</f>
        <v>6563.897026521387</v>
      </c>
      <c r="G42" s="21" t="n">
        <f>G39*C8</f>
        <v>6727.994454629671</v>
      </c>
      <c r="H42" s="21" t="n">
        <f>H39*C8</f>
        <v>6896.194318501783</v>
      </c>
      <c r="I42" s="21" t="n">
        <f>I39*C8</f>
        <v>7068.599179033371</v>
      </c>
      <c r="J42" s="21" t="n">
        <f>J39*C8</f>
        <v>7245.314161142478</v>
      </c>
      <c r="K42" s="21" t="n">
        <f>K39*C8</f>
        <v>7426.447017870134</v>
      </c>
      <c r="L42" s="21" t="n">
        <f>L39*C8</f>
        <v>7612.108196083467</v>
      </c>
    </row>
    <row r="43" spans="2:12">
      <c r="B43" s="18" t="s">
        <v>27</v>
      </c>
      <c r="C43" s="20" t="n">
        <f>(C42-L22)/L22</f>
        <v>0.05193356544344456</v>
      </c>
      <c r="D43" s="20" t="n">
        <f>(D42-C42)/C42</f>
        <v>0.03920000046491977</v>
      </c>
      <c r="E43" s="20" t="n">
        <f t="shared" ref="E43:L43" si="7">(E42-D42)/D42</f>
        <v>0.03590000048280067</v>
      </c>
      <c r="F43" s="20" t="n">
        <f t="shared" si="7"/>
        <v>0.025000000372530532</v>
      </c>
      <c r="G43" s="20" t="n">
        <f t="shared" si="7"/>
        <v>0.025000000372530105</v>
      </c>
      <c r="H43" s="20" t="n">
        <f t="shared" si="7"/>
        <v>0.025000000372528586</v>
      </c>
      <c r="I43" s="20" t="n">
        <f t="shared" si="7"/>
        <v>0.025000000372530612</v>
      </c>
      <c r="J43" s="20" t="n">
        <f t="shared" si="7"/>
        <v>0.02500000037253106</v>
      </c>
      <c r="K43" s="20" t="n">
        <f t="shared" si="7"/>
        <v>0.025000000372529602</v>
      </c>
      <c r="L43" s="20" t="n">
        <f t="shared" si="7"/>
        <v>0.025000000372530733</v>
      </c>
    </row>
    <row r="45" spans="2:12">
      <c r="B45" s="18" t="s">
        <v>47</v>
      </c>
      <c r="C45" s="60" t="n">
        <v>12109.0</v>
      </c>
      <c r="D45" s="60" t="n">
        <v>12833.0</v>
      </c>
      <c r="E45" s="60" t="n">
        <v>13361.0</v>
      </c>
      <c r="F45" s="21" t="n">
        <f t="shared" ref="E45:L45" si="8">E45*(1+F46)</f>
        <v>13695.025004977373</v>
      </c>
      <c r="G45" s="21" t="n">
        <f t="shared" si="8"/>
        <v>14037.400635203643</v>
      </c>
      <c r="H45" s="21" t="n">
        <f t="shared" si="8"/>
        <v>14388.335656313044</v>
      </c>
      <c r="I45" s="21" t="n">
        <f t="shared" si="8"/>
        <v>14748.044053080912</v>
      </c>
      <c r="J45" s="21" t="n">
        <f t="shared" si="8"/>
        <v>15116.745159902011</v>
      </c>
      <c r="K45" s="21" t="n">
        <f t="shared" si="8"/>
        <v>15494.66379453099</v>
      </c>
      <c r="L45" s="21" t="n">
        <f t="shared" si="8"/>
        <v>15882.030395166503</v>
      </c>
    </row>
    <row r="46" spans="2:12">
      <c r="B46" s="18" t="s">
        <v>27</v>
      </c>
      <c r="C46" s="20" t="n">
        <f>C10</f>
        <v>0.02500000037252903</v>
      </c>
      <c r="D46" s="20" t="n">
        <f>C10</f>
        <v>0.02500000037252903</v>
      </c>
      <c r="E46" s="20" t="n">
        <f>C10</f>
        <v>0.02500000037252903</v>
      </c>
      <c r="F46" s="20" t="n">
        <f>C10</f>
        <v>0.02500000037252903</v>
      </c>
      <c r="G46" s="20" t="n">
        <f>C10</f>
        <v>0.02500000037252903</v>
      </c>
      <c r="H46" s="20" t="n">
        <f>C10</f>
        <v>0.02500000037252903</v>
      </c>
      <c r="I46" s="20" t="n">
        <f>C10</f>
        <v>0.02500000037252903</v>
      </c>
      <c r="J46" s="20" t="n">
        <f>C10</f>
        <v>0.02500000037252903</v>
      </c>
      <c r="K46" s="20" t="n">
        <f>C10</f>
        <v>0.02500000037252903</v>
      </c>
      <c r="L46" s="20" t="n">
        <f>C10</f>
        <v>0.02500000037252903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1.0353476062499019</v>
      </c>
      <c r="D51" s="61" t="n">
        <f>POWER((1+C4),2)</f>
        <v>1.0719446657674019</v>
      </c>
      <c r="E51" s="61" t="n">
        <f>POWER((1+C4),3)</f>
        <v>1.1098353437346307</v>
      </c>
      <c r="F51" s="61" t="n">
        <f>POWER((1+C4),4)</f>
        <v>1.1490653664671868</v>
      </c>
      <c r="G51" s="61" t="n">
        <f>POWER((1+C4),5)</f>
        <v>1.189682076596468</v>
      </c>
      <c r="H51" s="61" t="n">
        <f>POWER((1+C4),6)</f>
        <v>1.2317344902025655</v>
      </c>
      <c r="I51" s="61" t="n">
        <f>POWER((1+C4),7)</f>
        <v>1.2752733559666696</v>
      </c>
      <c r="J51" s="61" t="n">
        <f>POWER((1+C4),8)</f>
        <v>1.3203512164143703</v>
      </c>
      <c r="K51" s="61" t="n">
        <f>POWER((1+C4),9)</f>
        <v>1.3670224713237644</v>
      </c>
      <c r="L51" s="61" t="n">
        <f>POWER((1+C4),10)</f>
        <v>1.4153434433748846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5745.591409757755</v>
      </c>
      <c r="D53" s="21" t="n">
        <f t="shared" si="9"/>
        <v>5766.970010505166</v>
      </c>
      <c r="E53" s="21" t="n">
        <f t="shared" si="9"/>
        <v>5770.046891115956</v>
      </c>
      <c r="F53" s="21" t="n">
        <f t="shared" si="9"/>
        <v>5712.379137056528</v>
      </c>
      <c r="G53" s="21" t="n">
        <f t="shared" si="9"/>
        <v>5655.287733574681</v>
      </c>
      <c r="H53" s="21" t="n">
        <f t="shared" si="9"/>
        <v>5598.766920432372</v>
      </c>
      <c r="I53" s="21" t="n">
        <f t="shared" si="9"/>
        <v>5542.810994961391</v>
      </c>
      <c r="J53" s="21" t="n">
        <f t="shared" si="9"/>
        <v>5487.414311487755</v>
      </c>
      <c r="K53" s="21" t="n">
        <f t="shared" si="9"/>
        <v>5432.571280762276</v>
      </c>
      <c r="L53" s="21" t="n">
        <f t="shared" si="9"/>
        <v>5378.276369396556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1.4653724461196802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532754.45020763</v>
      </c>
    </row>
    <row r="60" spans="2:12" ht="15" thickBot="1">
      <c r="B60" s="5" t="s">
        <v>41</v>
      </c>
      <c r="C60" s="23" t="n">
        <f>C59/C55</f>
        <v>363562.4865326005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588844.5652666804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234.59941642946401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215677.97155465905</v>
      </c>
    </row>
    <row r="70" spans="2:12" ht="15" thickBot="1">
      <c r="B70" s="5" t="s">
        <v>41</v>
      </c>
      <c r="C70" s="23" t="n">
        <f>C69/C55</f>
        <v>147183.04013820944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203273.15519725988</v>
      </c>
    </row>
    <row r="73" spans="2:12" ht="15" thickTop="1"/>
    <row r="74" spans="2:12" ht="18.5">
      <c r="B74" s="69" t="s">
        <v>42</v>
      </c>
      <c r="C74" s="70" t="n">
        <f>C72/(C11/1000000)</f>
        <v>80.98531666579261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2.8299999237060547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6.900000095367432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39.1590037378681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1.8300000429153442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1.8300000429153442</v>
      </c>
    </row>
    <row r="7" spans="2:16" ht="15" thickBot="1">
      <c r="B7" s="89" t="s">
        <v>121</v>
      </c>
      <c r="C7" s="90" t="n">
        <f>P6*(1+P7)</f>
        <v>1.8757500446699533</v>
      </c>
      <c r="D7" s="90" t="n">
        <f>C7*(1+P7)</f>
        <v>1.922643796485472</v>
      </c>
      <c r="E7" s="90" t="n">
        <f>D7*(1+P7)</f>
        <v>1.9707098921138493</v>
      </c>
      <c r="F7" s="90" t="n">
        <f>E7*(1+P7)</f>
        <v>2.0199776401508447</v>
      </c>
      <c r="G7" s="90" t="n">
        <f>F7*(1+P7)</f>
        <v>2.0704770819071134</v>
      </c>
      <c r="H7" s="90" t="n">
        <f>G7*(1+P7)</f>
        <v>2.1222390097261026</v>
      </c>
      <c r="I7" s="90" t="n">
        <f>H7*(1+P7)</f>
        <v>2.1752949857598503</v>
      </c>
      <c r="J7" s="90" t="n">
        <f>I7*(1+P7)</f>
        <v>2.229677361214209</v>
      </c>
      <c r="K7" s="90" t="n">
        <f>J7*(1+P7)</f>
        <v>2.285419296075187</v>
      </c>
      <c r="L7" s="90" t="n">
        <f>K7*(1+P7)</f>
        <v>2.342554779328457</v>
      </c>
      <c r="M7" s="159" t="n">
        <f>L7*(1+P7)/(P8-P7)</f>
        <v>232.04581602154823</v>
      </c>
      <c r="N7" s="160"/>
      <c r="O7" s="88" t="s">
        <v>122</v>
      </c>
      <c r="P7" s="104" t="n">
        <v>0.02500000037252903</v>
      </c>
    </row>
    <row r="8" spans="2:16" ht="15" thickBot="1">
      <c r="B8" s="89" t="s">
        <v>123</v>
      </c>
      <c r="C8" s="90" t="n">
        <f>C7/(1+P8)</f>
        <v>1.8117104181696477</v>
      </c>
      <c r="D8" s="90" t="n">
        <f>D7/(1+P8)^2</f>
        <v>1.7936035859734034</v>
      </c>
      <c r="E8" s="90" t="n">
        <f>E7/(1+P8)^3</f>
        <v>1.7756777194375075</v>
      </c>
      <c r="F8" s="90" t="n">
        <f>F7/(1+P8)^4</f>
        <v>1.7579310099313812</v>
      </c>
      <c r="G8" s="90" t="n">
        <f>G7/(1+P8)^5</f>
        <v>1.7403616669005244</v>
      </c>
      <c r="H8" s="90" t="n">
        <f>H7/(1+P8)^6</f>
        <v>1.722967917685798</v>
      </c>
      <c r="I8" s="90" t="n">
        <f>I7/(1+P8)^7</f>
        <v>1.705748007344633</v>
      </c>
      <c r="J8" s="90" t="n">
        <f>J7/(1+P8)^8</f>
        <v>1.688700198473906</v>
      </c>
      <c r="K8" s="90" t="n">
        <f>K7/(1+P8)^9</f>
        <v>1.6718227710346985</v>
      </c>
      <c r="L8" s="90" t="n">
        <f>L7/(1+P8)^10</f>
        <v>1.655114022178708</v>
      </c>
      <c r="M8" s="159" t="n">
        <f>M7/POWER((1+P8),10)</f>
        <v>163.9501826272186</v>
      </c>
      <c r="N8" s="160"/>
      <c r="O8" s="91" t="s">
        <v>124</v>
      </c>
      <c r="P8" s="105" t="n">
        <f>WACC!$C$25</f>
        <v>0.03534760624990182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181.273819944349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1.8300000429153442</v>
      </c>
    </row>
    <row r="16" spans="2:16" ht="15" thickBot="1">
      <c r="B16" s="89" t="s">
        <v>121</v>
      </c>
      <c r="C16" s="90" t="n">
        <f>P15*(1+P16)</f>
        <v>1.8849000429756937</v>
      </c>
      <c r="D16" s="90" t="n">
        <f>C16*(1+P16)</f>
        <v>1.9414470430010409</v>
      </c>
      <c r="E16" s="90" t="n">
        <f>D16*(1+P16)</f>
        <v>1.9996904529892339</v>
      </c>
      <c r="F16" s="90" t="n">
        <f>E16*(1+P16)</f>
        <v>2.0596811652380143</v>
      </c>
      <c r="G16" s="90" t="n">
        <f>F16*(1+P16)</f>
        <v>2.121471598814031</v>
      </c>
      <c r="H16" s="90" t="n">
        <f>G16*(1+P16)</f>
        <v>2.185115745355898</v>
      </c>
      <c r="I16" s="90" t="n">
        <f>H16*(1+P16)</f>
        <v>2.2506692162513477</v>
      </c>
      <c r="J16" s="90" t="n">
        <f>I16*(1+P16)</f>
        <v>2.318189291229704</v>
      </c>
      <c r="K16" s="90" t="n">
        <f>J16*(1+P16)</f>
        <v>2.387734968412129</v>
      </c>
      <c r="L16" s="90" t="n">
        <f>K16*(1+P16)</f>
        <v>2.459367015863398</v>
      </c>
      <c r="M16" s="159" t="n">
        <f>L16*(1+P16)/(P17-P16)</f>
        <v>473.69749915632883</v>
      </c>
      <c r="N16" s="160"/>
      <c r="O16" s="88" t="s">
        <v>122</v>
      </c>
      <c r="P16" s="104" t="n">
        <v>0.029999999329447746</v>
      </c>
    </row>
    <row r="17" spans="2:16" ht="15" thickBot="1">
      <c r="B17" s="89" t="s">
        <v>123</v>
      </c>
      <c r="C17" s="90" t="n">
        <f>C16/(1+P17)</f>
        <v>1.8205480281187176</v>
      </c>
      <c r="D17" s="90" t="n">
        <f>D16/(1+P17)^2</f>
        <v>1.811144833312051</v>
      </c>
      <c r="E17" s="90" t="n">
        <f>E16/(1+P17)^3</f>
        <v>1.8017902063383657</v>
      </c>
      <c r="F17" s="90" t="n">
        <f>F16/(1+P17)^4</f>
        <v>1.7924838963430907</v>
      </c>
      <c r="G17" s="90" t="n">
        <f>G16/(1+P17)^5</f>
        <v>1.7832256537673425</v>
      </c>
      <c r="H17" s="90" t="n">
        <f>H16/(1+P17)^6</f>
        <v>1.7740152303411896</v>
      </c>
      <c r="I17" s="90" t="n">
        <f>I16/(1+P17)^7</f>
        <v>1.764852379077049</v>
      </c>
      <c r="J17" s="90" t="n">
        <f>J16/(1+P17)^8</f>
        <v>1.7557368542630065</v>
      </c>
      <c r="K17" s="90" t="n">
        <f>K16/(1+P17)^9</f>
        <v>1.7466684114562947</v>
      </c>
      <c r="L17" s="90" t="n">
        <f>L16/(1+P17)^10</f>
        <v>1.737646807476672</v>
      </c>
      <c r="M17" s="159" t="n">
        <f>M16/POWER((1+P17),10)</f>
        <v>334.68731661821914</v>
      </c>
      <c r="N17" s="160"/>
      <c r="O17" s="91" t="s">
        <v>124</v>
      </c>
      <c r="P17" s="105" t="n">
        <f>WACC!$C$25</f>
        <v>0.03534760624990182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352.475428918713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1.8300000429153442</v>
      </c>
    </row>
    <row r="25" spans="2:16" ht="15" thickBot="1">
      <c r="B25" s="89" t="s">
        <v>121</v>
      </c>
      <c r="C25" s="90" t="n">
        <f>P24*(1+P25)</f>
        <v>1.8940500446900652</v>
      </c>
      <c r="D25" s="90" t="n">
        <f>C25*(1+P25)</f>
        <v>1.960341796536455</v>
      </c>
      <c r="E25" s="90" t="n">
        <f>D25*(1+P25)</f>
        <v>2.028953759707336</v>
      </c>
      <c r="F25" s="90" t="n">
        <f>E25*(1+P25)</f>
        <v>2.099967141599431</v>
      </c>
      <c r="G25" s="90" t="n">
        <f>F25*(1+P25)</f>
        <v>2.1734659918683263</v>
      </c>
      <c r="H25" s="90" t="n">
        <f>G25*(1+P25)</f>
        <v>2.2495373019075897</v>
      </c>
      <c r="I25" s="90" t="n">
        <f>H25*(1+P25)</f>
        <v>2.328271107809559</v>
      </c>
      <c r="J25" s="90" t="n">
        <f>I25*(1+P25)</f>
        <v>2.4097605969298304</v>
      </c>
      <c r="K25" s="90" t="n">
        <f>J25*(1+P25)</f>
        <v>2.4941022181814523</v>
      </c>
      <c r="L25" s="90" t="n">
        <f>K25*(1+P25)</f>
        <v>2.581395796189447</v>
      </c>
      <c r="M25" s="159" t="n">
        <f>L25*(1+P25)/(P26-P25)</f>
        <v>7686.127034590284</v>
      </c>
      <c r="N25" s="160"/>
      <c r="O25" s="88" t="s">
        <v>122</v>
      </c>
      <c r="P25" s="104" t="n">
        <v>0.03500000014901161</v>
      </c>
    </row>
    <row r="26" spans="2:16" ht="15" thickBot="1">
      <c r="B26" s="89" t="s">
        <v>123</v>
      </c>
      <c r="C26" s="90" t="n">
        <f>C25/(1+P26)</f>
        <v>1.829385641360054</v>
      </c>
      <c r="D26" s="90" t="n">
        <f>D25/(1+P26)^2</f>
        <v>1.8287714460830409</v>
      </c>
      <c r="E26" s="90" t="n">
        <f>E25/(1+P26)^3</f>
        <v>1.8281574570150634</v>
      </c>
      <c r="F26" s="90" t="n">
        <f>F25/(1+P26)^4</f>
        <v>1.8275436740868751</v>
      </c>
      <c r="G26" s="90" t="n">
        <f>G25/(1+P26)^5</f>
        <v>1.826930097229288</v>
      </c>
      <c r="H26" s="90" t="n">
        <f>H25/(1+P26)^6</f>
        <v>1.8263167263730944</v>
      </c>
      <c r="I26" s="90" t="n">
        <f>I25/(1+P26)^7</f>
        <v>1.8257035614491508</v>
      </c>
      <c r="J26" s="90" t="n">
        <f>J25/(1+P26)^8</f>
        <v>1.8250906023883022</v>
      </c>
      <c r="K26" s="90" t="n">
        <f>K25/(1+P26)^9</f>
        <v>1.8244778491214406</v>
      </c>
      <c r="L26" s="90" t="n">
        <f>L25/(1+P26)^10</f>
        <v>1.8238653015794692</v>
      </c>
      <c r="M26" s="159" t="n">
        <f>M25/POWER((1+P26),10)</f>
        <v>5430.573809182841</v>
      </c>
      <c r="N26" s="160"/>
      <c r="O26" s="91" t="s">
        <v>124</v>
      </c>
      <c r="P26" s="105" t="n">
        <f>WACC!$C$25</f>
        <v>0.03534760624990182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5448.84005153953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66007.7890625</v>
      </c>
      <c r="D3" s="110" t="n">
        <v>66145.3515625</v>
      </c>
      <c r="E3" s="110" t="n">
        <v>64385.96875</v>
      </c>
      <c r="F3" s="110" t="n">
        <v>59155.359375</v>
      </c>
      <c r="G3" s="110" t="n">
        <v>58332.2109375</v>
      </c>
      <c r="H3" s="110" t="n">
        <v>60714.05859375</v>
      </c>
      <c r="I3" s="110" t="n">
        <v>60209.73828125</v>
      </c>
      <c r="J3" s="110" t="n">
        <v>58217.6015625</v>
      </c>
      <c r="K3" s="110" t="n">
        <v>57942.01953125</v>
      </c>
      <c r="L3" s="110" t="n">
        <v>62046.5</v>
      </c>
      <c r="M3" s="110" t="n">
        <v>63292.91015625</v>
      </c>
      <c r="Q3" s="107"/>
    </row>
    <row r="4" spans="2:17">
      <c r="B4" s="18" t="s">
        <v>27</v>
      </c>
      <c r="C4" s="113"/>
      <c r="D4" s="121" t="n">
        <f t="shared" ref="D4:M4" si="0">(D3-C3)/C3</f>
        <v>0.0020840343534268032</v>
      </c>
      <c r="E4" s="121" t="n">
        <f t="shared" si="0"/>
        <v>-0.026598737038045356</v>
      </c>
      <c r="F4" s="121" t="n">
        <f t="shared" si="0"/>
        <v>-0.08123834239894076</v>
      </c>
      <c r="G4" s="121" t="n">
        <f t="shared" si="0"/>
        <v>-0.013915027246844446</v>
      </c>
      <c r="H4" s="121" t="n">
        <f t="shared" si="0"/>
        <v>0.040832459767417846</v>
      </c>
      <c r="I4" s="121" t="n">
        <f t="shared" si="0"/>
        <v>-0.008306483278848295</v>
      </c>
      <c r="J4" s="121" t="n">
        <f t="shared" si="0"/>
        <v>-0.033086619799680715</v>
      </c>
      <c r="K4" s="121" t="n">
        <f t="shared" si="0"/>
        <v>-0.0047336548372599405</v>
      </c>
      <c r="L4" s="121" t="n">
        <f t="shared" si="0"/>
        <v>0.07083771849782214</v>
      </c>
      <c r="M4" s="121" t="n">
        <f t="shared" si="0"/>
        <v>0.02008832337440468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6363.6201171875</v>
      </c>
      <c r="D6" s="110" t="n">
        <v>6990.83984375</v>
      </c>
      <c r="E6" s="110" t="n">
        <v>7331.080078125</v>
      </c>
      <c r="F6" s="110" t="n">
        <v>5451.14990234375</v>
      </c>
      <c r="G6" s="110" t="n">
        <v>5736.61376953125</v>
      </c>
      <c r="H6" s="110" t="n">
        <v>6841.7060546875</v>
      </c>
      <c r="I6" s="110" t="n">
        <v>11088.41015625</v>
      </c>
      <c r="J6" s="110" t="n">
        <v>6300.0</v>
      </c>
      <c r="K6" s="110" t="n">
        <v>6375.17578125</v>
      </c>
      <c r="L6" s="110" t="n">
        <v>7156.57177734375</v>
      </c>
      <c r="M6" s="110" t="n">
        <v>8051.61083984375</v>
      </c>
      <c r="Q6" s="107"/>
    </row>
    <row r="7" spans="2:17">
      <c r="B7" s="18" t="s">
        <v>27</v>
      </c>
      <c r="C7" s="113"/>
      <c r="D7" s="121" t="n">
        <f t="shared" ref="D7" si="1">(D6-C6)/C6</f>
        <v>0.09856335152194934</v>
      </c>
      <c r="E7" s="121" t="n">
        <f t="shared" ref="E7" si="2">(E6-D6)/D6</f>
        <v>0.04866943628799964</v>
      </c>
      <c r="F7" s="121" t="n">
        <f t="shared" ref="F7" si="3">(F6-E6)/E6</f>
        <v>-0.2564329069860688</v>
      </c>
      <c r="G7" s="121" t="n">
        <f t="shared" ref="G7" si="4">(G6-F6)/F6</f>
        <v>0.05236764211249508</v>
      </c>
      <c r="H7" s="121" t="n">
        <f t="shared" ref="H7" si="5">(H6-G6)/G6</f>
        <v>0.1926384326282697</v>
      </c>
      <c r="I7" s="121" t="n">
        <f t="shared" ref="I7" si="6">(I6-H6)/H6</f>
        <v>0.6207083536792595</v>
      </c>
      <c r="J7" s="121" t="n">
        <f t="shared" ref="J7" si="7">(J6-I6)/I6</f>
        <v>-0.4318391986565364</v>
      </c>
      <c r="K7" s="121" t="n">
        <f t="shared" ref="K7" si="8">(K6-J6)/J6</f>
        <v>0.01193266369047619</v>
      </c>
      <c r="L7" s="121" t="n">
        <f t="shared" ref="L7" si="9">(L6-K6)/K6</f>
        <v>0.12256854130860362</v>
      </c>
      <c r="M7" s="121" t="n">
        <f t="shared" ref="M7" si="10">(M6-L6)/L6</f>
        <v>0.125065337195878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10530.580078125</v>
      </c>
      <c r="D9" s="110" t="n">
        <v>11513.7001953125</v>
      </c>
      <c r="E9" s="110" t="n">
        <v>12511.3603515625</v>
      </c>
      <c r="F9" s="110" t="n">
        <v>59155.359375</v>
      </c>
      <c r="G9" s="110" t="n">
        <v>10252.650390625</v>
      </c>
      <c r="H9" s="110" t="n">
        <v>11749.4599609375</v>
      </c>
      <c r="I9" s="110" t="n">
        <v>16867.0390625</v>
      </c>
      <c r="J9" s="110" t="n">
        <v>11972.7998046875</v>
      </c>
      <c r="K9" s="110" t="n">
        <v>11789.6796875</v>
      </c>
      <c r="L9" s="110" t="n">
        <v>12381.1396484375</v>
      </c>
      <c r="M9" s="110" t="n">
        <v>13381.76953125</v>
      </c>
      <c r="Q9" s="107"/>
    </row>
    <row r="10" spans="2:17">
      <c r="B10" s="18" t="s">
        <v>27</v>
      </c>
      <c r="C10" s="113"/>
      <c r="D10" s="121" t="n">
        <f t="shared" ref="D10" si="11">(D9-C9)/C9</f>
        <v>0.09335859087475334</v>
      </c>
      <c r="E10" s="121" t="n">
        <f t="shared" ref="E10" si="12">(E9-D9)/D9</f>
        <v>0.08664982927522909</v>
      </c>
      <c r="F10" s="121" t="n">
        <f t="shared" ref="F10" si="13">(F9-E9)/E9</f>
        <v>3.7281316909405695</v>
      </c>
      <c r="G10" s="121" t="n">
        <f t="shared" ref="G10" si="14">(G9-F9)/F9</f>
        <v>-0.8266826455126239</v>
      </c>
      <c r="H10" s="121" t="n">
        <f t="shared" ref="H10" si="15">(H9-G9)/G9</f>
        <v>0.1459924520279341</v>
      </c>
      <c r="I10" s="121" t="n">
        <f t="shared" ref="I10" si="16">(I9-H9)/H9</f>
        <v>0.43555866555369444</v>
      </c>
      <c r="J10" s="121" t="n">
        <f t="shared" ref="J10" si="17">(J9-I9)/I9</f>
        <v>-0.29016588149687284</v>
      </c>
      <c r="K10" s="121" t="n">
        <f t="shared" ref="K10" si="18">(K9-J9)/J9</f>
        <v>-0.015294677951251319</v>
      </c>
      <c r="L10" s="121" t="n">
        <f t="shared" ref="L10" si="19">(L9-K9)/K9</f>
        <v>0.05016760222625853</v>
      </c>
      <c r="M10" s="121" t="n">
        <f t="shared" ref="M10" si="20">(M9-L9)/L9</f>
        <v>0.08081888349743148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2915.89990234375</v>
      </c>
      <c r="D12" s="110" t="n">
        <v>2924.0</v>
      </c>
      <c r="E12" s="110" t="n">
        <v>2882.60009765625</v>
      </c>
      <c r="F12" s="110" t="n">
        <v>2854.0048828125</v>
      </c>
      <c r="G12" s="110" t="n">
        <v>2853.89990234375</v>
      </c>
      <c r="H12" s="110" t="n">
        <v>2814.0</v>
      </c>
      <c r="I12" s="110" t="n">
        <v>2694.800048828125</v>
      </c>
      <c r="J12" s="110" t="n">
        <v>2626.699951171875</v>
      </c>
      <c r="K12" s="110" t="n">
        <v>2629.800048828125</v>
      </c>
      <c r="L12" s="110" t="n">
        <v>2609.60009765625</v>
      </c>
      <c r="M12" s="110" t="n">
        <v>2559.800048828125</v>
      </c>
      <c r="Q12" s="107"/>
    </row>
    <row r="13" spans="2:17">
      <c r="B13" s="18" t="s">
        <v>27</v>
      </c>
      <c r="C13" s="113"/>
      <c r="D13" s="121" t="n">
        <f t="shared" ref="D13" si="21">(D12-C12)/C12</f>
        <v>0.0027779066248945243</v>
      </c>
      <c r="E13" s="121" t="n">
        <f t="shared" ref="E13" si="22">(E12-D12)/D12</f>
        <v>-0.014158653332335841</v>
      </c>
      <c r="F13" s="121" t="n">
        <f t="shared" ref="F13" si="23">(F12-E12)/E12</f>
        <v>-0.009919938206829263</v>
      </c>
      <c r="G13" s="121" t="n">
        <f t="shared" ref="G13" si="24">(G12-F12)/F12</f>
        <v>-3.678356311939671E-5</v>
      </c>
      <c r="H13" s="121" t="n">
        <f t="shared" ref="H13" si="25">(H12-G12)/G12</f>
        <v>-0.013980834545382065</v>
      </c>
      <c r="I13" s="121" t="n">
        <f t="shared" ref="I13" si="26">(I12-H12)/H12</f>
        <v>-0.04235961306747513</v>
      </c>
      <c r="J13" s="121" t="n">
        <f t="shared" ref="J13" si="27">(J12-I12)/I12</f>
        <v>-0.025270927869347575</v>
      </c>
      <c r="K13" s="121" t="n">
        <f t="shared" ref="K13" si="28">(K12-J12)/J12</f>
        <v>0.0011802252689222907</v>
      </c>
      <c r="L13" s="121" t="n">
        <f t="shared" ref="L13" si="29">(L12-K12)/K12</f>
        <v>-0.00768117377626346</v>
      </c>
      <c r="M13" s="121" t="n">
        <f t="shared" ref="M13" si="30">(M12-L12)/L12</f>
        <v>-0.0190834024235559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1.9800000190734863</v>
      </c>
      <c r="D15" s="110" t="n">
        <v>2.240000009536743</v>
      </c>
      <c r="E15" s="110" t="n">
        <v>2.0799999237060547</v>
      </c>
      <c r="F15" s="110" t="n">
        <v>1.909999966621399</v>
      </c>
      <c r="G15" s="110" t="n">
        <v>2.0139999389648438</v>
      </c>
      <c r="H15" s="110" t="n">
        <v>2.4300999641418457</v>
      </c>
      <c r="I15" s="110" t="n">
        <v>4.133500099182129</v>
      </c>
      <c r="J15" s="110" t="n">
        <v>2.3968000411987305</v>
      </c>
      <c r="K15" s="110" t="n">
        <v>2.4217000007629395</v>
      </c>
      <c r="L15" s="110" t="n">
        <v>2.744800090789795</v>
      </c>
      <c r="M15" s="110" t="n">
        <v>3.1500000953674316</v>
      </c>
      <c r="Q15" s="107"/>
    </row>
    <row r="16" spans="2:17">
      <c r="B16" s="18" t="s">
        <v>27</v>
      </c>
      <c r="D16" s="121" t="n">
        <f t="shared" ref="D16" si="31">(D15-C15)/C15</f>
        <v>0.13131312523164515</v>
      </c>
      <c r="E16" s="121" t="n">
        <f t="shared" ref="E16" si="32">(E15-D15)/D15</f>
        <v>-0.07142860944173747</v>
      </c>
      <c r="F16" s="121" t="n">
        <f t="shared" ref="F16" si="33">(F15-E15)/E15</f>
        <v>-0.08173075159625859</v>
      </c>
      <c r="G16" s="121" t="n">
        <f t="shared" ref="G16" si="34">(G15-F15)/F15</f>
        <v>0.05445024825178956</v>
      </c>
      <c r="H16" s="121" t="n">
        <f t="shared" ref="H16" si="35">(H15-G15)/G15</f>
        <v>0.20660379234711893</v>
      </c>
      <c r="I16" s="121" t="n">
        <f t="shared" ref="I16" si="36">(I15-H15)/H15</f>
        <v>0.7009588741925716</v>
      </c>
      <c r="J16" s="121" t="n">
        <f t="shared" ref="J16" si="37">(J15-I15)/I15</f>
        <v>-0.4201524171553861</v>
      </c>
      <c r="K16" s="121" t="n">
        <f t="shared" ref="K16" si="38">(K15-J15)/J15</f>
        <v>0.010388834753088369</v>
      </c>
      <c r="L16" s="121" t="n">
        <f t="shared" ref="L16" si="39">(L15-K15)/K15</f>
        <v>0.13341870996616614</v>
      </c>
      <c r="M16" s="121" t="n">
        <f t="shared" ref="M16" si="40">(M15-L15)/L15</f>
        <v>0.14762459602697134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3856.0</v>
      </c>
      <c r="D20" s="128" t="n">
        <v>3856.0</v>
      </c>
      <c r="E20" s="128" t="n">
        <v>3100.0</v>
      </c>
      <c r="F20" s="128" t="n">
        <v>4796.0</v>
      </c>
      <c r="G20" s="128" t="n">
        <v>4802.0</v>
      </c>
      <c r="H20" s="128" t="n">
        <v>5355.0</v>
      </c>
      <c r="I20" s="128" t="n">
        <v>4962.0</v>
      </c>
      <c r="J20" s="128" t="n">
        <v>6680.0</v>
      </c>
      <c r="K20" s="128" t="n">
        <v>8126.0</v>
      </c>
      <c r="L20" s="128" t="n">
        <v>6733.0</v>
      </c>
      <c r="M20" s="128" t="n">
        <v>5655.0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-0.19605809128630705</v>
      </c>
      <c r="F21" s="131" t="n">
        <f t="shared" ref="F21" si="42">(F20-E20)/E20</f>
        <v>0.5470967741935484</v>
      </c>
      <c r="G21" s="131" t="n">
        <f t="shared" ref="G21" si="43">(G20-F20)/F20</f>
        <v>0.0012510425354462051</v>
      </c>
      <c r="H21" s="131" t="n">
        <f t="shared" ref="H21" si="44">(H20-G20)/G20</f>
        <v>0.1151603498542274</v>
      </c>
      <c r="I21" s="131" t="n">
        <f t="shared" ref="I21" si="45">(I20-H20)/H20</f>
        <v>-0.07338935574229692</v>
      </c>
      <c r="J21" s="131" t="n">
        <f t="shared" ref="J21" si="46">(J20-I20)/I20</f>
        <v>0.34623135832325674</v>
      </c>
      <c r="K21" s="131" t="n">
        <f t="shared" ref="K21" si="47">(K20-J20)/J20</f>
        <v>0.21646706586826348</v>
      </c>
      <c r="L21" s="131" t="n">
        <f t="shared" ref="L21" si="48">(L20-K20)/K20</f>
        <v>-0.17142505537779965</v>
      </c>
      <c r="M21" s="131" t="n">
        <f t="shared" ref="M21" si="49">(M20-L20)/L20</f>
        <v>-0.16010693598693004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3471.0</v>
      </c>
      <c r="D23" s="130" t="n">
        <v>3976.0</v>
      </c>
      <c r="E23" s="130" t="n">
        <v>4239.0</v>
      </c>
      <c r="F23" s="130" t="n">
        <v>4600.0</v>
      </c>
      <c r="G23" s="130" t="n">
        <v>3994.0</v>
      </c>
      <c r="H23" s="130" t="n">
        <v>4426.0</v>
      </c>
      <c r="I23" s="130" t="n">
        <v>4802.0</v>
      </c>
      <c r="J23" s="130" t="n">
        <v>4714.0</v>
      </c>
      <c r="K23" s="130" t="n">
        <v>4888.0</v>
      </c>
      <c r="L23" s="130" t="n">
        <v>5304.0</v>
      </c>
      <c r="M23" s="130" t="n">
        <v>4561.0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0.14549121290694325</v>
      </c>
      <c r="E24" s="121" t="n">
        <f t="shared" ref="E24" si="51">(E23-D23)/D23</f>
        <v>0.06614688128772636</v>
      </c>
      <c r="F24" s="121" t="n">
        <f t="shared" ref="F24" si="52">(F23-E23)/E23</f>
        <v>0.08516159471573484</v>
      </c>
      <c r="G24" s="121" t="n">
        <f t="shared" ref="G24" si="53">(G23-F23)/F23</f>
        <v>-0.1317391304347826</v>
      </c>
      <c r="H24" s="121" t="n">
        <f t="shared" ref="H24" si="54">(H23-G23)/G23</f>
        <v>0.10816224336504757</v>
      </c>
      <c r="I24" s="121" t="n">
        <f t="shared" ref="I24" si="55">(I23-H23)/H23</f>
        <v>0.08495255309534569</v>
      </c>
      <c r="J24" s="121" t="n">
        <f t="shared" ref="J24" si="56">(J23-I23)/I23</f>
        <v>-0.018325697625989172</v>
      </c>
      <c r="K24" s="121" t="n">
        <f t="shared" ref="K24" si="57">(K23-J23)/J23</f>
        <v>0.03691132795927026</v>
      </c>
      <c r="L24" s="121" t="n">
        <f t="shared" ref="L24" si="58">(L23-K23)/K23</f>
        <v>0.0851063829787234</v>
      </c>
      <c r="M24" s="121" t="n">
        <f t="shared" ref="M24" si="59">(M23-L23)/L23</f>
        <v>-0.14008295625942685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15622.25</v>
      </c>
      <c r="D28" s="110" t="n">
        <v>16101.650390625</v>
      </c>
      <c r="E28" s="110" t="n">
        <v>16412.859375</v>
      </c>
      <c r="F28" s="110" t="n">
        <v>14087.0400390625</v>
      </c>
      <c r="G28" s="110" t="n">
        <v>15364.0302734375</v>
      </c>
      <c r="H28" s="110" t="n">
        <v>19195.880859375</v>
      </c>
      <c r="I28" s="110" t="n">
        <v>18283.060546875</v>
      </c>
      <c r="J28" s="110" t="n">
        <v>18401.599609375</v>
      </c>
      <c r="K28" s="110" t="n">
        <v>18456.140625</v>
      </c>
      <c r="L28" s="110" t="n">
        <v>20587.119140625</v>
      </c>
      <c r="M28" s="110" t="n">
        <v>20183.810546875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0.030687025916561316</v>
      </c>
      <c r="E29" s="121" t="n">
        <f t="shared" ref="E29" si="61">(E28-D28)/D28</f>
        <v>0.019327769317125272</v>
      </c>
      <c r="F29" s="121" t="n">
        <f t="shared" ref="F29" si="62">(F28-E28)/E28</f>
        <v>-0.14170713845755473</v>
      </c>
      <c r="G29" s="121" t="n">
        <f t="shared" ref="G29" si="63">(G28-F28)/F28</f>
        <v>0.09065000389251285</v>
      </c>
      <c r="H29" s="121" t="n">
        <f t="shared" ref="H29" si="64">(H28-G28)/G28</f>
        <v>0.24940399867359633</v>
      </c>
      <c r="I29" s="121" t="n">
        <f t="shared" ref="I29" si="65">(I28-H28)/H28</f>
        <v>-0.047552926546436204</v>
      </c>
      <c r="J29" s="121" t="n">
        <f t="shared" ref="J29" si="66">(J28-I28)/I28</f>
        <v>0.00648354591377542</v>
      </c>
      <c r="K29" s="121" t="n">
        <f t="shared" ref="K29" si="67">(K28-J28)/J28</f>
        <v>0.0029639279618502933</v>
      </c>
      <c r="L29" s="121" t="n">
        <f t="shared" ref="L29" si="68">(L28-K28)/K28</f>
        <v>0.11546176196438686</v>
      </c>
      <c r="M29" s="121" t="n">
        <f t="shared" ref="M29" si="69">(M28-L28)/L28</f>
        <v>-0.01959033660781331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43751.8203125</v>
      </c>
      <c r="D31" s="110" t="n">
        <v>44353.23828125</v>
      </c>
      <c r="E31" s="110" t="n">
        <v>47429.37890625</v>
      </c>
      <c r="F31" s="110" t="n">
        <v>43986.75</v>
      </c>
      <c r="G31" s="110" t="n">
        <v>47080.30078125</v>
      </c>
      <c r="H31" s="110" t="n">
        <v>48944.25</v>
      </c>
      <c r="I31" s="110" t="n">
        <v>51934.48046875</v>
      </c>
      <c r="J31" s="110" t="n">
        <v>54181.12109375</v>
      </c>
      <c r="K31" s="110" t="n">
        <v>58830.73046875</v>
      </c>
      <c r="L31" s="110" t="n">
        <v>68257.7734375</v>
      </c>
      <c r="M31" s="110" t="n">
        <v>61808.390625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0.013746124491605975</v>
      </c>
      <c r="E32" s="121" t="n">
        <f t="shared" ref="E32" si="71">(E31-D31)/D31</f>
        <v>0.06935549114799168</v>
      </c>
      <c r="F32" s="121" t="n">
        <f t="shared" ref="F32" si="72">(F31-E31)/E31</f>
        <v>-0.07258431347066086</v>
      </c>
      <c r="G32" s="121" t="n">
        <f t="shared" ref="G32" si="73">(G31-F31)/F31</f>
        <v>0.07032915096591587</v>
      </c>
      <c r="H32" s="121" t="n">
        <f t="shared" ref="H32" si="74">(H31-G31)/G31</f>
        <v>0.039590851966101466</v>
      </c>
      <c r="I32" s="121" t="n">
        <f t="shared" ref="I32" si="75">(I31-H31)/H31</f>
        <v>0.06109462232540084</v>
      </c>
      <c r="J32" s="121" t="n">
        <f t="shared" ref="J32" si="76">(J31-I31)/I31</f>
        <v>0.0432591335221279</v>
      </c>
      <c r="K32" s="121" t="n">
        <f t="shared" ref="K32" si="77">(K31-J31)/J31</f>
        <v>0.085816042214312</v>
      </c>
      <c r="L32" s="121" t="n">
        <f t="shared" ref="L32" si="78">(L31-K31)/K31</f>
        <v>0.16024011419945744</v>
      </c>
      <c r="M32" s="121" t="n">
        <f t="shared" ref="M32" si="79">(M31-L31)/L31</f>
        <v>-0.09448568987392118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60454.888671875</v>
      </c>
      <c r="E34" s="111" t="n">
        <f t="shared" ref="E34:M34" si="80">E28+E31</f>
        <v>63842.23828125</v>
      </c>
      <c r="F34" s="111" t="n">
        <f t="shared" si="80"/>
        <v>58073.7900390625</v>
      </c>
      <c r="G34" s="111" t="n">
        <f t="shared" si="80"/>
        <v>62444.3310546875</v>
      </c>
      <c r="H34" s="111" t="n">
        <f t="shared" si="80"/>
        <v>68140.130859375</v>
      </c>
      <c r="I34" s="111" t="n">
        <f t="shared" si="80"/>
        <v>70217.541015625</v>
      </c>
      <c r="J34" s="111" t="n">
        <f t="shared" si="80"/>
        <v>72582.720703125</v>
      </c>
      <c r="K34" s="111" t="n">
        <f t="shared" si="80"/>
        <v>77286.87109375</v>
      </c>
      <c r="L34" s="111" t="n">
        <f t="shared" si="80"/>
        <v>88844.892578125</v>
      </c>
      <c r="M34" s="111" t="n">
        <f t="shared" si="80"/>
        <v>81992.201171875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20339.669921875</v>
      </c>
      <c r="D36" s="118" t="n">
        <v>23088.509765625</v>
      </c>
      <c r="E36" s="110" t="n">
        <v>26110.109375</v>
      </c>
      <c r="F36" s="110" t="n">
        <v>22229.900390625</v>
      </c>
      <c r="G36" s="110" t="n">
        <v>22747.26953125</v>
      </c>
      <c r="H36" s="110" t="n">
        <v>26196.9609375</v>
      </c>
      <c r="I36" s="110" t="n">
        <v>23350.73046875</v>
      </c>
      <c r="J36" s="110" t="n">
        <v>23495.359375</v>
      </c>
      <c r="K36" s="110" t="n">
        <v>23522.240234375</v>
      </c>
      <c r="L36" s="110" t="n">
        <v>29314.849609375</v>
      </c>
      <c r="M36" s="110" t="n">
        <v>26789.890625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0.1351467282560798</v>
      </c>
      <c r="E37" s="121" t="n">
        <f t="shared" ref="E37" si="82">(E36-D36)/D36</f>
        <v>0.13087027443727295</v>
      </c>
      <c r="F37" s="121" t="n">
        <f t="shared" ref="F37" si="83">(F36-E36)/E36</f>
        <v>-0.14860944964444447</v>
      </c>
      <c r="G37" s="121" t="n">
        <f t="shared" ref="G37" si="84">(G36-F36)/F36</f>
        <v>0.023273569900618615</v>
      </c>
      <c r="H37" s="121" t="n">
        <f t="shared" ref="H37" si="85">(H36-G36)/G36</f>
        <v>0.1516529885712588</v>
      </c>
      <c r="I37" s="121" t="n">
        <f t="shared" ref="I37" si="86">(I36-H36)/H36</f>
        <v>-0.10864735323843325</v>
      </c>
      <c r="J37" s="121" t="n">
        <f t="shared" ref="J37" si="87">(J36-I36)/I36</f>
        <v>0.006193763678766072</v>
      </c>
      <c r="K37" s="121" t="n">
        <f t="shared" ref="K37" si="88">(K36-J36)/J36</f>
        <v>0.0011440922841811183</v>
      </c>
      <c r="L37" s="121" t="n">
        <f t="shared" ref="L37" si="89">(L36-K36)/K36</f>
        <v>0.24626095632399755</v>
      </c>
      <c r="M37" s="121" t="n">
        <f t="shared" ref="M37" si="90">(M36-L36)/L36</f>
        <v>-0.08613242155496198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18822.060546875</v>
      </c>
      <c r="D39" s="110" t="n">
        <v>17687.619140625</v>
      </c>
      <c r="E39" s="110" t="n">
        <v>18772.349609375</v>
      </c>
      <c r="F39" s="110" t="n">
        <v>17985.80078125</v>
      </c>
      <c r="G39" s="110" t="n">
        <v>20906.990234375</v>
      </c>
      <c r="H39" s="110" t="n">
        <v>25681.55078125</v>
      </c>
      <c r="I39" s="110" t="n">
        <v>32349.94921875</v>
      </c>
      <c r="J39" s="110" t="n">
        <v>33535.0390625</v>
      </c>
      <c r="K39" s="110" t="n">
        <v>33597.328125</v>
      </c>
      <c r="L39" s="110" t="n">
        <v>36168.55078125</v>
      </c>
      <c r="M39" s="110" t="n">
        <v>32338.150390625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-0.060271902931390245</v>
      </c>
      <c r="E40" s="121" t="n">
        <f t="shared" ref="E40" si="92">(E39-D39)/D39</f>
        <v>0.06132710457670283</v>
      </c>
      <c r="F40" s="121" t="n">
        <f t="shared" ref="F40" si="93">(F39-E39)/E39</f>
        <v>-0.04189932770760853</v>
      </c>
      <c r="G40" s="121" t="n">
        <f t="shared" ref="G40" si="94">(G39-F39)/F39</f>
        <v>0.1624164244146587</v>
      </c>
      <c r="H40" s="121" t="n">
        <f t="shared" ref="H40" si="95">(H39-G39)/G39</f>
        <v>0.22837149170446974</v>
      </c>
      <c r="I40" s="121" t="n">
        <f t="shared" ref="I40" si="96">(I39-H39)/H39</f>
        <v>0.2596571559988726</v>
      </c>
      <c r="J40" s="121" t="n">
        <f t="shared" ref="J40" si="97">(J39-I39)/I39</f>
        <v>0.03663343752833847</v>
      </c>
      <c r="K40" s="121" t="n">
        <f t="shared" ref="K40" si="98">(K39-J39)/J39</f>
        <v>0.0018574322333100757</v>
      </c>
      <c r="L40" s="121" t="n">
        <f t="shared" ref="L40" si="99">(L39-K39)/K39</f>
        <v>0.07653056953468677</v>
      </c>
      <c r="M40" s="121" t="n">
        <f t="shared" ref="M40" si="100">(M39-L39)/L39</f>
        <v>-0.10590417110686955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40776.12890625</v>
      </c>
      <c r="E42" s="111" t="n">
        <f t="shared" ref="E42:M42" si="101">E36+E39</f>
        <v>44882.458984375</v>
      </c>
      <c r="F42" s="111" t="n">
        <f t="shared" si="101"/>
        <v>40215.701171875</v>
      </c>
      <c r="G42" s="111" t="n">
        <f t="shared" si="101"/>
        <v>43654.259765625</v>
      </c>
      <c r="H42" s="111" t="n">
        <f t="shared" si="101"/>
        <v>51878.51171875</v>
      </c>
      <c r="I42" s="111" t="n">
        <f t="shared" si="101"/>
        <v>55700.6796875</v>
      </c>
      <c r="J42" s="111" t="n">
        <f t="shared" si="101"/>
        <v>57030.3984375</v>
      </c>
      <c r="K42" s="111" t="n">
        <f t="shared" si="101"/>
        <v>57119.568359375</v>
      </c>
      <c r="L42" s="111" t="n">
        <f t="shared" si="101"/>
        <v>65483.400390625</v>
      </c>
      <c r="M42" s="111" t="n">
        <f t="shared" si="101"/>
        <v>59128.041015625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19678.759765625</v>
      </c>
      <c r="E44" s="134" t="n">
        <f t="shared" ref="E44:M44" si="102">E34-E42</f>
        <v>18959.779296875</v>
      </c>
      <c r="F44" s="134" t="n">
        <f t="shared" si="102"/>
        <v>17858.0888671875</v>
      </c>
      <c r="G44" s="134" t="n">
        <f t="shared" si="102"/>
        <v>18790.0712890625</v>
      </c>
      <c r="H44" s="134" t="n">
        <f t="shared" si="102"/>
        <v>16261.619140625</v>
      </c>
      <c r="I44" s="134" t="n">
        <f t="shared" si="102"/>
        <v>14516.861328125</v>
      </c>
      <c r="J44" s="134" t="n">
        <f t="shared" si="102"/>
        <v>15552.322265625</v>
      </c>
      <c r="K44" s="134" t="n">
        <f t="shared" si="102"/>
        <v>20167.302734375</v>
      </c>
      <c r="L44" s="134" t="n">
        <f t="shared" si="102"/>
        <v>23361.4921875</v>
      </c>
      <c r="M44" s="134" t="n">
        <f t="shared" si="102"/>
        <v>22864.16015625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18822.0</v>
      </c>
      <c r="D46" s="133" t="n">
        <v>17688.0</v>
      </c>
      <c r="E46" s="133" t="n">
        <v>18772.0</v>
      </c>
      <c r="F46" s="133" t="n">
        <v>17986.0</v>
      </c>
      <c r="G46" s="133" t="n">
        <v>20907.0</v>
      </c>
      <c r="H46" s="133" t="n">
        <v>25682.0</v>
      </c>
      <c r="I46" s="133" t="n">
        <v>32350.0</v>
      </c>
      <c r="J46" s="133" t="n">
        <v>33535.0</v>
      </c>
      <c r="K46" s="136" t="n">
        <v>33597.0</v>
      </c>
      <c r="L46" s="133" t="n">
        <v>36169.0</v>
      </c>
      <c r="M46" s="133" t="n">
        <v>32338.0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0.10568905718407791</v>
      </c>
      <c r="E50" s="126" t="n">
        <f t="shared" si="103"/>
        <v>0.11386145491714761</v>
      </c>
      <c r="F50" s="126" t="n">
        <f t="shared" si="103"/>
        <v>0.09214972168096561</v>
      </c>
      <c r="G50" s="126" t="n">
        <f t="shared" si="103"/>
        <v>0.09834384257572099</v>
      </c>
      <c r="H50" s="126" t="n">
        <f t="shared" si="103"/>
        <v>0.11268734479549018</v>
      </c>
      <c r="I50" s="126" t="n">
        <f t="shared" si="103"/>
        <v>0.18416306851317202</v>
      </c>
      <c r="J50" s="126" t="n">
        <f t="shared" si="103"/>
        <v>0.10821469505638397</v>
      </c>
      <c r="K50" s="126" t="n">
        <f t="shared" si="103"/>
        <v>0.11002681357717713</v>
      </c>
      <c r="L50" s="126" t="n">
        <f t="shared" si="103"/>
        <v>0.11534207050105566</v>
      </c>
      <c r="M50" s="126" t="n">
        <f t="shared" si="103"/>
        <v>0.12721189182116752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0.1740666565878531</v>
      </c>
      <c r="E51" s="126" t="n">
        <f t="shared" si="104"/>
        <v>0.19431811921852152</v>
      </c>
      <c r="F51" s="126" t="n">
        <f t="shared" si="104"/>
        <v>1.0</v>
      </c>
      <c r="G51" s="126" t="n">
        <f t="shared" si="104"/>
        <v>0.17576310285255936</v>
      </c>
      <c r="H51" s="126" t="n">
        <f t="shared" si="104"/>
        <v>0.19352124092964207</v>
      </c>
      <c r="I51" s="126" t="n">
        <f t="shared" si="104"/>
        <v>0.2801380564670647</v>
      </c>
      <c r="J51" s="126" t="n">
        <f t="shared" si="104"/>
        <v>0.20565601267228434</v>
      </c>
      <c r="K51" s="126" t="n">
        <f t="shared" si="104"/>
        <v>0.20347374466541412</v>
      </c>
      <c r="L51" s="126" t="n">
        <f t="shared" si="104"/>
        <v>0.19954614117536848</v>
      </c>
      <c r="M51" s="126" t="n">
        <f t="shared" si="104"/>
        <v>0.21142604279396668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0.05829585766667986</v>
      </c>
      <c r="E52" s="126" t="n">
        <f t="shared" si="105"/>
        <v>0.048147136094772204</v>
      </c>
      <c r="F52" s="126" t="n">
        <f t="shared" si="105"/>
        <v>0.08107464903724118</v>
      </c>
      <c r="G52" s="126" t="n">
        <f t="shared" si="105"/>
        <v>0.082321583955477</v>
      </c>
      <c r="H52" s="126" t="n">
        <f t="shared" si="105"/>
        <v>0.08820032994057247</v>
      </c>
      <c r="I52" s="126" t="n">
        <f t="shared" si="105"/>
        <v>0.0824119177668843</v>
      </c>
      <c r="J52" s="126" t="n">
        <f t="shared" si="105"/>
        <v>0.11474193063121348</v>
      </c>
      <c r="K52" s="126" t="n">
        <f t="shared" si="105"/>
        <v>0.14024364469411332</v>
      </c>
      <c r="L52" s="126" t="n">
        <f t="shared" si="105"/>
        <v>0.10851538765280878</v>
      </c>
      <c r="M52" s="126" t="n">
        <f t="shared" si="105"/>
        <v>0.08934650004304763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1.0311203319502074</v>
      </c>
      <c r="E55" s="126" t="n">
        <f t="shared" ref="E55:M55" si="106">E23/E20</f>
        <v>1.3674193548387097</v>
      </c>
      <c r="F55" s="126" t="n">
        <f t="shared" si="106"/>
        <v>0.9591326105087573</v>
      </c>
      <c r="G55" s="126" t="n">
        <f t="shared" si="106"/>
        <v>0.8317367763431903</v>
      </c>
      <c r="H55" s="126" t="n">
        <f t="shared" si="106"/>
        <v>0.8265172735760971</v>
      </c>
      <c r="I55" s="126" t="n">
        <f t="shared" si="106"/>
        <v>0.9677549375251915</v>
      </c>
      <c r="J55" s="126" t="n">
        <f t="shared" si="106"/>
        <v>0.7056886227544911</v>
      </c>
      <c r="K55" s="126" t="n">
        <f t="shared" si="106"/>
        <v>0.6015259660349496</v>
      </c>
      <c r="L55" s="126" t="n">
        <f t="shared" si="106"/>
        <v>0.7877617703846725</v>
      </c>
      <c r="M55" s="126" t="n">
        <f t="shared" si="106"/>
        <v>0.8065428824049514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2.0720883527161114</v>
      </c>
      <c r="E58" s="112" t="n">
        <f t="shared" ref="E58:M58" si="107">E42/E44</f>
        <v>2.36724585669479</v>
      </c>
      <c r="F58" s="112" t="n">
        <f t="shared" si="107"/>
        <v>2.2519599645271917</v>
      </c>
      <c r="G58" s="112" t="n">
        <f t="shared" si="107"/>
        <v>2.3232620618653894</v>
      </c>
      <c r="H58" s="112" t="n">
        <f t="shared" si="107"/>
        <v>3.190242697859427</v>
      </c>
      <c r="I58" s="112" t="n">
        <f t="shared" si="107"/>
        <v>3.83696437049966</v>
      </c>
      <c r="J58" s="112" t="n">
        <f t="shared" si="107"/>
        <v>3.6670021019017334</v>
      </c>
      <c r="K58" s="112" t="n">
        <f t="shared" si="107"/>
        <v>2.832285958697648</v>
      </c>
      <c r="L58" s="112" t="n">
        <f t="shared" si="107"/>
        <v>2.803048703612482</v>
      </c>
      <c r="M58" s="112" t="n">
        <f t="shared" si="107"/>
        <v>2.5860578569933668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0.6973880321456569</v>
      </c>
      <c r="E59" s="112" t="n">
        <f t="shared" ref="E59:M59" si="108">E28/E36</f>
        <v>0.6286017089884366</v>
      </c>
      <c r="F59" s="112" t="n">
        <f t="shared" si="108"/>
        <v>0.6336978480121044</v>
      </c>
      <c r="G59" s="112" t="n">
        <f t="shared" si="108"/>
        <v>0.6754230547244595</v>
      </c>
      <c r="H59" s="112" t="n">
        <f t="shared" si="108"/>
        <v>0.7327522037831797</v>
      </c>
      <c r="I59" s="112" t="n">
        <f t="shared" si="108"/>
        <v>0.7829759574906232</v>
      </c>
      <c r="J59" s="112" t="n">
        <f t="shared" si="108"/>
        <v>0.7832014533455077</v>
      </c>
      <c r="K59" s="112" t="n">
        <f t="shared" si="108"/>
        <v>0.7846251224842314</v>
      </c>
      <c r="L59" s="112" t="n">
        <f t="shared" si="108"/>
        <v>0.7022761301849272</v>
      </c>
      <c r="M59" s="112" t="n">
        <f t="shared" si="108"/>
        <v>0.7534114576802233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1.536256781047782</v>
      </c>
      <c r="E60" s="112" t="n">
        <f t="shared" ref="E60:M60" si="109">E46/E9</f>
        <v>1.500396397555253</v>
      </c>
      <c r="F60" s="112" t="n">
        <f t="shared" si="109"/>
        <v>0.30404683852873643</v>
      </c>
      <c r="G60" s="112" t="n">
        <f t="shared" si="109"/>
        <v>2.039180036716878</v>
      </c>
      <c r="H60" s="112" t="n">
        <f t="shared" si="109"/>
        <v>2.1858025888324155</v>
      </c>
      <c r="I60" s="112" t="n">
        <f t="shared" si="109"/>
        <v>1.917941843860599</v>
      </c>
      <c r="J60" s="112" t="n">
        <f t="shared" si="109"/>
        <v>2.8009321584806446</v>
      </c>
      <c r="K60" s="112" t="n">
        <f t="shared" si="109"/>
        <v>2.8496957415748283</v>
      </c>
      <c r="L60" s="112" t="n">
        <f t="shared" si="109"/>
        <v>2.9212981217415255</v>
      </c>
      <c r="M60" s="112" t="n">
        <f t="shared" si="109"/>
        <v>2.416571285619749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0.026491056537449653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0.039033519891011226</v>
      </c>
    </row>
    <row r="65" spans="2:13">
      <c r="B65" s="10" t="s">
        <v>74</v>
      </c>
      <c r="C65" s="114"/>
      <c r="D65" s="121" t="n">
        <f>(M6/I6)^0.2 - 1</f>
        <v>-0.06200030150071667</v>
      </c>
    </row>
    <row r="66" spans="2:13">
      <c r="B66" s="10" t="s">
        <v>84</v>
      </c>
      <c r="C66" s="114"/>
      <c r="D66" s="121" t="n">
        <f>(M6/D6)^0.1 - 1</f>
        <v>0.014227407462441555</v>
      </c>
    </row>
    <row r="67" spans="2:13">
      <c r="B67" s="10" t="s">
        <v>75</v>
      </c>
      <c r="C67" s="114"/>
      <c r="D67" s="121" t="n">
        <f>(M3/I3)^0.2 - 1</f>
        <v>0.010037887842590187</v>
      </c>
    </row>
    <row r="68" spans="2:13">
      <c r="B68" s="10" t="s">
        <v>85</v>
      </c>
      <c r="C68" s="114"/>
      <c r="D68" s="121" t="n">
        <f>(M3/D3)^0.1 - 1</f>
        <v>-0.004398428246461861</v>
      </c>
    </row>
    <row r="69" spans="2:13">
      <c r="B69" s="10" t="s">
        <v>88</v>
      </c>
      <c r="C69" s="114"/>
      <c r="D69" s="121" t="n">
        <f>(M9/I9)^0.2 - 1</f>
        <v>-0.04523841000667006</v>
      </c>
    </row>
    <row r="70" spans="2:13">
      <c r="B70" s="10" t="s">
        <v>89</v>
      </c>
      <c r="C70" s="114"/>
      <c r="D70" s="121" t="n">
        <f>(M9/D9)^0.2 - 1</f>
        <v>0.030527832848427305</v>
      </c>
    </row>
    <row r="71" spans="2:13">
      <c r="B71" s="10" t="s">
        <v>131</v>
      </c>
      <c r="D71" s="121" t="n">
        <f>(M23/I23)^0.2 - 1</f>
        <v>-0.010245275929794073</v>
      </c>
    </row>
    <row r="72" spans="2:13">
      <c r="B72" s="10" t="s">
        <v>132</v>
      </c>
      <c r="D72" s="121" t="n">
        <f>AVERAGE(I24:M24)</f>
        <v>0.009712322029584664</v>
      </c>
    </row>
    <row r="73" spans="2:13">
      <c r="B73" s="10" t="s">
        <v>135</v>
      </c>
      <c r="D73" s="121" t="n">
        <f>AVERAGE(I55:M55)</f>
        <v>0.7738548358208511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11.563729579742487</v>
      </c>
      <c r="E76" s="110" t="n">
        <f t="shared" si="110"/>
        <v>11.483118818342064</v>
      </c>
      <c r="F76" s="110" t="n">
        <f t="shared" si="110"/>
        <v>9.386592296933113</v>
      </c>
      <c r="G76" s="110" t="n">
        <f t="shared" si="110"/>
        <v>9.186764711286983</v>
      </c>
      <c r="H76" s="110" t="n">
        <f t="shared" si="110"/>
        <v>10.040641202769557</v>
      </c>
      <c r="I76" s="110" t="n">
        <f t="shared" si="110"/>
        <v>15.7915102065203</v>
      </c>
      <c r="J76" s="110" t="n">
        <f t="shared" si="110"/>
        <v>8.679751790743714</v>
      </c>
      <c r="K76" s="110" t="n">
        <f t="shared" si="110"/>
        <v>8.24871765544348</v>
      </c>
      <c r="L76" s="110" t="n">
        <f t="shared" si="110"/>
        <v>8.055130204643648</v>
      </c>
      <c r="M76" s="110" t="n">
        <f t="shared" si="110"/>
        <v>9.819971564082874</v>
      </c>
    </row>
    <row r="77" spans="2:13">
      <c r="B77" s="10" t="s">
        <v>139</v>
      </c>
      <c r="C77" s="110">
        <v>0</v>
      </c>
      <c r="D77" s="110" t="n">
        <f t="shared" ref="D77:M77" si="111">100*D6/D44</f>
        <v>35.52479895588567</v>
      </c>
      <c r="E77" s="110" t="n">
        <f t="shared" si="111"/>
        <v>38.666484262996285</v>
      </c>
      <c r="F77" s="110" t="n">
        <f t="shared" si="111"/>
        <v>30.524822352965817</v>
      </c>
      <c r="G77" s="110" t="n">
        <f t="shared" si="111"/>
        <v>30.530026636303777</v>
      </c>
      <c r="H77" s="110" t="n">
        <f t="shared" si="111"/>
        <v>42.07272348173163</v>
      </c>
      <c r="I77" s="110" t="n">
        <f t="shared" si="111"/>
        <v>76.38297222532042</v>
      </c>
      <c r="J77" s="110" t="n">
        <f t="shared" si="111"/>
        <v>40.50841985138624</v>
      </c>
      <c r="K77" s="110" t="n">
        <f t="shared" si="111"/>
        <v>31.611444848217435</v>
      </c>
      <c r="L77" s="110" t="n">
        <f t="shared" si="111"/>
        <v>30.634052482199774</v>
      </c>
      <c r="M77" s="110" t="n">
        <f t="shared" si="111"/>
        <v>35.214986182830835</v>
      </c>
    </row>
    <row r="78" spans="2:13">
      <c r="B78" s="10" t="s">
        <v>140</v>
      </c>
      <c r="C78" s="110" t="n">
        <v>0.0</v>
      </c>
      <c r="D78" s="40" t="n">
        <v>19.969999313354492</v>
      </c>
      <c r="E78" s="40" t="n">
        <v>21.40999984741211</v>
      </c>
      <c r="F78" s="40" t="n">
        <v>18.940000534057617</v>
      </c>
      <c r="G78" s="40" t="n">
        <v>18.0</v>
      </c>
      <c r="H78" s="40" t="n">
        <v>18.399999618530273</v>
      </c>
      <c r="I78" s="40" t="n">
        <v>26.65999984741211</v>
      </c>
      <c r="J78" s="40" t="n">
        <v>15.6899995803833</v>
      </c>
      <c r="K78" s="40" t="n">
        <v>14.3100004196167</v>
      </c>
      <c r="L78" s="40" t="n">
        <v>14.229999542236328</v>
      </c>
      <c r="M78" s="40" t="n">
        <v>17.079999923706055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18.190000534057617</v>
      </c>
      <c r="E81" s="40" t="n">
        <v>18.489999771118164</v>
      </c>
      <c r="F81" s="40" t="n">
        <v>23.34000015258789</v>
      </c>
      <c r="G81" s="40" t="n">
        <v>22.25</v>
      </c>
      <c r="H81" s="40" t="n">
        <v>22.84000015258789</v>
      </c>
      <c r="I81" s="40" t="n">
        <v>21.049999237060547</v>
      </c>
      <c r="J81" s="40" t="n">
        <v>14.539999961853027</v>
      </c>
      <c r="K81" s="40" t="n">
        <v>21.809999465942383</v>
      </c>
      <c r="L81" s="40" t="n">
        <v>23.059999465942383</v>
      </c>
      <c r="M81" s="40" t="n">
        <v>20.899999618530273</v>
      </c>
    </row>
    <row r="82" spans="2:13">
      <c r="B82" s="122" t="s">
        <v>148</v>
      </c>
      <c r="C82" s="110" t="n">
        <v>0.0</v>
      </c>
      <c r="D82" s="40" t="n">
        <v>13.609999656677246</v>
      </c>
      <c r="E82" s="40" t="n">
        <v>16.3700008392334</v>
      </c>
      <c r="F82" s="40" t="n">
        <v>18.6200008392334</v>
      </c>
      <c r="G82" s="40" t="n">
        <v>15.930000305175781</v>
      </c>
      <c r="H82" s="40" t="n">
        <v>17.81999969482422</v>
      </c>
      <c r="I82" s="40" t="n">
        <v>16.780000686645508</v>
      </c>
      <c r="J82" s="40" t="n">
        <v>20.8700008392334</v>
      </c>
      <c r="K82" s="40" t="n">
        <v>13.949999809265137</v>
      </c>
      <c r="L82" s="40" t="n">
        <v>14.569999694824219</v>
      </c>
      <c r="M82" s="40" t="n">
        <v>15.270000457763672</v>
      </c>
    </row>
    <row r="83" spans="2:13">
      <c r="B83" s="122" t="s">
        <v>153</v>
      </c>
      <c r="C83" s="110" t="n">
        <v>4.800000190734863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2023-05-03T14:16:06Z</dcterms:modified>
</cp:coreProperties>
</file>