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<sst xmlns="http://schemas.openxmlformats.org/spreadsheetml/2006/main" count="231" uniqueCount="162">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</sst>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12.627915107487613</v>
      </c>
      <c r="G12" s="119" t="n">
        <f>Financials!D76</f>
        <v>12.208915502328676</v>
      </c>
      <c r="H12" s="119" t="n">
        <f>Financials!E76</f>
        <v>7.094133697135061</v>
      </c>
      <c r="I12" s="119" t="n">
        <f>Financials!F76</f>
        <v>3.5406475658047984</v>
      </c>
      <c r="J12" s="119" t="n">
        <f>Financials!G76</f>
        <v>10.769414861792509</v>
      </c>
      <c r="K12" s="119" t="n">
        <f>Financials!H76</f>
        <v>8.838330886978403</v>
      </c>
      <c r="L12" s="119" t="n">
        <f>Financials!I76</f>
        <v>12.960377966283689</v>
      </c>
      <c r="M12" s="119" t="n">
        <f>Financials!J76</f>
        <v>8.99113550021106</v>
      </c>
      <c r="N12" s="119" t="n">
        <f>Financials!K76</f>
        <v>18.19598496654139</v>
      </c>
      <c r="O12" s="119" t="n">
        <f>Financials!L76</f>
        <v>15.782881002087683</v>
      </c>
      <c r="P12" s="119" t="n">
        <f>Financials!M76</f>
        <v>7.209196102314251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37.752844010696826</v>
      </c>
      <c r="G14" s="40" t="n">
        <f>Financials!D77</f>
        <v>40.79288625416821</v>
      </c>
      <c r="H14" s="40" t="n">
        <f>Financials!E77</f>
        <v>20.2729044834308</v>
      </c>
      <c r="I14" s="40" t="n">
        <f>Financials!F77</f>
        <v>10.745846588900672</v>
      </c>
      <c r="J14" s="40" t="n">
        <f>Financials!G77</f>
        <v>29.791459781529294</v>
      </c>
      <c r="K14" s="40" t="n">
        <f>Financials!H77</f>
        <v>25.553197938769323</v>
      </c>
      <c r="L14" s="40" t="n">
        <f>Financials!I77</f>
        <v>35.72062740455756</v>
      </c>
      <c r="M14" s="40" t="n">
        <f>Financials!J77</f>
        <v>29.399585921325052</v>
      </c>
      <c r="N14" s="40" t="n">
        <f>Financials!K77</f>
        <v>50.96277278562259</v>
      </c>
      <c r="O14" s="40" t="n">
        <f>Financials!L77</f>
        <v>41.657482918227906</v>
      </c>
      <c r="P14" s="40" t="n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0.06701286066176307</v>
      </c>
      <c r="F16" s="124" t="n">
        <f>AVERAGE(L16:P16)</f>
        <v>20.57800006866455</v>
      </c>
      <c r="G16" s="40" t="n">
        <f>Financials!D78</f>
        <v>22.989999771118164</v>
      </c>
      <c r="H16" s="40" t="n">
        <f>Financials!E78</f>
        <v>12.75</v>
      </c>
      <c r="I16" s="40" t="n">
        <f>Financials!F78</f>
        <v>6.860000133514404</v>
      </c>
      <c r="J16" s="40" t="n">
        <f>Financials!G78</f>
        <v>18.329999923706055</v>
      </c>
      <c r="K16" s="40" t="n">
        <f>Financials!H78</f>
        <v>15.489999771118164</v>
      </c>
      <c r="L16" s="40" t="n">
        <f>Financials!I78</f>
        <v>19.989999771118164</v>
      </c>
      <c r="M16" s="40" t="n">
        <f>Financials!J78</f>
        <v>14.40999984741211</v>
      </c>
      <c r="N16" s="40" t="n">
        <f>Financials!K78</f>
        <v>29.43000030517578</v>
      </c>
      <c r="O16" s="40" t="n">
        <f>Financials!L78</f>
        <v>24.68000030517578</v>
      </c>
      <c r="P16" s="40" t="n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1.648808475335206</v>
      </c>
      <c r="G18" s="42" t="n">
        <f>Financials!D59</f>
        <v>2.0595469255663432</v>
      </c>
      <c r="H18" s="42" t="n">
        <f>Financials!E59</f>
        <v>2.01644245142003</v>
      </c>
      <c r="I18" s="42" t="n">
        <f>Financials!F59</f>
        <v>1.7980645161290323</v>
      </c>
      <c r="J18" s="42" t="n">
        <f>Financials!G59</f>
        <v>2.2952646239554317</v>
      </c>
      <c r="K18" s="42" t="n">
        <f>Financials!H59</f>
        <v>1.790891597177678</v>
      </c>
      <c r="L18" s="42" t="n">
        <f>Financials!I59</f>
        <v>1.615514333895447</v>
      </c>
      <c r="M18" s="42" t="n">
        <f>Financials!J59</f>
        <v>1.5763968072976056</v>
      </c>
      <c r="N18" s="42" t="n">
        <f>Financials!K59</f>
        <v>1.907247845919919</v>
      </c>
      <c r="O18" s="42" t="n">
        <f>Financials!L59</f>
        <v>1.5197604790419161</v>
      </c>
      <c r="P18" s="42" t="n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2.1539039125615993</v>
      </c>
      <c r="G20" s="42" t="n">
        <f>Financials!D58</f>
        <v>2.341237495368655</v>
      </c>
      <c r="H20" s="42" t="n">
        <f>Financials!E58</f>
        <v>1.857699805068226</v>
      </c>
      <c r="I20" s="42" t="n">
        <f>Financials!F58</f>
        <v>2.034994697773065</v>
      </c>
      <c r="J20" s="42" t="n">
        <f>Financials!G58</f>
        <v>1.7663025488248925</v>
      </c>
      <c r="K20" s="42" t="n">
        <f>Financials!H58</f>
        <v>1.8911791451955138</v>
      </c>
      <c r="L20" s="42" t="n">
        <f>Financials!I58</f>
        <v>1.7561408700799053</v>
      </c>
      <c r="M20" s="42" t="n">
        <f>Financials!J58</f>
        <v>2.2698412698412698</v>
      </c>
      <c r="N20" s="42" t="n">
        <f>Financials!K58</f>
        <v>1.8007702182284981</v>
      </c>
      <c r="O20" s="42" t="n">
        <f>Financials!L58</f>
        <v>1.6394093013004187</v>
      </c>
      <c r="P20" s="42" t="n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3.2730053443271787</v>
      </c>
      <c r="G22" s="42" t="n">
        <f>Financials!D60</f>
        <v>1.5801860974274768</v>
      </c>
      <c r="H22" s="42" t="n">
        <f>Financials!E60</f>
        <v>2.4488636363636362</v>
      </c>
      <c r="I22" s="42" t="n">
        <f>Financials!F60</f>
        <v>3.58200290275762</v>
      </c>
      <c r="J22" s="42" t="n">
        <f>Financials!G60</f>
        <v>2.3515052888527257</v>
      </c>
      <c r="K22" s="42" t="n">
        <f>Financials!H60</f>
        <v>2.840616966580977</v>
      </c>
      <c r="L22" s="42" t="n">
        <f>Financials!I60</f>
        <v>1.7647058823529411</v>
      </c>
      <c r="M22" s="42" t="n">
        <f>Financials!J60</f>
        <v>2.864705882352941</v>
      </c>
      <c r="N22" s="42" t="n">
        <f>Financials!K60</f>
        <v>3.1637254901960783</v>
      </c>
      <c r="O22" s="42" t="n">
        <f>Financials!L60</f>
        <v>1.3666092943201378</v>
      </c>
      <c r="P22" s="42" t="n">
        <f>Financials!M60</f>
        <v>7.205280172413793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159.33399963378906</v>
      </c>
      <c r="H24" s="40" t="n">
        <f>Financials!E12</f>
        <v>156.16700744628906</v>
      </c>
      <c r="I24" s="40" t="n">
        <f>Financials!F12</f>
        <v>152.28799438476562</v>
      </c>
      <c r="J24" s="40" t="n">
        <f>Financials!G12</f>
        <v>145.66799926757812</v>
      </c>
      <c r="K24" s="40" t="n">
        <f>Financials!H12</f>
        <v>138.31700134277344</v>
      </c>
      <c r="L24" s="40" t="n">
        <f>Financials!I12</f>
        <v>135.41700744628906</v>
      </c>
      <c r="M24" s="40" t="n">
        <f>Financials!J12</f>
        <v>124.6520004272461</v>
      </c>
      <c r="N24" s="40" t="n">
        <f>Financials!K12</f>
        <v>118.48100280761719</v>
      </c>
      <c r="O24" s="40" t="n">
        <f>Financials!L12</f>
        <v>112.08399963378906</v>
      </c>
      <c r="P24" s="40" t="n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 t="n">
        <f>AVERAGEIF(L26:P26,"&lt;100")</f>
        <v>13.193999671936036</v>
      </c>
      <c r="G26" s="44" t="n">
        <f>Financials!D81</f>
        <v>17.280000686645508</v>
      </c>
      <c r="H26" s="44" t="n">
        <f>Financials!E81</f>
        <v>6.909999847412109</v>
      </c>
      <c r="I26" s="44" t="n">
        <f>Financials!F81</f>
        <v>19.739999771118164</v>
      </c>
      <c r="J26" s="44" t="n">
        <f>Financials!G81</f>
        <v>25.079999923706055</v>
      </c>
      <c r="K26" s="44" t="n">
        <f>Financials!H81</f>
        <v>18.399999618530273</v>
      </c>
      <c r="L26" s="44" t="n">
        <f>Financials!I81</f>
        <v>9.289999961853027</v>
      </c>
      <c r="M26" s="44" t="n">
        <f>Financials!J81</f>
        <v>16.959999084472656</v>
      </c>
      <c r="N26" s="44" t="n">
        <f>Financials!K81</f>
        <v>26.139999389648438</v>
      </c>
      <c r="O26" s="44" t="n">
        <f>Financials!L81</f>
        <v>6.840000152587891</v>
      </c>
      <c r="P26" s="44" t="n">
        <f>Financials!M81</f>
        <v>6.739999771118164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 t="n">
        <f>AVERAGEIF(L28:P28, "&lt;100")</f>
        <v>10.134000015258788</v>
      </c>
      <c r="G28" s="44" t="n">
        <f>Financials!D82</f>
        <v>13.220000267028809</v>
      </c>
      <c r="H28" s="44" t="n">
        <f>Financials!E82</f>
        <v>9.890000343322754</v>
      </c>
      <c r="I28" s="44" t="n">
        <f>Financials!F82</f>
        <v>11.619999885559082</v>
      </c>
      <c r="J28" s="44" t="n">
        <f>Financials!G82</f>
        <v>10.770000457763672</v>
      </c>
      <c r="K28" s="44" t="n">
        <f>Financials!H82</f>
        <v>21.469999313354492</v>
      </c>
      <c r="L28" s="44" t="n">
        <f>Financials!I82</f>
        <v>9.789999961853027</v>
      </c>
      <c r="M28" s="44" t="n">
        <f>Financials!J82</f>
        <v>10.529999732971191</v>
      </c>
      <c r="N28" s="44" t="n">
        <f>Financials!K82</f>
        <v>11.140000343322754</v>
      </c>
      <c r="O28" s="44" t="n">
        <f>Financials!L82</f>
        <v>13.199999809265137</v>
      </c>
      <c r="P28" s="44" t="n">
        <f>Financials!M82</f>
        <v>6.010000228881836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4.079999923706055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0.008850937908362333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0.019761874665831902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0.003154636820357215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0.0942953175960013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0.05574556466676106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0.0621608992599707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0.04039443356863237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0.254755103388897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0.011858265422722392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0.04488746211257684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0.05674572753529923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12.069999694824219</v>
      </c>
    </row>
    <row r="6" spans="2:16">
      <c r="B6" s="4" t="s">
        <v>5</v>
      </c>
      <c r="C6" s="59" t="n">
        <v>4068000.0</v>
      </c>
    </row>
    <row r="7" spans="2:16">
      <c r="B7" s="4" t="s">
        <v>4</v>
      </c>
      <c r="C7" s="59" t="n">
        <v>1.6099E7</v>
      </c>
    </row>
    <row r="8" spans="2:16">
      <c r="B8" s="4" t="s">
        <v>3</v>
      </c>
      <c r="C8" s="59" t="n">
        <v>405000.0</v>
      </c>
    </row>
    <row r="9" spans="2:16">
      <c r="B9" s="10" t="s">
        <v>6</v>
      </c>
      <c r="C9" s="59" t="n">
        <v>1421000.0</v>
      </c>
    </row>
    <row r="10" spans="2:16">
      <c r="B10" s="10" t="s">
        <v>7</v>
      </c>
      <c r="C10" s="59" t="n">
        <v>-489000.0</v>
      </c>
    </row>
    <row r="11" spans="2:16">
      <c r="B11" s="10" t="s">
        <v>9</v>
      </c>
      <c r="C11" s="60" t="n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2.0167E7</v>
      </c>
    </row>
    <row r="18" spans="2:15" ht="18" thickTop="1" thickBot="1">
      <c r="B18" s="2" t="s">
        <v>20</v>
      </c>
      <c r="C18" s="12" t="n">
        <f>C8/C17</f>
        <v>0.020082312689046464</v>
      </c>
    </row>
    <row r="19" spans="2:15" ht="18" thickTop="1" thickBot="1">
      <c r="B19" s="2" t="s">
        <v>19</v>
      </c>
      <c r="C19" s="12" t="n">
        <f>C14+C11*(C15-C14)</f>
        <v>0.14609999585151637</v>
      </c>
    </row>
    <row r="20" spans="2:15" ht="18" thickTop="1" thickBot="1">
      <c r="B20" s="2" t="s">
        <v>18</v>
      </c>
      <c r="C20" s="12" t="n">
        <f>C8/C17</f>
        <v>0.020082312689046464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3.22369996948242E7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0.3744144867415219</v>
      </c>
      <c r="K22" t="s" s="0">
        <v>12</v>
      </c>
    </row>
    <row r="23" spans="2:15" ht="18" thickTop="1" thickBot="1">
      <c r="B23" s="16" t="s">
        <v>24</v>
      </c>
      <c r="C23" s="12" t="n">
        <f>C17/C21</f>
        <v>0.6255855132584781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0.06701286066176307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0.06701286066176307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0.03500000014901161</v>
      </c>
    </row>
    <row r="7" spans="2:12">
      <c r="B7" s="18" t="s">
        <v>31</v>
      </c>
      <c r="C7" s="13" t="n">
        <f>AVERAGEIF(C28:L28, "&lt;0.5")</f>
        <v>0.1690947696443061</v>
      </c>
    </row>
    <row r="8" spans="2:12">
      <c r="B8" s="18" t="s">
        <v>112</v>
      </c>
      <c r="C8" s="13" t="n">
        <f>AVERAGEIF(C29:L29,"&lt;2")</f>
        <v>0.7417868229388523</v>
      </c>
    </row>
    <row r="9" spans="2:12">
      <c r="B9" s="18" t="s">
        <v>136</v>
      </c>
      <c r="C9" s="66" t="n">
        <v>11.770000457763672</v>
      </c>
    </row>
    <row r="10" spans="2:12">
      <c r="B10" s="18" t="s">
        <v>100</v>
      </c>
      <c r="C10" s="67" t="n">
        <v>0.05000000074505806</v>
      </c>
    </row>
    <row r="11" spans="2:12">
      <c r="B11" s="18" t="s">
        <v>44</v>
      </c>
      <c r="C11" s="59" t="n">
        <v>1.08474128E8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6510.0</v>
      </c>
      <c r="D16" s="21" t="n">
        <f>Financials!E3</f>
        <v>6802.0</v>
      </c>
      <c r="E16" s="21" t="n">
        <f>Financials!F3</f>
        <v>5674.0</v>
      </c>
      <c r="F16" s="21" t="n">
        <f>Financials!G3</f>
        <v>5389.0</v>
      </c>
      <c r="G16" s="21" t="n">
        <f>Financials!H3</f>
        <v>6140.0</v>
      </c>
      <c r="H16" s="21" t="n">
        <f>Financials!I3</f>
        <v>7155.0</v>
      </c>
      <c r="I16" s="21" t="n">
        <f>Financials!J3</f>
        <v>6297.0</v>
      </c>
      <c r="J16" s="21" t="n">
        <f>Financials!K3</f>
        <v>5655.0</v>
      </c>
      <c r="K16" s="21" t="n">
        <f>Financials!L3</f>
        <v>8537.0</v>
      </c>
      <c r="L16" s="21" t="n">
        <f>Financials!M3</f>
        <v>9673.0</v>
      </c>
    </row>
    <row r="17" spans="2:12">
      <c r="B17" s="18" t="s">
        <v>27</v>
      </c>
      <c r="C17" s="22"/>
      <c r="D17" s="20" t="n">
        <f t="shared" ref="D17:L17" si="0">(D16-C16)/C16</f>
        <v>0.04485407066052227</v>
      </c>
      <c r="E17" s="20" t="n">
        <f t="shared" si="0"/>
        <v>-0.1658335783593061</v>
      </c>
      <c r="F17" s="20" t="n">
        <f t="shared" si="0"/>
        <v>-0.05022911526260134</v>
      </c>
      <c r="G17" s="20" t="n">
        <f t="shared" si="0"/>
        <v>0.13935795138244572</v>
      </c>
      <c r="H17" s="20" t="n">
        <f t="shared" si="0"/>
        <v>0.16530944625407165</v>
      </c>
      <c r="I17" s="20" t="n">
        <f t="shared" si="0"/>
        <v>-0.119916142557652</v>
      </c>
      <c r="J17" s="20" t="n">
        <f t="shared" si="0"/>
        <v>-0.10195331110052405</v>
      </c>
      <c r="K17" s="20" t="n">
        <f t="shared" si="0"/>
        <v>0.5096374889478338</v>
      </c>
      <c r="L17" s="20" t="n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1101.0</v>
      </c>
      <c r="D19" s="21" t="n">
        <f>Financials!E6</f>
        <v>624.0</v>
      </c>
      <c r="E19" s="21" t="n">
        <f>Financials!F6</f>
        <v>304.0</v>
      </c>
      <c r="F19" s="21" t="n">
        <f>Financials!G6</f>
        <v>900.0</v>
      </c>
      <c r="G19" s="21" t="n">
        <f>Financials!H6</f>
        <v>843.0</v>
      </c>
      <c r="H19" s="21" t="n">
        <f>Financials!I6</f>
        <v>1207.0</v>
      </c>
      <c r="I19" s="21" t="n">
        <f>Financials!J6</f>
        <v>852.0</v>
      </c>
      <c r="J19" s="21" t="n">
        <f>Financials!K6</f>
        <v>1985.0</v>
      </c>
      <c r="K19" s="21" t="n">
        <f>Financials!L6</f>
        <v>1890.0</v>
      </c>
      <c r="L19" s="21" t="n">
        <f>Financials!M6</f>
        <v>1894.0</v>
      </c>
    </row>
    <row r="20" spans="2:12">
      <c r="B20" s="18" t="s">
        <v>27</v>
      </c>
      <c r="C20" s="22"/>
      <c r="D20" s="20" t="n">
        <f>(D19-C19)/C19</f>
        <v>-0.4332425068119891</v>
      </c>
      <c r="E20" s="20" t="n">
        <f t="shared" ref="E20:L20" si="1">(E19-D19)/D19</f>
        <v>-0.5128205128205128</v>
      </c>
      <c r="F20" s="20" t="n">
        <f t="shared" si="1"/>
        <v>1.9605263157894737</v>
      </c>
      <c r="G20" s="20" t="n">
        <f t="shared" si="1"/>
        <v>-0.06333333333333334</v>
      </c>
      <c r="H20" s="20" t="n">
        <f t="shared" si="1"/>
        <v>0.431791221826809</v>
      </c>
      <c r="I20" s="20" t="n">
        <f t="shared" si="1"/>
        <v>-0.29411764705882354</v>
      </c>
      <c r="J20" s="20" t="n">
        <f t="shared" si="1"/>
        <v>1.32981220657277</v>
      </c>
      <c r="K20" s="20" t="n">
        <f t="shared" si="1"/>
        <v>-0.04785894206549118</v>
      </c>
      <c r="L20" s="20" t="n">
        <f t="shared" si="1"/>
        <v>0.0021164021164021165</v>
      </c>
    </row>
    <row r="22" spans="2:12">
      <c r="B22" s="18" t="s">
        <v>30</v>
      </c>
      <c r="C22" s="25" t="n">
        <f>Financials!D20</f>
        <v>385.0</v>
      </c>
      <c r="D22" s="25" t="n">
        <f>Financials!E20</f>
        <v>284.0</v>
      </c>
      <c r="E22" s="25" t="n">
        <f>Financials!F20</f>
        <v>342.0</v>
      </c>
      <c r="F22" s="25" t="n">
        <f>Financials!G20</f>
        <v>647.0</v>
      </c>
      <c r="G22" s="25" t="n">
        <f>Financials!H20</f>
        <v>536.0</v>
      </c>
      <c r="H22" s="25" t="n">
        <f>Financials!I20</f>
        <v>1221.0</v>
      </c>
      <c r="I22" s="25" t="n">
        <f>Financials!J20</f>
        <v>1084.0</v>
      </c>
      <c r="J22" s="25" t="n">
        <f>Financials!K20</f>
        <v>979.0</v>
      </c>
      <c r="K22" s="25" t="n">
        <f>Financials!L20</f>
        <v>1290.0</v>
      </c>
      <c r="L22" s="25" t="n">
        <f>Financials!M20</f>
        <v>1276.0</v>
      </c>
    </row>
    <row r="23" spans="2:12">
      <c r="B23" s="18" t="s">
        <v>27</v>
      </c>
      <c r="C23" s="26"/>
      <c r="D23" s="26" t="n">
        <f>(D22-C22)/C22</f>
        <v>-0.2623376623376623</v>
      </c>
      <c r="E23" s="26" t="n">
        <f t="shared" ref="E23:L23" si="2">(E22-D22)/D22</f>
        <v>0.20422535211267606</v>
      </c>
      <c r="F23" s="26" t="n">
        <f t="shared" si="2"/>
        <v>0.8918128654970761</v>
      </c>
      <c r="G23" s="26" t="n">
        <f t="shared" si="2"/>
        <v>-0.17156105100463678</v>
      </c>
      <c r="H23" s="26" t="n">
        <f t="shared" si="2"/>
        <v>1.2779850746268657</v>
      </c>
      <c r="I23" s="26" t="n">
        <f t="shared" si="2"/>
        <v>-0.1122031122031122</v>
      </c>
      <c r="J23" s="26" t="n">
        <f t="shared" si="2"/>
        <v>-0.09686346863468635</v>
      </c>
      <c r="K23" s="26" t="n">
        <f t="shared" si="2"/>
        <v>0.3176710929519918</v>
      </c>
      <c r="L23" s="26" t="n">
        <f t="shared" si="2"/>
        <v>-0.010852713178294573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1827.0</v>
      </c>
      <c r="D25" s="62" t="n">
        <f>Financials!E9</f>
        <v>1056.0</v>
      </c>
      <c r="E25" s="62" t="n">
        <f>Financials!F9</f>
        <v>689.0</v>
      </c>
      <c r="F25" s="62" t="n">
        <f>Financials!G9</f>
        <v>1229.0</v>
      </c>
      <c r="G25" s="62" t="n">
        <f>Financials!H9</f>
        <v>1167.0</v>
      </c>
      <c r="H25" s="62" t="n">
        <f>Financials!I9</f>
        <v>1683.0</v>
      </c>
      <c r="I25" s="62" t="n">
        <f>Financials!J9</f>
        <v>1190.0</v>
      </c>
      <c r="J25" s="62" t="n">
        <f>Financials!K9</f>
        <v>1020.0</v>
      </c>
      <c r="K25" s="62" t="n">
        <f>Financials!L9</f>
        <v>2324.0</v>
      </c>
      <c r="L25" s="62" t="n">
        <f>Financials!M9</f>
        <v>1856.0</v>
      </c>
    </row>
    <row r="26" spans="2:12">
      <c r="B26" s="18" t="s">
        <v>27</v>
      </c>
      <c r="C26" s="63"/>
      <c r="D26" s="63" t="n">
        <f>Financials!E10</f>
        <v>-0.4220032840722496</v>
      </c>
      <c r="E26" s="63" t="n">
        <f>Financials!F10</f>
        <v>-0.3475378787878788</v>
      </c>
      <c r="F26" s="63" t="n">
        <f>Financials!G10</f>
        <v>0.783744557329463</v>
      </c>
      <c r="G26" s="63" t="n">
        <f>Financials!H10</f>
        <v>-0.05044751830756713</v>
      </c>
      <c r="H26" s="63" t="n">
        <f>Financials!I10</f>
        <v>0.442159383033419</v>
      </c>
      <c r="I26" s="63" t="n">
        <f>Financials!J10</f>
        <v>-0.29292929292929293</v>
      </c>
      <c r="J26" s="63" t="n">
        <f>Financials!K10</f>
        <v>-0.14285714285714285</v>
      </c>
      <c r="K26" s="63" t="n">
        <f>Financials!L10</f>
        <v>1.2784313725490195</v>
      </c>
      <c r="L26" s="63" t="n">
        <f>Financials!M10</f>
        <v>-0.20137693631669534</v>
      </c>
    </row>
    <row r="28" spans="2:12" ht="15" thickBot="1">
      <c r="B28" s="1" t="s">
        <v>31</v>
      </c>
      <c r="C28" s="24" t="n">
        <f t="shared" ref="C28:L28" si="3">C19/C16</f>
        <v>0.16912442396313365</v>
      </c>
      <c r="D28" s="24" t="n">
        <f t="shared" si="3"/>
        <v>0.09173772419876507</v>
      </c>
      <c r="E28" s="24" t="n">
        <f t="shared" si="3"/>
        <v>0.053577722946774764</v>
      </c>
      <c r="F28" s="24" t="n">
        <f t="shared" si="3"/>
        <v>0.16700686583781776</v>
      </c>
      <c r="G28" s="24" t="n">
        <f t="shared" si="3"/>
        <v>0.13729641693811076</v>
      </c>
      <c r="H28" s="24" t="n">
        <f t="shared" si="3"/>
        <v>0.1686932215234102</v>
      </c>
      <c r="I28" s="24" t="n">
        <f t="shared" si="3"/>
        <v>0.13530252501191042</v>
      </c>
      <c r="J28" s="24" t="n">
        <f t="shared" si="3"/>
        <v>0.3510167992926614</v>
      </c>
      <c r="K28" s="24" t="n">
        <f t="shared" si="3"/>
        <v>0.22138924680801217</v>
      </c>
      <c r="L28" s="24" t="n">
        <f t="shared" si="3"/>
        <v>0.1958027499224646</v>
      </c>
    </row>
    <row r="29" spans="2:12" ht="15" thickBot="1">
      <c r="B29" s="1" t="s">
        <v>32</v>
      </c>
      <c r="C29" s="24" t="n">
        <f t="shared" ref="C29:L29" si="4">C22/C19</f>
        <v>0.3496821071752952</v>
      </c>
      <c r="D29" s="24" t="n">
        <f t="shared" si="4"/>
        <v>0.4551282051282051</v>
      </c>
      <c r="E29" s="24" t="n">
        <f t="shared" si="4"/>
        <v>1.125</v>
      </c>
      <c r="F29" s="24" t="n">
        <f t="shared" si="4"/>
        <v>0.7188888888888889</v>
      </c>
      <c r="G29" s="24" t="n">
        <f t="shared" si="4"/>
        <v>0.6358244365361803</v>
      </c>
      <c r="H29" s="24" t="n">
        <f t="shared" si="4"/>
        <v>1.0115990057995028</v>
      </c>
      <c r="I29" s="24" t="n">
        <f t="shared" si="4"/>
        <v>1.272300469483568</v>
      </c>
      <c r="J29" s="24" t="n">
        <f t="shared" si="4"/>
        <v>0.49319899244332494</v>
      </c>
      <c r="K29" s="24" t="n">
        <f t="shared" si="4"/>
        <v>0.6825396825396826</v>
      </c>
      <c r="L29" s="24" t="n">
        <f t="shared" si="4"/>
        <v>0.6737064413938754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11932.612853273757</v>
      </c>
      <c r="D36" s="21" t="n">
        <f>C36*(D37+1)</f>
        <v>12505.378275209587</v>
      </c>
      <c r="E36" s="21" t="n">
        <f>D36*(E37+1)</f>
        <v>12920.556827461769</v>
      </c>
      <c r="F36" s="21" t="n">
        <f t="shared" ref="F36:L36" si="5">E36*(F37+1)</f>
        <v>13372.776318348255</v>
      </c>
      <c r="G36" s="21" t="n">
        <f t="shared" si="5"/>
        <v>13840.823491483168</v>
      </c>
      <c r="H36" s="21" t="n">
        <f t="shared" si="5"/>
        <v>14325.252315747533</v>
      </c>
      <c r="I36" s="21" t="n">
        <f t="shared" si="5"/>
        <v>14826.636148933268</v>
      </c>
      <c r="J36" s="21" t="n">
        <f t="shared" si="5"/>
        <v>15345.568416355283</v>
      </c>
      <c r="K36" s="21" t="n">
        <f t="shared" si="5"/>
        <v>15882.663313214378</v>
      </c>
      <c r="L36" s="21" t="n">
        <f t="shared" si="5"/>
        <v>16438.556531543578</v>
      </c>
    </row>
    <row r="37" spans="2:12">
      <c r="B37" s="18" t="s">
        <v>27</v>
      </c>
      <c r="C37" s="68" t="n">
        <v>0.23360000550746918</v>
      </c>
      <c r="D37" s="68" t="n">
        <v>0.04800000041723251</v>
      </c>
      <c r="E37" s="68" t="n">
        <v>0.03319999948143959</v>
      </c>
      <c r="F37" s="27" t="n">
        <f>C6</f>
        <v>0.03500000014901161</v>
      </c>
      <c r="G37" s="27" t="n">
        <f>C6</f>
        <v>0.03500000014901161</v>
      </c>
      <c r="H37" s="27" t="n">
        <f>C6</f>
        <v>0.03500000014901161</v>
      </c>
      <c r="I37" s="27" t="n">
        <f>C6</f>
        <v>0.03500000014901161</v>
      </c>
      <c r="J37" s="27" t="n">
        <f>C6</f>
        <v>0.03500000014901161</v>
      </c>
      <c r="K37" s="27" t="n">
        <f>C6</f>
        <v>0.03500000014901161</v>
      </c>
      <c r="L37" s="27" t="n">
        <f>C6</f>
        <v>0.03500000014901161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2017.7424216790182</v>
      </c>
      <c r="D39" s="21" t="n">
        <f>D36*C7</f>
        <v>2114.594058761476</v>
      </c>
      <c r="E39" s="21" t="n">
        <f>E36*C7</f>
        <v>2184.7985804158184</v>
      </c>
      <c r="F39" s="21" t="n">
        <f>F36*C7</f>
        <v>2261.2665310559364</v>
      </c>
      <c r="G39" s="21" t="n">
        <f>G36*C7</f>
        <v>2340.410859979851</v>
      </c>
      <c r="H39" s="21" t="n">
        <f>H36*C7</f>
        <v>2422.3252404278846</v>
      </c>
      <c r="I39" s="21" t="n">
        <f>I36*C7</f>
        <v>2507.1066242038164</v>
      </c>
      <c r="J39" s="21" t="n">
        <f>J36*C7</f>
        <v>2594.855356424537</v>
      </c>
      <c r="K39" s="21" t="n">
        <f>K36*C7</f>
        <v>2685.675294286059</v>
      </c>
      <c r="L39" s="21" t="n">
        <f>L36*C7</f>
        <v>2779.673929986267</v>
      </c>
    </row>
    <row r="40" spans="2:12">
      <c r="B40" s="18"/>
      <c r="C40" s="20" t="n">
        <f>(C39-L19)/L19</f>
        <v>0.06533390796146674</v>
      </c>
      <c r="D40" s="20" t="n">
        <f>(D39-C39)/C39</f>
        <v>0.04800000041723103</v>
      </c>
      <c r="E40" s="20" t="n">
        <f t="shared" ref="E40:L40" si="6">(E39-D39)/D39</f>
        <v>0.03319999948144244</v>
      </c>
      <c r="F40" s="20" t="n">
        <f t="shared" si="6"/>
        <v>0.035000000149013416</v>
      </c>
      <c r="G40" s="20" t="n">
        <f t="shared" si="6"/>
        <v>0.035000000149012375</v>
      </c>
      <c r="H40" s="20" t="n">
        <f t="shared" si="6"/>
        <v>0.03500000014900753</v>
      </c>
      <c r="I40" s="20" t="n">
        <f t="shared" si="6"/>
        <v>0.035000000149012195</v>
      </c>
      <c r="J40" s="20" t="n">
        <f t="shared" si="6"/>
        <v>0.035000000149011216</v>
      </c>
      <c r="K40" s="20" t="n">
        <f t="shared" si="6"/>
        <v>0.03500000014901135</v>
      </c>
      <c r="L40" s="20" t="n">
        <f t="shared" si="6"/>
        <v>0.035000000149011314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1496.7347404862257</v>
      </c>
      <c r="D42" s="21" t="n">
        <f>D39*C8</f>
        <v>1568.5780086540503</v>
      </c>
      <c r="E42" s="21" t="n">
        <f>E39*C8</f>
        <v>1620.6547977279652</v>
      </c>
      <c r="F42" s="21" t="n">
        <f>F39*C8</f>
        <v>1677.3777158899447</v>
      </c>
      <c r="G42" s="21" t="n">
        <f>G39*C8</f>
        <v>1736.0859361960393</v>
      </c>
      <c r="H42" s="21" t="n">
        <f>H39*C8</f>
        <v>1796.848944221588</v>
      </c>
      <c r="I42" s="21" t="n">
        <f>I39*C8</f>
        <v>1859.738657537102</v>
      </c>
      <c r="J42" s="21" t="n">
        <f>J39*C8</f>
        <v>1924.829510828022</v>
      </c>
      <c r="K42" s="21" t="n">
        <f>K39*C8</f>
        <v>1992.1985439938228</v>
      </c>
      <c r="L42" s="21" t="n">
        <f>L39*C8</f>
        <v>2061.9254933304683</v>
      </c>
    </row>
    <row r="43" spans="2:12">
      <c r="B43" s="18" t="s">
        <v>27</v>
      </c>
      <c r="C43" s="20" t="n">
        <f>(C42-L22)/L22</f>
        <v>0.1729896085315251</v>
      </c>
      <c r="D43" s="20" t="n">
        <f>(D42-C42)/C42</f>
        <v>0.04800000041723195</v>
      </c>
      <c r="E43" s="20" t="n">
        <f t="shared" ref="E43:L43" si="7">(E42-D42)/D42</f>
        <v>0.033199999481441374</v>
      </c>
      <c r="F43" s="20" t="n">
        <f t="shared" si="7"/>
        <v>0.03500000014901424</v>
      </c>
      <c r="G43" s="20" t="n">
        <f t="shared" si="7"/>
        <v>0.03500000014901033</v>
      </c>
      <c r="H43" s="20" t="n">
        <f t="shared" si="7"/>
        <v>0.03500000014900605</v>
      </c>
      <c r="I43" s="20" t="n">
        <f t="shared" si="7"/>
        <v>0.035000000149015505</v>
      </c>
      <c r="J43" s="20" t="n">
        <f t="shared" si="7"/>
        <v>0.03500000014901099</v>
      </c>
      <c r="K43" s="20" t="n">
        <f t="shared" si="7"/>
        <v>0.035000000149010654</v>
      </c>
      <c r="L43" s="20" t="n">
        <f t="shared" si="7"/>
        <v>0.03500000014901215</v>
      </c>
    </row>
    <row r="45" spans="2:12">
      <c r="B45" s="18" t="s">
        <v>47</v>
      </c>
      <c r="C45" s="60" t="n">
        <v>2801.0</v>
      </c>
      <c r="D45" s="60" t="n">
        <v>3144.0</v>
      </c>
      <c r="E45" s="60" t="n">
        <v>3405.0</v>
      </c>
      <c r="F45" s="21" t="n">
        <f t="shared" ref="E45:L45" si="8">E45*(1+F46)</f>
        <v>3575.2500025369295</v>
      </c>
      <c r="G45" s="21" t="n">
        <f t="shared" si="8"/>
        <v>3754.0125053275524</v>
      </c>
      <c r="H45" s="21" t="n">
        <f t="shared" si="8"/>
        <v>3941.713133390892</v>
      </c>
      <c r="I45" s="21" t="n">
        <f t="shared" si="8"/>
        <v>4138.798792997247</v>
      </c>
      <c r="J45" s="21" t="n">
        <f t="shared" si="8"/>
        <v>4345.738735730766</v>
      </c>
      <c r="K45" s="21" t="n">
        <f t="shared" si="8"/>
        <v>4563.025675755144</v>
      </c>
      <c r="L45" s="21" t="n">
        <f t="shared" si="8"/>
        <v>4791.176962942625</v>
      </c>
    </row>
    <row r="46" spans="2:12">
      <c r="B46" s="18" t="s">
        <v>27</v>
      </c>
      <c r="C46" s="20" t="n">
        <f>C10</f>
        <v>0.05000000074505806</v>
      </c>
      <c r="D46" s="20" t="n">
        <f>C10</f>
        <v>0.05000000074505806</v>
      </c>
      <c r="E46" s="20" t="n">
        <f>C10</f>
        <v>0.05000000074505806</v>
      </c>
      <c r="F46" s="20" t="n">
        <f>C10</f>
        <v>0.05000000074505806</v>
      </c>
      <c r="G46" s="20" t="n">
        <f>C10</f>
        <v>0.05000000074505806</v>
      </c>
      <c r="H46" s="20" t="n">
        <f>C10</f>
        <v>0.05000000074505806</v>
      </c>
      <c r="I46" s="20" t="n">
        <f>C10</f>
        <v>0.05000000074505806</v>
      </c>
      <c r="J46" s="20" t="n">
        <f>C10</f>
        <v>0.05000000074505806</v>
      </c>
      <c r="K46" s="20" t="n">
        <f>C10</f>
        <v>0.05000000074505806</v>
      </c>
      <c r="L46" s="20" t="n">
        <f>C10</f>
        <v>0.05000000074505806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1.067012860661763</v>
      </c>
      <c r="D51" s="61" t="n">
        <f>POWER((1+C4),2)</f>
        <v>1.138516444817599</v>
      </c>
      <c r="E51" s="61" t="n">
        <f>POWER((1+C4),3)</f>
        <v>1.2148116886952864</v>
      </c>
      <c r="F51" s="61" t="n">
        <f>POWER((1+C4),4)</f>
        <v>1.2962196951201048</v>
      </c>
      <c r="G51" s="61" t="n">
        <f>POWER((1+C4),5)</f>
        <v>1.3830830849362215</v>
      </c>
      <c r="H51" s="61" t="n">
        <f>POWER((1+C4),6)</f>
        <v>1.4757674389906938</v>
      </c>
      <c r="I51" s="61" t="n">
        <f>POWER((1+C4),7)</f>
        <v>1.574662836748944</v>
      </c>
      <c r="J51" s="61" t="n">
        <f>POWER((1+C4),8)</f>
        <v>1.6801854980172575</v>
      </c>
      <c r="K51" s="61" t="n">
        <f>POWER((1+C4),9)</f>
        <v>1.792779534681803</v>
      </c>
      <c r="L51" s="61" t="n">
        <f>POWER((1+C4),10)</f>
        <v>1.912918819836695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1402.7335523940706</v>
      </c>
      <c r="D53" s="21" t="n">
        <f t="shared" si="9"/>
        <v>1377.7385612601754</v>
      </c>
      <c r="E53" s="21" t="n">
        <f t="shared" si="9"/>
        <v>1334.079028716423</v>
      </c>
      <c r="F53" s="21" t="n">
        <f t="shared" si="9"/>
        <v>1294.0535637629887</v>
      </c>
      <c r="G53" s="21" t="n">
        <f t="shared" si="9"/>
        <v>1255.2289555880864</v>
      </c>
      <c r="H53" s="21" t="n">
        <f t="shared" si="9"/>
        <v>1217.5691757032496</v>
      </c>
      <c r="I53" s="21" t="n">
        <f t="shared" si="9"/>
        <v>1181.039276558231</v>
      </c>
      <c r="J53" s="21" t="n">
        <f t="shared" si="9"/>
        <v>1145.605359110323</v>
      </c>
      <c r="K53" s="21" t="n">
        <f t="shared" si="9"/>
        <v>1111.234541366747</v>
      </c>
      <c r="L53" s="21" t="n">
        <f t="shared" si="9"/>
        <v>1077.8949278707448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2.0411089821676756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26297.716548329525</v>
      </c>
    </row>
    <row r="60" spans="2:12" ht="15" thickBot="1">
      <c r="B60" s="5" t="s">
        <v>41</v>
      </c>
      <c r="C60" s="23" t="n">
        <f>C59/C55</f>
        <v>12884.033522012645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38694.893490660565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356.72002351252456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56392.15504706165</v>
      </c>
    </row>
    <row r="70" spans="2:12" ht="15" thickBot="1">
      <c r="B70" s="5" t="s">
        <v>41</v>
      </c>
      <c r="C70" s="23" t="n">
        <f>C69/C55</f>
        <v>27628.194055161384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40025.37099749242</v>
      </c>
    </row>
    <row r="73" spans="2:12" ht="15" thickTop="1"/>
    <row r="74" spans="2:12" ht="18.5">
      <c r="B74" s="69" t="s">
        <v>42</v>
      </c>
      <c r="C74" s="70" t="n">
        <f>C72/(C11/1000000)</f>
        <v>368.98541371535526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17.34000015258789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2.6600000858306885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166.7464644873604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2.740000009536743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2.740000009536743</v>
      </c>
    </row>
    <row r="7" spans="2:16" ht="15" thickBot="1">
      <c r="B7" s="89" t="s">
        <v>121</v>
      </c>
      <c r="C7" s="90" t="n">
        <f>P6*(1+P7)</f>
        <v>2.794800008502613</v>
      </c>
      <c r="D7" s="90" t="n">
        <f>C7*(1+P7)</f>
        <v>2.8506960074233025</v>
      </c>
      <c r="E7" s="90" t="n">
        <f>D7*(1+P7)</f>
        <v>2.9077099262974193</v>
      </c>
      <c r="F7" s="90" t="n">
        <f>E7*(1+P7)</f>
        <v>2.965864123523535</v>
      </c>
      <c r="G7" s="90" t="n">
        <f>F7*(1+P7)</f>
        <v>3.0251814046681704</v>
      </c>
      <c r="H7" s="90" t="n">
        <f>G7*(1+P7)</f>
        <v>3.0856850314091866</v>
      </c>
      <c r="I7" s="90" t="n">
        <f>H7*(1+P7)</f>
        <v>3.14739873065798</v>
      </c>
      <c r="J7" s="90" t="n">
        <f>I7*(1+P7)</f>
        <v>3.210346703864158</v>
      </c>
      <c r="K7" s="90" t="n">
        <f>J7*(1+P7)</f>
        <v>3.274553636506322</v>
      </c>
      <c r="L7" s="90" t="n">
        <f>K7*(1+P7)</f>
        <v>3.3400447077726225</v>
      </c>
      <c r="M7" s="159" t="n">
        <f>L7*(1+P7)/(P8-P7)</f>
        <v>72.46624689679692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2.6192749043055383</v>
      </c>
      <c r="D8" s="90" t="n">
        <f>D7/(1+P8)^2</f>
        <v>2.5038689782649612</v>
      </c>
      <c r="E8" s="90" t="n">
        <f>E7/(1+P8)^3</f>
        <v>2.39354786701164</v>
      </c>
      <c r="F8" s="90" t="n">
        <f>F7/(1+P8)^4</f>
        <v>2.2880875322980883</v>
      </c>
      <c r="G8" s="90" t="n">
        <f>G7/(1+P8)^5</f>
        <v>2.1872738070595914</v>
      </c>
      <c r="H8" s="90" t="n">
        <f>H7/(1+P8)^6</f>
        <v>2.090901960487459</v>
      </c>
      <c r="I8" s="90" t="n">
        <f>I7/(1+P8)^7</f>
        <v>1.9987762822650477</v>
      </c>
      <c r="J8" s="90" t="n">
        <f>J7/(1+P8)^8</f>
        <v>1.910709685122625</v>
      </c>
      <c r="K8" s="90" t="n">
        <f>K7/(1+P8)^9</f>
        <v>1.8265233249037058</v>
      </c>
      <c r="L8" s="90" t="n">
        <f>L7/(1+P8)^10</f>
        <v>1.7460462373713013</v>
      </c>
      <c r="M8" s="159" t="n">
        <f>M7/POWER((1+P8),10)</f>
        <v>37.88255212157049</v>
      </c>
      <c r="N8" s="160"/>
      <c r="O8" s="91" t="s">
        <v>124</v>
      </c>
      <c r="P8" s="105" t="n">
        <f>WACC!$C$25</f>
        <v>0.06701286066176307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59.4475627006605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2.740000009536743</v>
      </c>
    </row>
    <row r="16" spans="2:16" ht="15" thickBot="1">
      <c r="B16" s="89" t="s">
        <v>121</v>
      </c>
      <c r="C16" s="90" t="n">
        <f>P15*(1+P16)</f>
        <v>2.808500010795891</v>
      </c>
      <c r="D16" s="90" t="n">
        <f>C16*(1+P16)</f>
        <v>2.878712512112038</v>
      </c>
      <c r="E16" s="90" t="n">
        <f>D16*(1+P16)</f>
        <v>2.9506803259872476</v>
      </c>
      <c r="F16" s="90" t="n">
        <f>E16*(1+P16)</f>
        <v>3.024447335236148</v>
      </c>
      <c r="G16" s="90" t="n">
        <f>F16*(1+P16)</f>
        <v>3.100058519743751</v>
      </c>
      <c r="H16" s="90" t="n">
        <f>G16*(1+P16)</f>
        <v>3.1775599838922086</v>
      </c>
      <c r="I16" s="90" t="n">
        <f>H16*(1+P16)</f>
        <v>3.2569989846732517</v>
      </c>
      <c r="J16" s="90" t="n">
        <f>I16*(1+P16)</f>
        <v>3.338423960503411</v>
      </c>
      <c r="K16" s="90" t="n">
        <f>J16*(1+P16)</f>
        <v>3.421884560759658</v>
      </c>
      <c r="L16" s="90" t="n">
        <f>K16*(1+P16)</f>
        <v>3.507431676053406</v>
      </c>
      <c r="M16" s="159" t="n">
        <f>L16*(1+P16)/(P17-P16)</f>
        <v>85.57183311279181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2.6321144892799717</v>
      </c>
      <c r="D17" s="90" t="n">
        <f>D16/(1+P17)^2</f>
        <v>2.528476883417555</v>
      </c>
      <c r="E17" s="90" t="n">
        <f>E16/(1+P17)^3</f>
        <v>2.4289199333900764</v>
      </c>
      <c r="F17" s="90" t="n">
        <f>F16/(1+P17)^4</f>
        <v>2.3332829663230217</v>
      </c>
      <c r="G17" s="90" t="n">
        <f>G16/(1+P17)^5</f>
        <v>2.24141163572014</v>
      </c>
      <c r="H17" s="90" t="n">
        <f>H16/(1+P17)^6</f>
        <v>2.153157672367005</v>
      </c>
      <c r="I17" s="90" t="n">
        <f>I16/(1+P17)^7</f>
        <v>2.068378645042308</v>
      </c>
      <c r="J17" s="90" t="n">
        <f>J16/(1+P17)^8</f>
        <v>1.9869377306511637</v>
      </c>
      <c r="K17" s="90" t="n">
        <f>K16/(1+P17)^9</f>
        <v>1.9087034934091935</v>
      </c>
      <c r="L17" s="90" t="n">
        <f>L16/(1+P17)^10</f>
        <v>1.8335496727209932</v>
      </c>
      <c r="M17" s="159" t="n">
        <f>M16/POWER((1+P17),10)</f>
        <v>44.73364589517542</v>
      </c>
      <c r="N17" s="160"/>
      <c r="O17" s="91" t="s">
        <v>124</v>
      </c>
      <c r="P17" s="105" t="n">
        <f>WACC!$C$25</f>
        <v>0.06701286066176307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66.8485790174968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2.740000009536743</v>
      </c>
    </row>
    <row r="25" spans="2:16" ht="15" thickBot="1">
      <c r="B25" s="89" t="s">
        <v>121</v>
      </c>
      <c r="C25" s="90" t="n">
        <f>P24*(1+P25)</f>
        <v>2.8222000079855354</v>
      </c>
      <c r="D25" s="90" t="n">
        <f>C25*(1+P25)</f>
        <v>2.90686600633268</v>
      </c>
      <c r="E25" s="90" t="n">
        <f>D25*(1+P25)</f>
        <v>2.9940719845734614</v>
      </c>
      <c r="F25" s="90" t="n">
        <f>E25*(1+P25)</f>
        <v>3.083894142102989</v>
      </c>
      <c r="G25" s="90" t="n">
        <f>F25*(1+P25)</f>
        <v>3.1764109642981744</v>
      </c>
      <c r="H25" s="90" t="n">
        <f>G25*(1+P25)</f>
        <v>3.2717032910971726</v>
      </c>
      <c r="I25" s="90" t="n">
        <f>H25*(1+P25)</f>
        <v>3.3698543876362446</v>
      </c>
      <c r="J25" s="90" t="n">
        <f>I25*(1+P25)</f>
        <v>3.4709500170056713</v>
      </c>
      <c r="K25" s="90" t="n">
        <f>J25*(1+P25)</f>
        <v>3.5750785151883946</v>
      </c>
      <c r="L25" s="90" t="n">
        <f>K25*(1+P25)</f>
        <v>3.6823308682467726</v>
      </c>
      <c r="M25" s="159" t="n">
        <f>L25*(1+P25)/(P26-P25)</f>
        <v>102.47250969796167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2.6449540694713045</v>
      </c>
      <c r="D26" s="90" t="n">
        <f>D25/(1+P26)^2</f>
        <v>2.5532051114100374</v>
      </c>
      <c r="E26" s="90" t="n">
        <f>E25/(1+P26)^3</f>
        <v>2.4646387686548348</v>
      </c>
      <c r="F26" s="90" t="n">
        <f>F25/(1+P26)^4</f>
        <v>2.3791446416938253</v>
      </c>
      <c r="G26" s="90" t="n">
        <f>G25/(1+P26)^5</f>
        <v>2.296616160586367</v>
      </c>
      <c r="H26" s="90" t="n">
        <f>H25/(1+P26)^6</f>
        <v>2.2169504521218872</v>
      </c>
      <c r="I26" s="90" t="n">
        <f>I25/(1+P26)^7</f>
        <v>2.140048211586466</v>
      </c>
      <c r="J26" s="90" t="n">
        <f>J25/(1+P26)^8</f>
        <v>2.065813578977822</v>
      </c>
      <c r="K26" s="90" t="n">
        <f>K25/(1+P26)^9</f>
        <v>1.9941540195141338</v>
      </c>
      <c r="L26" s="90" t="n">
        <f>L25/(1+P26)^10</f>
        <v>1.9249802082877303</v>
      </c>
      <c r="M26" s="159" t="n">
        <f>M25/POWER((1+P26),10)</f>
        <v>53.56866618454293</v>
      </c>
      <c r="N26" s="160"/>
      <c r="O26" s="91" t="s">
        <v>124</v>
      </c>
      <c r="P26" s="105" t="n">
        <f>WACC!$C$25</f>
        <v>0.06701286066176307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76.2491714068473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6418.0</v>
      </c>
      <c r="D3" s="110" t="n">
        <v>6510.0</v>
      </c>
      <c r="E3" s="110" t="n">
        <v>6802.0</v>
      </c>
      <c r="F3" s="110" t="n">
        <v>5674.0</v>
      </c>
      <c r="G3" s="110" t="n">
        <v>5389.0</v>
      </c>
      <c r="H3" s="110" t="n">
        <v>6140.0</v>
      </c>
      <c r="I3" s="110" t="n">
        <v>7155.0</v>
      </c>
      <c r="J3" s="110" t="n">
        <v>6297.0</v>
      </c>
      <c r="K3" s="110" t="n">
        <v>5655.0</v>
      </c>
      <c r="L3" s="110" t="n">
        <v>8537.0</v>
      </c>
      <c r="M3" s="110" t="n">
        <v>9673.0</v>
      </c>
      <c r="Q3" s="107"/>
    </row>
    <row r="4" spans="2:17">
      <c r="B4" s="18" t="s">
        <v>27</v>
      </c>
      <c r="C4" s="113"/>
      <c r="D4" s="121" t="n">
        <f t="shared" ref="D4:M4" si="0">(D3-C3)/C3</f>
        <v>0.014334683702087878</v>
      </c>
      <c r="E4" s="121" t="n">
        <f t="shared" si="0"/>
        <v>0.04485407066052227</v>
      </c>
      <c r="F4" s="121" t="n">
        <f t="shared" si="0"/>
        <v>-0.1658335783593061</v>
      </c>
      <c r="G4" s="121" t="n">
        <f t="shared" si="0"/>
        <v>-0.05022911526260134</v>
      </c>
      <c r="H4" s="121" t="n">
        <f t="shared" si="0"/>
        <v>0.13935795138244572</v>
      </c>
      <c r="I4" s="121" t="n">
        <f t="shared" si="0"/>
        <v>0.16530944625407165</v>
      </c>
      <c r="J4" s="121" t="n">
        <f t="shared" si="0"/>
        <v>-0.119916142557652</v>
      </c>
      <c r="K4" s="121" t="n">
        <f t="shared" si="0"/>
        <v>-0.10195331110052405</v>
      </c>
      <c r="L4" s="121" t="n">
        <f t="shared" si="0"/>
        <v>0.5096374889478338</v>
      </c>
      <c r="M4" s="121" t="n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372.0</v>
      </c>
      <c r="D6" s="110" t="n">
        <v>1101.0</v>
      </c>
      <c r="E6" s="110" t="n">
        <v>624.0</v>
      </c>
      <c r="F6" s="110" t="n">
        <v>304.0</v>
      </c>
      <c r="G6" s="110" t="n">
        <v>900.0</v>
      </c>
      <c r="H6" s="110" t="n">
        <v>843.0</v>
      </c>
      <c r="I6" s="110" t="n">
        <v>1207.0</v>
      </c>
      <c r="J6" s="110" t="n">
        <v>852.0</v>
      </c>
      <c r="K6" s="110" t="n">
        <v>1985.0</v>
      </c>
      <c r="L6" s="110" t="n">
        <v>1890.0</v>
      </c>
      <c r="M6" s="110" t="n">
        <v>1894.0</v>
      </c>
      <c r="Q6" s="107"/>
    </row>
    <row r="7" spans="2:17">
      <c r="B7" s="18" t="s">
        <v>27</v>
      </c>
      <c r="C7" s="113"/>
      <c r="D7" s="121" t="n">
        <f t="shared" ref="D7" si="1">(D6-C6)/C6</f>
        <v>1.9596774193548387</v>
      </c>
      <c r="E7" s="121" t="n">
        <f t="shared" ref="E7" si="2">(E6-D6)/D6</f>
        <v>-0.4332425068119891</v>
      </c>
      <c r="F7" s="121" t="n">
        <f t="shared" ref="F7" si="3">(F6-E6)/E6</f>
        <v>-0.5128205128205128</v>
      </c>
      <c r="G7" s="121" t="n">
        <f t="shared" ref="G7" si="4">(G6-F6)/F6</f>
        <v>1.9605263157894737</v>
      </c>
      <c r="H7" s="121" t="n">
        <f t="shared" ref="H7" si="5">(H6-G6)/G6</f>
        <v>-0.06333333333333334</v>
      </c>
      <c r="I7" s="121" t="n">
        <f t="shared" ref="I7" si="6">(I6-H6)/H6</f>
        <v>0.431791221826809</v>
      </c>
      <c r="J7" s="121" t="n">
        <f t="shared" ref="J7" si="7">(J6-I6)/I6</f>
        <v>-0.29411764705882354</v>
      </c>
      <c r="K7" s="121" t="n">
        <f t="shared" ref="K7" si="8">(K6-J6)/J6</f>
        <v>1.32981220657277</v>
      </c>
      <c r="L7" s="121" t="n">
        <f t="shared" ref="L7" si="9">(L6-K6)/K6</f>
        <v>-0.04785894206549118</v>
      </c>
      <c r="M7" s="121" t="n">
        <f t="shared" ref="M7" si="10">(M6-L6)/L6</f>
        <v>0.0021164021164021165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495.0</v>
      </c>
      <c r="D9" s="110" t="n">
        <v>1827.0</v>
      </c>
      <c r="E9" s="110" t="n">
        <v>1056.0</v>
      </c>
      <c r="F9" s="110" t="n">
        <v>689.0</v>
      </c>
      <c r="G9" s="110" t="n">
        <v>1229.0</v>
      </c>
      <c r="H9" s="110" t="n">
        <v>1167.0</v>
      </c>
      <c r="I9" s="110" t="n">
        <v>1683.0</v>
      </c>
      <c r="J9" s="110" t="n">
        <v>1190.0</v>
      </c>
      <c r="K9" s="110" t="n">
        <v>1020.0</v>
      </c>
      <c r="L9" s="110" t="n">
        <v>2324.0</v>
      </c>
      <c r="M9" s="110" t="n">
        <v>1856.0</v>
      </c>
      <c r="Q9" s="107"/>
    </row>
    <row r="10" spans="2:17">
      <c r="B10" s="18" t="s">
        <v>27</v>
      </c>
      <c r="C10" s="113"/>
      <c r="D10" s="121" t="n">
        <f t="shared" ref="D10" si="11">(D9-C9)/C9</f>
        <v>2.690909090909091</v>
      </c>
      <c r="E10" s="121" t="n">
        <f t="shared" ref="E10" si="12">(E9-D9)/D9</f>
        <v>-0.4220032840722496</v>
      </c>
      <c r="F10" s="121" t="n">
        <f t="shared" ref="F10" si="13">(F9-E9)/E9</f>
        <v>-0.3475378787878788</v>
      </c>
      <c r="G10" s="121" t="n">
        <f t="shared" ref="G10" si="14">(G9-F9)/F9</f>
        <v>0.783744557329463</v>
      </c>
      <c r="H10" s="121" t="n">
        <f t="shared" ref="H10" si="15">(H9-G9)/G9</f>
        <v>-0.05044751830756713</v>
      </c>
      <c r="I10" s="121" t="n">
        <f t="shared" ref="I10" si="16">(I9-H9)/H9</f>
        <v>0.442159383033419</v>
      </c>
      <c r="J10" s="121" t="n">
        <f t="shared" ref="J10" si="17">(J9-I9)/I9</f>
        <v>-0.29292929292929293</v>
      </c>
      <c r="K10" s="121" t="n">
        <f t="shared" ref="K10" si="18">(K9-J9)/J9</f>
        <v>-0.14285714285714285</v>
      </c>
      <c r="L10" s="121" t="n">
        <f t="shared" ref="L10" si="19">(L9-K9)/K9</f>
        <v>1.2784313725490195</v>
      </c>
      <c r="M10" s="121" t="n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159.83099365234375</v>
      </c>
      <c r="D12" s="110" t="n">
        <v>159.33399963378906</v>
      </c>
      <c r="E12" s="110" t="n">
        <v>156.16700744628906</v>
      </c>
      <c r="F12" s="110" t="n">
        <v>152.28799438476562</v>
      </c>
      <c r="G12" s="110" t="n">
        <v>145.66799926757812</v>
      </c>
      <c r="H12" s="110" t="n">
        <v>138.31700134277344</v>
      </c>
      <c r="I12" s="110" t="n">
        <v>135.41700744628906</v>
      </c>
      <c r="J12" s="110" t="n">
        <v>124.6520004272461</v>
      </c>
      <c r="K12" s="110" t="n">
        <v>118.48100280761719</v>
      </c>
      <c r="L12" s="110" t="n">
        <v>112.08399963378906</v>
      </c>
      <c r="M12" s="110" t="n">
        <v>109.23500061035156</v>
      </c>
      <c r="Q12" s="107"/>
    </row>
    <row r="13" spans="2:17">
      <c r="B13" s="18" t="s">
        <v>27</v>
      </c>
      <c r="C13" s="113"/>
      <c r="D13" s="121" t="n">
        <f t="shared" ref="D13" si="21">(D12-C12)/C12</f>
        <v>-0.0031094971456895482</v>
      </c>
      <c r="E13" s="121" t="n">
        <f t="shared" ref="E13" si="22">(E12-D12)/D12</f>
        <v>-0.019876436885906144</v>
      </c>
      <c r="F13" s="121" t="n">
        <f t="shared" ref="F13" si="23">(F12-E12)/E12</f>
        <v>-0.024838876821389824</v>
      </c>
      <c r="G13" s="121" t="n">
        <f t="shared" ref="G13" si="24">(G12-F12)/F12</f>
        <v>-0.043470236402625616</v>
      </c>
      <c r="H13" s="121" t="n">
        <f t="shared" ref="H13" si="25">(H12-G12)/G12</f>
        <v>-0.0504640549864464</v>
      </c>
      <c r="I13" s="121" t="n">
        <f t="shared" ref="I13" si="26">(I12-H12)/H12</f>
        <v>-0.020966286633829656</v>
      </c>
      <c r="J13" s="121" t="n">
        <f t="shared" ref="J13" si="27">(J12-I12)/I12</f>
        <v>-0.07949523639645314</v>
      </c>
      <c r="K13" s="121" t="n">
        <f t="shared" ref="K13" si="28">(K12-J12)/J12</f>
        <v>-0.049505804948799484</v>
      </c>
      <c r="L13" s="121" t="n">
        <f t="shared" ref="L13" si="29">(L12-K12)/K12</f>
        <v>-0.053991804780849424</v>
      </c>
      <c r="M13" s="121" t="n">
        <f t="shared" ref="M13" si="30">(M12-L12)/L12</f>
        <v>-0.025418427543146282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2.3299999237060547</v>
      </c>
      <c r="D15" s="110" t="n">
        <v>6.909999847412109</v>
      </c>
      <c r="E15" s="110" t="n">
        <v>4.0</v>
      </c>
      <c r="F15" s="110" t="n">
        <v>2.0</v>
      </c>
      <c r="G15" s="110" t="n">
        <v>6.179999828338623</v>
      </c>
      <c r="H15" s="110" t="n">
        <v>6.090000152587891</v>
      </c>
      <c r="I15" s="110" t="n">
        <v>8.90999984741211</v>
      </c>
      <c r="J15" s="110" t="n">
        <v>6.840000152587891</v>
      </c>
      <c r="K15" s="110" t="n">
        <v>16.75</v>
      </c>
      <c r="L15" s="110" t="n">
        <v>16.860000610351562</v>
      </c>
      <c r="M15" s="110" t="n">
        <v>17.34000015258789</v>
      </c>
      <c r="Q15" s="107"/>
    </row>
    <row r="16" spans="2:17">
      <c r="B16" s="18" t="s">
        <v>27</v>
      </c>
      <c r="D16" s="121" t="n">
        <f t="shared" ref="D16" si="31">(D15-C15)/C15</f>
        <v>1.965665267671424</v>
      </c>
      <c r="E16" s="121" t="n">
        <f t="shared" ref="E16" si="32">(E15-D15)/D15</f>
        <v>-0.42112878605951704</v>
      </c>
      <c r="F16" s="121" t="n">
        <f t="shared" ref="F16" si="33">(F15-E15)/E15</f>
        <v>-0.5</v>
      </c>
      <c r="G16" s="121" t="n">
        <f t="shared" ref="G16" si="34">(G15-F15)/F15</f>
        <v>2.08999991416931</v>
      </c>
      <c r="H16" s="121" t="n">
        <f t="shared" ref="H16" si="35">(H15-G15)/G15</f>
        <v>-0.014563054733114316</v>
      </c>
      <c r="I16" s="121" t="n">
        <f t="shared" ref="I16" si="36">(I15-H15)/H15</f>
        <v>0.46305412547910807</v>
      </c>
      <c r="J16" s="121" t="n">
        <f t="shared" ref="J16" si="37">(J15-I15)/I15</f>
        <v>-0.2323232020509458</v>
      </c>
      <c r="K16" s="121" t="n">
        <f t="shared" ref="K16" si="38">(K15-J15)/J15</f>
        <v>1.4488303547277988</v>
      </c>
      <c r="L16" s="121" t="n">
        <f t="shared" ref="L16" si="39">(L15-K15)/K15</f>
        <v>0.0065672006180037615</v>
      </c>
      <c r="M16" s="121" t="n">
        <f t="shared" ref="M16" si="40">(M15-L15)/L15</f>
        <v>0.02846972270817243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312.0</v>
      </c>
      <c r="D20" s="128" t="n">
        <v>385.0</v>
      </c>
      <c r="E20" s="128" t="n">
        <v>284.0</v>
      </c>
      <c r="F20" s="128" t="n">
        <v>342.0</v>
      </c>
      <c r="G20" s="128" t="n">
        <v>647.0</v>
      </c>
      <c r="H20" s="128" t="n">
        <v>536.0</v>
      </c>
      <c r="I20" s="128" t="n">
        <v>1221.0</v>
      </c>
      <c r="J20" s="128" t="n">
        <v>1084.0</v>
      </c>
      <c r="K20" s="128" t="n">
        <v>979.0</v>
      </c>
      <c r="L20" s="128" t="n">
        <v>1290.0</v>
      </c>
      <c r="M20" s="128" t="n">
        <v>1276.0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-0.2623376623376623</v>
      </c>
      <c r="F21" s="131" t="n">
        <f t="shared" ref="F21" si="42">(F20-E20)/E20</f>
        <v>0.20422535211267606</v>
      </c>
      <c r="G21" s="131" t="n">
        <f t="shared" ref="G21" si="43">(G20-F20)/F20</f>
        <v>0.8918128654970761</v>
      </c>
      <c r="H21" s="131" t="n">
        <f t="shared" ref="H21" si="44">(H20-G20)/G20</f>
        <v>-0.17156105100463678</v>
      </c>
      <c r="I21" s="131" t="n">
        <f t="shared" ref="I21" si="45">(I20-H20)/H20</f>
        <v>1.2779850746268657</v>
      </c>
      <c r="J21" s="131" t="n">
        <f t="shared" ref="J21" si="46">(J20-I20)/I20</f>
        <v>-0.1122031122031122</v>
      </c>
      <c r="K21" s="131" t="n">
        <f t="shared" ref="K21" si="47">(K20-J20)/J20</f>
        <v>-0.09686346863468635</v>
      </c>
      <c r="L21" s="131" t="n">
        <f t="shared" ref="L21" si="48">(L20-K20)/K20</f>
        <v>0.3176710929519918</v>
      </c>
      <c r="M21" s="131" t="n">
        <f t="shared" ref="M21" si="49">(M20-L20)/L20</f>
        <v>-0.010852713178294573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43.0</v>
      </c>
      <c r="D23" s="130" t="n">
        <v>83.0</v>
      </c>
      <c r="E23" s="130" t="n">
        <v>144.0</v>
      </c>
      <c r="F23" s="130" t="n">
        <v>174.0</v>
      </c>
      <c r="G23" s="130" t="n">
        <v>201.0</v>
      </c>
      <c r="H23" s="130" t="n">
        <v>241.0</v>
      </c>
      <c r="I23" s="130" t="n">
        <v>280.0</v>
      </c>
      <c r="J23" s="130" t="n">
        <v>300.0</v>
      </c>
      <c r="K23" s="130" t="n">
        <v>293.0</v>
      </c>
      <c r="L23" s="130" t="n">
        <v>304.0</v>
      </c>
      <c r="M23" s="130" t="n">
        <v>297.0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0.9302325581395349</v>
      </c>
      <c r="E24" s="121" t="n">
        <f t="shared" ref="E24" si="51">(E23-D23)/D23</f>
        <v>0.7349397590361446</v>
      </c>
      <c r="F24" s="121" t="n">
        <f t="shared" ref="F24" si="52">(F23-E23)/E23</f>
        <v>0.20833333333333334</v>
      </c>
      <c r="G24" s="121" t="n">
        <f t="shared" ref="G24" si="53">(G23-F23)/F23</f>
        <v>0.15517241379310345</v>
      </c>
      <c r="H24" s="121" t="n">
        <f t="shared" ref="H24" si="54">(H23-G23)/G23</f>
        <v>0.19900497512437812</v>
      </c>
      <c r="I24" s="121" t="n">
        <f t="shared" ref="I24" si="55">(I23-H23)/H23</f>
        <v>0.16182572614107885</v>
      </c>
      <c r="J24" s="121" t="n">
        <f t="shared" ref="J24" si="56">(J23-I23)/I23</f>
        <v>0.07142857142857142</v>
      </c>
      <c r="K24" s="121" t="n">
        <f t="shared" ref="K24" si="57">(K23-J23)/J23</f>
        <v>-0.023333333333333334</v>
      </c>
      <c r="L24" s="121" t="n">
        <f t="shared" ref="L24" si="58">(L23-K23)/K23</f>
        <v>0.03754266211604096</v>
      </c>
      <c r="M24" s="121" t="n">
        <f t="shared" ref="M24" si="59">(M23-L23)/L23</f>
        <v>-0.023026315789473683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2839.0</v>
      </c>
      <c r="D28" s="110" t="n">
        <v>3182.0</v>
      </c>
      <c r="E28" s="110" t="n">
        <v>2698.0</v>
      </c>
      <c r="F28" s="110" t="n">
        <v>2787.0</v>
      </c>
      <c r="G28" s="110" t="n">
        <v>2472.0</v>
      </c>
      <c r="H28" s="110" t="n">
        <v>2792.0</v>
      </c>
      <c r="I28" s="110" t="n">
        <v>2874.0</v>
      </c>
      <c r="J28" s="110" t="n">
        <v>2765.0</v>
      </c>
      <c r="K28" s="110" t="n">
        <v>3763.0</v>
      </c>
      <c r="L28" s="110" t="n">
        <v>3807.0</v>
      </c>
      <c r="M28" s="110" t="n">
        <v>6611.0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0.12081718915110955</v>
      </c>
      <c r="E29" s="121" t="n">
        <f t="shared" ref="E29" si="61">(E28-D28)/D28</f>
        <v>-0.15210559396605908</v>
      </c>
      <c r="F29" s="121" t="n">
        <f t="shared" ref="F29" si="62">(F28-E28)/E28</f>
        <v>0.032987398072646404</v>
      </c>
      <c r="G29" s="121" t="n">
        <f t="shared" ref="G29" si="63">(G28-F28)/F28</f>
        <v>-0.11302475780409042</v>
      </c>
      <c r="H29" s="121" t="n">
        <f t="shared" ref="H29" si="64">(H28-G28)/G28</f>
        <v>0.12944983818770225</v>
      </c>
      <c r="I29" s="121" t="n">
        <f t="shared" ref="I29" si="65">(I28-H28)/H28</f>
        <v>0.029369627507163324</v>
      </c>
      <c r="J29" s="121" t="n">
        <f t="shared" ref="J29" si="66">(J28-I28)/I28</f>
        <v>-0.037926235212247736</v>
      </c>
      <c r="K29" s="121" t="n">
        <f t="shared" ref="K29" si="67">(K28-J28)/J28</f>
        <v>0.3609403254972875</v>
      </c>
      <c r="L29" s="121" t="n">
        <f t="shared" ref="L29" si="68">(L28-K28)/K28</f>
        <v>0.011692798299229338</v>
      </c>
      <c r="M29" s="121" t="n">
        <f t="shared" ref="M29" si="69">(M28-L28)/L28</f>
        <v>0.7365379563961124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6161.0</v>
      </c>
      <c r="D31" s="110" t="n">
        <v>5836.0</v>
      </c>
      <c r="E31" s="110" t="n">
        <v>6098.0</v>
      </c>
      <c r="F31" s="110" t="n">
        <v>5799.0</v>
      </c>
      <c r="G31" s="110" t="n">
        <v>5885.0</v>
      </c>
      <c r="H31" s="110" t="n">
        <v>6746.0</v>
      </c>
      <c r="I31" s="110" t="n">
        <v>6439.0</v>
      </c>
      <c r="J31" s="110" t="n">
        <v>6711.0</v>
      </c>
      <c r="K31" s="110" t="n">
        <v>7146.0</v>
      </c>
      <c r="L31" s="110" t="n">
        <v>8168.0</v>
      </c>
      <c r="M31" s="110" t="n">
        <v>19661.0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-0.052751176757019964</v>
      </c>
      <c r="E32" s="121" t="n">
        <f t="shared" ref="E32" si="71">(E31-D31)/D31</f>
        <v>0.04489376285126799</v>
      </c>
      <c r="F32" s="121" t="n">
        <f t="shared" ref="F32" si="72">(F31-E31)/E31</f>
        <v>-0.04903246966218432</v>
      </c>
      <c r="G32" s="121" t="n">
        <f t="shared" ref="G32" si="73">(G31-F31)/F31</f>
        <v>0.014830143128125538</v>
      </c>
      <c r="H32" s="121" t="n">
        <f t="shared" ref="H32" si="74">(H31-G31)/G31</f>
        <v>0.14630416312659303</v>
      </c>
      <c r="I32" s="121" t="n">
        <f t="shared" ref="I32" si="75">(I31-H31)/H31</f>
        <v>-0.04550844945152683</v>
      </c>
      <c r="J32" s="121" t="n">
        <f t="shared" ref="J32" si="76">(J31-I31)/I31</f>
        <v>0.042242584252213077</v>
      </c>
      <c r="K32" s="121" t="n">
        <f t="shared" ref="K32" si="77">(K31-J31)/J31</f>
        <v>0.06481895395619133</v>
      </c>
      <c r="L32" s="121" t="n">
        <f t="shared" ref="L32" si="78">(L31-K31)/K31</f>
        <v>0.14301707248810525</v>
      </c>
      <c r="M32" s="121" t="n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9018.0</v>
      </c>
      <c r="E34" s="111" t="n">
        <f t="shared" ref="E34:M34" si="80">E28+E31</f>
        <v>8796.0</v>
      </c>
      <c r="F34" s="111" t="n">
        <f t="shared" si="80"/>
        <v>8586.0</v>
      </c>
      <c r="G34" s="111" t="n">
        <f t="shared" si="80"/>
        <v>8357.0</v>
      </c>
      <c r="H34" s="111" t="n">
        <f t="shared" si="80"/>
        <v>9538.0</v>
      </c>
      <c r="I34" s="111" t="n">
        <f t="shared" si="80"/>
        <v>9313.0</v>
      </c>
      <c r="J34" s="111" t="n">
        <f t="shared" si="80"/>
        <v>9476.0</v>
      </c>
      <c r="K34" s="111" t="n">
        <f t="shared" si="80"/>
        <v>10909.0</v>
      </c>
      <c r="L34" s="111" t="n">
        <f t="shared" si="80"/>
        <v>11975.0</v>
      </c>
      <c r="M34" s="111" t="n">
        <f t="shared" si="80"/>
        <v>26272.0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1355.0</v>
      </c>
      <c r="D36" s="118" t="n">
        <v>1545.0</v>
      </c>
      <c r="E36" s="110" t="n">
        <v>1338.0</v>
      </c>
      <c r="F36" s="110" t="n">
        <v>1550.0</v>
      </c>
      <c r="G36" s="110" t="n">
        <v>1077.0</v>
      </c>
      <c r="H36" s="110" t="n">
        <v>1559.0</v>
      </c>
      <c r="I36" s="110" t="n">
        <v>1779.0</v>
      </c>
      <c r="J36" s="110" t="n">
        <v>1754.0</v>
      </c>
      <c r="K36" s="110" t="n">
        <v>1973.0</v>
      </c>
      <c r="L36" s="110" t="n">
        <v>2505.0</v>
      </c>
      <c r="M36" s="110" t="n">
        <v>4068.0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0.14022140221402213</v>
      </c>
      <c r="E37" s="121" t="n">
        <f t="shared" ref="E37" si="82">(E36-D36)/D36</f>
        <v>-0.13398058252427184</v>
      </c>
      <c r="F37" s="121" t="n">
        <f t="shared" ref="F37" si="83">(F36-E36)/E36</f>
        <v>0.15844544095665172</v>
      </c>
      <c r="G37" s="121" t="n">
        <f t="shared" ref="G37" si="84">(G36-F36)/F36</f>
        <v>-0.30516129032258066</v>
      </c>
      <c r="H37" s="121" t="n">
        <f t="shared" ref="H37" si="85">(H36-G36)/G36</f>
        <v>0.44753946146703805</v>
      </c>
      <c r="I37" s="121" t="n">
        <f t="shared" ref="I37" si="86">(I36-H36)/H36</f>
        <v>0.14111610006414368</v>
      </c>
      <c r="J37" s="121" t="n">
        <f t="shared" ref="J37" si="87">(J36-I36)/I36</f>
        <v>-0.014052838673412029</v>
      </c>
      <c r="K37" s="121" t="n">
        <f t="shared" ref="K37" si="88">(K36-J36)/J36</f>
        <v>0.12485746864310149</v>
      </c>
      <c r="L37" s="121" t="n">
        <f t="shared" ref="L37" si="89">(L36-K36)/K36</f>
        <v>0.26964014191586416</v>
      </c>
      <c r="M37" s="121" t="n">
        <f t="shared" ref="M37" si="90">(M36-L36)/L36</f>
        <v>0.6239520958083832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5915.0</v>
      </c>
      <c r="D39" s="110" t="n">
        <v>4774.0</v>
      </c>
      <c r="E39" s="110" t="n">
        <v>4380.0</v>
      </c>
      <c r="F39" s="110" t="n">
        <v>4207.0</v>
      </c>
      <c r="G39" s="110" t="n">
        <v>4259.0</v>
      </c>
      <c r="H39" s="110" t="n">
        <v>4680.0</v>
      </c>
      <c r="I39" s="110" t="n">
        <v>4155.0</v>
      </c>
      <c r="J39" s="110" t="n">
        <v>4824.0</v>
      </c>
      <c r="K39" s="110" t="n">
        <v>5041.0</v>
      </c>
      <c r="L39" s="110" t="n">
        <v>4933.0</v>
      </c>
      <c r="M39" s="110" t="n">
        <v>16099.0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-0.19289940828402366</v>
      </c>
      <c r="E40" s="121" t="n">
        <f t="shared" ref="E40" si="92">(E39-D39)/D39</f>
        <v>-0.0825303728529535</v>
      </c>
      <c r="F40" s="121" t="n">
        <f t="shared" ref="F40" si="93">(F39-E39)/E39</f>
        <v>-0.03949771689497717</v>
      </c>
      <c r="G40" s="121" t="n">
        <f t="shared" ref="G40" si="94">(G39-F39)/F39</f>
        <v>0.012360351794628001</v>
      </c>
      <c r="H40" s="121" t="n">
        <f t="shared" ref="H40" si="95">(H39-G39)/G39</f>
        <v>0.09884949518666354</v>
      </c>
      <c r="I40" s="121" t="n">
        <f t="shared" ref="I40" si="96">(I39-H39)/H39</f>
        <v>-0.11217948717948718</v>
      </c>
      <c r="J40" s="121" t="n">
        <f t="shared" ref="J40" si="97">(J39-I39)/I39</f>
        <v>0.16101083032490976</v>
      </c>
      <c r="K40" s="121" t="n">
        <f t="shared" ref="K40" si="98">(K39-J39)/J39</f>
        <v>0.04498341625207297</v>
      </c>
      <c r="L40" s="121" t="n">
        <f t="shared" ref="L40" si="99">(L39-K39)/K39</f>
        <v>-0.021424320571315214</v>
      </c>
      <c r="M40" s="121" t="n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6319.0</v>
      </c>
      <c r="E42" s="111" t="n">
        <f t="shared" ref="E42:M42" si="101">E36+E39</f>
        <v>5718.0</v>
      </c>
      <c r="F42" s="111" t="n">
        <f t="shared" si="101"/>
        <v>5757.0</v>
      </c>
      <c r="G42" s="111" t="n">
        <f t="shared" si="101"/>
        <v>5336.0</v>
      </c>
      <c r="H42" s="111" t="n">
        <f t="shared" si="101"/>
        <v>6239.0</v>
      </c>
      <c r="I42" s="111" t="n">
        <f t="shared" si="101"/>
        <v>5934.0</v>
      </c>
      <c r="J42" s="111" t="n">
        <f t="shared" si="101"/>
        <v>6578.0</v>
      </c>
      <c r="K42" s="111" t="n">
        <f t="shared" si="101"/>
        <v>7014.0</v>
      </c>
      <c r="L42" s="111" t="n">
        <f t="shared" si="101"/>
        <v>7438.0</v>
      </c>
      <c r="M42" s="111" t="n">
        <f t="shared" si="101"/>
        <v>20167.0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2699.0</v>
      </c>
      <c r="E44" s="134" t="n">
        <f t="shared" ref="E44:M44" si="102">E34-E42</f>
        <v>3078.0</v>
      </c>
      <c r="F44" s="134" t="n">
        <f t="shared" si="102"/>
        <v>2829.0</v>
      </c>
      <c r="G44" s="134" t="n">
        <f t="shared" si="102"/>
        <v>3021.0</v>
      </c>
      <c r="H44" s="134" t="n">
        <f t="shared" si="102"/>
        <v>3299.0</v>
      </c>
      <c r="I44" s="134" t="n">
        <f t="shared" si="102"/>
        <v>3379.0</v>
      </c>
      <c r="J44" s="134" t="n">
        <f t="shared" si="102"/>
        <v>2898.0</v>
      </c>
      <c r="K44" s="134" t="n">
        <f t="shared" si="102"/>
        <v>3895.0</v>
      </c>
      <c r="L44" s="134" t="n">
        <f t="shared" si="102"/>
        <v>4537.0</v>
      </c>
      <c r="M44" s="134" t="n">
        <f t="shared" si="102"/>
        <v>6105.0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2930.0</v>
      </c>
      <c r="D46" s="133" t="n">
        <v>2887.0</v>
      </c>
      <c r="E46" s="133" t="n">
        <v>2586.0</v>
      </c>
      <c r="F46" s="133" t="n">
        <v>2468.0</v>
      </c>
      <c r="G46" s="133" t="n">
        <v>2890.0</v>
      </c>
      <c r="H46" s="133" t="n">
        <v>3315.0</v>
      </c>
      <c r="I46" s="133" t="n">
        <v>2970.0</v>
      </c>
      <c r="J46" s="133" t="n">
        <v>3409.0</v>
      </c>
      <c r="K46" s="136" t="n">
        <v>3227.0</v>
      </c>
      <c r="L46" s="133" t="n">
        <v>3176.0</v>
      </c>
      <c r="M46" s="133" t="n">
        <v>13373.0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0.16912442396313365</v>
      </c>
      <c r="E50" s="126" t="n">
        <f t="shared" si="103"/>
        <v>0.09173772419876507</v>
      </c>
      <c r="F50" s="126" t="n">
        <f t="shared" si="103"/>
        <v>0.053577722946774764</v>
      </c>
      <c r="G50" s="126" t="n">
        <f t="shared" si="103"/>
        <v>0.16700686583781776</v>
      </c>
      <c r="H50" s="126" t="n">
        <f t="shared" si="103"/>
        <v>0.13729641693811076</v>
      </c>
      <c r="I50" s="126" t="n">
        <f t="shared" si="103"/>
        <v>0.1686932215234102</v>
      </c>
      <c r="J50" s="126" t="n">
        <f t="shared" si="103"/>
        <v>0.13530252501191042</v>
      </c>
      <c r="K50" s="126" t="n">
        <f t="shared" si="103"/>
        <v>0.3510167992926614</v>
      </c>
      <c r="L50" s="126" t="n">
        <f t="shared" si="103"/>
        <v>0.22138924680801217</v>
      </c>
      <c r="M50" s="126" t="n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0.2806451612903226</v>
      </c>
      <c r="E51" s="126" t="n">
        <f t="shared" si="104"/>
        <v>0.15524845633637166</v>
      </c>
      <c r="F51" s="126" t="n">
        <f t="shared" si="104"/>
        <v>0.1214310891787099</v>
      </c>
      <c r="G51" s="126" t="n">
        <f t="shared" si="104"/>
        <v>0.2280571534607534</v>
      </c>
      <c r="H51" s="126" t="n">
        <f t="shared" si="104"/>
        <v>0.19006514657980456</v>
      </c>
      <c r="I51" s="126" t="n">
        <f t="shared" si="104"/>
        <v>0.23522012578616353</v>
      </c>
      <c r="J51" s="126" t="n">
        <f t="shared" si="104"/>
        <v>0.18897887883118947</v>
      </c>
      <c r="K51" s="126" t="n">
        <f t="shared" si="104"/>
        <v>0.18037135278514588</v>
      </c>
      <c r="L51" s="126" t="n">
        <f t="shared" si="104"/>
        <v>0.2722267775565187</v>
      </c>
      <c r="M51" s="126" t="n">
        <f t="shared" si="104"/>
        <v>0.1918742892587615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0.05913978494623656</v>
      </c>
      <c r="E52" s="126" t="n">
        <f t="shared" si="105"/>
        <v>0.04175242575713026</v>
      </c>
      <c r="F52" s="126" t="n">
        <f t="shared" si="105"/>
        <v>0.06027493831512161</v>
      </c>
      <c r="G52" s="126" t="n">
        <f t="shared" si="105"/>
        <v>0.12005938021896456</v>
      </c>
      <c r="H52" s="126" t="n">
        <f t="shared" si="105"/>
        <v>0.08729641693811074</v>
      </c>
      <c r="I52" s="126" t="n">
        <f t="shared" si="105"/>
        <v>0.17064989517819706</v>
      </c>
      <c r="J52" s="126" t="n">
        <f t="shared" si="105"/>
        <v>0.17214546609496587</v>
      </c>
      <c r="K52" s="126" t="n">
        <f t="shared" si="105"/>
        <v>0.1731211317418214</v>
      </c>
      <c r="L52" s="126" t="n">
        <f t="shared" si="105"/>
        <v>0.15110694623404006</v>
      </c>
      <c r="M52" s="126" t="n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0.21558441558441557</v>
      </c>
      <c r="E55" s="126" t="n">
        <f t="shared" ref="E55:M55" si="106">E23/E20</f>
        <v>0.5070422535211268</v>
      </c>
      <c r="F55" s="126" t="n">
        <f t="shared" si="106"/>
        <v>0.5087719298245614</v>
      </c>
      <c r="G55" s="126" t="n">
        <f t="shared" si="106"/>
        <v>0.3106646058732612</v>
      </c>
      <c r="H55" s="126" t="n">
        <f t="shared" si="106"/>
        <v>0.4496268656716418</v>
      </c>
      <c r="I55" s="126" t="n">
        <f t="shared" si="106"/>
        <v>0.22932022932022933</v>
      </c>
      <c r="J55" s="126" t="n">
        <f t="shared" si="106"/>
        <v>0.2767527675276753</v>
      </c>
      <c r="K55" s="126" t="n">
        <f t="shared" si="106"/>
        <v>0.2992849846782431</v>
      </c>
      <c r="L55" s="126" t="n">
        <f t="shared" si="106"/>
        <v>0.23565891472868217</v>
      </c>
      <c r="M55" s="126" t="n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2.341237495368655</v>
      </c>
      <c r="E58" s="112" t="n">
        <f t="shared" ref="E58:M58" si="107">E42/E44</f>
        <v>1.857699805068226</v>
      </c>
      <c r="F58" s="112" t="n">
        <f t="shared" si="107"/>
        <v>2.034994697773065</v>
      </c>
      <c r="G58" s="112" t="n">
        <f t="shared" si="107"/>
        <v>1.7663025488248925</v>
      </c>
      <c r="H58" s="112" t="n">
        <f t="shared" si="107"/>
        <v>1.8911791451955138</v>
      </c>
      <c r="I58" s="112" t="n">
        <f t="shared" si="107"/>
        <v>1.7561408700799053</v>
      </c>
      <c r="J58" s="112" t="n">
        <f t="shared" si="107"/>
        <v>2.2698412698412698</v>
      </c>
      <c r="K58" s="112" t="n">
        <f t="shared" si="107"/>
        <v>1.8007702182284981</v>
      </c>
      <c r="L58" s="112" t="n">
        <f t="shared" si="107"/>
        <v>1.6394093013004187</v>
      </c>
      <c r="M58" s="112" t="n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2.0595469255663432</v>
      </c>
      <c r="E59" s="112" t="n">
        <f t="shared" ref="E59:M59" si="108">E28/E36</f>
        <v>2.01644245142003</v>
      </c>
      <c r="F59" s="112" t="n">
        <f t="shared" si="108"/>
        <v>1.7980645161290323</v>
      </c>
      <c r="G59" s="112" t="n">
        <f t="shared" si="108"/>
        <v>2.2952646239554317</v>
      </c>
      <c r="H59" s="112" t="n">
        <f t="shared" si="108"/>
        <v>1.790891597177678</v>
      </c>
      <c r="I59" s="112" t="n">
        <f t="shared" si="108"/>
        <v>1.615514333895447</v>
      </c>
      <c r="J59" s="112" t="n">
        <f t="shared" si="108"/>
        <v>1.5763968072976056</v>
      </c>
      <c r="K59" s="112" t="n">
        <f t="shared" si="108"/>
        <v>1.907247845919919</v>
      </c>
      <c r="L59" s="112" t="n">
        <f t="shared" si="108"/>
        <v>1.5197604790419161</v>
      </c>
      <c r="M59" s="112" t="n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1.5801860974274768</v>
      </c>
      <c r="E60" s="112" t="n">
        <f t="shared" ref="E60:M60" si="109">E46/E9</f>
        <v>2.4488636363636362</v>
      </c>
      <c r="F60" s="112" t="n">
        <f t="shared" si="109"/>
        <v>3.58200290275762</v>
      </c>
      <c r="G60" s="112" t="n">
        <f t="shared" si="109"/>
        <v>2.3515052888527257</v>
      </c>
      <c r="H60" s="112" t="n">
        <f t="shared" si="109"/>
        <v>2.840616966580977</v>
      </c>
      <c r="I60" s="112" t="n">
        <f t="shared" si="109"/>
        <v>1.7647058823529411</v>
      </c>
      <c r="J60" s="112" t="n">
        <f t="shared" si="109"/>
        <v>2.864705882352941</v>
      </c>
      <c r="K60" s="112" t="n">
        <f t="shared" si="109"/>
        <v>3.1637254901960783</v>
      </c>
      <c r="L60" s="112" t="n">
        <f t="shared" si="109"/>
        <v>1.3666092943201378</v>
      </c>
      <c r="M60" s="112" t="n">
        <f t="shared" si="109"/>
        <v>7.205280172413793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0.008850937908362333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0.12729866966655456</v>
      </c>
    </row>
    <row r="65" spans="2:13">
      <c r="B65" s="10" t="s">
        <v>74</v>
      </c>
      <c r="C65" s="114"/>
      <c r="D65" s="121" t="n">
        <f>(M6/I6)^0.2 - 1</f>
        <v>0.0942953175960013</v>
      </c>
    </row>
    <row r="66" spans="2:13">
      <c r="B66" s="10" t="s">
        <v>84</v>
      </c>
      <c r="C66" s="114"/>
      <c r="D66" s="121" t="n">
        <f>(M6/D6)^0.1 - 1</f>
        <v>0.05574556466676106</v>
      </c>
    </row>
    <row r="67" spans="2:13">
      <c r="B67" s="10" t="s">
        <v>75</v>
      </c>
      <c r="C67" s="114"/>
      <c r="D67" s="121" t="n">
        <f>(M3/I3)^0.2 - 1</f>
        <v>0.0621608992599707</v>
      </c>
    </row>
    <row r="68" spans="2:13">
      <c r="B68" s="10" t="s">
        <v>85</v>
      </c>
      <c r="C68" s="114"/>
      <c r="D68" s="121" t="n">
        <f>(M3/D3)^0.1 - 1</f>
        <v>0.04039443356863237</v>
      </c>
    </row>
    <row r="69" spans="2:13">
      <c r="B69" s="10" t="s">
        <v>88</v>
      </c>
      <c r="C69" s="114"/>
      <c r="D69" s="121" t="n">
        <f>(M9/I9)^0.2 - 1</f>
        <v>0.019761874665831902</v>
      </c>
    </row>
    <row r="70" spans="2:13">
      <c r="B70" s="10" t="s">
        <v>89</v>
      </c>
      <c r="C70" s="114"/>
      <c r="D70" s="121" t="n">
        <f>(M9/D9)^0.2 - 1</f>
        <v>0.003154636820357215</v>
      </c>
    </row>
    <row r="71" spans="2:13">
      <c r="B71" s="10" t="s">
        <v>131</v>
      </c>
      <c r="D71" s="121" t="n">
        <f>(M23/I23)^0.2 - 1</f>
        <v>0.011858265422722392</v>
      </c>
    </row>
    <row r="72" spans="2:13">
      <c r="B72" s="10" t="s">
        <v>132</v>
      </c>
      <c r="D72" s="121" t="n">
        <f>AVERAGE(I24:M24)</f>
        <v>0.04488746211257684</v>
      </c>
    </row>
    <row r="73" spans="2:13">
      <c r="B73" s="10" t="s">
        <v>135</v>
      </c>
      <c r="D73" s="121" t="n">
        <f>AVERAGE(I55:M55)</f>
        <v>0.254755103388897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12.208915502328676</v>
      </c>
      <c r="E76" s="110" t="n">
        <f t="shared" si="110"/>
        <v>7.094133697135061</v>
      </c>
      <c r="F76" s="110" t="n">
        <f t="shared" si="110"/>
        <v>3.5406475658047984</v>
      </c>
      <c r="G76" s="110" t="n">
        <f t="shared" si="110"/>
        <v>10.769414861792509</v>
      </c>
      <c r="H76" s="110" t="n">
        <f t="shared" si="110"/>
        <v>8.838330886978403</v>
      </c>
      <c r="I76" s="110" t="n">
        <f t="shared" si="110"/>
        <v>12.960377966283689</v>
      </c>
      <c r="J76" s="110" t="n">
        <f t="shared" si="110"/>
        <v>8.99113550021106</v>
      </c>
      <c r="K76" s="110" t="n">
        <f t="shared" si="110"/>
        <v>18.19598496654139</v>
      </c>
      <c r="L76" s="110" t="n">
        <f t="shared" si="110"/>
        <v>15.782881002087683</v>
      </c>
      <c r="M76" s="110" t="n">
        <f t="shared" si="110"/>
        <v>7.209196102314251</v>
      </c>
    </row>
    <row r="77" spans="2:13">
      <c r="B77" s="10" t="s">
        <v>139</v>
      </c>
      <c r="C77" s="110">
        <v>0</v>
      </c>
      <c r="D77" s="110" t="n">
        <f t="shared" ref="D77:M77" si="111">100*D6/D44</f>
        <v>40.79288625416821</v>
      </c>
      <c r="E77" s="110" t="n">
        <f t="shared" si="111"/>
        <v>20.2729044834308</v>
      </c>
      <c r="F77" s="110" t="n">
        <f t="shared" si="111"/>
        <v>10.745846588900672</v>
      </c>
      <c r="G77" s="110" t="n">
        <f t="shared" si="111"/>
        <v>29.791459781529294</v>
      </c>
      <c r="H77" s="110" t="n">
        <f t="shared" si="111"/>
        <v>25.553197938769323</v>
      </c>
      <c r="I77" s="110" t="n">
        <f t="shared" si="111"/>
        <v>35.72062740455756</v>
      </c>
      <c r="J77" s="110" t="n">
        <f t="shared" si="111"/>
        <v>29.399585921325052</v>
      </c>
      <c r="K77" s="110" t="n">
        <f t="shared" si="111"/>
        <v>50.96277278562259</v>
      </c>
      <c r="L77" s="110" t="n">
        <f t="shared" si="111"/>
        <v>41.657482918227906</v>
      </c>
      <c r="M77" s="110" t="n">
        <f t="shared" si="111"/>
        <v>31.023751023751025</v>
      </c>
    </row>
    <row r="78" spans="2:13">
      <c r="B78" s="10" t="s">
        <v>140</v>
      </c>
      <c r="C78" s="110" t="n">
        <v>0.0</v>
      </c>
      <c r="D78" s="40" t="n">
        <v>22.989999771118164</v>
      </c>
      <c r="E78" s="40" t="n">
        <v>12.75</v>
      </c>
      <c r="F78" s="40" t="n">
        <v>6.860000133514404</v>
      </c>
      <c r="G78" s="40" t="n">
        <v>18.329999923706055</v>
      </c>
      <c r="H78" s="40" t="n">
        <v>15.489999771118164</v>
      </c>
      <c r="I78" s="40" t="n">
        <v>19.989999771118164</v>
      </c>
      <c r="J78" s="40" t="n">
        <v>14.40999984741211</v>
      </c>
      <c r="K78" s="40" t="n">
        <v>29.43000030517578</v>
      </c>
      <c r="L78" s="40" t="n">
        <v>24.68000030517578</v>
      </c>
      <c r="M78" s="40" t="n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17.280000686645508</v>
      </c>
      <c r="E81" s="40" t="n">
        <v>6.909999847412109</v>
      </c>
      <c r="F81" s="40" t="n">
        <v>19.739999771118164</v>
      </c>
      <c r="G81" s="40" t="n">
        <v>25.079999923706055</v>
      </c>
      <c r="H81" s="40" t="n">
        <v>18.399999618530273</v>
      </c>
      <c r="I81" s="40" t="n">
        <v>9.289999961853027</v>
      </c>
      <c r="J81" s="40" t="n">
        <v>16.959999084472656</v>
      </c>
      <c r="K81" s="40" t="n">
        <v>26.139999389648438</v>
      </c>
      <c r="L81" s="40" t="n">
        <v>6.840000152587891</v>
      </c>
      <c r="M81" s="40" t="n">
        <v>6.739999771118164</v>
      </c>
    </row>
    <row r="82" spans="2:13">
      <c r="B82" s="122" t="s">
        <v>148</v>
      </c>
      <c r="C82" s="110" t="n">
        <v>0.0</v>
      </c>
      <c r="D82" s="40" t="n">
        <v>13.220000267028809</v>
      </c>
      <c r="E82" s="40" t="n">
        <v>9.890000343322754</v>
      </c>
      <c r="F82" s="40" t="n">
        <v>11.619999885559082</v>
      </c>
      <c r="G82" s="40" t="n">
        <v>10.770000457763672</v>
      </c>
      <c r="H82" s="40" t="n">
        <v>21.469999313354492</v>
      </c>
      <c r="I82" s="40" t="n">
        <v>9.789999961853027</v>
      </c>
      <c r="J82" s="40" t="n">
        <v>10.529999732971191</v>
      </c>
      <c r="K82" s="40" t="n">
        <v>11.140000343322754</v>
      </c>
      <c r="L82" s="40" t="n">
        <v>13.199999809265137</v>
      </c>
      <c r="M82" s="40" t="n">
        <v>6.010000228881836</v>
      </c>
    </row>
    <row r="83" spans="2:13">
      <c r="B83" s="122" t="s">
        <v>153</v>
      </c>
      <c r="C83" s="110" t="n">
        <v>4.079999923706055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