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<sst xmlns="http://schemas.openxmlformats.org/spreadsheetml/2006/main" count="231" uniqueCount="163">
  <si>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</si>
  <si>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</si>
  <si>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</si>
  <si>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</si>
  <si>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</si>
  <si>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</si>
  <si>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</si>
  <si>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</si>
  <si>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</si>
  <si>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</si>
  <si>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</si>
  <si>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</si>
  <si>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</si>
  <si>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</si>
  <si>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</si>
  <si>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</si>
  <si>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</si>
  <si>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</si>
  <si>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</si>
  <si>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</si>
  <si>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</si>
  <si>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</si>
  <si>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</si>
  <si>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</si>
  <si>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</si>
  <si>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</si>
  <si>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</si>
  <si>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</si>
  <si>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</si>
  <si>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</si>
  <si>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</si>
  <si>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</si>
  <si>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</si>
  <si>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</si>
  <si>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</si>
  <si>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</si>
  <si>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</si>
  <si>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</si>
  <si>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</si>
  <si>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</si>
  <si>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</si>
  <si>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</si>
  <si>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</si>
  <si>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</si>
  <si>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</si>
  <si>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</si>
  <si>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</si>
  <si>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</si>
  <si>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</si>
  <si>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</si>
  <si>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</si>
  <si>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</si>
  <si>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</si>
  <si>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</si>
  <si>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</si>
  <si>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</si>
  <si>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</si>
  <si>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</si>
  <si>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</si>
  <si>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</si>
  <si>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</si>
  <si>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</si>
  <si>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</si>
  <si>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</si>
  <si>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</si>
  <si>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</si>
  <si>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</si>
  <si>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</si>
  <si>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</si>
  <si>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</si>
  <si>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</si>
  <si>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</si>
  <si>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</si>
  <si>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</si>
  <si>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</si>
  <si>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</si>
  <si>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</si>
  <si>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</si>
  <si>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</si>
  <si>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</si>
  <si>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</si>
  <si>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</si>
  <si>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</si>
  <si>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</si>
  <si>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</si>
  <si>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</si>
  <si>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</si>
  <si>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</si>
  <si>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</si>
  <si>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</si>
  <si>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</si>
  <si>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</si>
  <si>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</si>
  <si>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</si>
  <si>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</si>
  <si>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</si>
  <si>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</si>
  <si>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</si>
  <si>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</si>
  <si>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</si>
  <si>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</si>
  <si>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</si>
  <si>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</si>
  <si>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</si>
  <si>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</si>
  <si>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</si>
  <si>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</si>
  <si>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</si>
  <si>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</si>
  <si>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</si>
  <si>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</si>
  <si>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</si>
  <si>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</si>
  <si>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</si>
  <si>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</si>
  <si>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</si>
  <si>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</si>
  <si>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</si>
  <si>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</si>
  <si>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</si>
  <si>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</si>
  <si>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</si>
  <si>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</si>
  <si>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</si>
  <si>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</si>
  <si>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</si>
  <si>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</si>
  <si>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</si>
  <si>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</si>
  <si>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</si>
  <si>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</si>
  <si>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</si>
  <si>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</si>
  <si>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</si>
  <si>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</si>
  <si>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</si>
  <si>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</si>
  <si>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</si>
  <si>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</si>
  <si>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</si>
  <si>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</si>
  <si>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</si>
  <si>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</si>
  <si>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</si>
  <si>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</si>
  <si>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</si>
  <si>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</si>
  <si>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</si>
  <si>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</si>
  <si>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</si>
  <si>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</si>
  <si>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</si>
  <si>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</si>
  <si>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</si>
  <si>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</si>
  <si>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</si>
  <si>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</si>
  <si>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</si>
  <si>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</si>
  <si>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</si>
  <si>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</si>
  <si>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</si>
  <si>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SWK_StanleyBlackAndDecker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</si>
</sst>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 t="n">
        <f>AVERAGE(L12:P12)</f>
        <v>3.7288456298139883</v>
      </c>
      <c r="G12" s="119" t="n">
        <f>Financials!D76</f>
        <v>2.96520725545813</v>
      </c>
      <c r="H12" s="119" t="n">
        <f>Financials!E76</f>
        <v>4.800903719748364</v>
      </c>
      <c r="I12" s="119" t="n">
        <f>Financials!F76</f>
        <v>5.974430983287393</v>
      </c>
      <c r="J12" s="119" t="n">
        <f>Financials!G76</f>
        <v>6.1912770520778775</v>
      </c>
      <c r="K12" s="119" t="n">
        <f>Financials!H76</f>
        <v>6.426428503309361</v>
      </c>
      <c r="L12" s="119" t="n">
        <f>Financials!I76</f>
        <v>3.1090274092892587</v>
      </c>
      <c r="M12" s="119" t="n">
        <f>Financials!J76</f>
        <v>4.624064262540288</v>
      </c>
      <c r="N12" s="119" t="n">
        <f>Financials!K76</f>
        <v>4.7941340446907565</v>
      </c>
      <c r="O12" s="119" t="n">
        <f>Financials!L76</f>
        <v>5.458836227211249</v>
      </c>
      <c r="P12" s="119" t="n">
        <f>Financials!M76</f>
        <v>0.6581662053383922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8.656934891874625</v>
      </c>
      <c r="G14" s="40" t="n">
        <f>Financials!D77</f>
        <v>7.125935437729366</v>
      </c>
      <c r="H14" s="40" t="n">
        <f>Financials!E77</f>
        <v>11.684762732109158</v>
      </c>
      <c r="I14" s="40" t="n">
        <f>Financials!F77</f>
        <v>15.425313313513858</v>
      </c>
      <c r="J14" s="40" t="n">
        <f>Financials!G77</f>
        <v>15.187647656110785</v>
      </c>
      <c r="K14" s="40" t="n">
        <f>Financials!H77</f>
        <v>14.777845259820952</v>
      </c>
      <c r="L14" s="40" t="n">
        <f>Financials!I77</f>
        <v>7.6965276280425075</v>
      </c>
      <c r="M14" s="40" t="n">
        <f>Financials!J77</f>
        <v>10.417624367596934</v>
      </c>
      <c r="N14" s="40" t="n">
        <f>Financials!K77</f>
        <v>10.209281781772837</v>
      </c>
      <c r="O14" s="40" t="n">
        <f>Financials!L77</f>
        <v>13.269902061535682</v>
      </c>
      <c r="P14" s="40" t="n">
        <f>Financials!M77</f>
        <v>1.6913386204251608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0.07699793838419387</v>
      </c>
      <c r="F16" s="124" t="n">
        <f>AVERAGE(L16:P16)</f>
        <v>9.412000179290771</v>
      </c>
      <c r="G16" s="40" t="n">
        <f>Financials!D78</f>
        <v>5.849999904632568</v>
      </c>
      <c r="H16" s="40" t="n">
        <f>Financials!E78</f>
        <v>8.369999885559082</v>
      </c>
      <c r="I16" s="40" t="n">
        <f>Financials!F78</f>
        <v>10.170000076293945</v>
      </c>
      <c r="J16" s="40" t="n">
        <f>Financials!G78</f>
        <v>11.079999923706055</v>
      </c>
      <c r="K16" s="40" t="n">
        <f>Financials!H78</f>
        <v>12.720000267028809</v>
      </c>
      <c r="L16" s="40" t="n">
        <f>Financials!I78</f>
        <v>6.690000057220459</v>
      </c>
      <c r="M16" s="40" t="n">
        <f>Financials!J78</f>
        <v>10.220000267028809</v>
      </c>
      <c r="N16" s="40" t="n">
        <f>Financials!K78</f>
        <v>11.350000381469727</v>
      </c>
      <c r="O16" s="40" t="n">
        <f>Financials!L78</f>
        <v>11.75</v>
      </c>
      <c r="P16" s="40" t="n">
        <f>Financials!M78</f>
        <v>7.050000190734863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 t="n">
        <f>AVERAGE(L18:P18)</f>
        <v>1.1328178211376454</v>
      </c>
      <c r="G18" s="42" t="n">
        <f>Financials!D59</f>
        <v>1.241223763181783</v>
      </c>
      <c r="H18" s="42" t="n">
        <f>Financials!E59</f>
        <v>1.394350299727447</v>
      </c>
      <c r="I18" s="42" t="n">
        <f>Financials!F59</f>
        <v>1.3066795011956147</v>
      </c>
      <c r="J18" s="42" t="n">
        <f>Financials!G59</f>
        <v>1.7056099732858414</v>
      </c>
      <c r="K18" s="42" t="n">
        <f>Financials!H59</f>
        <v>1.0381418649664125</v>
      </c>
      <c r="L18" s="42" t="n">
        <f>Financials!I59</f>
        <v>1.1418931904315133</v>
      </c>
      <c r="M18" s="42" t="n">
        <f>Financials!J59</f>
        <v>1.0115531924750363</v>
      </c>
      <c r="N18" s="42" t="n">
        <f>Financials!K59</f>
        <v>1.3241779300678986</v>
      </c>
      <c r="O18" s="42" t="n">
        <f>Financials!L59</f>
        <v>0.9725118063208678</v>
      </c>
      <c r="P18" s="42" t="n">
        <f>Financials!M59</f>
        <v>1.2139529863929104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1.3717341308044433</v>
      </c>
      <c r="G20" s="42" t="n">
        <f>Financials!D58</f>
        <v>1.4031829224120704</v>
      </c>
      <c r="H20" s="42" t="n">
        <f>Financials!E58</f>
        <v>1.4338673329448957</v>
      </c>
      <c r="I20" s="42" t="n">
        <f>Financials!F58</f>
        <v>1.5818882763335773</v>
      </c>
      <c r="J20" s="42" t="n">
        <f>Financials!G58</f>
        <v>1.4530718829669564</v>
      </c>
      <c r="K20" s="42" t="n">
        <f>Financials!H58</f>
        <v>1.2995424678281156</v>
      </c>
      <c r="L20" s="42" t="n">
        <f>Financials!I58</f>
        <v>1.4755419026048335</v>
      </c>
      <c r="M20" s="42" t="n">
        <f>Financials!J58</f>
        <v>1.2529151361477524</v>
      </c>
      <c r="N20" s="42" t="n">
        <f>Financials!K58</f>
        <v>1.1295361553519985</v>
      </c>
      <c r="O20" s="42" t="n">
        <f>Financials!L58</f>
        <v>1.430903128287266</v>
      </c>
      <c r="P20" s="42" t="n">
        <f>Financials!M58</f>
        <v>1.5697743316303654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2.7760445936423572</v>
      </c>
      <c r="G22" s="42" t="n">
        <f>Financials!D60</f>
        <v>3.1746295513940126</v>
      </c>
      <c r="H22" s="42" t="n">
        <f>Financials!E60</f>
        <v>2.26110138225196</v>
      </c>
      <c r="I22" s="42" t="n">
        <f>Financials!F60</f>
        <v>2.1919653743677747</v>
      </c>
      <c r="J22" s="42" t="n">
        <f>Financials!G60</f>
        <v>2.109531151300086</v>
      </c>
      <c r="K22" s="42" t="n">
        <f>Financials!H60</f>
        <v>1.2773010629302184</v>
      </c>
      <c r="L22" s="42" t="n">
        <f>Financials!I60</f>
        <v>2.1980652520155464</v>
      </c>
      <c r="M22" s="42" t="n">
        <f>Financials!J60</f>
        <v>1.6693293151321849</v>
      </c>
      <c r="N22" s="42" t="n">
        <f>Financials!K60</f>
        <v>2.108048984993155</v>
      </c>
      <c r="O22" s="42" t="n">
        <f>Financials!L60</f>
        <v>1.9165337378410696</v>
      </c>
      <c r="P22" s="42" t="n">
        <f>Financials!M60</f>
        <v>5.988245678229831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158.7760009765625</v>
      </c>
      <c r="H24" s="40" t="n">
        <f>Financials!E12</f>
        <v>159.73699951171875</v>
      </c>
      <c r="I24" s="40" t="n">
        <f>Financials!F12</f>
        <v>152.70599365234375</v>
      </c>
      <c r="J24" s="40" t="n">
        <f>Financials!G12</f>
        <v>148.20700073242188</v>
      </c>
      <c r="K24" s="40" t="n">
        <f>Financials!H12</f>
        <v>152.44900512695312</v>
      </c>
      <c r="L24" s="40" t="n">
        <f>Financials!I12</f>
        <v>156.77999877929688</v>
      </c>
      <c r="M24" s="40" t="n">
        <f>Financials!J12</f>
        <v>156.38099670410156</v>
      </c>
      <c r="N24" s="40" t="n">
        <f>Financials!K12</f>
        <v>162.427001953125</v>
      </c>
      <c r="O24" s="40" t="n">
        <f>Financials!L12</f>
        <v>165.0240020751953</v>
      </c>
      <c r="P24" s="40" t="n">
        <f>Financials!M12</f>
        <v>156.55299377441406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156</v>
      </c>
      <c r="F26" s="57" t="n">
        <f>AVERAGEIF(L26:P26,"&lt;100")</f>
        <v>24.501999282836913</v>
      </c>
      <c r="G26" s="44" t="n">
        <f>Financials!D81</f>
        <v>22.40999984741211</v>
      </c>
      <c r="H26" s="44" t="n">
        <f>Financials!E81</f>
        <v>22.190000534057617</v>
      </c>
      <c r="I26" s="44" t="n">
        <f>Financials!F81</f>
        <v>19.299999237060547</v>
      </c>
      <c r="J26" s="44" t="n">
        <f>Financials!G81</f>
        <v>17.43000030517578</v>
      </c>
      <c r="K26" s="44" t="n">
        <f>Financials!H81</f>
        <v>21.450000762939453</v>
      </c>
      <c r="L26" s="44" t="n">
        <f>Financials!I81</f>
        <v>18.420000076293945</v>
      </c>
      <c r="M26" s="44" t="n">
        <f>Financials!J81</f>
        <v>38.189998626708984</v>
      </c>
      <c r="N26" s="44" t="n">
        <f>Financials!K81</f>
        <v>28.889999389648438</v>
      </c>
      <c r="O26" s="44" t="n">
        <f>Financials!L81</f>
        <v>16.709999084472656</v>
      </c>
      <c r="P26" s="44" t="n">
        <f>Financials!M81</f>
        <v>20.299999237060547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157</v>
      </c>
      <c r="F28" s="57" t="n">
        <f>AVERAGEIF(L28:P28, "&lt;100")</f>
        <v>14.16200008392334</v>
      </c>
      <c r="G28" s="44" t="n">
        <f>Financials!D82</f>
        <v>18.8700008392334</v>
      </c>
      <c r="H28" s="44" t="n">
        <f>Financials!E82</f>
        <v>12.109999656677246</v>
      </c>
      <c r="I28" s="44" t="n">
        <f>Financials!F82</f>
        <v>14.829999923706055</v>
      </c>
      <c r="J28" s="44" t="n">
        <f>Financials!G82</f>
        <v>11.520000457763672</v>
      </c>
      <c r="K28" s="44" t="n">
        <f>Financials!H82</f>
        <v>19.729999542236328</v>
      </c>
      <c r="L28" s="44" t="n">
        <f>Financials!I82</f>
        <v>12.130000114440918</v>
      </c>
      <c r="M28" s="44" t="n">
        <f>Financials!J82</f>
        <v>16.780000686645508</v>
      </c>
      <c r="N28" s="44" t="n">
        <f>Financials!K82</f>
        <v>14.90999984741211</v>
      </c>
      <c r="O28" s="44" t="n">
        <f>Financials!L82</f>
        <v>17.399999618530273</v>
      </c>
      <c r="P28" s="44" t="n">
        <f>Financials!M82</f>
        <v>9.59000015258789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19.260000228881836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-2.190698549703554</v>
      </c>
    </row>
    <row r="33" spans="2:17" ht="18.5">
      <c r="B33" s="154"/>
      <c r="C33" s="35" t="s">
        <v>80</v>
      </c>
      <c r="D33" s="56" t="str">
        <f>V11</f>
        <v>L</v>
      </c>
      <c r="E33" s="50" t="s">
        <v>77</v>
      </c>
      <c r="F33" s="52" t="n">
        <f>Financials!D64</f>
        <v>-2.138666872449114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 t="n">
        <f>Financials!D69</f>
        <v>-0.12449648774209976</v>
      </c>
    </row>
    <row r="36" spans="2:17" ht="18.5">
      <c r="B36" s="154"/>
      <c r="C36" s="35" t="s">
        <v>91</v>
      </c>
      <c r="D36" s="56" t="str">
        <f>V11</f>
        <v>L</v>
      </c>
      <c r="E36" s="50" t="s">
        <v>77</v>
      </c>
      <c r="F36" s="52" t="n">
        <f>Financials!D70</f>
        <v>-0.05669201222393494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 t="n">
        <f>Financials!D65</f>
        <v>-0.22908508232142644</v>
      </c>
    </row>
    <row r="39" spans="2:17" ht="18.5">
      <c r="B39" s="154"/>
      <c r="C39" s="35" t="s">
        <v>81</v>
      </c>
      <c r="D39" s="56" t="str">
        <f>V11</f>
        <v>L</v>
      </c>
      <c r="E39" s="50" t="s">
        <v>77</v>
      </c>
      <c r="F39" s="52" t="n">
        <f>Financials!D66</f>
        <v>-0.10356755059223788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0.03921228280973943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0.04522434131156716</v>
      </c>
    </row>
    <row r="43" spans="2:17">
      <c r="B43" s="138" t="s">
        <v>61</v>
      </c>
    </row>
    <row r="44" spans="2:17" ht="18.5">
      <c r="B44" s="138"/>
      <c r="C44" s="100" t="s">
        <v>128</v>
      </c>
      <c r="D44" s="56" t="str">
        <f>V11</f>
        <v>L</v>
      </c>
      <c r="E44" s="101">
        <v>0.75</v>
      </c>
      <c r="F44" s="103" t="n">
        <f>Financials!$D$73</f>
        <v>0.7889037199490343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0.0388917888451934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0.05196140370376651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0.0908531925489599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12.050000190734863</v>
      </c>
    </row>
    <row r="6" spans="2:16">
      <c r="B6" s="4" t="s">
        <v>5</v>
      </c>
      <c r="C6" s="59" t="n">
        <v>6560100.0</v>
      </c>
    </row>
    <row r="7" spans="2:16">
      <c r="B7" s="4" t="s">
        <v>4</v>
      </c>
      <c r="C7" s="59" t="n">
        <v>8689000.0</v>
      </c>
    </row>
    <row r="8" spans="2:16">
      <c r="B8" s="4" t="s">
        <v>3</v>
      </c>
      <c r="C8" s="59" t="n">
        <v>338500.0</v>
      </c>
    </row>
    <row r="9" spans="2:16">
      <c r="B9" s="10" t="s">
        <v>6</v>
      </c>
      <c r="C9" s="59" t="n">
        <v>37900.0</v>
      </c>
    </row>
    <row r="10" spans="2:16">
      <c r="B10" s="10" t="s">
        <v>7</v>
      </c>
      <c r="C10" s="59" t="n">
        <v>-132400.0</v>
      </c>
    </row>
    <row r="11" spans="2:16">
      <c r="B11" s="10" t="s">
        <v>9</v>
      </c>
      <c r="C11" s="60" t="n">
        <v>1.309999942779541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1.52491E7</v>
      </c>
    </row>
    <row r="18" spans="2:15" ht="18" thickTop="1" thickBot="1">
      <c r="B18" s="2" t="s">
        <v>20</v>
      </c>
      <c r="C18" s="12" t="n">
        <f>C8/C17</f>
        <v>0.02219803135922776</v>
      </c>
    </row>
    <row r="19" spans="2:15" ht="18" thickTop="1" thickBot="1">
      <c r="B19" s="2" t="s">
        <v>19</v>
      </c>
      <c r="C19" s="12" t="n">
        <f>C14+C11*(C15-C14)</f>
        <v>0.14696999502181998</v>
      </c>
    </row>
    <row r="20" spans="2:15" ht="18" thickTop="1" thickBot="1">
      <c r="B20" s="2" t="s">
        <v>18</v>
      </c>
      <c r="C20" s="12" t="n">
        <f>C8/C17</f>
        <v>0.02219803135922776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2.72991001907349E7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0.4414064971571691</v>
      </c>
      <c r="K22" t="s" s="0">
        <v>12</v>
      </c>
    </row>
    <row r="23" spans="2:15" ht="18" thickTop="1" thickBot="1">
      <c r="B23" s="16" t="s">
        <v>24</v>
      </c>
      <c r="C23" s="12" t="n">
        <f>C17/C21</f>
        <v>0.5585935028428308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0.07699793838419387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0.07699793838419387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0.029999999329447746</v>
      </c>
    </row>
    <row r="7" spans="2:12">
      <c r="B7" s="18" t="s">
        <v>31</v>
      </c>
      <c r="C7" s="13" t="n">
        <f>AVERAGEIF(C28:L28, "&lt;0.5")</f>
        <v>0.06870600899184252</v>
      </c>
    </row>
    <row r="8" spans="2:12">
      <c r="B8" s="18" t="s">
        <v>112</v>
      </c>
      <c r="C8" s="13" t="n">
        <f>AVERAGEIF(C29:L29,"&lt;2")</f>
        <v>-0.31466191084336137</v>
      </c>
    </row>
    <row r="9" spans="2:12">
      <c r="B9" s="18" t="s">
        <v>136</v>
      </c>
      <c r="C9" s="66" t="n">
        <v>12.949999809265137</v>
      </c>
    </row>
    <row r="10" spans="2:12">
      <c r="B10" s="18" t="s">
        <v>100</v>
      </c>
      <c r="C10" s="67" t="n">
        <v>0.05000000074505806</v>
      </c>
    </row>
    <row r="11" spans="2:12">
      <c r="B11" s="18" t="s">
        <v>44</v>
      </c>
      <c r="C11" s="59" t="n">
        <v>1.53023888E8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10889.5</v>
      </c>
      <c r="D16" s="21" t="n">
        <f>Financials!E3</f>
        <v>11338.599609375</v>
      </c>
      <c r="E16" s="21" t="n">
        <f>Financials!F3</f>
        <v>11171.7998046875</v>
      </c>
      <c r="F16" s="21" t="n">
        <f>Financials!G3</f>
        <v>11593.5</v>
      </c>
      <c r="G16" s="21" t="n">
        <f>Financials!H3</f>
        <v>12966.599609375</v>
      </c>
      <c r="H16" s="21" t="n">
        <f>Financials!I3</f>
        <v>13982.400390625</v>
      </c>
      <c r="I16" s="21" t="n">
        <f>Financials!J3</f>
        <v>12912.900390625</v>
      </c>
      <c r="J16" s="21" t="n">
        <f>Financials!K3</f>
        <v>12750.0</v>
      </c>
      <c r="K16" s="21" t="n">
        <f>Financials!L3</f>
        <v>15281.2998046875</v>
      </c>
      <c r="L16" s="21" t="n">
        <f>Financials!M3</f>
        <v>16947.400390625</v>
      </c>
    </row>
    <row r="17" spans="2:12">
      <c r="B17" s="18" t="s">
        <v>27</v>
      </c>
      <c r="C17" s="22"/>
      <c r="D17" s="20" t="n">
        <f t="shared" ref="D17:L17" si="0">(D16-C16)/C16</f>
        <v>0.04124152710179531</v>
      </c>
      <c r="E17" s="20" t="n">
        <f t="shared" si="0"/>
        <v>-0.014710794139832428</v>
      </c>
      <c r="F17" s="20" t="n">
        <f t="shared" si="0"/>
        <v>0.03774684497439362</v>
      </c>
      <c r="G17" s="20" t="n">
        <f t="shared" si="0"/>
        <v>0.1184370215530254</v>
      </c>
      <c r="H17" s="20" t="n">
        <f t="shared" si="0"/>
        <v>0.07833979700549745</v>
      </c>
      <c r="I17" s="20" t="n">
        <f t="shared" si="0"/>
        <v>-0.07648901262454796</v>
      </c>
      <c r="J17" s="20" t="n">
        <f t="shared" si="0"/>
        <v>-0.012615321554193095</v>
      </c>
      <c r="K17" s="20" t="n">
        <f t="shared" si="0"/>
        <v>0.1985333180147059</v>
      </c>
      <c r="L17" s="20" t="n">
        <f t="shared" si="0"/>
        <v>0.10902872185168619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490.29998779296875</v>
      </c>
      <c r="D19" s="21" t="n">
        <f>Financials!E6</f>
        <v>760.9000244140625</v>
      </c>
      <c r="E19" s="21" t="n">
        <f>Financials!F6</f>
        <v>903.7999877929688</v>
      </c>
      <c r="F19" s="21" t="n">
        <f>Financials!G6</f>
        <v>968.0</v>
      </c>
      <c r="G19" s="21" t="n">
        <f>Financials!H6</f>
        <v>1227.300048828125</v>
      </c>
      <c r="H19" s="21" t="n">
        <f>Financials!I6</f>
        <v>603.4000244140625</v>
      </c>
      <c r="I19" s="21" t="n">
        <f>Financials!J6</f>
        <v>952.4000244140625</v>
      </c>
      <c r="J19" s="21" t="n">
        <f>Financials!K6</f>
        <v>1129.800048828125</v>
      </c>
      <c r="K19" s="21" t="n">
        <f>Financials!L6</f>
        <v>1538.300048828125</v>
      </c>
      <c r="L19" s="21" t="n">
        <f>Financials!M6</f>
        <v>164.3000030517578</v>
      </c>
    </row>
    <row r="20" spans="2:12">
      <c r="B20" s="18" t="s">
        <v>27</v>
      </c>
      <c r="C20" s="22"/>
      <c r="D20" s="20" t="n">
        <f>(D19-C19)/C19</f>
        <v>0.5519070841489718</v>
      </c>
      <c r="E20" s="20" t="n">
        <f t="shared" ref="E20:L20" si="1">(E19-D19)/D19</f>
        <v>0.18780386226028475</v>
      </c>
      <c r="F20" s="20" t="n">
        <f t="shared" si="1"/>
        <v>0.07103342893797142</v>
      </c>
      <c r="G20" s="20" t="n">
        <f t="shared" si="1"/>
        <v>0.26787195126872415</v>
      </c>
      <c r="H20" s="20" t="n">
        <f t="shared" si="1"/>
        <v>-0.5083516659269957</v>
      </c>
      <c r="I20" s="20" t="n">
        <f t="shared" si="1"/>
        <v>0.5783891048710175</v>
      </c>
      <c r="J20" s="20" t="n">
        <f t="shared" si="1"/>
        <v>0.18626629553396254</v>
      </c>
      <c r="K20" s="20" t="n">
        <f t="shared" si="1"/>
        <v>0.361568403562835</v>
      </c>
      <c r="L20" s="20" t="n">
        <f t="shared" si="1"/>
        <v>-0.8931937867538111</v>
      </c>
    </row>
    <row r="22" spans="2:12">
      <c r="B22" s="18" t="s">
        <v>30</v>
      </c>
      <c r="C22" s="25" t="n">
        <f>Financials!D20</f>
        <v>531.7000122070312</v>
      </c>
      <c r="D22" s="25" t="n">
        <f>Financials!E20</f>
        <v>1020.2999877929688</v>
      </c>
      <c r="E22" s="25" t="n">
        <f>Financials!F20</f>
        <v>900.0</v>
      </c>
      <c r="F22" s="25" t="n">
        <f>Financials!G20</f>
        <v>849.0999755859375</v>
      </c>
      <c r="G22" s="25" t="n">
        <f>Financials!H20</f>
        <v>276.29998779296875</v>
      </c>
      <c r="H22" s="25" t="n">
        <f>Financials!I20</f>
        <v>814.0</v>
      </c>
      <c r="I22" s="25" t="n">
        <f>Financials!J20</f>
        <v>1181.0999755859375</v>
      </c>
      <c r="J22" s="25" t="n">
        <f>Financials!K20</f>
        <v>1693.9000244140625</v>
      </c>
      <c r="K22" s="25" t="n">
        <f>Financials!L20</f>
        <v>152.39999389648438</v>
      </c>
      <c r="L22" s="25" t="n">
        <f>Financials!M20</f>
        <v>-1948.199951171875</v>
      </c>
    </row>
    <row r="23" spans="2:12">
      <c r="B23" s="18" t="s">
        <v>27</v>
      </c>
      <c r="C23" s="26"/>
      <c r="D23" s="26" t="n">
        <f>(D22-C22)/C22</f>
        <v>0.9189391844431425</v>
      </c>
      <c r="E23" s="26" t="n">
        <f t="shared" ref="E23:L23" si="2">(E22-D22)/D22</f>
        <v>-0.11790648753529064</v>
      </c>
      <c r="F23" s="26" t="n">
        <f t="shared" si="2"/>
        <v>-0.05655558268229167</v>
      </c>
      <c r="G23" s="26" t="n">
        <f t="shared" si="2"/>
        <v>-0.6745966367478661</v>
      </c>
      <c r="H23" s="26" t="n">
        <f t="shared" si="2"/>
        <v>1.9460732390981084</v>
      </c>
      <c r="I23" s="26" t="n">
        <f t="shared" si="2"/>
        <v>0.4509827709900958</v>
      </c>
      <c r="J23" s="26" t="n">
        <f t="shared" si="2"/>
        <v>0.43417158532555766</v>
      </c>
      <c r="K23" s="26" t="n">
        <f t="shared" si="2"/>
        <v>-0.9100301129346775</v>
      </c>
      <c r="L23" s="26" t="n">
        <f t="shared" si="2"/>
        <v>-13.78346475850366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1196.801025390625</v>
      </c>
      <c r="D25" s="62" t="n">
        <f>Financials!E9</f>
        <v>1698.198974609375</v>
      </c>
      <c r="E25" s="62" t="n">
        <f>Financials!F9</f>
        <v>1730.0</v>
      </c>
      <c r="F25" s="62" t="n">
        <f>Financials!G9</f>
        <v>1808.6009521484375</v>
      </c>
      <c r="G25" s="62" t="n">
        <f>Financials!H9</f>
        <v>2214.199951171875</v>
      </c>
      <c r="H25" s="62" t="n">
        <f>Financials!I9</f>
        <v>1737.801025390625</v>
      </c>
      <c r="I25" s="62" t="n">
        <f>Financials!J9</f>
        <v>1902.800048828125</v>
      </c>
      <c r="J25" s="62" t="n">
        <f>Financials!K9</f>
        <v>2013.9000244140625</v>
      </c>
      <c r="K25" s="62" t="n">
        <f>Financials!L9</f>
        <v>2271.60107421875</v>
      </c>
      <c r="L25" s="62" t="n">
        <f>Financials!M9</f>
        <v>893.9011840820312</v>
      </c>
    </row>
    <row r="26" spans="2:12">
      <c r="B26" s="18" t="s">
        <v>27</v>
      </c>
      <c r="C26" s="63"/>
      <c r="D26" s="63" t="n">
        <f>Financials!E10</f>
        <v>0.41894846226012894</v>
      </c>
      <c r="E26" s="63" t="n">
        <f>Financials!F10</f>
        <v>0.018726324692275753</v>
      </c>
      <c r="F26" s="63" t="n">
        <f>Financials!G10</f>
        <v>0.04543407638638006</v>
      </c>
      <c r="G26" s="63" t="n">
        <f>Financials!H10</f>
        <v>0.22426118848473806</v>
      </c>
      <c r="H26" s="63" t="n">
        <f>Financials!I10</f>
        <v>-0.2151562353386887</v>
      </c>
      <c r="I26" s="63" t="n">
        <f>Financials!J10</f>
        <v>0.09494701696381544</v>
      </c>
      <c r="J26" s="63" t="n">
        <f>Financials!K10</f>
        <v>0.058387624939551956</v>
      </c>
      <c r="K26" s="63" t="n">
        <f>Financials!L10</f>
        <v>0.1279611930486299</v>
      </c>
      <c r="L26" s="63" t="n">
        <f>Financials!M10</f>
        <v>-0.6064884832872951</v>
      </c>
    </row>
    <row r="28" spans="2:12" ht="15" thickBot="1">
      <c r="B28" s="1" t="s">
        <v>31</v>
      </c>
      <c r="C28" s="24" t="n">
        <f t="shared" ref="C28:L28" si="3">C19/C16</f>
        <v>0.045025022984799025</v>
      </c>
      <c r="D28" s="24" t="n">
        <f t="shared" si="3"/>
        <v>0.06710705471819768</v>
      </c>
      <c r="E28" s="24" t="n">
        <f t="shared" si="3"/>
        <v>0.08090012384698746</v>
      </c>
      <c r="F28" s="24" t="n">
        <f t="shared" si="3"/>
        <v>0.08349506188812697</v>
      </c>
      <c r="G28" s="24" t="n">
        <f t="shared" si="3"/>
        <v>0.0946508788580761</v>
      </c>
      <c r="H28" s="24" t="n">
        <f t="shared" si="3"/>
        <v>0.04315425159893391</v>
      </c>
      <c r="I28" s="24" t="n">
        <f t="shared" si="3"/>
        <v>0.07375570132218497</v>
      </c>
      <c r="J28" s="24" t="n">
        <f t="shared" si="3"/>
        <v>0.0886117685355396</v>
      </c>
      <c r="K28" s="24" t="n">
        <f t="shared" si="3"/>
        <v>0.10066552377673137</v>
      </c>
      <c r="L28" s="24" t="n">
        <f t="shared" si="3"/>
        <v>0.009694702388848135</v>
      </c>
    </row>
    <row r="29" spans="2:12" ht="15" thickBot="1">
      <c r="B29" s="1" t="s">
        <v>32</v>
      </c>
      <c r="C29" s="24" t="n">
        <f t="shared" ref="C29:L29" si="4">C22/C19</f>
        <v>1.0844381510193781</v>
      </c>
      <c r="D29" s="24" t="n">
        <f t="shared" si="4"/>
        <v>1.340912018735523</v>
      </c>
      <c r="E29" s="24" t="n">
        <f t="shared" si="4"/>
        <v>0.9957955434340641</v>
      </c>
      <c r="F29" s="24" t="n">
        <f t="shared" si="4"/>
        <v>0.8771693962664648</v>
      </c>
      <c r="G29" s="24" t="n">
        <f t="shared" si="4"/>
        <v>0.2251283115785664</v>
      </c>
      <c r="H29" s="24" t="n">
        <f t="shared" si="4"/>
        <v>1.349022152908333</v>
      </c>
      <c r="I29" s="24" t="n">
        <f t="shared" si="4"/>
        <v>1.2401301399719915</v>
      </c>
      <c r="J29" s="24" t="n">
        <f t="shared" si="4"/>
        <v>1.4992918668847954</v>
      </c>
      <c r="K29" s="24" t="n">
        <f t="shared" si="4"/>
        <v>0.0990703952798946</v>
      </c>
      <c r="L29" s="24" t="n">
        <f t="shared" si="4"/>
        <v>-11.857577084512625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16289.841236073993</v>
      </c>
      <c r="D36" s="21" t="n">
        <f>C36*(D37+1)</f>
        <v>16853.469756338294</v>
      </c>
      <c r="E36" s="21" t="n">
        <f>D36*(E37+1)</f>
        <v>17682.66050381052</v>
      </c>
      <c r="F36" s="21" t="n">
        <f t="shared" ref="F36:L36" si="5">E36*(F37+1)</f>
        <v>18213.140307067708</v>
      </c>
      <c r="G36" s="21" t="n">
        <f t="shared" si="5"/>
        <v>18759.53450406691</v>
      </c>
      <c r="H36" s="21" t="n">
        <f t="shared" si="5"/>
        <v>19322.320526609703</v>
      </c>
      <c r="I36" s="21" t="n">
        <f t="shared" si="5"/>
        <v>19901.99012945141</v>
      </c>
      <c r="J36" s="21" t="n">
        <f t="shared" si="5"/>
        <v>20499.04981998966</v>
      </c>
      <c r="K36" s="21" t="n">
        <f t="shared" si="5"/>
        <v>21114.021300843753</v>
      </c>
      <c r="L36" s="21" t="n">
        <f t="shared" si="5"/>
        <v>21747.441925711108</v>
      </c>
    </row>
    <row r="37" spans="2:12">
      <c r="B37" s="18" t="s">
        <v>27</v>
      </c>
      <c r="C37" s="68" t="n">
        <v>-0.03880000114440918</v>
      </c>
      <c r="D37" s="68" t="n">
        <v>0.03460000082850456</v>
      </c>
      <c r="E37" s="68" t="n">
        <v>0.04920000210404396</v>
      </c>
      <c r="F37" s="27" t="n">
        <f>C6</f>
        <v>0.029999999329447746</v>
      </c>
      <c r="G37" s="27" t="n">
        <f>C6</f>
        <v>0.029999999329447746</v>
      </c>
      <c r="H37" s="27" t="n">
        <f>C6</f>
        <v>0.029999999329447746</v>
      </c>
      <c r="I37" s="27" t="n">
        <f>C6</f>
        <v>0.029999999329447746</v>
      </c>
      <c r="J37" s="27" t="n">
        <f>C6</f>
        <v>0.029999999329447746</v>
      </c>
      <c r="K37" s="27" t="n">
        <f>C6</f>
        <v>0.029999999329447746</v>
      </c>
      <c r="L37" s="27" t="n">
        <f>C6</f>
        <v>0.029999999329447746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1119.209978441387</v>
      </c>
      <c r="D39" s="21" t="n">
        <f>D36*C7</f>
        <v>1157.9346446227248</v>
      </c>
      <c r="E39" s="21" t="n">
        <f>E36*C7</f>
        <v>1214.9050315745023</v>
      </c>
      <c r="F39" s="21" t="n">
        <f>F36*C7</f>
        <v>1251.3521817070825</v>
      </c>
      <c r="G39" s="21" t="n">
        <f>G36*C7</f>
        <v>1288.8927463192001</v>
      </c>
      <c r="H39" s="21" t="n">
        <f>H36*C7</f>
        <v>1327.559527844509</v>
      </c>
      <c r="I39" s="21" t="n">
        <f>I36*C7</f>
        <v>1367.3863127896486</v>
      </c>
      <c r="J39" s="21" t="n">
        <f>J36*C7</f>
        <v>1408.4079012564398</v>
      </c>
      <c r="K39" s="21" t="n">
        <f>K36*C7</f>
        <v>1450.6601373497283</v>
      </c>
      <c r="L39" s="21" t="n">
        <f>L36*C7</f>
        <v>1494.1799404974795</v>
      </c>
    </row>
    <row r="40" spans="2:12">
      <c r="B40" s="18"/>
      <c r="C40" s="20" t="n">
        <f>(C39-L19)/L19</f>
        <v>5.8119900039734755</v>
      </c>
      <c r="D40" s="20" t="n">
        <f>(D39-C39)/C39</f>
        <v>0.0346000008285003</v>
      </c>
      <c r="E40" s="20" t="n">
        <f t="shared" ref="E40:L40" si="6">(E39-D39)/D39</f>
        <v>0.04920000210403902</v>
      </c>
      <c r="F40" s="20" t="n">
        <f t="shared" si="6"/>
        <v>0.02999999932944981</v>
      </c>
      <c r="G40" s="20" t="n">
        <f t="shared" si="6"/>
        <v>0.029999999329449526</v>
      </c>
      <c r="H40" s="20" t="n">
        <f t="shared" si="6"/>
        <v>0.02999999932944987</v>
      </c>
      <c r="I40" s="20" t="n">
        <f t="shared" si="6"/>
        <v>0.029999999329449578</v>
      </c>
      <c r="J40" s="20" t="n">
        <f t="shared" si="6"/>
        <v>0.029999999329451896</v>
      </c>
      <c r="K40" s="20" t="n">
        <f t="shared" si="6"/>
        <v>0.029999999329452284</v>
      </c>
      <c r="L40" s="20" t="n">
        <f t="shared" si="6"/>
        <v>0.029999999329449623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-352.17275045132465</v>
      </c>
      <c r="D42" s="21" t="n">
        <f>D39*C8</f>
        <v>-364.35792790871324</v>
      </c>
      <c r="E42" s="21" t="n">
        <f>E39*C8</f>
        <v>-382.284338728446</v>
      </c>
      <c r="F42" s="21" t="n">
        <f>F39*C8</f>
        <v>-393.7528686339585</v>
      </c>
      <c r="G42" s="21" t="n">
        <f>G39*C8</f>
        <v>-405.5654544289468</v>
      </c>
      <c r="H42" s="21" t="n">
        <f>H39*C8</f>
        <v>-417.73241778986363</v>
      </c>
      <c r="I42" s="21" t="n">
        <f>I39*C8</f>
        <v>-430.264390043449</v>
      </c>
      <c r="J42" s="21" t="n">
        <f>J39*C8</f>
        <v>-443.1723214562391</v>
      </c>
      <c r="K42" s="21" t="n">
        <f>K39*C8</f>
        <v>-456.46749080275856</v>
      </c>
      <c r="L42" s="21" t="n">
        <f>L39*C8</f>
        <v>-470.1615152207565</v>
      </c>
    </row>
    <row r="43" spans="2:12">
      <c r="B43" s="18" t="s">
        <v>27</v>
      </c>
      <c r="C43" s="20" t="n">
        <f>(C42-L22)/L22</f>
        <v>-0.8192317219598064</v>
      </c>
      <c r="D43" s="20" t="n">
        <f>(D42-C42)/C42</f>
        <v>0.03460000082849327</v>
      </c>
      <c r="E43" s="20" t="n">
        <f t="shared" ref="E43:L43" si="7">(E42-D42)/D42</f>
        <v>0.049200002104041275</v>
      </c>
      <c r="F43" s="20" t="n">
        <f t="shared" si="7"/>
        <v>0.029999999329449696</v>
      </c>
      <c r="G43" s="20" t="n">
        <f t="shared" si="7"/>
        <v>0.029999999329451386</v>
      </c>
      <c r="H43" s="20" t="n">
        <f t="shared" si="7"/>
        <v>0.029999999329450754</v>
      </c>
      <c r="I43" s="20" t="n">
        <f t="shared" si="7"/>
        <v>0.029999999329449887</v>
      </c>
      <c r="J43" s="20" t="n">
        <f t="shared" si="7"/>
        <v>0.02999999932945097</v>
      </c>
      <c r="K43" s="20" t="n">
        <f t="shared" si="7"/>
        <v>0.029999999329453454</v>
      </c>
      <c r="L43" s="20" t="n">
        <f t="shared" si="7"/>
        <v>0.029999999329448697</v>
      </c>
    </row>
    <row r="45" spans="2:12">
      <c r="B45" s="18" t="s">
        <v>47</v>
      </c>
      <c r="C45" s="60" t="n">
        <v>1061.0</v>
      </c>
      <c r="D45" s="60" t="n">
        <v>1970.0</v>
      </c>
      <c r="E45" s="60" t="n">
        <v>2758.0</v>
      </c>
      <c r="F45" s="21" t="n">
        <f t="shared" ref="E45:L45" si="8">E45*(1+F46)</f>
        <v>2895.9000020548756</v>
      </c>
      <c r="G45" s="21" t="n">
        <f t="shared" si="8"/>
        <v>3040.6950043152433</v>
      </c>
      <c r="H45" s="21" t="n">
        <f t="shared" si="8"/>
        <v>3192.7297567965024</v>
      </c>
      <c r="I45" s="21" t="n">
        <f t="shared" si="8"/>
        <v>3352.3662470151003</v>
      </c>
      <c r="J45" s="21" t="n">
        <f t="shared" si="8"/>
        <v>3519.984561863569</v>
      </c>
      <c r="K45" s="21" t="n">
        <f t="shared" si="8"/>
        <v>3695.983792579348</v>
      </c>
      <c r="L45" s="21" t="n">
        <f t="shared" si="8"/>
        <v>3880.782984962047</v>
      </c>
    </row>
    <row r="46" spans="2:12">
      <c r="B46" s="18" t="s">
        <v>27</v>
      </c>
      <c r="C46" s="20" t="n">
        <f>C10</f>
        <v>0.05000000074505806</v>
      </c>
      <c r="D46" s="20" t="n">
        <f>C10</f>
        <v>0.05000000074505806</v>
      </c>
      <c r="E46" s="20" t="n">
        <f>C10</f>
        <v>0.05000000074505806</v>
      </c>
      <c r="F46" s="20" t="n">
        <f>C10</f>
        <v>0.05000000074505806</v>
      </c>
      <c r="G46" s="20" t="n">
        <f>C10</f>
        <v>0.05000000074505806</v>
      </c>
      <c r="H46" s="20" t="n">
        <f>C10</f>
        <v>0.05000000074505806</v>
      </c>
      <c r="I46" s="20" t="n">
        <f>C10</f>
        <v>0.05000000074505806</v>
      </c>
      <c r="J46" s="20" t="n">
        <f>C10</f>
        <v>0.05000000074505806</v>
      </c>
      <c r="K46" s="20" t="n">
        <f>C10</f>
        <v>0.05000000074505806</v>
      </c>
      <c r="L46" s="20" t="n">
        <f>C10</f>
        <v>0.05000000074505806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1.0769979383841939</v>
      </c>
      <c r="D51" s="61" t="n">
        <f>POWER((1+C4),2)</f>
        <v>1.159924559283804</v>
      </c>
      <c r="E51" s="61" t="n">
        <f>POWER((1+C4),3)</f>
        <v>1.2492363590298514</v>
      </c>
      <c r="F51" s="61" t="n">
        <f>POWER((1+C4),4)</f>
        <v>1.3454249832297267</v>
      </c>
      <c r="G51" s="61" t="n">
        <f>POWER((1+C4),5)</f>
        <v>1.4490199331890043</v>
      </c>
      <c r="H51" s="61" t="n">
        <f>POWER((1+C4),6)</f>
        <v>1.56059148072216</v>
      </c>
      <c r="I51" s="61" t="n">
        <f>POWER((1+C4),7)</f>
        <v>1.6807538073977029</v>
      </c>
      <c r="J51" s="61" t="n">
        <f>POWER((1+C4),8)</f>
        <v>1.8101683854987103</v>
      </c>
      <c r="K51" s="61" t="n">
        <f>POWER((1+C4),9)</f>
        <v>1.9495476193103558</v>
      </c>
      <c r="L51" s="61" t="n">
        <f>POWER((1+C4),10)</f>
        <v>2.0996587667790663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-326.9948232024348</v>
      </c>
      <c r="D53" s="21" t="n">
        <f t="shared" si="9"/>
        <v>-314.1220909519213</v>
      </c>
      <c r="E53" s="21" t="n">
        <f t="shared" si="9"/>
        <v>-306.0144191010626</v>
      </c>
      <c r="F53" s="21" t="n">
        <f t="shared" si="9"/>
        <v>-292.6605894360184</v>
      </c>
      <c r="G53" s="21" t="n">
        <f t="shared" si="9"/>
        <v>-279.8894929874287</v>
      </c>
      <c r="H53" s="21" t="n">
        <f t="shared" si="9"/>
        <v>-267.67570049566035</v>
      </c>
      <c r="I53" s="21" t="n">
        <f t="shared" si="9"/>
        <v>-255.99489238083268</v>
      </c>
      <c r="J53" s="21" t="n">
        <f t="shared" si="9"/>
        <v>-244.82381031869747</v>
      </c>
      <c r="K53" s="21" t="n">
        <f t="shared" si="9"/>
        <v>-234.1402109296676</v>
      </c>
      <c r="L53" s="21" t="n">
        <f t="shared" si="9"/>
        <v>-223.92282148874872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2.2613281631313535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-4414.038309175287</v>
      </c>
    </row>
    <row r="60" spans="2:12" ht="15" thickBot="1">
      <c r="B60" s="5" t="s">
        <v>41</v>
      </c>
      <c r="C60" s="23" t="n">
        <f>C59/C55</f>
        <v>-1951.9671585671128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-7160.27716046776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-46.79189147558295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50256.138915057796</v>
      </c>
    </row>
    <row r="70" spans="2:12" ht="15" thickBot="1">
      <c r="B70" s="5" t="s">
        <v>41</v>
      </c>
      <c r="C70" s="23" t="n">
        <f>C69/C55</f>
        <v>22224.168846624256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19477.929995331782</v>
      </c>
    </row>
    <row r="73" spans="2:12" ht="15" thickTop="1"/>
    <row r="74" spans="2:12" ht="18.5">
      <c r="B74" s="69" t="s">
        <v>42</v>
      </c>
      <c r="C74" s="70" t="n">
        <f>C72/(C11/1000000)</f>
        <v>127.28685860688496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6.760000228881836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5.0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80.75294391062467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3.180000066757202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3.180000066757202</v>
      </c>
    </row>
    <row r="7" spans="2:16" ht="15" thickBot="1">
      <c r="B7" s="89" t="s">
        <v>121</v>
      </c>
      <c r="C7" s="90" t="n">
        <f>P6*(1+P7)</f>
        <v>3.275400066627567</v>
      </c>
      <c r="D7" s="90" t="n">
        <f>C7*(1+P7)</f>
        <v>3.3736620664300774</v>
      </c>
      <c r="E7" s="90" t="n">
        <f>D7*(1+P7)</f>
        <v>3.4748719261607732</v>
      </c>
      <c r="F7" s="90" t="n">
        <f>E7*(1+P7)</f>
        <v>3.5791180816155177</v>
      </c>
      <c r="G7" s="90" t="n">
        <f>F7*(1+P7)</f>
        <v>3.686491621664008</v>
      </c>
      <c r="H7" s="90" t="n">
        <f>G7*(1+P7)</f>
        <v>3.7970863678419535</v>
      </c>
      <c r="I7" s="90" t="n">
        <f>H7*(1+P7)</f>
        <v>3.9109989563310723</v>
      </c>
      <c r="J7" s="90" t="n">
        <f>I7*(1+P7)</f>
        <v>4.028328922398482</v>
      </c>
      <c r="K7" s="90" t="n">
        <f>J7*(1+P7)</f>
        <v>4.149178787369238</v>
      </c>
      <c r="L7" s="90" t="n">
        <f>K7*(1+P7)</f>
        <v>4.273654148208085</v>
      </c>
      <c r="M7" s="159" t="n">
        <f>L7*(1+P7)/(P8-P7)</f>
        <v>93.66078296882482</v>
      </c>
      <c r="N7" s="160"/>
      <c r="O7" s="88" t="s">
        <v>122</v>
      </c>
      <c r="P7" s="104" t="n">
        <v>0.029999999329447746</v>
      </c>
    </row>
    <row r="8" spans="2:16" ht="15" thickBot="1">
      <c r="B8" s="89" t="s">
        <v>123</v>
      </c>
      <c r="C8" s="90" t="n">
        <f>C7/(1+P8)</f>
        <v>3.041231510193624</v>
      </c>
      <c r="D8" s="90" t="n">
        <f>D7/(1+P8)^2</f>
        <v>2.908518523405661</v>
      </c>
      <c r="E8" s="90" t="n">
        <f>E7/(1+P8)^3</f>
        <v>2.7815968539847304</v>
      </c>
      <c r="F8" s="90" t="n">
        <f>F7/(1+P8)^4</f>
        <v>2.660213780945072</v>
      </c>
      <c r="G8" s="90" t="n">
        <f>G7/(1+P8)^5</f>
        <v>2.544127611516556</v>
      </c>
      <c r="H8" s="90" t="n">
        <f>H7/(1+P8)^6</f>
        <v>2.4331071998963223</v>
      </c>
      <c r="I8" s="90" t="n">
        <f>I7/(1+P8)^7</f>
        <v>2.326931487001326</v>
      </c>
      <c r="J8" s="90" t="n">
        <f>J7/(1+P8)^8</f>
        <v>2.2253890603048267</v>
      </c>
      <c r="K8" s="90" t="n">
        <f>K7/(1+P8)^9</f>
        <v>2.128277732880916</v>
      </c>
      <c r="L8" s="90" t="n">
        <f>L7/(1+P8)^10</f>
        <v>2.0354041408185504</v>
      </c>
      <c r="M8" s="159" t="n">
        <f>M7/POWER((1+P8),10)</f>
        <v>44.607621224330096</v>
      </c>
      <c r="N8" s="160"/>
      <c r="O8" s="91" t="s">
        <v>124</v>
      </c>
      <c r="P8" s="105" t="n">
        <f>WACC!$C$25</f>
        <v>0.07699793838419387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69.6924191252777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3.180000066757202</v>
      </c>
    </row>
    <row r="16" spans="2:16" ht="15" thickBot="1">
      <c r="B16" s="89" t="s">
        <v>121</v>
      </c>
      <c r="C16" s="90" t="n">
        <f>P15*(1+P16)</f>
        <v>3.299250073999177</v>
      </c>
      <c r="D16" s="90" t="n">
        <f>C16*(1+P16)</f>
        <v>3.4229719566904278</v>
      </c>
      <c r="E16" s="90" t="n">
        <f>D16*(1+P16)</f>
        <v>3.55133341016696</v>
      </c>
      <c r="F16" s="90" t="n">
        <f>E16*(1+P16)</f>
        <v>3.6845084183401338</v>
      </c>
      <c r="G16" s="90" t="n">
        <f>F16*(1+P16)</f>
        <v>3.8226774895182447</v>
      </c>
      <c r="H16" s="90" t="n">
        <f>G16*(1+P16)</f>
        <v>3.9660279010714223</v>
      </c>
      <c r="I16" s="90" t="n">
        <f>H16*(1+P16)</f>
        <v>4.114753953271456</v>
      </c>
      <c r="J16" s="90" t="n">
        <f>I16*(1+P16)</f>
        <v>4.269057232650617</v>
      </c>
      <c r="K16" s="90" t="n">
        <f>J16*(1+P16)</f>
        <v>4.429146885236426</v>
      </c>
      <c r="L16" s="90" t="n">
        <f>K16*(1+P16)</f>
        <v>4.595239900032756</v>
      </c>
      <c r="M16" s="159" t="n">
        <f>L16*(1+P16)/(P17-P16)</f>
        <v>120.70406147836759</v>
      </c>
      <c r="N16" s="160"/>
      <c r="O16" s="88" t="s">
        <v>122</v>
      </c>
      <c r="P16" s="104" t="n">
        <v>0.03750000149011612</v>
      </c>
    </row>
    <row r="17" spans="2:16" ht="15" thickBot="1">
      <c r="B17" s="89" t="s">
        <v>123</v>
      </c>
      <c r="C17" s="90" t="n">
        <f>C16/(1+P17)</f>
        <v>3.06337640622508</v>
      </c>
      <c r="D17" s="90" t="n">
        <f>D16/(1+P17)^2</f>
        <v>2.951029814218226</v>
      </c>
      <c r="E17" s="90" t="n">
        <f>E16/(1+P17)^3</f>
        <v>2.842803433070829</v>
      </c>
      <c r="F17" s="90" t="n">
        <f>F16/(1+P17)^4</f>
        <v>2.7385461577317862</v>
      </c>
      <c r="G17" s="90" t="n">
        <f>G16/(1+P17)^5</f>
        <v>2.6381124247927352</v>
      </c>
      <c r="H17" s="90" t="n">
        <f>H16/(1+P17)^6</f>
        <v>2.541362009253152</v>
      </c>
      <c r="I17" s="90" t="n">
        <f>I16/(1+P17)^7</f>
        <v>2.4481598287391693</v>
      </c>
      <c r="J17" s="90" t="n">
        <f>J16/(1+P17)^8</f>
        <v>2.3583757549022017</v>
      </c>
      <c r="K17" s="90" t="n">
        <f>K16/(1+P17)^9</f>
        <v>2.271884431734585</v>
      </c>
      <c r="L17" s="90" t="n">
        <f>L16/(1+P17)^10</f>
        <v>2.188565100548207</v>
      </c>
      <c r="M17" s="159" t="n">
        <f>M16/POWER((1+P17),10)</f>
        <v>57.487465767369</v>
      </c>
      <c r="N17" s="160"/>
      <c r="O17" s="91" t="s">
        <v>124</v>
      </c>
      <c r="P17" s="105" t="n">
        <f>WACC!$C$25</f>
        <v>0.07699793838419387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83.529681128585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3.180000066757202</v>
      </c>
    </row>
    <row r="25" spans="2:16" ht="15" thickBot="1">
      <c r="B25" s="89" t="s">
        <v>121</v>
      </c>
      <c r="C25" s="90" t="n">
        <f>P24*(1+P25)</f>
        <v>3.3231000754475595</v>
      </c>
      <c r="D25" s="90" t="n">
        <f>C25*(1+P25)</f>
        <v>3.4726395847848686</v>
      </c>
      <c r="E25" s="90" t="n">
        <f>D25*(1+P25)</f>
        <v>3.628908372309755</v>
      </c>
      <c r="F25" s="90" t="n">
        <f>E25*(1+P25)</f>
        <v>3.7922092555526956</v>
      </c>
      <c r="G25" s="90" t="n">
        <f>F25*(1+P25)</f>
        <v>3.9628586788335727</v>
      </c>
      <c r="H25" s="90" t="n">
        <f>G25*(1+P25)</f>
        <v>4.141187326467227</v>
      </c>
      <c r="I25" s="90" t="n">
        <f>H25*(1+P25)</f>
        <v>4.327540763563278</v>
      </c>
      <c r="J25" s="90" t="n">
        <f>I25*(1+P25)</f>
        <v>4.522280105661876</v>
      </c>
      <c r="K25" s="90" t="n">
        <f>J25*(1+P25)</f>
        <v>4.725782718503135</v>
      </c>
      <c r="L25" s="90" t="n">
        <f>K25*(1+P25)</f>
        <v>4.938442949286132</v>
      </c>
      <c r="M25" s="159" t="n">
        <f>L25*(1+P25)/(P26-P25)</f>
        <v>161.2814274865138</v>
      </c>
      <c r="N25" s="160"/>
      <c r="O25" s="88" t="s">
        <v>122</v>
      </c>
      <c r="P25" s="104" t="n">
        <v>0.04500000178813934</v>
      </c>
    </row>
    <row r="26" spans="2:16" ht="15" thickBot="1">
      <c r="B26" s="89" t="s">
        <v>123</v>
      </c>
      <c r="C26" s="90" t="n">
        <f>C25/(1+P26)</f>
        <v>3.0855212967567756</v>
      </c>
      <c r="D26" s="90" t="n">
        <f>D25/(1+P26)^2</f>
        <v>2.993849519773135</v>
      </c>
      <c r="E26" s="90" t="n">
        <f>E25/(1+P26)^3</f>
        <v>2.9049013391892866</v>
      </c>
      <c r="F26" s="90" t="n">
        <f>F25/(1+P26)^4</f>
        <v>2.8185958361271073</v>
      </c>
      <c r="G26" s="90" t="n">
        <f>G25/(1+P26)^5</f>
        <v>2.734854495833</v>
      </c>
      <c r="H26" s="90" t="n">
        <f>H25/(1+P26)^6</f>
        <v>2.653601136250536</v>
      </c>
      <c r="I26" s="90" t="n">
        <f>I25/(1+P26)^7</f>
        <v>2.5747618387154407</v>
      </c>
      <c r="J26" s="90" t="n">
        <f>J25/(1+P26)^8</f>
        <v>2.49826488070941</v>
      </c>
      <c r="K26" s="90" t="n">
        <f>K25/(1+P26)^9</f>
        <v>2.424040670612009</v>
      </c>
      <c r="L26" s="90" t="n">
        <f>L25/(1+P26)^10</f>
        <v>2.352021684391044</v>
      </c>
      <c r="M26" s="159" t="n">
        <f>M25/POWER((1+P26),10)</f>
        <v>76.81316128045121</v>
      </c>
      <c r="N26" s="160"/>
      <c r="O26" s="91" t="s">
        <v>124</v>
      </c>
      <c r="P26" s="105" t="n">
        <f>WACC!$C$25</f>
        <v>0.07699793838419387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103.853573978809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10022.400390625</v>
      </c>
      <c r="D3" s="110" t="n">
        <v>10889.5</v>
      </c>
      <c r="E3" s="110" t="n">
        <v>11338.599609375</v>
      </c>
      <c r="F3" s="110" t="n">
        <v>11171.7998046875</v>
      </c>
      <c r="G3" s="110" t="n">
        <v>11593.5</v>
      </c>
      <c r="H3" s="110" t="n">
        <v>12966.599609375</v>
      </c>
      <c r="I3" s="110" t="n">
        <v>13982.400390625</v>
      </c>
      <c r="J3" s="110" t="n">
        <v>12912.900390625</v>
      </c>
      <c r="K3" s="110" t="n">
        <v>12750.0</v>
      </c>
      <c r="L3" s="110" t="n">
        <v>15281.2998046875</v>
      </c>
      <c r="M3" s="110" t="n">
        <v>16947.400390625</v>
      </c>
      <c r="Q3" s="107"/>
    </row>
    <row r="4" spans="2:17">
      <c r="B4" s="18" t="s">
        <v>27</v>
      </c>
      <c r="C4" s="113"/>
      <c r="D4" s="121" t="n">
        <f t="shared" ref="D4:M4" si="0">(D3-C3)/C3</f>
        <v>0.08651616135652383</v>
      </c>
      <c r="E4" s="121" t="n">
        <f t="shared" si="0"/>
        <v>0.04124152710179531</v>
      </c>
      <c r="F4" s="121" t="n">
        <f t="shared" si="0"/>
        <v>-0.014710794139832428</v>
      </c>
      <c r="G4" s="121" t="n">
        <f t="shared" si="0"/>
        <v>0.03774684497439362</v>
      </c>
      <c r="H4" s="121" t="n">
        <f t="shared" si="0"/>
        <v>0.1184370215530254</v>
      </c>
      <c r="I4" s="121" t="n">
        <f t="shared" si="0"/>
        <v>0.07833979700549745</v>
      </c>
      <c r="J4" s="121" t="n">
        <f t="shared" si="0"/>
        <v>-0.07648901262454796</v>
      </c>
      <c r="K4" s="121" t="n">
        <f t="shared" si="0"/>
        <v>-0.012615321554193095</v>
      </c>
      <c r="L4" s="121" t="n">
        <f t="shared" si="0"/>
        <v>0.1985333180147059</v>
      </c>
      <c r="M4" s="121" t="n">
        <f t="shared" si="0"/>
        <v>0.10902872185168619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883.7999877929688</v>
      </c>
      <c r="D6" s="110" t="n">
        <v>490.29998779296875</v>
      </c>
      <c r="E6" s="110" t="n">
        <v>760.9000244140625</v>
      </c>
      <c r="F6" s="110" t="n">
        <v>903.7999877929688</v>
      </c>
      <c r="G6" s="110" t="n">
        <v>968.0</v>
      </c>
      <c r="H6" s="110" t="n">
        <v>1227.300048828125</v>
      </c>
      <c r="I6" s="110" t="n">
        <v>603.4000244140625</v>
      </c>
      <c r="J6" s="110" t="n">
        <v>952.4000244140625</v>
      </c>
      <c r="K6" s="110" t="n">
        <v>1129.800048828125</v>
      </c>
      <c r="L6" s="110" t="n">
        <v>1538.300048828125</v>
      </c>
      <c r="M6" s="110" t="n">
        <v>164.3000030517578</v>
      </c>
      <c r="Q6" s="107"/>
    </row>
    <row r="7" spans="2:17">
      <c r="B7" s="18" t="s">
        <v>27</v>
      </c>
      <c r="C7" s="113"/>
      <c r="D7" s="121" t="n">
        <f t="shared" ref="D7" si="1">(D6-C6)/C6</f>
        <v>-0.4452364849909658</v>
      </c>
      <c r="E7" s="121" t="n">
        <f t="shared" ref="E7" si="2">(E6-D6)/D6</f>
        <v>0.5519070841489718</v>
      </c>
      <c r="F7" s="121" t="n">
        <f t="shared" ref="F7" si="3">(F6-E6)/E6</f>
        <v>0.18780386226028475</v>
      </c>
      <c r="G7" s="121" t="n">
        <f t="shared" ref="G7" si="4">(G6-F6)/F6</f>
        <v>0.07103342893797142</v>
      </c>
      <c r="H7" s="121" t="n">
        <f t="shared" ref="H7" si="5">(H6-G6)/G6</f>
        <v>0.26787195126872415</v>
      </c>
      <c r="I7" s="121" t="n">
        <f t="shared" ref="I7" si="6">(I6-H6)/H6</f>
        <v>-0.5083516659269957</v>
      </c>
      <c r="J7" s="121" t="n">
        <f t="shared" ref="J7" si="7">(J6-I6)/I6</f>
        <v>0.5783891048710175</v>
      </c>
      <c r="K7" s="121" t="n">
        <f t="shared" ref="K7" si="8">(K6-J6)/J6</f>
        <v>0.18626629553396254</v>
      </c>
      <c r="L7" s="121" t="n">
        <f t="shared" ref="L7" si="9">(L6-K6)/K6</f>
        <v>0.361568403562835</v>
      </c>
      <c r="M7" s="121" t="n">
        <f t="shared" ref="M7" si="10">(M6-L6)/L6</f>
        <v>-0.8931937867538111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1157.801025390625</v>
      </c>
      <c r="D9" s="110" t="n">
        <v>1196.801025390625</v>
      </c>
      <c r="E9" s="110" t="n">
        <v>1698.198974609375</v>
      </c>
      <c r="F9" s="110" t="n">
        <v>1730.0</v>
      </c>
      <c r="G9" s="110" t="n">
        <v>1808.6009521484375</v>
      </c>
      <c r="H9" s="110" t="n">
        <v>2214.199951171875</v>
      </c>
      <c r="I9" s="110" t="n">
        <v>1737.801025390625</v>
      </c>
      <c r="J9" s="110" t="n">
        <v>1902.800048828125</v>
      </c>
      <c r="K9" s="110" t="n">
        <v>2013.9000244140625</v>
      </c>
      <c r="L9" s="110" t="n">
        <v>2271.60107421875</v>
      </c>
      <c r="M9" s="110" t="n">
        <v>893.9011840820312</v>
      </c>
      <c r="Q9" s="107"/>
    </row>
    <row r="10" spans="2:17">
      <c r="B10" s="18" t="s">
        <v>27</v>
      </c>
      <c r="C10" s="113"/>
      <c r="D10" s="121" t="n">
        <f t="shared" ref="D10" si="11">(D9-C9)/C9</f>
        <v>0.03368454436015187</v>
      </c>
      <c r="E10" s="121" t="n">
        <f t="shared" ref="E10" si="12">(E9-D9)/D9</f>
        <v>0.41894846226012894</v>
      </c>
      <c r="F10" s="121" t="n">
        <f t="shared" ref="F10" si="13">(F9-E9)/E9</f>
        <v>0.018726324692275753</v>
      </c>
      <c r="G10" s="121" t="n">
        <f t="shared" ref="G10" si="14">(G9-F9)/F9</f>
        <v>0.04543407638638006</v>
      </c>
      <c r="H10" s="121" t="n">
        <f t="shared" ref="H10" si="15">(H9-G9)/G9</f>
        <v>0.22426118848473806</v>
      </c>
      <c r="I10" s="121" t="n">
        <f t="shared" ref="I10" si="16">(I9-H9)/H9</f>
        <v>-0.2151562353386887</v>
      </c>
      <c r="J10" s="121" t="n">
        <f t="shared" ref="J10" si="17">(J9-I9)/I9</f>
        <v>0.09494701696381544</v>
      </c>
      <c r="K10" s="121" t="n">
        <f t="shared" ref="K10" si="18">(K9-J9)/J9</f>
        <v>0.058387624939551956</v>
      </c>
      <c r="L10" s="121" t="n">
        <f t="shared" ref="L10" si="19">(L9-K9)/K9</f>
        <v>0.1279611930486299</v>
      </c>
      <c r="M10" s="121" t="n">
        <f t="shared" ref="M10" si="20">(M9-L9)/L9</f>
        <v>-0.6064884832872951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166.7010040283203</v>
      </c>
      <c r="D12" s="110" t="n">
        <v>158.7760009765625</v>
      </c>
      <c r="E12" s="110" t="n">
        <v>159.73699951171875</v>
      </c>
      <c r="F12" s="110" t="n">
        <v>152.70599365234375</v>
      </c>
      <c r="G12" s="110" t="n">
        <v>148.20700073242188</v>
      </c>
      <c r="H12" s="110" t="n">
        <v>152.44900512695312</v>
      </c>
      <c r="I12" s="110" t="n">
        <v>156.77999877929688</v>
      </c>
      <c r="J12" s="110" t="n">
        <v>156.38099670410156</v>
      </c>
      <c r="K12" s="110" t="n">
        <v>162.427001953125</v>
      </c>
      <c r="L12" s="110" t="n">
        <v>165.0240020751953</v>
      </c>
      <c r="M12" s="110" t="n">
        <v>156.55299377441406</v>
      </c>
      <c r="Q12" s="107"/>
    </row>
    <row r="13" spans="2:17">
      <c r="B13" s="18" t="s">
        <v>27</v>
      </c>
      <c r="C13" s="113"/>
      <c r="D13" s="121" t="n">
        <f t="shared" ref="D13" si="21">(D12-C12)/C12</f>
        <v>-0.047540223875385125</v>
      </c>
      <c r="E13" s="121" t="n">
        <f t="shared" ref="E13" si="22">(E12-D12)/D12</f>
        <v>0.006052542759897974</v>
      </c>
      <c r="F13" s="121" t="n">
        <f t="shared" ref="F13" si="23">(F12-E12)/E12</f>
        <v>-0.0440161382827225</v>
      </c>
      <c r="G13" s="121" t="n">
        <f t="shared" ref="G13" si="24">(G12-F12)/F12</f>
        <v>-0.029461796569455224</v>
      </c>
      <c r="H13" s="121" t="n">
        <f t="shared" ref="H13" si="25">(H12-G12)/G12</f>
        <v>0.028622159368773072</v>
      </c>
      <c r="I13" s="121" t="n">
        <f t="shared" ref="I13" si="26">(I12-H12)/H12</f>
        <v>0.02840945828893461</v>
      </c>
      <c r="J13" s="121" t="n">
        <f t="shared" ref="J13" si="27">(J12-I12)/I12</f>
        <v>-0.0025449807265083466</v>
      </c>
      <c r="K13" s="121" t="n">
        <f t="shared" ref="K13" si="28">(K12-J12)/J12</f>
        <v>0.03866202017156505</v>
      </c>
      <c r="L13" s="121" t="n">
        <f t="shared" ref="L13" si="29">(L12-K12)/K12</f>
        <v>0.015988721646292416</v>
      </c>
      <c r="M13" s="121" t="n">
        <f t="shared" ref="M13" si="30">(M12-L12)/L12</f>
        <v>-0.05133197713215888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5.300000190734863</v>
      </c>
      <c r="D15" s="110" t="n">
        <v>3.0899999141693115</v>
      </c>
      <c r="E15" s="110" t="n">
        <v>4.760000228881836</v>
      </c>
      <c r="F15" s="110" t="n">
        <v>5.789999961853027</v>
      </c>
      <c r="G15" s="110" t="n">
        <v>6.53000020980835</v>
      </c>
      <c r="H15" s="110" t="n">
        <v>8.050000190734863</v>
      </c>
      <c r="I15" s="110" t="n">
        <v>3.8499999046325684</v>
      </c>
      <c r="J15" s="110" t="n">
        <v>6.110000133514404</v>
      </c>
      <c r="K15" s="110" t="n">
        <v>7.460000038146973</v>
      </c>
      <c r="L15" s="110" t="n">
        <v>10.15999984741211</v>
      </c>
      <c r="M15" s="110" t="n">
        <v>6.760000228881836</v>
      </c>
      <c r="Q15" s="107"/>
    </row>
    <row r="16" spans="2:17">
      <c r="B16" s="18" t="s">
        <v>27</v>
      </c>
      <c r="D16" s="121" t="n">
        <f t="shared" ref="D16" si="31">(D15-C15)/C15</f>
        <v>-0.4169811692514538</v>
      </c>
      <c r="E16" s="121" t="n">
        <f t="shared" ref="E16" si="32">(E15-D15)/D15</f>
        <v>0.5404531912944952</v>
      </c>
      <c r="F16" s="121" t="n">
        <f t="shared" ref="F16" si="33">(F15-E15)/E15</f>
        <v>0.21638648811854044</v>
      </c>
      <c r="G16" s="121" t="n">
        <f t="shared" ref="G16" si="34">(G15-F15)/F15</f>
        <v>0.12780660670652103</v>
      </c>
      <c r="H16" s="121" t="n">
        <f t="shared" ref="H16" si="35">(H15-G15)/G15</f>
        <v>0.23277181195850538</v>
      </c>
      <c r="I16" s="121" t="n">
        <f t="shared" ref="I16" si="36">(I15-H15)/H15</f>
        <v>-0.5217391536134715</v>
      </c>
      <c r="J16" s="121" t="n">
        <f t="shared" ref="J16" si="37">(J15-I15)/I15</f>
        <v>0.5870130610035759</v>
      </c>
      <c r="K16" s="121" t="n">
        <f t="shared" ref="K16" si="38">(K15-J15)/J15</f>
        <v>0.22094924306590252</v>
      </c>
      <c r="L16" s="121" t="n">
        <f t="shared" ref="L16" si="39">(L15-K15)/K15</f>
        <v>0.3619302674877476</v>
      </c>
      <c r="M16" s="121" t="n">
        <f t="shared" ref="M16" si="40">(M15-L15)/L15</f>
        <v>-0.33464563677097886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602.9000244140625</v>
      </c>
      <c r="D20" s="128" t="n">
        <v>531.7000122070312</v>
      </c>
      <c r="E20" s="128" t="n">
        <v>1020.2999877929688</v>
      </c>
      <c r="F20" s="128" t="n">
        <v>900.0</v>
      </c>
      <c r="G20" s="128" t="n">
        <v>849.0999755859375</v>
      </c>
      <c r="H20" s="128" t="n">
        <v>276.29998779296875</v>
      </c>
      <c r="I20" s="128" t="n">
        <v>814.0</v>
      </c>
      <c r="J20" s="128" t="n">
        <v>1181.0999755859375</v>
      </c>
      <c r="K20" s="128" t="n">
        <v>1693.9000244140625</v>
      </c>
      <c r="L20" s="128" t="n">
        <v>152.39999389648438</v>
      </c>
      <c r="M20" s="128" t="n">
        <v>-1948.199951171875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0.9189391844431425</v>
      </c>
      <c r="F21" s="131" t="n">
        <f t="shared" ref="F21" si="42">(F20-E20)/E20</f>
        <v>-0.11790648753529064</v>
      </c>
      <c r="G21" s="131" t="n">
        <f t="shared" ref="G21" si="43">(G20-F20)/F20</f>
        <v>-0.05655558268229167</v>
      </c>
      <c r="H21" s="131" t="n">
        <f t="shared" ref="H21" si="44">(H20-G20)/G20</f>
        <v>-0.6745966367478661</v>
      </c>
      <c r="I21" s="131" t="n">
        <f t="shared" ref="I21" si="45">(I20-H20)/H20</f>
        <v>1.9460732390981084</v>
      </c>
      <c r="J21" s="131" t="n">
        <f t="shared" ref="J21" si="46">(J20-I20)/I20</f>
        <v>0.4509827709900958</v>
      </c>
      <c r="K21" s="131" t="n">
        <f t="shared" ref="K21" si="47">(K20-J20)/J20</f>
        <v>0.43417158532555766</v>
      </c>
      <c r="L21" s="131" t="n">
        <f t="shared" ref="L21" si="48">(L20-K20)/K20</f>
        <v>-0.9100301129346775</v>
      </c>
      <c r="M21" s="131" t="n">
        <f t="shared" ref="M21" si="49">(M20-L20)/L20</f>
        <v>-13.78346475850366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304.0</v>
      </c>
      <c r="D23" s="130" t="n">
        <v>312.70001220703125</v>
      </c>
      <c r="E23" s="130" t="n">
        <v>321.29998779296875</v>
      </c>
      <c r="F23" s="130" t="n">
        <v>319.8999938964844</v>
      </c>
      <c r="G23" s="130" t="n">
        <v>330.8999938964844</v>
      </c>
      <c r="H23" s="130" t="n">
        <v>362.8999938964844</v>
      </c>
      <c r="I23" s="130" t="n">
        <v>384.8999938964844</v>
      </c>
      <c r="J23" s="130" t="n">
        <v>402.0</v>
      </c>
      <c r="K23" s="130" t="n">
        <v>431.79998779296875</v>
      </c>
      <c r="L23" s="130" t="n">
        <v>474.79998779296875</v>
      </c>
      <c r="M23" s="130" t="n">
        <v>465.79998779296875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0.02861846120733964</v>
      </c>
      <c r="E24" s="121" t="n">
        <f t="shared" ref="E24" si="51">(E23-D23)/D23</f>
        <v>0.027502319316328225</v>
      </c>
      <c r="F24" s="121" t="n">
        <f t="shared" ref="F24" si="52">(F23-E23)/E23</f>
        <v>-0.004357279644176246</v>
      </c>
      <c r="G24" s="121" t="n">
        <f t="shared" ref="G24" si="53">(G23-F23)/F23</f>
        <v>0.03438574620154408</v>
      </c>
      <c r="H24" s="121" t="n">
        <f t="shared" ref="H24" si="54">(H23-G23)/G23</f>
        <v>0.09670595524402038</v>
      </c>
      <c r="I24" s="121" t="n">
        <f t="shared" ref="I24" si="55">(I23-H23)/H23</f>
        <v>0.06062276211080738</v>
      </c>
      <c r="J24" s="121" t="n">
        <f t="shared" ref="J24" si="56">(J23-I23)/I23</f>
        <v>0.0444271404901984</v>
      </c>
      <c r="K24" s="121" t="n">
        <f t="shared" ref="K24" si="57">(K23-J23)/J23</f>
        <v>0.07412932286808159</v>
      </c>
      <c r="L24" s="121" t="n">
        <f t="shared" ref="L24" si="58">(L23-K23)/K23</f>
        <v>0.0995831431579771</v>
      </c>
      <c r="M24" s="121" t="n">
        <f t="shared" ref="M24" si="59">(M23-L23)/L23</f>
        <v>-0.018955350108231985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4111.2998046875</v>
      </c>
      <c r="D28" s="110" t="n">
        <v>4016.60009765625</v>
      </c>
      <c r="E28" s="110" t="n">
        <v>3948.800048828125</v>
      </c>
      <c r="F28" s="110" t="n">
        <v>3662.10009765625</v>
      </c>
      <c r="G28" s="110" t="n">
        <v>4788.5</v>
      </c>
      <c r="H28" s="110" t="n">
        <v>4559.0</v>
      </c>
      <c r="I28" s="110" t="n">
        <v>4569.39990234375</v>
      </c>
      <c r="J28" s="110" t="n">
        <v>4456.60009765625</v>
      </c>
      <c r="K28" s="110" t="n">
        <v>6036.0</v>
      </c>
      <c r="L28" s="110" t="n">
        <v>8526.400390625</v>
      </c>
      <c r="M28" s="110" t="n">
        <v>7974.7001953125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-0.02303400664755173</v>
      </c>
      <c r="E29" s="121" t="n">
        <f t="shared" ref="E29" si="61">(E28-D28)/D28</f>
        <v>-0.01687995996108435</v>
      </c>
      <c r="F29" s="121" t="n">
        <f t="shared" ref="F29" si="62">(F28-E28)/E28</f>
        <v>-0.07260432223124537</v>
      </c>
      <c r="G29" s="121" t="n">
        <f t="shared" ref="G29" si="63">(G28-F28)/F28</f>
        <v>0.30758304587704954</v>
      </c>
      <c r="H29" s="121" t="n">
        <f t="shared" ref="H29" si="64">(H28-G28)/G28</f>
        <v>-0.04792732588493265</v>
      </c>
      <c r="I29" s="121" t="n">
        <f t="shared" ref="I29" si="65">(I28-H28)/H28</f>
        <v>0.002281180597444615</v>
      </c>
      <c r="J29" s="121" t="n">
        <f t="shared" ref="J29" si="66">(J28-I28)/I28</f>
        <v>-0.02468591217626682</v>
      </c>
      <c r="K29" s="121" t="n">
        <f t="shared" ref="K29" si="67">(K28-J28)/J28</f>
        <v>0.35439569800628173</v>
      </c>
      <c r="L29" s="121" t="n">
        <f t="shared" ref="L29" si="68">(L28-K28)/K28</f>
        <v>0.4125911846628562</v>
      </c>
      <c r="M29" s="121" t="n">
        <f t="shared" ref="M29" si="69">(M28-L28)/L28</f>
        <v>-0.06470493643708179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11732.7001953125</v>
      </c>
      <c r="D31" s="110" t="n">
        <v>12518.5</v>
      </c>
      <c r="E31" s="110" t="n">
        <v>11900.2998046875</v>
      </c>
      <c r="F31" s="110" t="n">
        <v>11465.7001953125</v>
      </c>
      <c r="G31" s="110" t="n">
        <v>10846.400390625</v>
      </c>
      <c r="H31" s="110" t="n">
        <v>14538.7001953125</v>
      </c>
      <c r="I31" s="110" t="n">
        <v>14838.599609375</v>
      </c>
      <c r="J31" s="110" t="n">
        <v>16140.0</v>
      </c>
      <c r="K31" s="110" t="n">
        <v>17530.30078125</v>
      </c>
      <c r="L31" s="110" t="n">
        <v>19653.599609375</v>
      </c>
      <c r="M31" s="110" t="n">
        <v>16988.599609375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0.06697518828627755</v>
      </c>
      <c r="E32" s="121" t="n">
        <f t="shared" ref="E32" si="71">(E31-D31)/D31</f>
        <v>-0.04938292889024244</v>
      </c>
      <c r="F32" s="121" t="n">
        <f t="shared" ref="F32" si="72">(F31-E31)/E31</f>
        <v>-0.03652005550345986</v>
      </c>
      <c r="G32" s="121" t="n">
        <f t="shared" ref="G32" si="73">(G31-F31)/F31</f>
        <v>-0.05401325642028274</v>
      </c>
      <c r="H32" s="121" t="n">
        <f t="shared" ref="H32" si="74">(H31-G31)/G31</f>
        <v>0.3404170666499561</v>
      </c>
      <c r="I32" s="121" t="n">
        <f t="shared" ref="I32" si="75">(I31-H31)/H31</f>
        <v>0.020627663411010577</v>
      </c>
      <c r="J32" s="121" t="n">
        <f t="shared" ref="J32" si="76">(J31-I31)/I31</f>
        <v>0.08770372035665533</v>
      </c>
      <c r="K32" s="121" t="n">
        <f t="shared" ref="K32" si="77">(K31-J31)/J31</f>
        <v>0.08614007318773234</v>
      </c>
      <c r="L32" s="121" t="n">
        <f t="shared" ref="L32" si="78">(L31-K31)/K31</f>
        <v>0.12112164272709061</v>
      </c>
      <c r="M32" s="121" t="n">
        <f t="shared" ref="M32" si="79">(M31-L31)/L31</f>
        <v>-0.1355985698787088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16535.10009765625</v>
      </c>
      <c r="E34" s="111" t="n">
        <f t="shared" ref="E34:M34" si="80">E28+E31</f>
        <v>15849.099853515625</v>
      </c>
      <c r="F34" s="111" t="n">
        <f t="shared" si="80"/>
        <v>15127.80029296875</v>
      </c>
      <c r="G34" s="111" t="n">
        <f t="shared" si="80"/>
        <v>15634.900390625</v>
      </c>
      <c r="H34" s="111" t="n">
        <f t="shared" si="80"/>
        <v>19097.7001953125</v>
      </c>
      <c r="I34" s="111" t="n">
        <f t="shared" si="80"/>
        <v>19407.99951171875</v>
      </c>
      <c r="J34" s="111" t="n">
        <f t="shared" si="80"/>
        <v>20596.60009765625</v>
      </c>
      <c r="K34" s="111" t="n">
        <f t="shared" si="80"/>
        <v>23566.30078125</v>
      </c>
      <c r="L34" s="111" t="n">
        <f t="shared" si="80"/>
        <v>28180.0</v>
      </c>
      <c r="M34" s="111" t="n">
        <f t="shared" si="80"/>
        <v>24963.2998046875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3074.699951171875</v>
      </c>
      <c r="D36" s="118" t="n">
        <v>3236.0</v>
      </c>
      <c r="E36" s="110" t="n">
        <v>2832.0</v>
      </c>
      <c r="F36" s="110" t="n">
        <v>2802.60009765625</v>
      </c>
      <c r="G36" s="110" t="n">
        <v>2807.5</v>
      </c>
      <c r="H36" s="110" t="n">
        <v>4391.5</v>
      </c>
      <c r="I36" s="110" t="n">
        <v>4001.60009765625</v>
      </c>
      <c r="J36" s="110" t="n">
        <v>4405.7001953125</v>
      </c>
      <c r="K36" s="110" t="n">
        <v>4558.2998046875</v>
      </c>
      <c r="L36" s="110" t="n">
        <v>8767.400390625</v>
      </c>
      <c r="M36" s="110" t="n">
        <v>6569.2001953125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0.05246041935462603</v>
      </c>
      <c r="E37" s="121" t="n">
        <f t="shared" ref="E37" si="82">(E36-D36)/D36</f>
        <v>-0.12484548825710753</v>
      </c>
      <c r="F37" s="121" t="n">
        <f t="shared" ref="F37" si="83">(F36-E36)/E36</f>
        <v>-0.010381321449064266</v>
      </c>
      <c r="G37" s="121" t="n">
        <f t="shared" ref="G37" si="84">(G36-F36)/F36</f>
        <v>0.0017483416017317903</v>
      </c>
      <c r="H37" s="121" t="n">
        <f t="shared" ref="H37" si="85">(H36-G36)/G36</f>
        <v>0.5642030276046305</v>
      </c>
      <c r="I37" s="121" t="n">
        <f t="shared" ref="I37" si="86">(I36-H36)/H36</f>
        <v>-0.08878513089918023</v>
      </c>
      <c r="J37" s="121" t="n">
        <f t="shared" ref="J37" si="87">(J36-I36)/I36</f>
        <v>0.10098462809737853</v>
      </c>
      <c r="K37" s="121" t="n">
        <f t="shared" ref="K37" si="88">(K36-J36)/J36</f>
        <v>0.03463685739155839</v>
      </c>
      <c r="L37" s="121" t="n">
        <f t="shared" ref="L37" si="89">(L36-K36)/K36</f>
        <v>0.9233926609235086</v>
      </c>
      <c r="M37" s="121" t="n">
        <f t="shared" ref="M37" si="90">(M36-L36)/L36</f>
        <v>-0.2507242851213959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6042.2001953125</v>
      </c>
      <c r="D39" s="110" t="n">
        <v>6418.60009765625</v>
      </c>
      <c r="E39" s="110" t="n">
        <v>6505.2001953125</v>
      </c>
      <c r="F39" s="110" t="n">
        <v>6466.0</v>
      </c>
      <c r="G39" s="110" t="n">
        <v>6453.7998046875</v>
      </c>
      <c r="H39" s="110" t="n">
        <v>6401.2001953125</v>
      </c>
      <c r="I39" s="110" t="n">
        <v>7566.5</v>
      </c>
      <c r="J39" s="110" t="n">
        <v>7048.7001953125</v>
      </c>
      <c r="K39" s="110" t="n">
        <v>7941.60009765625</v>
      </c>
      <c r="L39" s="110" t="n">
        <v>7820.2001953125</v>
      </c>
      <c r="M39" s="110" t="n">
        <v>8679.900390625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0.0622951723174877</v>
      </c>
      <c r="E40" s="121" t="n">
        <f t="shared" ref="E40" si="92">(E39-D39)/D39</f>
        <v>0.013492053771642823</v>
      </c>
      <c r="F40" s="121" t="n">
        <f t="shared" ref="F40" si="93">(F39-E39)/E39</f>
        <v>-0.006025978315124994</v>
      </c>
      <c r="G40" s="121" t="n">
        <f t="shared" ref="G40" si="94">(G39-F39)/F39</f>
        <v>-0.0018868226589081349</v>
      </c>
      <c r="H40" s="121" t="n">
        <f t="shared" ref="H40" si="95">(H39-G39)/G39</f>
        <v>-0.008150176789927082</v>
      </c>
      <c r="I40" s="121" t="n">
        <f t="shared" ref="I40" si="96">(I39-H39)/H39</f>
        <v>0.18204395568519027</v>
      </c>
      <c r="J40" s="121" t="n">
        <f t="shared" ref="J40" si="97">(J39-I39)/I39</f>
        <v>-0.06843319958864733</v>
      </c>
      <c r="K40" s="121" t="n">
        <f t="shared" ref="K40" si="98">(K39-J39)/J39</f>
        <v>0.12667582357064114</v>
      </c>
      <c r="L40" s="121" t="n">
        <f t="shared" ref="L40" si="99">(L39-K39)/K39</f>
        <v>-0.015286579637720354</v>
      </c>
      <c r="M40" s="121" t="n">
        <f t="shared" ref="M40" si="100">(M39-L39)/L39</f>
        <v>0.1099332720187665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9654.60009765625</v>
      </c>
      <c r="E42" s="111" t="n">
        <f t="shared" ref="E42:M42" si="101">E36+E39</f>
        <v>9337.2001953125</v>
      </c>
      <c r="F42" s="111" t="n">
        <f t="shared" si="101"/>
        <v>9268.60009765625</v>
      </c>
      <c r="G42" s="111" t="n">
        <f t="shared" si="101"/>
        <v>9261.2998046875</v>
      </c>
      <c r="H42" s="111" t="n">
        <f t="shared" si="101"/>
        <v>10792.7001953125</v>
      </c>
      <c r="I42" s="111" t="n">
        <f t="shared" si="101"/>
        <v>11568.10009765625</v>
      </c>
      <c r="J42" s="111" t="n">
        <f t="shared" si="101"/>
        <v>11454.400390625</v>
      </c>
      <c r="K42" s="111" t="n">
        <f t="shared" si="101"/>
        <v>12499.89990234375</v>
      </c>
      <c r="L42" s="111" t="n">
        <f t="shared" si="101"/>
        <v>16587.6005859375</v>
      </c>
      <c r="M42" s="111" t="n">
        <f t="shared" si="101"/>
        <v>15249.1005859375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6880.5</v>
      </c>
      <c r="E44" s="134" t="n">
        <f t="shared" ref="E44:M44" si="102">E34-E42</f>
        <v>6511.899658203125</v>
      </c>
      <c r="F44" s="134" t="n">
        <f t="shared" si="102"/>
        <v>5859.2001953125</v>
      </c>
      <c r="G44" s="134" t="n">
        <f t="shared" si="102"/>
        <v>6373.6005859375</v>
      </c>
      <c r="H44" s="134" t="n">
        <f t="shared" si="102"/>
        <v>8305.0</v>
      </c>
      <c r="I44" s="134" t="n">
        <f t="shared" si="102"/>
        <v>7839.8994140625</v>
      </c>
      <c r="J44" s="134" t="n">
        <f t="shared" si="102"/>
        <v>9142.19970703125</v>
      </c>
      <c r="K44" s="134" t="n">
        <f t="shared" si="102"/>
        <v>11066.40087890625</v>
      </c>
      <c r="L44" s="134" t="n">
        <f t="shared" si="102"/>
        <v>11592.3994140625</v>
      </c>
      <c r="M44" s="134" t="n">
        <f t="shared" si="102"/>
        <v>9714.19921875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3526.5</v>
      </c>
      <c r="D46" s="133" t="n">
        <v>3799.39990234375</v>
      </c>
      <c r="E46" s="133" t="n">
        <v>3839.800048828125</v>
      </c>
      <c r="F46" s="133" t="n">
        <v>3792.10009765625</v>
      </c>
      <c r="G46" s="133" t="n">
        <v>3815.300048828125</v>
      </c>
      <c r="H46" s="133" t="n">
        <v>2828.199951171875</v>
      </c>
      <c r="I46" s="133" t="n">
        <v>3819.800048828125</v>
      </c>
      <c r="J46" s="133" t="n">
        <v>3176.39990234375</v>
      </c>
      <c r="K46" s="136" t="n">
        <v>4245.39990234375</v>
      </c>
      <c r="L46" s="133" t="n">
        <v>4353.60009765625</v>
      </c>
      <c r="M46" s="133" t="n">
        <v>5352.89990234375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0.045025022984799025</v>
      </c>
      <c r="E50" s="126" t="n">
        <f t="shared" si="103"/>
        <v>0.06710705471819768</v>
      </c>
      <c r="F50" s="126" t="n">
        <f t="shared" si="103"/>
        <v>0.08090012384698746</v>
      </c>
      <c r="G50" s="126" t="n">
        <f t="shared" si="103"/>
        <v>0.08349506188812697</v>
      </c>
      <c r="H50" s="126" t="n">
        <f t="shared" si="103"/>
        <v>0.0946508788580761</v>
      </c>
      <c r="I50" s="126" t="n">
        <f t="shared" si="103"/>
        <v>0.04315425159893391</v>
      </c>
      <c r="J50" s="126" t="n">
        <f t="shared" si="103"/>
        <v>0.07375570132218497</v>
      </c>
      <c r="K50" s="126" t="n">
        <f t="shared" si="103"/>
        <v>0.0886117685355396</v>
      </c>
      <c r="L50" s="126" t="n">
        <f t="shared" si="103"/>
        <v>0.10066552377673137</v>
      </c>
      <c r="M50" s="126" t="n">
        <f t="shared" si="103"/>
        <v>0.009694702388848135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0.10990413016122227</v>
      </c>
      <c r="E51" s="126" t="n">
        <f t="shared" si="104"/>
        <v>0.14977149146401397</v>
      </c>
      <c r="F51" s="126" t="n">
        <f t="shared" si="104"/>
        <v>0.1548541891409584</v>
      </c>
      <c r="G51" s="126" t="n">
        <f t="shared" si="104"/>
        <v>0.15600128970099109</v>
      </c>
      <c r="H51" s="126" t="n">
        <f t="shared" si="104"/>
        <v>0.17076180478118475</v>
      </c>
      <c r="I51" s="126" t="n">
        <f t="shared" si="104"/>
        <v>0.12428488505849115</v>
      </c>
      <c r="J51" s="126" t="n">
        <f t="shared" si="104"/>
        <v>0.14735651877324146</v>
      </c>
      <c r="K51" s="126" t="n">
        <f t="shared" si="104"/>
        <v>0.15795294309129881</v>
      </c>
      <c r="L51" s="126" t="n">
        <f t="shared" si="104"/>
        <v>0.1486523465446272</v>
      </c>
      <c r="M51" s="126" t="n">
        <f t="shared" si="104"/>
        <v>0.052745622542588966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0.04882685267524046</v>
      </c>
      <c r="E52" s="126" t="n">
        <f t="shared" si="105"/>
        <v>0.08998465621357367</v>
      </c>
      <c r="F52" s="126" t="n">
        <f t="shared" si="105"/>
        <v>0.08055998279009395</v>
      </c>
      <c r="G52" s="126" t="n">
        <f t="shared" si="105"/>
        <v>0.07323931302763945</v>
      </c>
      <c r="H52" s="126" t="n">
        <f t="shared" si="105"/>
        <v>0.021308592546746098</v>
      </c>
      <c r="I52" s="126" t="n">
        <f t="shared" si="105"/>
        <v>0.058216041399141695</v>
      </c>
      <c r="J52" s="126" t="n">
        <f t="shared" si="105"/>
        <v>0.09146666820441363</v>
      </c>
      <c r="K52" s="126" t="n">
        <f t="shared" si="105"/>
        <v>0.13285490387561255</v>
      </c>
      <c r="L52" s="126" t="n">
        <f t="shared" si="105"/>
        <v>0.009972973231618405</v>
      </c>
      <c r="M52" s="126" t="n">
        <f t="shared" si="105"/>
        <v>-0.11495568088717545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0.5881136073498401</v>
      </c>
      <c r="E55" s="126" t="n">
        <f t="shared" ref="E55:M55" si="106">E23/E20</f>
        <v>0.31490737198574215</v>
      </c>
      <c r="F55" s="126" t="n">
        <f t="shared" si="106"/>
        <v>0.35544443766276</v>
      </c>
      <c r="G55" s="126" t="n">
        <f t="shared" si="106"/>
        <v>0.38970675233872193</v>
      </c>
      <c r="H55" s="126" t="n">
        <f t="shared" si="106"/>
        <v>1.313427469886116</v>
      </c>
      <c r="I55" s="126" t="n">
        <f t="shared" si="106"/>
        <v>0.47285011535194593</v>
      </c>
      <c r="J55" s="126" t="n">
        <f t="shared" si="106"/>
        <v>0.3403606877568252</v>
      </c>
      <c r="K55" s="126" t="n">
        <f t="shared" si="106"/>
        <v>0.254914683021115</v>
      </c>
      <c r="L55" s="126" t="n">
        <f t="shared" si="106"/>
        <v>3.115485608978906</v>
      </c>
      <c r="M55" s="126" t="n">
        <f t="shared" si="106"/>
        <v>-0.23909249536362082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1.4031829224120704</v>
      </c>
      <c r="E58" s="112" t="n">
        <f t="shared" ref="E58:M58" si="107">E42/E44</f>
        <v>1.4338673329448957</v>
      </c>
      <c r="F58" s="112" t="n">
        <f t="shared" si="107"/>
        <v>1.5818882763335773</v>
      </c>
      <c r="G58" s="112" t="n">
        <f t="shared" si="107"/>
        <v>1.4530718829669564</v>
      </c>
      <c r="H58" s="112" t="n">
        <f t="shared" si="107"/>
        <v>1.2995424678281156</v>
      </c>
      <c r="I58" s="112" t="n">
        <f t="shared" si="107"/>
        <v>1.4755419026048335</v>
      </c>
      <c r="J58" s="112" t="n">
        <f t="shared" si="107"/>
        <v>1.2529151361477524</v>
      </c>
      <c r="K58" s="112" t="n">
        <f t="shared" si="107"/>
        <v>1.1295361553519985</v>
      </c>
      <c r="L58" s="112" t="n">
        <f t="shared" si="107"/>
        <v>1.430903128287266</v>
      </c>
      <c r="M58" s="112" t="n">
        <f t="shared" si="107"/>
        <v>1.5697743316303654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1.241223763181783</v>
      </c>
      <c r="E59" s="112" t="n">
        <f t="shared" ref="E59:M59" si="108">E28/E36</f>
        <v>1.394350299727447</v>
      </c>
      <c r="F59" s="112" t="n">
        <f t="shared" si="108"/>
        <v>1.3066795011956147</v>
      </c>
      <c r="G59" s="112" t="n">
        <f t="shared" si="108"/>
        <v>1.7056099732858414</v>
      </c>
      <c r="H59" s="112" t="n">
        <f t="shared" si="108"/>
        <v>1.0381418649664125</v>
      </c>
      <c r="I59" s="112" t="n">
        <f t="shared" si="108"/>
        <v>1.1418931904315133</v>
      </c>
      <c r="J59" s="112" t="n">
        <f t="shared" si="108"/>
        <v>1.0115531924750363</v>
      </c>
      <c r="K59" s="112" t="n">
        <f t="shared" si="108"/>
        <v>1.3241779300678986</v>
      </c>
      <c r="L59" s="112" t="n">
        <f t="shared" si="108"/>
        <v>0.9725118063208678</v>
      </c>
      <c r="M59" s="112" t="n">
        <f t="shared" si="108"/>
        <v>1.2139529863929104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3.1746295513940126</v>
      </c>
      <c r="E60" s="112" t="n">
        <f t="shared" ref="E60:M60" si="109">E46/E9</f>
        <v>2.26110138225196</v>
      </c>
      <c r="F60" s="112" t="n">
        <f t="shared" si="109"/>
        <v>2.1919653743677747</v>
      </c>
      <c r="G60" s="112" t="n">
        <f t="shared" si="109"/>
        <v>2.109531151300086</v>
      </c>
      <c r="H60" s="112" t="n">
        <f t="shared" si="109"/>
        <v>1.2773010629302184</v>
      </c>
      <c r="I60" s="112" t="n">
        <f t="shared" si="109"/>
        <v>2.1980652520155464</v>
      </c>
      <c r="J60" s="112" t="n">
        <f t="shared" si="109"/>
        <v>1.6693293151321849</v>
      </c>
      <c r="K60" s="112" t="n">
        <f t="shared" si="109"/>
        <v>2.108048984993155</v>
      </c>
      <c r="L60" s="112" t="n">
        <f t="shared" si="109"/>
        <v>1.9165337378410696</v>
      </c>
      <c r="M60" s="112" t="n">
        <f t="shared" si="109"/>
        <v>5.988245678229831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-2.190698549703554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-2.138666872449114</v>
      </c>
    </row>
    <row r="65" spans="2:13">
      <c r="B65" s="10" t="s">
        <v>74</v>
      </c>
      <c r="C65" s="114"/>
      <c r="D65" s="121" t="n">
        <f>(M6/I6)^0.2 - 1</f>
        <v>-0.22908508232142644</v>
      </c>
    </row>
    <row r="66" spans="2:13">
      <c r="B66" s="10" t="s">
        <v>84</v>
      </c>
      <c r="C66" s="114"/>
      <c r="D66" s="121" t="n">
        <f>(M6/D6)^0.1 - 1</f>
        <v>-0.10356755059223788</v>
      </c>
    </row>
    <row r="67" spans="2:13">
      <c r="B67" s="10" t="s">
        <v>75</v>
      </c>
      <c r="C67" s="114"/>
      <c r="D67" s="121" t="n">
        <f>(M3/I3)^0.2 - 1</f>
        <v>0.03921228280973943</v>
      </c>
    </row>
    <row r="68" spans="2:13">
      <c r="B68" s="10" t="s">
        <v>85</v>
      </c>
      <c r="C68" s="114"/>
      <c r="D68" s="121" t="n">
        <f>(M3/D3)^0.1 - 1</f>
        <v>0.04522434131156716</v>
      </c>
    </row>
    <row r="69" spans="2:13">
      <c r="B69" s="10" t="s">
        <v>88</v>
      </c>
      <c r="C69" s="114"/>
      <c r="D69" s="121" t="n">
        <f>(M9/I9)^0.2 - 1</f>
        <v>-0.12449648774209976</v>
      </c>
    </row>
    <row r="70" spans="2:13">
      <c r="B70" s="10" t="s">
        <v>89</v>
      </c>
      <c r="C70" s="114"/>
      <c r="D70" s="121" t="n">
        <f>(M9/D9)^0.2 - 1</f>
        <v>-0.05669201222393494</v>
      </c>
    </row>
    <row r="71" spans="2:13">
      <c r="B71" s="10" t="s">
        <v>131</v>
      </c>
      <c r="D71" s="121" t="n">
        <f>(M23/I23)^0.2 - 1</f>
        <v>0.0388917888451934</v>
      </c>
    </row>
    <row r="72" spans="2:13">
      <c r="B72" s="10" t="s">
        <v>132</v>
      </c>
      <c r="D72" s="121" t="n">
        <f>AVERAGE(I24:M24)</f>
        <v>0.05196140370376651</v>
      </c>
    </row>
    <row r="73" spans="2:13">
      <c r="B73" s="10" t="s">
        <v>135</v>
      </c>
      <c r="D73" s="121" t="n">
        <f>AVERAGE(I55:M55)</f>
        <v>0.7889037199490343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2.96520725545813</v>
      </c>
      <c r="E76" s="110" t="n">
        <f t="shared" si="110"/>
        <v>4.800903719748364</v>
      </c>
      <c r="F76" s="110" t="n">
        <f t="shared" si="110"/>
        <v>5.974430983287393</v>
      </c>
      <c r="G76" s="110" t="n">
        <f t="shared" si="110"/>
        <v>6.1912770520778775</v>
      </c>
      <c r="H76" s="110" t="n">
        <f t="shared" si="110"/>
        <v>6.426428503309361</v>
      </c>
      <c r="I76" s="110" t="n">
        <f t="shared" si="110"/>
        <v>3.1090274092892587</v>
      </c>
      <c r="J76" s="110" t="n">
        <f t="shared" si="110"/>
        <v>4.624064262540288</v>
      </c>
      <c r="K76" s="110" t="n">
        <f t="shared" si="110"/>
        <v>4.7941340446907565</v>
      </c>
      <c r="L76" s="110" t="n">
        <f t="shared" si="110"/>
        <v>5.458836227211249</v>
      </c>
      <c r="M76" s="110" t="n">
        <f t="shared" si="110"/>
        <v>0.6581662053383922</v>
      </c>
    </row>
    <row r="77" spans="2:13">
      <c r="B77" s="10" t="s">
        <v>139</v>
      </c>
      <c r="C77" s="110">
        <v>0</v>
      </c>
      <c r="D77" s="110" t="n">
        <f t="shared" ref="D77:M77" si="111">100*D6/D44</f>
        <v>7.125935437729366</v>
      </c>
      <c r="E77" s="110" t="n">
        <f t="shared" si="111"/>
        <v>11.684762732109158</v>
      </c>
      <c r="F77" s="110" t="n">
        <f t="shared" si="111"/>
        <v>15.425313313513858</v>
      </c>
      <c r="G77" s="110" t="n">
        <f t="shared" si="111"/>
        <v>15.187647656110785</v>
      </c>
      <c r="H77" s="110" t="n">
        <f t="shared" si="111"/>
        <v>14.777845259820952</v>
      </c>
      <c r="I77" s="110" t="n">
        <f t="shared" si="111"/>
        <v>7.6965276280425075</v>
      </c>
      <c r="J77" s="110" t="n">
        <f t="shared" si="111"/>
        <v>10.417624367596934</v>
      </c>
      <c r="K77" s="110" t="n">
        <f t="shared" si="111"/>
        <v>10.209281781772837</v>
      </c>
      <c r="L77" s="110" t="n">
        <f t="shared" si="111"/>
        <v>13.269902061535682</v>
      </c>
      <c r="M77" s="110" t="n">
        <f t="shared" si="111"/>
        <v>1.6913386204251608</v>
      </c>
    </row>
    <row r="78" spans="2:13">
      <c r="B78" s="10" t="s">
        <v>140</v>
      </c>
      <c r="C78" s="110" t="n">
        <v>0.0</v>
      </c>
      <c r="D78" s="40" t="n">
        <v>5.849999904632568</v>
      </c>
      <c r="E78" s="40" t="n">
        <v>8.369999885559082</v>
      </c>
      <c r="F78" s="40" t="n">
        <v>10.170000076293945</v>
      </c>
      <c r="G78" s="40" t="n">
        <v>11.079999923706055</v>
      </c>
      <c r="H78" s="40" t="n">
        <v>12.720000267028809</v>
      </c>
      <c r="I78" s="40" t="n">
        <v>6.690000057220459</v>
      </c>
      <c r="J78" s="40" t="n">
        <v>10.220000267028809</v>
      </c>
      <c r="K78" s="40" t="n">
        <v>11.350000381469727</v>
      </c>
      <c r="L78" s="40" t="n">
        <v>11.75</v>
      </c>
      <c r="M78" s="40" t="n">
        <v>7.050000190734863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22.40999984741211</v>
      </c>
      <c r="E81" s="40" t="n">
        <v>22.190000534057617</v>
      </c>
      <c r="F81" s="40" t="n">
        <v>19.299999237060547</v>
      </c>
      <c r="G81" s="40" t="n">
        <v>17.43000030517578</v>
      </c>
      <c r="H81" s="40" t="n">
        <v>21.450000762939453</v>
      </c>
      <c r="I81" s="40" t="n">
        <v>18.420000076293945</v>
      </c>
      <c r="J81" s="40" t="n">
        <v>38.189998626708984</v>
      </c>
      <c r="K81" s="40" t="n">
        <v>28.889999389648438</v>
      </c>
      <c r="L81" s="40" t="n">
        <v>16.709999084472656</v>
      </c>
      <c r="M81" s="40" t="n">
        <v>20.299999237060547</v>
      </c>
    </row>
    <row r="82" spans="2:13">
      <c r="B82" s="122" t="s">
        <v>148</v>
      </c>
      <c r="C82" s="110" t="n">
        <v>0.0</v>
      </c>
      <c r="D82" s="40" t="n">
        <v>18.8700008392334</v>
      </c>
      <c r="E82" s="40" t="n">
        <v>12.109999656677246</v>
      </c>
      <c r="F82" s="40" t="n">
        <v>14.829999923706055</v>
      </c>
      <c r="G82" s="40" t="n">
        <v>11.520000457763672</v>
      </c>
      <c r="H82" s="40" t="n">
        <v>19.729999542236328</v>
      </c>
      <c r="I82" s="40" t="n">
        <v>12.130000114440918</v>
      </c>
      <c r="J82" s="40" t="n">
        <v>16.780000686645508</v>
      </c>
      <c r="K82" s="40" t="n">
        <v>14.90999984741211</v>
      </c>
      <c r="L82" s="40" t="n">
        <v>17.399999618530273</v>
      </c>
      <c r="M82" s="40" t="n">
        <v>9.59000015258789</v>
      </c>
    </row>
    <row r="83" spans="2:13">
      <c r="B83" s="122" t="s">
        <v>153</v>
      </c>
      <c r="C83" s="110" t="n">
        <v>19.260000228881836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