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<sst xmlns="http://schemas.openxmlformats.org/spreadsheetml/2006/main" count="231" uniqueCount="165">
  <si>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</si>
  <si>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</si>
  <si>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</si>
  <si>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</si>
  <si>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</si>
  <si>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</si>
  <si>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</si>
  <si>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</si>
  <si>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</si>
  <si>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</si>
  <si>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</si>
  <si>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</si>
  <si>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</si>
  <si>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</si>
  <si>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</si>
  <si>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</si>
  <si>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</si>
  <si>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</si>
  <si>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</si>
  <si>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</si>
  <si>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</si>
  <si>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</si>
  <si>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</si>
  <si>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</si>
  <si>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</si>
  <si>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</si>
  <si>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</si>
  <si>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</si>
  <si>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</si>
  <si>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</si>
  <si>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</si>
  <si>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</si>
  <si>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</si>
  <si>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</si>
  <si>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</si>
  <si>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</si>
  <si>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</si>
  <si>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</si>
  <si>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</si>
  <si>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</si>
  <si>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</si>
  <si>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</si>
  <si>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</si>
  <si>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</si>
  <si>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</si>
  <si>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</si>
  <si>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</si>
  <si>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</si>
  <si>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</si>
  <si>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</si>
  <si>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</si>
  <si>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</si>
  <si>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</si>
  <si>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</si>
  <si>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</si>
  <si>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</si>
  <si>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</si>
  <si>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</si>
  <si>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</si>
  <si>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</si>
  <si>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</si>
  <si>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</si>
  <si>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</si>
  <si>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</si>
  <si>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</si>
  <si>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</si>
  <si>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</si>
  <si>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</si>
  <si>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</si>
  <si>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</si>
  <si>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</si>
  <si>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</si>
  <si>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</si>
  <si>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</si>
  <si>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</si>
  <si>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</si>
  <si>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</si>
  <si>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</si>
  <si>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</si>
  <si>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</si>
  <si>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</si>
  <si>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</si>
  <si>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</si>
  <si>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</si>
  <si>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</si>
  <si>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</si>
  <si>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</si>
  <si>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</si>
  <si>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</si>
  <si>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</si>
  <si>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</si>
  <si>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</si>
  <si>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</si>
  <si>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</si>
  <si>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</si>
  <si>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</si>
  <si>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</si>
  <si>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</si>
  <si>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</si>
  <si>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</si>
  <si>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</si>
  <si>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</si>
  <si>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</si>
  <si>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</si>
  <si>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</si>
  <si>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</si>
  <si>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</si>
  <si>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</si>
  <si>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</si>
  <si>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</si>
  <si>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</si>
  <si>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</si>
  <si>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</si>
  <si>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</si>
  <si>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</si>
  <si>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</si>
  <si>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</si>
  <si>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</si>
  <si>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</si>
  <si>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</si>
  <si>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</si>
  <si>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</si>
  <si>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</si>
  <si>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</si>
  <si>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</si>
  <si>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</si>
  <si>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</si>
  <si>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</si>
  <si>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</si>
  <si>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</si>
  <si>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</si>
  <si>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</si>
  <si>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</si>
  <si>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</si>
  <si>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</si>
  <si>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</si>
  <si>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</si>
  <si>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</si>
  <si>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</si>
  <si>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</si>
  <si>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</si>
  <si>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</si>
  <si>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</si>
  <si>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</si>
  <si>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</si>
  <si>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</si>
  <si>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</si>
  <si>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</si>
  <si>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</si>
  <si>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</si>
  <si>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</si>
  <si>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</si>
  <si>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</si>
  <si>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</si>
  <si>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</si>
  <si>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</si>
  <si>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</si>
  <si>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</si>
  <si>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</si>
  <si>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</si>
  <si>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</si>
  <si>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</si>
  <si>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MDT_Medtronic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</si>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</sst>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4.650539904593858</v>
      </c>
      <c r="G12" s="119" t="n">
        <f>Financials!D76</f>
        <v>9.934097421203438</v>
      </c>
      <c r="H12" s="119" t="n">
        <f>Financials!E76</f>
        <v>8.077906333183986</v>
      </c>
      <c r="I12" s="119" t="n">
        <f>Financials!F76</f>
        <v>2.50738154379716</v>
      </c>
      <c r="J12" s="119" t="n">
        <f>Financials!G76</f>
        <v>3.5506402793946448</v>
      </c>
      <c r="K12" s="119" t="n">
        <f>Financials!H76</f>
        <v>4.033768288652773</v>
      </c>
      <c r="L12" s="119" t="n">
        <f>Financials!I76</f>
        <v>3.3963213812874073</v>
      </c>
      <c r="M12" s="119" t="n">
        <f>Financials!J76</f>
        <v>5.1631101299975475</v>
      </c>
      <c r="N12" s="119" t="n">
        <f>Financials!K76</f>
        <v>5.280684537264718</v>
      </c>
      <c r="O12" s="119" t="n">
        <f>Financials!L76</f>
        <v>3.8740035667475987</v>
      </c>
      <c r="P12" s="119" t="n">
        <f>Financials!M76</f>
        <v>5.538579907672016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8.25806347177407</v>
      </c>
      <c r="G14" s="40" t="n">
        <f>Financials!D77</f>
        <v>18.568903647367577</v>
      </c>
      <c r="H14" s="40" t="n">
        <f>Financials!E77</f>
        <v>15.764028184950883</v>
      </c>
      <c r="I14" s="40" t="n">
        <f>Financials!F77</f>
        <v>5.025361638173962</v>
      </c>
      <c r="J14" s="40" t="n">
        <f>Financials!G77</f>
        <v>6.795613007318057</v>
      </c>
      <c r="K14" s="40" t="n">
        <f>Financials!H77</f>
        <v>8.003179018478045</v>
      </c>
      <c r="L14" s="40" t="n">
        <f>Financials!I77</f>
        <v>6.107591200661131</v>
      </c>
      <c r="M14" s="40" t="n">
        <f>Financials!J77</f>
        <v>9.222894925515813</v>
      </c>
      <c r="N14" s="40" t="n">
        <f>Financials!K77</f>
        <v>9.413822928133355</v>
      </c>
      <c r="O14" s="40" t="n">
        <f>Financials!L77</f>
        <v>6.9879658159409335</v>
      </c>
      <c r="P14" s="40" t="n">
        <f>Financials!M77</f>
        <v>9.55804248861912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6" t="str">
        <f>V11</f>
        <v>L</v>
      </c>
      <c r="E16" s="47" t="n">
        <f>WACC!$C$25</f>
        <v>0.07457253104786471</v>
      </c>
      <c r="F16" s="124" t="n">
        <f>AVERAGE(L16:P16)</f>
        <v>6.576000022888183</v>
      </c>
      <c r="G16" s="40" t="n">
        <f>Financials!D78</f>
        <v>12.619999885559082</v>
      </c>
      <c r="H16" s="40" t="n">
        <f>Financials!E78</f>
        <v>10.390000343322754</v>
      </c>
      <c r="I16" s="40" t="n">
        <f>Financials!F78</f>
        <v>4.789999961853027</v>
      </c>
      <c r="J16" s="40" t="n">
        <f>Financials!G78</f>
        <v>5.0</v>
      </c>
      <c r="K16" s="40" t="n">
        <f>Financials!H78</f>
        <v>5.579999923706055</v>
      </c>
      <c r="L16" s="40" t="n">
        <f>Financials!I78</f>
        <v>4.670000076293945</v>
      </c>
      <c r="M16" s="40" t="n">
        <f>Financials!J78</f>
        <v>7.800000190734863</v>
      </c>
      <c r="N16" s="40" t="n">
        <f>Financials!K78</f>
        <v>7.400000095367432</v>
      </c>
      <c r="O16" s="40" t="n">
        <f>Financials!L78</f>
        <v>5.829999923706055</v>
      </c>
      <c r="P16" s="40" t="n">
        <f>Financials!M78</f>
        <v>7.179999828338623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2.3014924962962633</v>
      </c>
      <c r="G18" s="42" t="n">
        <f>Financials!D59</f>
        <v>4.519493670886076</v>
      </c>
      <c r="H18" s="42" t="n">
        <f>Financials!E59</f>
        <v>3.8154344306529953</v>
      </c>
      <c r="I18" s="42" t="n">
        <f>Financials!F59</f>
        <v>3.3624768341872886</v>
      </c>
      <c r="J18" s="42" t="n">
        <f>Financials!G59</f>
        <v>3.293789253314724</v>
      </c>
      <c r="K18" s="42" t="n">
        <f>Financials!H59</f>
        <v>1.7437605159842962</v>
      </c>
      <c r="L18" s="42" t="n">
        <f>Financials!I59</f>
        <v>2.2788575961919872</v>
      </c>
      <c r="M18" s="42" t="n">
        <f>Financials!J59</f>
        <v>2.592894239848914</v>
      </c>
      <c r="N18" s="42" t="n">
        <f>Financials!K59</f>
        <v>2.1253135249855295</v>
      </c>
      <c r="O18" s="42" t="n">
        <f>Financials!L59</f>
        <v>2.6499001057703606</v>
      </c>
      <c r="P18" s="42" t="n">
        <f>Financials!M59</f>
        <v>1.8604970146845248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4" t="str">
        <f>T11</f>
        <v>J</v>
      </c>
      <c r="E20" s="49" t="s">
        <v>137</v>
      </c>
      <c r="F20" s="125" t="n">
        <f>AVERAGE(L20:P20)</f>
        <v>0.7793645218542025</v>
      </c>
      <c r="G20" s="42" t="n">
        <f>Financials!D58</f>
        <v>0.8692089336404049</v>
      </c>
      <c r="H20" s="42" t="n">
        <f>Financials!E58</f>
        <v>0.9514992542303142</v>
      </c>
      <c r="I20" s="42" t="n">
        <f>Financials!F58</f>
        <v>1.0042269396956602</v>
      </c>
      <c r="J20" s="42" t="n">
        <f>Financials!G58</f>
        <v>0.9139119912413807</v>
      </c>
      <c r="K20" s="42" t="n">
        <f>Financials!H58</f>
        <v>0.9840453010133121</v>
      </c>
      <c r="L20" s="42" t="n">
        <f>Financials!I58</f>
        <v>0.7982960135374444</v>
      </c>
      <c r="M20" s="42" t="n">
        <f>Financials!J58</f>
        <v>0.7863060622958655</v>
      </c>
      <c r="N20" s="42" t="n">
        <f>Financials!K58</f>
        <v>0.7826898883472244</v>
      </c>
      <c r="O20" s="42" t="n">
        <f>Financials!L58</f>
        <v>0.8038098560161231</v>
      </c>
      <c r="P20" s="42" t="n">
        <f>Financials!M58</f>
        <v>0.7257207890743551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2.8657250537257477</v>
      </c>
      <c r="G22" s="42" t="n">
        <f>Financials!D60</f>
        <v>1.715568862275449</v>
      </c>
      <c r="H22" s="42" t="n">
        <f>Financials!E60</f>
        <v>2.2083065724684223</v>
      </c>
      <c r="I22" s="42" t="n">
        <f>Financials!F60</f>
        <v>6.556332556332556</v>
      </c>
      <c r="J22" s="42" t="n">
        <f>Financials!G60</f>
        <v>3.6673568818514006</v>
      </c>
      <c r="K22" s="42" t="n">
        <f>Financials!H60</f>
        <v>3.1230120481927712</v>
      </c>
      <c r="L22" s="42" t="n">
        <f>Financials!I60</f>
        <v>2.552671262386902</v>
      </c>
      <c r="M22" s="42" t="n">
        <f>Financials!J60</f>
        <v>2.742914752996527</v>
      </c>
      <c r="N22" s="42" t="n">
        <f>Financials!K60</f>
        <v>2.9542527502012343</v>
      </c>
      <c r="O22" s="42" t="n">
        <f>Financials!L60</f>
        <v>3.670748677984971</v>
      </c>
      <c r="P22" s="42" t="n">
        <f>Financials!M60</f>
        <v>2.4080378250591017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1027.5</v>
      </c>
      <c r="H24" s="40" t="n">
        <f>Financials!E12</f>
        <v>1013.5999755859375</v>
      </c>
      <c r="I24" s="40" t="n">
        <f>Financials!F12</f>
        <v>1109.0</v>
      </c>
      <c r="J24" s="40" t="n">
        <f>Financials!G12</f>
        <v>1425.9000244140625</v>
      </c>
      <c r="K24" s="40" t="n">
        <f>Financials!H12</f>
        <v>1391.4000244140625</v>
      </c>
      <c r="L24" s="40" t="n">
        <f>Financials!I12</f>
        <v>1368.199951171875</v>
      </c>
      <c r="M24" s="40" t="n">
        <f>Financials!J12</f>
        <v>1357.5</v>
      </c>
      <c r="N24" s="40" t="n">
        <f>Financials!K12</f>
        <v>1351.0999755859375</v>
      </c>
      <c r="O24" s="40" t="n">
        <f>Financials!L12</f>
        <v>1354.0</v>
      </c>
      <c r="P24" s="40" t="n">
        <f>Financials!M12</f>
        <v>1351.4000244140625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37.23600044250488</v>
      </c>
      <c r="G26" s="44" t="n">
        <f>Financials!D81</f>
        <v>15.34000015258789</v>
      </c>
      <c r="H26" s="44" t="n">
        <f>Financials!E81</f>
        <v>24.979999542236328</v>
      </c>
      <c r="I26" s="44" t="n">
        <f>Financials!F81</f>
        <v>46.619998931884766</v>
      </c>
      <c r="J26" s="44" t="n">
        <f>Financials!G81</f>
        <v>23.739999771118164</v>
      </c>
      <c r="K26" s="44" t="n">
        <f>Financials!H81</f>
        <v>22.18000030517578</v>
      </c>
      <c r="L26" s="44" t="n">
        <f>Financials!I81</f>
        <v>54.470001220703125</v>
      </c>
      <c r="M26" s="44" t="n">
        <f>Financials!J81</f>
        <v>32.880001068115234</v>
      </c>
      <c r="N26" s="44" t="n">
        <f>Financials!K81</f>
        <v>44.880001068115234</v>
      </c>
      <c r="O26" s="44" t="n">
        <f>Financials!L81</f>
        <v>29.809999465942383</v>
      </c>
      <c r="P26" s="44" t="n">
        <f>Financials!M81</f>
        <v>24.139999389648438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20.79199981689453</v>
      </c>
      <c r="G28" s="44" t="n">
        <f>Financials!D82</f>
        <v>12.510000228881836</v>
      </c>
      <c r="H28" s="44" t="n">
        <f>Financials!E82</f>
        <v>17.440000534057617</v>
      </c>
      <c r="I28" s="44" t="n">
        <f>Financials!F82</f>
        <v>17.65999984741211</v>
      </c>
      <c r="J28" s="44" t="n">
        <f>Financials!G82</f>
        <v>16.34000015258789</v>
      </c>
      <c r="K28" s="44" t="n">
        <f>Financials!H82</f>
        <v>20.209999084472656</v>
      </c>
      <c r="L28" s="44" t="n">
        <f>Financials!I82</f>
        <v>21.020000457763672</v>
      </c>
      <c r="M28" s="44" t="n">
        <f>Financials!J82</f>
        <v>20.399999618530273</v>
      </c>
      <c r="N28" s="44" t="n">
        <f>Financials!K82</f>
        <v>26.389999389648438</v>
      </c>
      <c r="O28" s="44" t="n">
        <f>Financials!L82</f>
        <v>19.59000015258789</v>
      </c>
      <c r="P28" s="44" t="n">
        <f>Financials!M82</f>
        <v>16.559999465942383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2.2200000286102295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0.10577176856171855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0.02915158284649988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-0.018416959323199533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0.08301630479020483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0.10175372913869052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0.038099666855591297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0.011312600235921622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0.06684690881331834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0.5667001437280403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0.06287235108956613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0.07329604533780773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0.13616839642737386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107.76000213623047</v>
      </c>
    </row>
    <row r="6" spans="2:16">
      <c r="B6" s="4" t="s">
        <v>5</v>
      </c>
      <c r="C6" s="59" t="n">
        <v>1.2394E7</v>
      </c>
    </row>
    <row r="7" spans="2:16">
      <c r="B7" s="4" t="s">
        <v>4</v>
      </c>
      <c r="C7" s="59" t="n">
        <v>2.5865E7</v>
      </c>
    </row>
    <row r="8" spans="2:16">
      <c r="B8" s="4" t="s">
        <v>3</v>
      </c>
      <c r="C8" s="59" t="n">
        <v>592000.0</v>
      </c>
    </row>
    <row r="9" spans="2:16">
      <c r="B9" s="10" t="s">
        <v>6</v>
      </c>
      <c r="C9" s="59" t="n">
        <v>5415000.0</v>
      </c>
    </row>
    <row r="10" spans="2:16">
      <c r="B10" s="10" t="s">
        <v>7</v>
      </c>
      <c r="C10" s="59" t="n">
        <v>1328000.0</v>
      </c>
    </row>
    <row r="11" spans="2:16">
      <c r="B11" s="10" t="s">
        <v>9</v>
      </c>
      <c r="C11" s="60" t="n">
        <v>0.7200000286102295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3.8259E7</v>
      </c>
    </row>
    <row r="18" spans="2:15" ht="18" thickTop="1" thickBot="1">
      <c r="B18" s="2" t="s">
        <v>20</v>
      </c>
      <c r="C18" s="12" t="n">
        <f>C8/C17</f>
        <v>0.01547348336339162</v>
      </c>
    </row>
    <row r="19" spans="2:15" ht="18" thickTop="1" thickBot="1">
      <c r="B19" s="2" t="s">
        <v>19</v>
      </c>
      <c r="C19" s="12" t="n">
        <f>C14+C11*(C15-C14)</f>
        <v>0.09564000248908992</v>
      </c>
    </row>
    <row r="20" spans="2:15" ht="18" thickTop="1" thickBot="1">
      <c r="B20" s="2" t="s">
        <v>18</v>
      </c>
      <c r="C20" s="12" t="n">
        <f>C8/C17</f>
        <v>0.01547348336339162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1.4601900213623E8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0.7379861563202175</v>
      </c>
      <c r="K22" t="s" s="0">
        <v>12</v>
      </c>
    </row>
    <row r="23" spans="2:15" ht="18" thickTop="1" thickBot="1">
      <c r="B23" s="16" t="s">
        <v>24</v>
      </c>
      <c r="C23" s="12" t="n">
        <f>C17/C21</f>
        <v>0.26201384367978253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0.07457253104786471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0.07457253104786471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0.014999999664723873</v>
      </c>
    </row>
    <row r="7" spans="2:12">
      <c r="B7" s="18" t="s">
        <v>31</v>
      </c>
      <c r="C7" s="13" t="n">
        <f>AVERAGEIF(C28:L28, "&lt;0.5")</f>
        <v>0.14791122896660278</v>
      </c>
    </row>
    <row r="8" spans="2:12">
      <c r="B8" s="18" t="s">
        <v>112</v>
      </c>
      <c r="C8" s="13" t="n">
        <f>AVERAGEIF(C29:L29,"&lt;2")</f>
        <v>1.3208785553510831</v>
      </c>
    </row>
    <row r="9" spans="2:12">
      <c r="B9" s="18" t="s">
        <v>136</v>
      </c>
      <c r="C9" s="66" t="n">
        <v>14.420000076293945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1.328709248E9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16590.0</v>
      </c>
      <c r="D16" s="21" t="n">
        <f>Financials!E3</f>
        <v>17005.0</v>
      </c>
      <c r="E16" s="21" t="n">
        <f>Financials!F3</f>
        <v>20261.0</v>
      </c>
      <c r="F16" s="21" t="n">
        <f>Financials!G3</f>
        <v>28833.0</v>
      </c>
      <c r="G16" s="21" t="n">
        <f>Financials!H3</f>
        <v>29710.0</v>
      </c>
      <c r="H16" s="21" t="n">
        <f>Financials!I3</f>
        <v>29953.0</v>
      </c>
      <c r="I16" s="21" t="n">
        <f>Financials!J3</f>
        <v>30557.0</v>
      </c>
      <c r="J16" s="21" t="n">
        <f>Financials!K3</f>
        <v>28913.0</v>
      </c>
      <c r="K16" s="21" t="n">
        <f>Financials!L3</f>
        <v>30117.0</v>
      </c>
      <c r="L16" s="21" t="n">
        <f>Financials!M3</f>
        <v>31686.0</v>
      </c>
    </row>
    <row r="17" spans="2:12">
      <c r="B17" s="18" t="s">
        <v>27</v>
      </c>
      <c r="C17" s="22"/>
      <c r="D17" s="20" t="n">
        <f t="shared" ref="D17:L17" si="0">(D16-C16)/C16</f>
        <v>0.025015069318866788</v>
      </c>
      <c r="E17" s="20" t="n">
        <f t="shared" si="0"/>
        <v>0.19147309614819172</v>
      </c>
      <c r="F17" s="20" t="n">
        <f t="shared" si="0"/>
        <v>0.42307882138097824</v>
      </c>
      <c r="G17" s="20" t="n">
        <f t="shared" si="0"/>
        <v>0.030416536607359622</v>
      </c>
      <c r="H17" s="20" t="n">
        <f t="shared" si="0"/>
        <v>0.008179064288118479</v>
      </c>
      <c r="I17" s="20" t="n">
        <f t="shared" si="0"/>
        <v>0.020164925049243814</v>
      </c>
      <c r="J17" s="20" t="n">
        <f t="shared" si="0"/>
        <v>-0.05380109303923814</v>
      </c>
      <c r="K17" s="20" t="n">
        <f t="shared" si="0"/>
        <v>0.04164216788295922</v>
      </c>
      <c r="L17" s="20" t="n">
        <f t="shared" si="0"/>
        <v>0.05209682239266859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3467.0</v>
      </c>
      <c r="D19" s="21" t="n">
        <f>Financials!E6</f>
        <v>3065.0</v>
      </c>
      <c r="E19" s="21" t="n">
        <f>Financials!F6</f>
        <v>2675.0</v>
      </c>
      <c r="F19" s="21" t="n">
        <f>Financials!G6</f>
        <v>3538.0</v>
      </c>
      <c r="G19" s="21" t="n">
        <f>Financials!H6</f>
        <v>4028.0</v>
      </c>
      <c r="H19" s="21" t="n">
        <f>Financials!I6</f>
        <v>3104.0</v>
      </c>
      <c r="I19" s="21" t="n">
        <f>Financials!J6</f>
        <v>4631.0</v>
      </c>
      <c r="J19" s="21" t="n">
        <f>Financials!K6</f>
        <v>4789.0</v>
      </c>
      <c r="K19" s="21" t="n">
        <f>Financials!L6</f>
        <v>3606.0</v>
      </c>
      <c r="L19" s="21" t="n">
        <f>Financials!M6</f>
        <v>5039.0</v>
      </c>
    </row>
    <row r="20" spans="2:12">
      <c r="B20" s="18" t="s">
        <v>27</v>
      </c>
      <c r="C20" s="22"/>
      <c r="D20" s="20" t="n">
        <f>(D19-C19)/C19</f>
        <v>-0.115950389385636</v>
      </c>
      <c r="E20" s="20" t="n">
        <f t="shared" ref="E20:L20" si="1">(E19-D19)/D19</f>
        <v>-0.1272430668841762</v>
      </c>
      <c r="F20" s="20" t="n">
        <f t="shared" si="1"/>
        <v>0.3226168224299065</v>
      </c>
      <c r="G20" s="20" t="n">
        <f t="shared" si="1"/>
        <v>0.13849632560768796</v>
      </c>
      <c r="H20" s="20" t="n">
        <f t="shared" si="1"/>
        <v>-0.22939424031777558</v>
      </c>
      <c r="I20" s="20" t="n">
        <f t="shared" si="1"/>
        <v>0.49194587628865977</v>
      </c>
      <c r="J20" s="20" t="n">
        <f t="shared" si="1"/>
        <v>0.03411790110127402</v>
      </c>
      <c r="K20" s="20" t="n">
        <f t="shared" si="1"/>
        <v>-0.2470244309876801</v>
      </c>
      <c r="L20" s="20" t="n">
        <f t="shared" si="1"/>
        <v>0.39739323349972266</v>
      </c>
    </row>
    <row r="22" spans="2:12">
      <c r="B22" s="18" t="s">
        <v>30</v>
      </c>
      <c r="C22" s="25" t="n">
        <f>Financials!D20</f>
        <v>4485.0</v>
      </c>
      <c r="D22" s="25" t="n">
        <f>Financials!E20</f>
        <v>4563.0</v>
      </c>
      <c r="E22" s="25" t="n">
        <f>Financials!F20</f>
        <v>4331.0</v>
      </c>
      <c r="F22" s="25" t="n">
        <f>Financials!G20</f>
        <v>4172.0</v>
      </c>
      <c r="G22" s="25" t="n">
        <f>Financials!H20</f>
        <v>5626.0</v>
      </c>
      <c r="H22" s="25" t="n">
        <f>Financials!I20</f>
        <v>3616.0</v>
      </c>
      <c r="I22" s="25" t="n">
        <f>Financials!J20</f>
        <v>5873.0</v>
      </c>
      <c r="J22" s="25" t="n">
        <f>Financials!K20</f>
        <v>6021.0</v>
      </c>
      <c r="K22" s="25" t="n">
        <f>Financials!L20</f>
        <v>4885.0</v>
      </c>
      <c r="L22" s="25" t="n">
        <f>Financials!M20</f>
        <v>5978.0</v>
      </c>
    </row>
    <row r="23" spans="2:12">
      <c r="B23" s="18" t="s">
        <v>27</v>
      </c>
      <c r="C23" s="26"/>
      <c r="D23" s="26" t="n">
        <f>(D22-C22)/C22</f>
        <v>0.017391304347826087</v>
      </c>
      <c r="E23" s="26" t="n">
        <f t="shared" ref="E23:L23" si="2">(E22-D22)/D22</f>
        <v>-0.05084374315143546</v>
      </c>
      <c r="F23" s="26" t="n">
        <f t="shared" si="2"/>
        <v>-0.036712075733087046</v>
      </c>
      <c r="G23" s="26" t="n">
        <f t="shared" si="2"/>
        <v>0.34851390220517736</v>
      </c>
      <c r="H23" s="26" t="n">
        <f t="shared" si="2"/>
        <v>-0.35726981869889796</v>
      </c>
      <c r="I23" s="26" t="n">
        <f t="shared" si="2"/>
        <v>0.6241703539823009</v>
      </c>
      <c r="J23" s="26" t="n">
        <f t="shared" si="2"/>
        <v>0.025200068108292183</v>
      </c>
      <c r="K23" s="26" t="n">
        <f t="shared" si="2"/>
        <v>-0.18867297791064608</v>
      </c>
      <c r="L23" s="26" t="n">
        <f t="shared" si="2"/>
        <v>0.22374616171954964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5678.0</v>
      </c>
      <c r="D25" s="62" t="n">
        <f>Financials!E9</f>
        <v>4671.0</v>
      </c>
      <c r="E25" s="62" t="n">
        <f>Financials!F9</f>
        <v>5148.0</v>
      </c>
      <c r="F25" s="62" t="n">
        <f>Financials!G9</f>
        <v>8210.0</v>
      </c>
      <c r="G25" s="62" t="n">
        <f>Financials!H9</f>
        <v>8300.0</v>
      </c>
      <c r="H25" s="62" t="n">
        <f>Financials!I9</f>
        <v>9284.0</v>
      </c>
      <c r="I25" s="62" t="n">
        <f>Financials!J9</f>
        <v>8927.0</v>
      </c>
      <c r="J25" s="62" t="n">
        <f>Financials!K9</f>
        <v>7454.0</v>
      </c>
      <c r="K25" s="62" t="n">
        <f>Financials!L9</f>
        <v>7186.0</v>
      </c>
      <c r="L25" s="62" t="n">
        <f>Financials!M9</f>
        <v>8460.0</v>
      </c>
    </row>
    <row r="26" spans="2:12">
      <c r="B26" s="18" t="s">
        <v>27</v>
      </c>
      <c r="C26" s="63"/>
      <c r="D26" s="63" t="n">
        <f>Financials!E10</f>
        <v>-0.17735117999295527</v>
      </c>
      <c r="E26" s="63" t="n">
        <f>Financials!F10</f>
        <v>0.10211946050096339</v>
      </c>
      <c r="F26" s="63" t="n">
        <f>Financials!G10</f>
        <v>0.5947940947940948</v>
      </c>
      <c r="G26" s="63" t="n">
        <f>Financials!H10</f>
        <v>0.010962241169305725</v>
      </c>
      <c r="H26" s="63" t="n">
        <f>Financials!I10</f>
        <v>0.11855421686746988</v>
      </c>
      <c r="I26" s="63" t="n">
        <f>Financials!J10</f>
        <v>-0.038453252908229214</v>
      </c>
      <c r="J26" s="63" t="n">
        <f>Financials!K10</f>
        <v>-0.16500504088719614</v>
      </c>
      <c r="K26" s="63" t="n">
        <f>Financials!L10</f>
        <v>-0.03595385028172793</v>
      </c>
      <c r="L26" s="63" t="n">
        <f>Financials!M10</f>
        <v>0.17728917339270805</v>
      </c>
    </row>
    <row r="28" spans="2:12" ht="15" thickBot="1">
      <c r="B28" s="1" t="s">
        <v>31</v>
      </c>
      <c r="C28" s="24" t="n">
        <f t="shared" ref="C28:L28" si="3">C19/C16</f>
        <v>0.20898131404460518</v>
      </c>
      <c r="D28" s="24" t="n">
        <f t="shared" si="3"/>
        <v>0.18024110555718906</v>
      </c>
      <c r="E28" s="24" t="n">
        <f t="shared" si="3"/>
        <v>0.13202704703617787</v>
      </c>
      <c r="F28" s="24" t="n">
        <f t="shared" si="3"/>
        <v>0.12270662088579058</v>
      </c>
      <c r="G28" s="24" t="n">
        <f t="shared" si="3"/>
        <v>0.13557724671827667</v>
      </c>
      <c r="H28" s="24" t="n">
        <f t="shared" si="3"/>
        <v>0.10362901879611391</v>
      </c>
      <c r="I28" s="24" t="n">
        <f t="shared" si="3"/>
        <v>0.1515528356841313</v>
      </c>
      <c r="J28" s="24" t="n">
        <f t="shared" si="3"/>
        <v>0.16563483554110608</v>
      </c>
      <c r="K28" s="24" t="n">
        <f t="shared" si="3"/>
        <v>0.11973304113955573</v>
      </c>
      <c r="L28" s="24" t="n">
        <f t="shared" si="3"/>
        <v>0.1590292242630815</v>
      </c>
    </row>
    <row r="29" spans="2:12" ht="15" thickBot="1">
      <c r="B29" s="1" t="s">
        <v>32</v>
      </c>
      <c r="C29" s="24" t="n">
        <f t="shared" ref="C29:L29" si="4">C22/C19</f>
        <v>1.2936256129218344</v>
      </c>
      <c r="D29" s="24" t="n">
        <f t="shared" si="4"/>
        <v>1.4887438825448613</v>
      </c>
      <c r="E29" s="24" t="n">
        <f t="shared" si="4"/>
        <v>1.6190654205607478</v>
      </c>
      <c r="F29" s="24" t="n">
        <f t="shared" si="4"/>
        <v>1.1791972866026004</v>
      </c>
      <c r="G29" s="24" t="n">
        <f t="shared" si="4"/>
        <v>1.3967229394240317</v>
      </c>
      <c r="H29" s="24" t="n">
        <f t="shared" si="4"/>
        <v>1.1649484536082475</v>
      </c>
      <c r="I29" s="24" t="n">
        <f t="shared" si="4"/>
        <v>1.2681926149859641</v>
      </c>
      <c r="J29" s="24" t="n">
        <f t="shared" si="4"/>
        <v>1.2572562121528503</v>
      </c>
      <c r="K29" s="24" t="n">
        <f t="shared" si="4"/>
        <v>1.3546866333887964</v>
      </c>
      <c r="L29" s="24" t="n">
        <f t="shared" si="4"/>
        <v>1.186346497320897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30931.87318262457</v>
      </c>
      <c r="D36" s="21" t="n">
        <f>C36*(D37+1)</f>
        <v>32283.595991479076</v>
      </c>
      <c r="E36" s="21" t="n">
        <f>D36*(E37+1)</f>
        <v>33723.44433209728</v>
      </c>
      <c r="F36" s="21" t="n">
        <f t="shared" ref="F36:L36" si="5">E36*(F37+1)</f>
        <v>34229.29598577196</v>
      </c>
      <c r="G36" s="21" t="n">
        <f t="shared" si="5"/>
        <v>34742.735414082184</v>
      </c>
      <c r="H36" s="21" t="n">
        <f t="shared" si="5"/>
        <v>35263.87643364489</v>
      </c>
      <c r="I36" s="21" t="n">
        <f t="shared" si="5"/>
        <v>35792.8345683263</v>
      </c>
      <c r="J36" s="21" t="n">
        <f t="shared" si="5"/>
        <v>36329.727074850576</v>
      </c>
      <c r="K36" s="21" t="n">
        <f t="shared" si="5"/>
        <v>36874.67296879273</v>
      </c>
      <c r="L36" s="21" t="n">
        <f t="shared" si="5"/>
        <v>37427.79305096125</v>
      </c>
    </row>
    <row r="37" spans="2:12">
      <c r="B37" s="18" t="s">
        <v>27</v>
      </c>
      <c r="C37" s="68" t="n">
        <v>-0.023800000548362732</v>
      </c>
      <c r="D37" s="68" t="n">
        <v>0.043699998408555984</v>
      </c>
      <c r="E37" s="68" t="n">
        <v>0.044599998742341995</v>
      </c>
      <c r="F37" s="27" t="n">
        <f>C6</f>
        <v>0.014999999664723873</v>
      </c>
      <c r="G37" s="27" t="n">
        <f>C6</f>
        <v>0.014999999664723873</v>
      </c>
      <c r="H37" s="27" t="n">
        <f>C6</f>
        <v>0.014999999664723873</v>
      </c>
      <c r="I37" s="27" t="n">
        <f>C6</f>
        <v>0.014999999664723873</v>
      </c>
      <c r="J37" s="27" t="n">
        <f>C6</f>
        <v>0.014999999664723873</v>
      </c>
      <c r="K37" s="27" t="n">
        <f>C6</f>
        <v>0.014999999664723873</v>
      </c>
      <c r="L37" s="27" t="n">
        <f>C6</f>
        <v>0.014999999664723873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4575.171376681114</v>
      </c>
      <c r="D39" s="21" t="n">
        <f>D36*C7</f>
        <v>4775.106358560972</v>
      </c>
      <c r="E39" s="21" t="n">
        <f>E36*C7</f>
        <v>4988.076096147334</v>
      </c>
      <c r="F39" s="21" t="n">
        <f>F36*C7</f>
        <v>5062.897235917148</v>
      </c>
      <c r="G39" s="21" t="n">
        <f>G36*C7</f>
        <v>5138.840692758419</v>
      </c>
      <c r="H39" s="21" t="n">
        <f>H36*C7</f>
        <v>5215.923301426847</v>
      </c>
      <c r="I39" s="21" t="n">
        <f>I36*C7</f>
        <v>5294.162149199454</v>
      </c>
      <c r="J39" s="21" t="n">
        <f>J36*C7</f>
        <v>5373.574579662423</v>
      </c>
      <c r="K39" s="21" t="n">
        <f>K36*C7</f>
        <v>5454.178196555704</v>
      </c>
      <c r="L39" s="21" t="n">
        <f>L36*C7</f>
        <v>5535.990867675355</v>
      </c>
    </row>
    <row r="40" spans="2:12">
      <c r="B40" s="18"/>
      <c r="C40" s="20" t="n">
        <f>(C39-L19)/L19</f>
        <v>-0.09204775219664338</v>
      </c>
      <c r="D40" s="20" t="n">
        <f>(D39-C39)/C39</f>
        <v>0.0436999984085607</v>
      </c>
      <c r="E40" s="20" t="n">
        <f t="shared" ref="E40:L40" si="6">(E39-D39)/D39</f>
        <v>0.04459999874234063</v>
      </c>
      <c r="F40" s="20" t="n">
        <f t="shared" si="6"/>
        <v>0.014999999664721103</v>
      </c>
      <c r="G40" s="20" t="n">
        <f t="shared" si="6"/>
        <v>0.01499999966472052</v>
      </c>
      <c r="H40" s="20" t="n">
        <f t="shared" si="6"/>
        <v>0.014999999664720313</v>
      </c>
      <c r="I40" s="20" t="n">
        <f t="shared" si="6"/>
        <v>0.014999999664719849</v>
      </c>
      <c r="J40" s="20" t="n">
        <f t="shared" si="6"/>
        <v>0.014999999664720837</v>
      </c>
      <c r="K40" s="20" t="n">
        <f t="shared" si="6"/>
        <v>0.014999999664719326</v>
      </c>
      <c r="L40" s="20" t="n">
        <f t="shared" si="6"/>
        <v>0.0149999996647186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6043.2457585141565</v>
      </c>
      <c r="D42" s="21" t="n">
        <f>D39*C8</f>
        <v>6307.33558854377</v>
      </c>
      <c r="E42" s="21" t="n">
        <f>E39*C8</f>
        <v>6588.64274786034</v>
      </c>
      <c r="F42" s="21" t="n">
        <f>F39*C8</f>
        <v>6687.472386869221</v>
      </c>
      <c r="G42" s="21" t="n">
        <f>G39*C8</f>
        <v>6787.784470430085</v>
      </c>
      <c r="H42" s="21" t="n">
        <f>H39*C8</f>
        <v>6889.601235210734</v>
      </c>
      <c r="I42" s="21" t="n">
        <f>I39*C8</f>
        <v>6992.945251428939</v>
      </c>
      <c r="J42" s="21" t="n">
        <f>J39*C8</f>
        <v>7097.839427855784</v>
      </c>
      <c r="K42" s="21" t="n">
        <f>K39*C8</f>
        <v>7204.307016893852</v>
      </c>
      <c r="L42" s="21" t="n">
        <f>L39*C8</f>
        <v>7312.371619731788</v>
      </c>
    </row>
    <row r="43" spans="2:12">
      <c r="B43" s="18" t="s">
        <v>27</v>
      </c>
      <c r="C43" s="20" t="n">
        <f>(C42-L22)/L22</f>
        <v>0.010914312230538056</v>
      </c>
      <c r="D43" s="20" t="n">
        <f>(D42-C42)/C42</f>
        <v>0.04369999840856136</v>
      </c>
      <c r="E43" s="20" t="n">
        <f t="shared" ref="E43:L43" si="7">(E42-D42)/D42</f>
        <v>0.04459999874234025</v>
      </c>
      <c r="F43" s="20" t="n">
        <f t="shared" si="7"/>
        <v>0.014999999664722404</v>
      </c>
      <c r="G43" s="20" t="n">
        <f t="shared" si="7"/>
        <v>0.014999999664720216</v>
      </c>
      <c r="H43" s="20" t="n">
        <f t="shared" si="7"/>
        <v>0.014999999664720888</v>
      </c>
      <c r="I43" s="20" t="n">
        <f t="shared" si="7"/>
        <v>0.014999999664718483</v>
      </c>
      <c r="J43" s="20" t="n">
        <f t="shared" si="7"/>
        <v>0.014999999664720941</v>
      </c>
      <c r="K43" s="20" t="n">
        <f t="shared" si="7"/>
        <v>0.014999999664719281</v>
      </c>
      <c r="L43" s="20" t="n">
        <f t="shared" si="7"/>
        <v>0.014999999664718378</v>
      </c>
    </row>
    <row r="45" spans="2:12">
      <c r="B45" s="18" t="s">
        <v>47</v>
      </c>
      <c r="C45" s="60" t="n">
        <v>8613.0</v>
      </c>
      <c r="D45" s="60" t="n">
        <v>8512.0</v>
      </c>
      <c r="E45" s="60" t="n">
        <v>9198.0</v>
      </c>
      <c r="F45" s="21" t="n">
        <f t="shared" ref="E45:L45" si="8">E45*(1+F46)</f>
        <v>9565.919991776344</v>
      </c>
      <c r="G45" s="21" t="n">
        <f t="shared" si="8"/>
        <v>9948.556782894791</v>
      </c>
      <c r="H45" s="21" t="n">
        <f t="shared" si="8"/>
        <v>10346.499045315875</v>
      </c>
      <c r="I45" s="21" t="n">
        <f t="shared" si="8"/>
        <v>10760.358997878042</v>
      </c>
      <c r="J45" s="21" t="n">
        <f t="shared" si="8"/>
        <v>11190.773348172606</v>
      </c>
      <c r="K45" s="21" t="n">
        <f t="shared" si="8"/>
        <v>11638.404272094169</v>
      </c>
      <c r="L45" s="21" t="n">
        <f t="shared" si="8"/>
        <v>12103.940432572419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1.0745725310478647</v>
      </c>
      <c r="D51" s="61" t="n">
        <f>POWER((1+C4),2)</f>
        <v>1.154706124482614</v>
      </c>
      <c r="E51" s="61" t="n">
        <f>POWER((1+C4),3)</f>
        <v>1.2408154828017532</v>
      </c>
      <c r="F51" s="61" t="n">
        <f>POWER((1+C4),4)</f>
        <v>1.3333462339176583</v>
      </c>
      <c r="G51" s="61" t="n">
        <f>POWER((1+C4),5)</f>
        <v>1.4327772373440362</v>
      </c>
      <c r="H51" s="61" t="n">
        <f>POWER((1+C4),6)</f>
        <v>1.539623062360548</v>
      </c>
      <c r="I51" s="61" t="n">
        <f>POWER((1+C4),7)</f>
        <v>1.6544366509804385</v>
      </c>
      <c r="J51" s="61" t="n">
        <f>POWER((1+C4),8)</f>
        <v>1.7778121795024024</v>
      </c>
      <c r="K51" s="61" t="n">
        <f>POWER((1+C4),9)</f>
        <v>1.9103881334556172</v>
      </c>
      <c r="L51" s="61" t="n">
        <f>POWER((1+C4),10)</f>
        <v>2.0528506118512087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5623.860264342642</v>
      </c>
      <c r="D53" s="21" t="n">
        <f t="shared" si="9"/>
        <v>5462.286424929029</v>
      </c>
      <c r="E53" s="21" t="n">
        <f t="shared" si="9"/>
        <v>5309.9295094088</v>
      </c>
      <c r="F53" s="21" t="n">
        <f t="shared" si="9"/>
        <v>5015.5557624518715</v>
      </c>
      <c r="G53" s="21" t="n">
        <f t="shared" si="9"/>
        <v>4737.501611215365</v>
      </c>
      <c r="H53" s="21" t="n">
        <f t="shared" si="9"/>
        <v>4474.8623241896585</v>
      </c>
      <c r="I53" s="21" t="n">
        <f t="shared" si="9"/>
        <v>4226.783326689984</v>
      </c>
      <c r="J53" s="21" t="n">
        <f t="shared" si="9"/>
        <v>3992.4574202447116</v>
      </c>
      <c r="K53" s="21" t="n">
        <f t="shared" si="9"/>
        <v>3771.1221561360335</v>
      </c>
      <c r="L53" s="21" t="n">
        <f t="shared" si="9"/>
        <v>3562.057354547428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2.2059368778401107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73651.85337996553</v>
      </c>
    </row>
    <row r="60" spans="2:12" ht="15" thickBot="1">
      <c r="B60" s="5" t="s">
        <v>41</v>
      </c>
      <c r="C60" s="23" t="n">
        <f>C59/C55</f>
        <v>33388.01491549474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119828.26953412105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90.18396591616182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174538.82196115082</v>
      </c>
    </row>
    <row r="70" spans="2:12" ht="15" thickBot="1">
      <c r="B70" s="5" t="s">
        <v>41</v>
      </c>
      <c r="C70" s="23" t="n">
        <f>C69/C55</f>
        <v>79122.31021408305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125298.72636823857</v>
      </c>
    </row>
    <row r="73" spans="2:12" ht="15" thickTop="1"/>
    <row r="74" spans="2:12" ht="18.5">
      <c r="B74" s="69" t="s">
        <v>42</v>
      </c>
      <c r="C74" s="70" t="n">
        <f>C72/(C11/1000000)</f>
        <v>94.30108698109927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3.0399999618530273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1.0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24.209954447336198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2.6700000762939453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2.6700000762939453</v>
      </c>
    </row>
    <row r="7" spans="2:16" ht="15" thickBot="1">
      <c r="B7" s="89" t="s">
        <v>121</v>
      </c>
      <c r="C7" s="90" t="n">
        <f>P6*(1+P7)</f>
        <v>2.743425077994177</v>
      </c>
      <c r="D7" s="90" t="n">
        <f>C7*(1+P7)</f>
        <v>2.8188692672302222</v>
      </c>
      <c r="E7" s="90" t="n">
        <f>D7*(1+P7)</f>
        <v>2.8963881716590114</v>
      </c>
      <c r="F7" s="90" t="n">
        <f>E7*(1+P7)</f>
        <v>2.976038845948042</v>
      </c>
      <c r="G7" s="90" t="n">
        <f>F7*(1+P7)</f>
        <v>3.0578799137681516</v>
      </c>
      <c r="H7" s="90" t="n">
        <f>G7*(1+P7)</f>
        <v>3.1419716109411193</v>
      </c>
      <c r="I7" s="90" t="n">
        <f>H7*(1+P7)</f>
        <v>3.2283758297738157</v>
      </c>
      <c r="J7" s="90" t="n">
        <f>I7*(1+P7)</f>
        <v>3.3171561646115397</v>
      </c>
      <c r="K7" s="90" t="n">
        <f>J7*(1+P7)</f>
        <v>3.408377958644068</v>
      </c>
      <c r="L7" s="90" t="n">
        <f>K7*(1+P7)</f>
        <v>3.5021083519988996</v>
      </c>
      <c r="M7" s="159" t="n">
        <f>L7*(1+P7)/(P8-P7)</f>
        <v>76.44407979904443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2.5530385327446936</v>
      </c>
      <c r="D8" s="90" t="n">
        <f>D7/(1+P8)^2</f>
        <v>2.4412005855544177</v>
      </c>
      <c r="E8" s="90" t="n">
        <f>E7/(1+P8)^3</f>
        <v>2.334261791381739</v>
      </c>
      <c r="F8" s="90" t="n">
        <f>F7/(1+P8)^4</f>
        <v>2.232007538809926</v>
      </c>
      <c r="G8" s="90" t="n">
        <f>G7/(1+P8)^5</f>
        <v>2.134232617651427</v>
      </c>
      <c r="H8" s="90" t="n">
        <f>H7/(1+P8)^6</f>
        <v>2.040740807119276</v>
      </c>
      <c r="I8" s="90" t="n">
        <f>I7/(1+P8)^7</f>
        <v>1.9513444820390335</v>
      </c>
      <c r="J8" s="90" t="n">
        <f>J7/(1+P8)^8</f>
        <v>1.8658642363109437</v>
      </c>
      <c r="K8" s="90" t="n">
        <f>K7/(1+P8)^9</f>
        <v>1.784128522866607</v>
      </c>
      <c r="L8" s="90" t="n">
        <f>L7/(1+P8)^10</f>
        <v>1.705973309397699</v>
      </c>
      <c r="M8" s="159" t="n">
        <f>M7/POWER((1+P8),10)</f>
        <v>37.238013987831785</v>
      </c>
      <c r="N8" s="160"/>
      <c r="O8" s="91" t="s">
        <v>124</v>
      </c>
      <c r="P8" s="105" t="n">
        <f>WACC!$C$25</f>
        <v>0.07457253104786471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58.2808064117075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2.6700000762939453</v>
      </c>
    </row>
    <row r="16" spans="2:16" ht="15" thickBot="1">
      <c r="B16" s="89" t="s">
        <v>121</v>
      </c>
      <c r="C16" s="90" t="n">
        <f>P15*(1+P16)</f>
        <v>2.756775075590623</v>
      </c>
      <c r="D16" s="90" t="n">
        <f>C16*(1+P16)</f>
        <v>2.846370262260991</v>
      </c>
      <c r="E16" s="90" t="n">
        <f>D16*(1+P16)</f>
        <v>2.9388772923913424</v>
      </c>
      <c r="F16" s="90" t="n">
        <f>E16*(1+P16)</f>
        <v>3.034390800890652</v>
      </c>
      <c r="G16" s="90" t="n">
        <f>F16*(1+P16)</f>
        <v>3.1330084983023294</v>
      </c>
      <c r="H16" s="90" t="n">
        <f>G16*(1+P16)</f>
        <v>3.2348312707623275</v>
      </c>
      <c r="I16" s="90" t="n">
        <f>H16*(1+P16)</f>
        <v>3.3399632832058956</v>
      </c>
      <c r="J16" s="90" t="n">
        <f>I16*(1+P16)</f>
        <v>3.448512085928555</v>
      </c>
      <c r="K16" s="90" t="n">
        <f>J16*(1+P16)</f>
        <v>3.560588724610291</v>
      </c>
      <c r="L16" s="90" t="n">
        <f>K16*(1+P16)</f>
        <v>3.6763078539155822</v>
      </c>
      <c r="M16" s="159" t="n">
        <f>L16*(1+P16)/(P17-P16)</f>
        <v>90.22009498112337</v>
      </c>
      <c r="N16" s="160"/>
      <c r="O16" s="88" t="s">
        <v>122</v>
      </c>
      <c r="P16" s="104" t="n">
        <v>0.032499998807907104</v>
      </c>
    </row>
    <row r="17" spans="2:16" ht="15" thickBot="1">
      <c r="B17" s="89" t="s">
        <v>123</v>
      </c>
      <c r="C17" s="90" t="n">
        <f>C16/(1+P17)</f>
        <v>2.5654620753262463</v>
      </c>
      <c r="D17" s="90" t="n">
        <f>D16/(1+P17)^2</f>
        <v>2.465017030663421</v>
      </c>
      <c r="E17" s="90" t="n">
        <f>E16/(1+P17)^3</f>
        <v>2.3685046915721766</v>
      </c>
      <c r="F17" s="90" t="n">
        <f>F16/(1+P17)^4</f>
        <v>2.275771081585428</v>
      </c>
      <c r="G17" s="90" t="n">
        <f>G16/(1+P17)^5</f>
        <v>2.1866682528472</v>
      </c>
      <c r="H17" s="90" t="n">
        <f>H16/(1+P17)^6</f>
        <v>2.101054050075534</v>
      </c>
      <c r="I17" s="90" t="n">
        <f>I16/(1+P17)^7</f>
        <v>2.018791883766958</v>
      </c>
      <c r="J17" s="90" t="n">
        <f>J16/(1+P17)^8</f>
        <v>1.9397505122806449</v>
      </c>
      <c r="K17" s="90" t="n">
        <f>K16/(1+P17)^9</f>
        <v>1.8638038324545558</v>
      </c>
      <c r="L17" s="90" t="n">
        <f>L16/(1+P17)^10</f>
        <v>1.7908306784195935</v>
      </c>
      <c r="M17" s="159" t="n">
        <f>M16/POWER((1+P17),10)</f>
        <v>43.94868991454042</v>
      </c>
      <c r="N17" s="160"/>
      <c r="O17" s="91" t="s">
        <v>124</v>
      </c>
      <c r="P17" s="105" t="n">
        <f>WACC!$C$25</f>
        <v>0.07457253104786471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65.5243440035322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2.6700000762939453</v>
      </c>
    </row>
    <row r="25" spans="2:16" ht="15" thickBot="1">
      <c r="B25" s="89" t="s">
        <v>121</v>
      </c>
      <c r="C25" s="90" t="n">
        <f>P24*(1+P25)</f>
        <v>2.7701250831335935</v>
      </c>
      <c r="D25" s="90" t="n">
        <f>C25*(1+P25)</f>
        <v>2.8740047778789184</v>
      </c>
      <c r="E25" s="90" t="n">
        <f>D25*(1+P25)</f>
        <v>2.9817799613319913</v>
      </c>
      <c r="F25" s="90" t="n">
        <f>E25*(1+P25)</f>
        <v>3.0935967143251495</v>
      </c>
      <c r="G25" s="90" t="n">
        <f>F25*(1+P25)</f>
        <v>3.2096065957221733</v>
      </c>
      <c r="H25" s="90" t="n">
        <f>G25*(1+P25)</f>
        <v>3.3299668478444504</v>
      </c>
      <c r="I25" s="90" t="n">
        <f>H25*(1+P25)</f>
        <v>3.454840609600667</v>
      </c>
      <c r="J25" s="90" t="n">
        <f>I25*(1+P25)</f>
        <v>3.584397137608822</v>
      </c>
      <c r="K25" s="90" t="n">
        <f>J25*(1+P25)</f>
        <v>3.7188120356103327</v>
      </c>
      <c r="L25" s="90" t="n">
        <f>K25*(1+P25)</f>
        <v>3.8582674924871934</v>
      </c>
      <c r="M25" s="159" t="n">
        <f>L25*(1+P25)/(P26-P25)</f>
        <v>107.9762448626351</v>
      </c>
      <c r="N25" s="160"/>
      <c r="O25" s="88" t="s">
        <v>122</v>
      </c>
      <c r="P25" s="104" t="n">
        <v>0.03750000149011612</v>
      </c>
    </row>
    <row r="26" spans="2:16" ht="15" thickBot="1">
      <c r="B26" s="89" t="s">
        <v>123</v>
      </c>
      <c r="C26" s="90" t="n">
        <f>C25/(1+P26)</f>
        <v>2.5778856271640658</v>
      </c>
      <c r="D26" s="90" t="n">
        <f>D25/(1+P26)^2</f>
        <v>2.488949107433441</v>
      </c>
      <c r="E26" s="90" t="n">
        <f>E25/(1+P26)^3</f>
        <v>2.4030808791966054</v>
      </c>
      <c r="F26" s="90" t="n">
        <f>F25/(1+P26)^4</f>
        <v>2.3201750870330904</v>
      </c>
      <c r="G26" s="90" t="n">
        <f>G25/(1+P26)^5</f>
        <v>2.2401295275125004</v>
      </c>
      <c r="H26" s="90" t="n">
        <f>H25/(1+P26)^6</f>
        <v>2.162845523201598</v>
      </c>
      <c r="I26" s="90" t="n">
        <f>I25/(1+P26)^7</f>
        <v>2.088227801018122</v>
      </c>
      <c r="J26" s="90" t="n">
        <f>J25/(1+P26)^8</f>
        <v>2.0161843747814086</v>
      </c>
      <c r="K26" s="90" t="n">
        <f>K25/(1+P26)^9</f>
        <v>1.9466264318149469</v>
      </c>
      <c r="L26" s="90" t="n">
        <f>L25/(1+P26)^10</f>
        <v>1.87946822346118</v>
      </c>
      <c r="M26" s="159" t="n">
        <f>M25/POWER((1+P26),10)</f>
        <v>52.598198933367435</v>
      </c>
      <c r="N26" s="160"/>
      <c r="O26" s="91" t="s">
        <v>124</v>
      </c>
      <c r="P26" s="105" t="n">
        <f>WACC!$C$25</f>
        <v>0.07457253104786471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74.7217715159844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16184.0</v>
      </c>
      <c r="D3" s="110" t="n">
        <v>16590.0</v>
      </c>
      <c r="E3" s="110" t="n">
        <v>17005.0</v>
      </c>
      <c r="F3" s="110" t="n">
        <v>20261.0</v>
      </c>
      <c r="G3" s="110" t="n">
        <v>28833.0</v>
      </c>
      <c r="H3" s="110" t="n">
        <v>29710.0</v>
      </c>
      <c r="I3" s="110" t="n">
        <v>29953.0</v>
      </c>
      <c r="J3" s="110" t="n">
        <v>30557.0</v>
      </c>
      <c r="K3" s="110" t="n">
        <v>28913.0</v>
      </c>
      <c r="L3" s="110" t="n">
        <v>30117.0</v>
      </c>
      <c r="M3" s="110" t="n">
        <v>31686.0</v>
      </c>
      <c r="Q3" s="107"/>
    </row>
    <row r="4" spans="2:17">
      <c r="B4" s="18" t="s">
        <v>27</v>
      </c>
      <c r="C4" s="113"/>
      <c r="D4" s="121" t="n">
        <f t="shared" ref="D4:M4" si="0">(D3-C3)/C3</f>
        <v>0.025086505190311418</v>
      </c>
      <c r="E4" s="121" t="n">
        <f t="shared" si="0"/>
        <v>0.025015069318866788</v>
      </c>
      <c r="F4" s="121" t="n">
        <f t="shared" si="0"/>
        <v>0.19147309614819172</v>
      </c>
      <c r="G4" s="121" t="n">
        <f t="shared" si="0"/>
        <v>0.42307882138097824</v>
      </c>
      <c r="H4" s="121" t="n">
        <f t="shared" si="0"/>
        <v>0.030416536607359622</v>
      </c>
      <c r="I4" s="121" t="n">
        <f t="shared" si="0"/>
        <v>0.008179064288118479</v>
      </c>
      <c r="J4" s="121" t="n">
        <f t="shared" si="0"/>
        <v>0.020164925049243814</v>
      </c>
      <c r="K4" s="121" t="n">
        <f t="shared" si="0"/>
        <v>-0.05380109303923814</v>
      </c>
      <c r="L4" s="121" t="n">
        <f t="shared" si="0"/>
        <v>0.04164216788295922</v>
      </c>
      <c r="M4" s="121" t="n">
        <f t="shared" si="0"/>
        <v>0.05209682239266859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3617.0</v>
      </c>
      <c r="D6" s="110" t="n">
        <v>3467.0</v>
      </c>
      <c r="E6" s="110" t="n">
        <v>3065.0</v>
      </c>
      <c r="F6" s="110" t="n">
        <v>2675.0</v>
      </c>
      <c r="G6" s="110" t="n">
        <v>3538.0</v>
      </c>
      <c r="H6" s="110" t="n">
        <v>4028.0</v>
      </c>
      <c r="I6" s="110" t="n">
        <v>3104.0</v>
      </c>
      <c r="J6" s="110" t="n">
        <v>4631.0</v>
      </c>
      <c r="K6" s="110" t="n">
        <v>4789.0</v>
      </c>
      <c r="L6" s="110" t="n">
        <v>3606.0</v>
      </c>
      <c r="M6" s="110" t="n">
        <v>5039.0</v>
      </c>
      <c r="Q6" s="107"/>
    </row>
    <row r="7" spans="2:17">
      <c r="B7" s="18" t="s">
        <v>27</v>
      </c>
      <c r="C7" s="113"/>
      <c r="D7" s="121" t="n">
        <f t="shared" ref="D7" si="1">(D6-C6)/C6</f>
        <v>-0.041470832181365776</v>
      </c>
      <c r="E7" s="121" t="n">
        <f t="shared" ref="E7" si="2">(E6-D6)/D6</f>
        <v>-0.115950389385636</v>
      </c>
      <c r="F7" s="121" t="n">
        <f t="shared" ref="F7" si="3">(F6-E6)/E6</f>
        <v>-0.1272430668841762</v>
      </c>
      <c r="G7" s="121" t="n">
        <f t="shared" ref="G7" si="4">(G6-F6)/F6</f>
        <v>0.3226168224299065</v>
      </c>
      <c r="H7" s="121" t="n">
        <f t="shared" ref="H7" si="5">(H6-G6)/G6</f>
        <v>0.13849632560768796</v>
      </c>
      <c r="I7" s="121" t="n">
        <f t="shared" ref="I7" si="6">(I6-H6)/H6</f>
        <v>-0.22939424031777558</v>
      </c>
      <c r="J7" s="121" t="n">
        <f t="shared" ref="J7" si="7">(J6-I6)/I6</f>
        <v>0.49194587628865977</v>
      </c>
      <c r="K7" s="121" t="n">
        <f t="shared" ref="K7" si="8">(K6-J6)/J6</f>
        <v>0.03411790110127402</v>
      </c>
      <c r="L7" s="121" t="n">
        <f t="shared" ref="L7" si="9">(L6-K6)/K6</f>
        <v>-0.2470244309876801</v>
      </c>
      <c r="M7" s="121" t="n">
        <f t="shared" ref="M7" si="10">(M6-L6)/L6</f>
        <v>0.39739323349972266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5666.0</v>
      </c>
      <c r="D9" s="110" t="n">
        <v>5678.0</v>
      </c>
      <c r="E9" s="110" t="n">
        <v>4671.0</v>
      </c>
      <c r="F9" s="110" t="n">
        <v>5148.0</v>
      </c>
      <c r="G9" s="110" t="n">
        <v>8210.0</v>
      </c>
      <c r="H9" s="110" t="n">
        <v>8300.0</v>
      </c>
      <c r="I9" s="110" t="n">
        <v>9284.0</v>
      </c>
      <c r="J9" s="110" t="n">
        <v>8927.0</v>
      </c>
      <c r="K9" s="110" t="n">
        <v>7454.0</v>
      </c>
      <c r="L9" s="110" t="n">
        <v>7186.0</v>
      </c>
      <c r="M9" s="110" t="n">
        <v>8460.0</v>
      </c>
      <c r="Q9" s="107"/>
    </row>
    <row r="10" spans="2:17">
      <c r="B10" s="18" t="s">
        <v>27</v>
      </c>
      <c r="C10" s="113"/>
      <c r="D10" s="121" t="n">
        <f t="shared" ref="D10" si="11">(D9-C9)/C9</f>
        <v>0.002117896223085069</v>
      </c>
      <c r="E10" s="121" t="n">
        <f t="shared" ref="E10" si="12">(E9-D9)/D9</f>
        <v>-0.17735117999295527</v>
      </c>
      <c r="F10" s="121" t="n">
        <f t="shared" ref="F10" si="13">(F9-E9)/E9</f>
        <v>0.10211946050096339</v>
      </c>
      <c r="G10" s="121" t="n">
        <f t="shared" ref="G10" si="14">(G9-F9)/F9</f>
        <v>0.5947940947940948</v>
      </c>
      <c r="H10" s="121" t="n">
        <f t="shared" ref="H10" si="15">(H9-G9)/G9</f>
        <v>0.010962241169305725</v>
      </c>
      <c r="I10" s="121" t="n">
        <f t="shared" ref="I10" si="16">(I9-H9)/H9</f>
        <v>0.11855421686746988</v>
      </c>
      <c r="J10" s="121" t="n">
        <f t="shared" ref="J10" si="17">(J9-I9)/I9</f>
        <v>-0.038453252908229214</v>
      </c>
      <c r="K10" s="121" t="n">
        <f t="shared" ref="K10" si="18">(K9-J9)/J9</f>
        <v>-0.16500504088719614</v>
      </c>
      <c r="L10" s="121" t="n">
        <f t="shared" ref="L10" si="19">(L9-K9)/K9</f>
        <v>-0.03595385028172793</v>
      </c>
      <c r="M10" s="121" t="n">
        <f t="shared" ref="M10" si="20">(M9-L9)/L9</f>
        <v>0.17728917339270805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1059.9000244140625</v>
      </c>
      <c r="D12" s="110" t="n">
        <v>1027.5</v>
      </c>
      <c r="E12" s="110" t="n">
        <v>1013.5999755859375</v>
      </c>
      <c r="F12" s="110" t="n">
        <v>1109.0</v>
      </c>
      <c r="G12" s="110" t="n">
        <v>1425.9000244140625</v>
      </c>
      <c r="H12" s="110" t="n">
        <v>1391.4000244140625</v>
      </c>
      <c r="I12" s="110" t="n">
        <v>1368.199951171875</v>
      </c>
      <c r="J12" s="110" t="n">
        <v>1357.5</v>
      </c>
      <c r="K12" s="110" t="n">
        <v>1351.0999755859375</v>
      </c>
      <c r="L12" s="110" t="n">
        <v>1354.0</v>
      </c>
      <c r="M12" s="110" t="n">
        <v>1351.4000244140625</v>
      </c>
      <c r="Q12" s="107"/>
    </row>
    <row r="13" spans="2:17">
      <c r="B13" s="18" t="s">
        <v>27</v>
      </c>
      <c r="C13" s="113"/>
      <c r="D13" s="121" t="n">
        <f t="shared" ref="D13" si="21">(D12-C12)/C12</f>
        <v>-0.030568943926550116</v>
      </c>
      <c r="E13" s="121" t="n">
        <f t="shared" ref="E13" si="22">(E12-D12)/D12</f>
        <v>-0.013528004295924574</v>
      </c>
      <c r="F13" s="121" t="n">
        <f t="shared" ref="F13" si="23">(F12-E12)/E12</f>
        <v>0.09411999478286671</v>
      </c>
      <c r="G13" s="121" t="n">
        <f t="shared" ref="G13" si="24">(G12-F12)/F12</f>
        <v>0.28575295258256356</v>
      </c>
      <c r="H13" s="121" t="n">
        <f t="shared" ref="H13" si="25">(H12-G12)/G12</f>
        <v>-0.02419524469408503</v>
      </c>
      <c r="I13" s="121" t="n">
        <f t="shared" ref="I13" si="26">(I12-H12)/H12</f>
        <v>-0.01667390601919632</v>
      </c>
      <c r="J13" s="121" t="n">
        <f t="shared" ref="J13" si="27">(J12-I12)/I12</f>
        <v>-0.007820458671051963</v>
      </c>
      <c r="K13" s="121" t="n">
        <f t="shared" ref="K13" si="28">(K12-J12)/J12</f>
        <v>-0.004714566787523021</v>
      </c>
      <c r="L13" s="121" t="n">
        <f t="shared" ref="L13" si="29">(L12-K12)/K12</f>
        <v>0.002146417338809312</v>
      </c>
      <c r="M13" s="121" t="n">
        <f t="shared" ref="M13" si="30">(M12-L12)/L12</f>
        <v>-0.0019202183057145494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3.4100000858306885</v>
      </c>
      <c r="D15" s="110" t="n">
        <v>3.369999885559082</v>
      </c>
      <c r="E15" s="110" t="n">
        <v>3.0199999809265137</v>
      </c>
      <c r="F15" s="110" t="n">
        <v>2.4100000858306885</v>
      </c>
      <c r="G15" s="110" t="n">
        <v>2.4800000190734863</v>
      </c>
      <c r="H15" s="110" t="n">
        <v>2.890000104904175</v>
      </c>
      <c r="I15" s="110" t="n">
        <v>2.2699999809265137</v>
      </c>
      <c r="J15" s="110" t="n">
        <v>3.4100000858306885</v>
      </c>
      <c r="K15" s="110" t="n">
        <v>3.5399999618530273</v>
      </c>
      <c r="L15" s="110" t="n">
        <v>2.6600000858306885</v>
      </c>
      <c r="M15" s="110" t="n">
        <v>3.7300000190734863</v>
      </c>
      <c r="Q15" s="107"/>
    </row>
    <row r="16" spans="2:17">
      <c r="B16" s="18" t="s">
        <v>27</v>
      </c>
      <c r="D16" s="121" t="n">
        <f t="shared" ref="D16" si="31">(D15-C15)/C15</f>
        <v>-0.011730263714014595</v>
      </c>
      <c r="E16" s="121" t="n">
        <f t="shared" ref="E16" si="32">(E15-D15)/D15</f>
        <v>-0.10385754199350761</v>
      </c>
      <c r="F16" s="121" t="n">
        <f t="shared" ref="F16" si="33">(F15-E15)/E15</f>
        <v>-0.20198672150609825</v>
      </c>
      <c r="G16" s="121" t="n">
        <f t="shared" ref="G16" si="34">(G15-F15)/F15</f>
        <v>0.02904561441900115</v>
      </c>
      <c r="H16" s="121" t="n">
        <f t="shared" ref="H16" si="35">(H15-G15)/G15</f>
        <v>0.1653226139828261</v>
      </c>
      <c r="I16" s="121" t="n">
        <f t="shared" ref="I16" si="36">(I15-H15)/H15</f>
        <v>-0.21453290708382852</v>
      </c>
      <c r="J16" s="121" t="n">
        <f t="shared" ref="J16" si="37">(J15-I15)/I15</f>
        <v>0.5022026936048141</v>
      </c>
      <c r="K16" s="121" t="n">
        <f t="shared" ref="K16" si="38">(K15-J15)/J15</f>
        <v>0.038123129838769636</v>
      </c>
      <c r="L16" s="121" t="n">
        <f t="shared" ref="L16" si="39">(L15-K15)/K15</f>
        <v>-0.24858753827830518</v>
      </c>
      <c r="M16" s="121" t="n">
        <f t="shared" ref="M16" si="40">(M15-L15)/L15</f>
        <v>0.40225560102140007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3986.0</v>
      </c>
      <c r="D20" s="128" t="n">
        <v>4485.0</v>
      </c>
      <c r="E20" s="128" t="n">
        <v>4563.0</v>
      </c>
      <c r="F20" s="128" t="n">
        <v>4331.0</v>
      </c>
      <c r="G20" s="128" t="n">
        <v>4172.0</v>
      </c>
      <c r="H20" s="128" t="n">
        <v>5626.0</v>
      </c>
      <c r="I20" s="128" t="n">
        <v>3616.0</v>
      </c>
      <c r="J20" s="128" t="n">
        <v>5873.0</v>
      </c>
      <c r="K20" s="128" t="n">
        <v>6021.0</v>
      </c>
      <c r="L20" s="128" t="n">
        <v>4885.0</v>
      </c>
      <c r="M20" s="128" t="n">
        <v>5978.0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0.017391304347826087</v>
      </c>
      <c r="F21" s="131" t="n">
        <f t="shared" ref="F21" si="42">(F20-E20)/E20</f>
        <v>-0.05084374315143546</v>
      </c>
      <c r="G21" s="131" t="n">
        <f t="shared" ref="G21" si="43">(G20-F20)/F20</f>
        <v>-0.036712075733087046</v>
      </c>
      <c r="H21" s="131" t="n">
        <f t="shared" ref="H21" si="44">(H20-G20)/G20</f>
        <v>0.34851390220517736</v>
      </c>
      <c r="I21" s="131" t="n">
        <f t="shared" ref="I21" si="45">(I20-H20)/H20</f>
        <v>-0.35726981869889796</v>
      </c>
      <c r="J21" s="131" t="n">
        <f t="shared" ref="J21" si="46">(J20-I20)/I20</f>
        <v>0.6241703539823009</v>
      </c>
      <c r="K21" s="131" t="n">
        <f t="shared" ref="K21" si="47">(K20-J20)/J20</f>
        <v>0.025200068108292183</v>
      </c>
      <c r="L21" s="131" t="n">
        <f t="shared" ref="L21" si="48">(L20-K20)/K20</f>
        <v>-0.18867297791064608</v>
      </c>
      <c r="M21" s="131" t="n">
        <f t="shared" ref="M21" si="49">(M20-L20)/L20</f>
        <v>0.22374616171954964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1021.0</v>
      </c>
      <c r="D23" s="130" t="n">
        <v>1055.0</v>
      </c>
      <c r="E23" s="130" t="n">
        <v>1116.0</v>
      </c>
      <c r="F23" s="130" t="n">
        <v>1337.0</v>
      </c>
      <c r="G23" s="130" t="n">
        <v>2139.0</v>
      </c>
      <c r="H23" s="130" t="n">
        <v>2376.0</v>
      </c>
      <c r="I23" s="130" t="n">
        <v>2494.0</v>
      </c>
      <c r="J23" s="130" t="n">
        <v>2693.0</v>
      </c>
      <c r="K23" s="130" t="n">
        <v>2894.0</v>
      </c>
      <c r="L23" s="130" t="n">
        <v>3120.0</v>
      </c>
      <c r="M23" s="130" t="n">
        <v>3383.0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0.03330068560235064</v>
      </c>
      <c r="E24" s="121" t="n">
        <f t="shared" ref="E24" si="51">(E23-D23)/D23</f>
        <v>0.05781990521327014</v>
      </c>
      <c r="F24" s="121" t="n">
        <f t="shared" ref="F24" si="52">(F23-E23)/E23</f>
        <v>0.19802867383512546</v>
      </c>
      <c r="G24" s="121" t="n">
        <f t="shared" ref="G24" si="53">(G23-F23)/F23</f>
        <v>0.599850411368736</v>
      </c>
      <c r="H24" s="121" t="n">
        <f t="shared" ref="H24" si="54">(H23-G23)/G23</f>
        <v>0.11079943899018233</v>
      </c>
      <c r="I24" s="121" t="n">
        <f t="shared" ref="I24" si="55">(I23-H23)/H23</f>
        <v>0.049663299663299666</v>
      </c>
      <c r="J24" s="121" t="n">
        <f t="shared" ref="J24" si="56">(J23-I23)/I23</f>
        <v>0.0797914995990377</v>
      </c>
      <c r="K24" s="121" t="n">
        <f t="shared" ref="K24" si="57">(K23-J23)/J23</f>
        <v>0.0746379502413665</v>
      </c>
      <c r="L24" s="121" t="n">
        <f t="shared" ref="L24" si="58">(L23-K23)/K23</f>
        <v>0.07809260539046303</v>
      </c>
      <c r="M24" s="121" t="n">
        <f t="shared" ref="M24" si="59">(M23-L23)/L23</f>
        <v>0.0842948717948718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16336.0</v>
      </c>
      <c r="D28" s="110" t="n">
        <v>17852.0</v>
      </c>
      <c r="E28" s="110" t="n">
        <v>21210.0</v>
      </c>
      <c r="F28" s="110" t="n">
        <v>30844.0</v>
      </c>
      <c r="G28" s="110" t="n">
        <v>23600.0</v>
      </c>
      <c r="H28" s="110" t="n">
        <v>24873.0</v>
      </c>
      <c r="I28" s="110" t="n">
        <v>22980.0</v>
      </c>
      <c r="J28" s="110" t="n">
        <v>21967.0</v>
      </c>
      <c r="K28" s="110" t="n">
        <v>22031.0</v>
      </c>
      <c r="L28" s="110" t="n">
        <v>22548.0</v>
      </c>
      <c r="M28" s="110" t="n">
        <v>23059.0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0.09280117531831537</v>
      </c>
      <c r="E29" s="121" t="n">
        <f t="shared" ref="E29" si="61">(E28-D28)/D28</f>
        <v>0.18810217342594668</v>
      </c>
      <c r="F29" s="121" t="n">
        <f t="shared" ref="F29" si="62">(F28-E28)/E28</f>
        <v>0.4542197076850542</v>
      </c>
      <c r="G29" s="121" t="n">
        <f t="shared" ref="G29" si="63">(G28-F28)/F28</f>
        <v>-0.23485929192063287</v>
      </c>
      <c r="H29" s="121" t="n">
        <f t="shared" ref="H29" si="64">(H28-G28)/G28</f>
        <v>0.0539406779661017</v>
      </c>
      <c r="I29" s="121" t="n">
        <f t="shared" ref="I29" si="65">(I28-H28)/H28</f>
        <v>-0.07610662163792063</v>
      </c>
      <c r="J29" s="121" t="n">
        <f t="shared" ref="J29" si="66">(J28-I28)/I28</f>
        <v>-0.04408181026979983</v>
      </c>
      <c r="K29" s="121" t="n">
        <f t="shared" ref="K29" si="67">(K28-J28)/J28</f>
        <v>0.002913461100742022</v>
      </c>
      <c r="L29" s="121" t="n">
        <f t="shared" ref="L29" si="68">(L28-K28)/K28</f>
        <v>0.023466932958104487</v>
      </c>
      <c r="M29" s="121" t="n">
        <f t="shared" ref="M29" si="69">(M28-L28)/L28</f>
        <v>0.02266276388149725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16482.0</v>
      </c>
      <c r="D31" s="110" t="n">
        <v>17048.0</v>
      </c>
      <c r="E31" s="110" t="n">
        <v>16733.0</v>
      </c>
      <c r="F31" s="110" t="n">
        <v>75841.0</v>
      </c>
      <c r="G31" s="110" t="n">
        <v>76044.0</v>
      </c>
      <c r="H31" s="110" t="n">
        <v>74984.0</v>
      </c>
      <c r="I31" s="110" t="n">
        <v>68413.0</v>
      </c>
      <c r="J31" s="110" t="n">
        <v>67727.0</v>
      </c>
      <c r="K31" s="110" t="n">
        <v>68658.0</v>
      </c>
      <c r="L31" s="110" t="n">
        <v>70534.0</v>
      </c>
      <c r="M31" s="110" t="n">
        <v>67921.0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0.03434049265865793</v>
      </c>
      <c r="E32" s="121" t="n">
        <f t="shared" ref="E32" si="71">(E31-D31)/D31</f>
        <v>-0.01847724073205068</v>
      </c>
      <c r="F32" s="121" t="n">
        <f t="shared" ref="F32" si="72">(F31-E31)/E31</f>
        <v>3.532420964561047</v>
      </c>
      <c r="G32" s="121" t="n">
        <f t="shared" ref="G32" si="73">(G31-F31)/F31</f>
        <v>0.002676652470299706</v>
      </c>
      <c r="H32" s="121" t="n">
        <f t="shared" ref="H32" si="74">(H31-G31)/G31</f>
        <v>-0.013939298300983642</v>
      </c>
      <c r="I32" s="121" t="n">
        <f t="shared" ref="I32" si="75">(I31-H31)/H31</f>
        <v>-0.08763202816600875</v>
      </c>
      <c r="J32" s="121" t="n">
        <f t="shared" ref="J32" si="76">(J31-I31)/I31</f>
        <v>-0.010027333986230687</v>
      </c>
      <c r="K32" s="121" t="n">
        <f t="shared" ref="K32" si="77">(K31-J31)/J31</f>
        <v>0.01374636407931844</v>
      </c>
      <c r="L32" s="121" t="n">
        <f t="shared" ref="L32" si="78">(L31-K31)/K31</f>
        <v>0.027323836989134553</v>
      </c>
      <c r="M32" s="121" t="n">
        <f t="shared" ref="M32" si="79">(M31-L31)/L31</f>
        <v>-0.03704596364873678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34900.0</v>
      </c>
      <c r="E34" s="111" t="n">
        <f t="shared" ref="E34:M34" si="80">E28+E31</f>
        <v>37943.0</v>
      </c>
      <c r="F34" s="111" t="n">
        <f t="shared" si="80"/>
        <v>106685.0</v>
      </c>
      <c r="G34" s="111" t="n">
        <f t="shared" si="80"/>
        <v>99644.0</v>
      </c>
      <c r="H34" s="111" t="n">
        <f t="shared" si="80"/>
        <v>99857.0</v>
      </c>
      <c r="I34" s="111" t="n">
        <f t="shared" si="80"/>
        <v>91393.0</v>
      </c>
      <c r="J34" s="111" t="n">
        <f t="shared" si="80"/>
        <v>89694.0</v>
      </c>
      <c r="K34" s="111" t="n">
        <f t="shared" si="80"/>
        <v>90689.0</v>
      </c>
      <c r="L34" s="111" t="n">
        <f t="shared" si="80"/>
        <v>93082.0</v>
      </c>
      <c r="M34" s="111" t="n">
        <f t="shared" si="80"/>
        <v>90980.0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5927.0</v>
      </c>
      <c r="D36" s="118" t="n">
        <v>3950.0</v>
      </c>
      <c r="E36" s="110" t="n">
        <v>5559.0</v>
      </c>
      <c r="F36" s="110" t="n">
        <v>9173.0</v>
      </c>
      <c r="G36" s="110" t="n">
        <v>7165.0</v>
      </c>
      <c r="H36" s="110" t="n">
        <v>14264.0</v>
      </c>
      <c r="I36" s="110" t="n">
        <v>10084.0</v>
      </c>
      <c r="J36" s="110" t="n">
        <v>8472.0</v>
      </c>
      <c r="K36" s="110" t="n">
        <v>10366.0</v>
      </c>
      <c r="L36" s="110" t="n">
        <v>8509.0</v>
      </c>
      <c r="M36" s="110" t="n">
        <v>12394.0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-0.3335582925594736</v>
      </c>
      <c r="E37" s="121" t="n">
        <f t="shared" ref="E37" si="82">(E36-D36)/D36</f>
        <v>0.4073417721518987</v>
      </c>
      <c r="F37" s="121" t="n">
        <f t="shared" ref="F37" si="83">(F36-E36)/E36</f>
        <v>0.650116927504947</v>
      </c>
      <c r="G37" s="121" t="n">
        <f t="shared" ref="G37" si="84">(G36-F36)/F36</f>
        <v>-0.21890330317235365</v>
      </c>
      <c r="H37" s="121" t="n">
        <f t="shared" ref="H37" si="85">(H36-G36)/G36</f>
        <v>0.9907885554780181</v>
      </c>
      <c r="I37" s="121" t="n">
        <f t="shared" ref="I37" si="86">(I36-H36)/H36</f>
        <v>-0.2930454290521593</v>
      </c>
      <c r="J37" s="121" t="n">
        <f t="shared" ref="J37" si="87">(J36-I36)/I36</f>
        <v>-0.1598571995239984</v>
      </c>
      <c r="K37" s="121" t="n">
        <f t="shared" ref="K37" si="88">(K36-J36)/J36</f>
        <v>0.22355996222851746</v>
      </c>
      <c r="L37" s="121" t="n">
        <f t="shared" ref="L37" si="89">(L36-K36)/K36</f>
        <v>-0.17914335327030678</v>
      </c>
      <c r="M37" s="121" t="n">
        <f t="shared" ref="M37" si="90">(M36-L36)/L36</f>
        <v>0.4565753907627218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9778.0</v>
      </c>
      <c r="D39" s="110" t="n">
        <v>12279.0</v>
      </c>
      <c r="E39" s="110" t="n">
        <v>12941.0</v>
      </c>
      <c r="F39" s="110" t="n">
        <v>44282.0</v>
      </c>
      <c r="G39" s="110" t="n">
        <v>40416.0</v>
      </c>
      <c r="H39" s="110" t="n">
        <v>35263.0</v>
      </c>
      <c r="I39" s="110" t="n">
        <v>30487.0</v>
      </c>
      <c r="J39" s="110" t="n">
        <v>31010.0</v>
      </c>
      <c r="K39" s="110" t="n">
        <v>29451.0</v>
      </c>
      <c r="L39" s="110" t="n">
        <v>32970.0</v>
      </c>
      <c r="M39" s="110" t="n">
        <v>25866.0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0.2557782777664144</v>
      </c>
      <c r="E40" s="121" t="n">
        <f t="shared" ref="E40" si="92">(E39-D39)/D39</f>
        <v>0.0539131851127942</v>
      </c>
      <c r="F40" s="121" t="n">
        <f t="shared" ref="F40" si="93">(F39-E39)/E39</f>
        <v>2.421837570512325</v>
      </c>
      <c r="G40" s="121" t="n">
        <f t="shared" ref="G40" si="94">(G39-F39)/F39</f>
        <v>-0.08730409647260738</v>
      </c>
      <c r="H40" s="121" t="n">
        <f t="shared" ref="H40" si="95">(H39-G39)/G39</f>
        <v>-0.1274990102929533</v>
      </c>
      <c r="I40" s="121" t="n">
        <f t="shared" ref="I40" si="96">(I39-H39)/H39</f>
        <v>-0.13543941241527946</v>
      </c>
      <c r="J40" s="121" t="n">
        <f t="shared" ref="J40" si="97">(J39-I39)/I39</f>
        <v>0.017154852888116245</v>
      </c>
      <c r="K40" s="121" t="n">
        <f t="shared" ref="K40" si="98">(K39-J39)/J39</f>
        <v>-0.05027410512737827</v>
      </c>
      <c r="L40" s="121" t="n">
        <f t="shared" ref="L40" si="99">(L39-K39)/K39</f>
        <v>0.11948660486910462</v>
      </c>
      <c r="M40" s="121" t="n">
        <f t="shared" ref="M40" si="100">(M39-L39)/L39</f>
        <v>-0.21546860782529573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16229.0</v>
      </c>
      <c r="E42" s="111" t="n">
        <f t="shared" ref="E42:M42" si="101">E36+E39</f>
        <v>18500.0</v>
      </c>
      <c r="F42" s="111" t="n">
        <f t="shared" si="101"/>
        <v>53455.0</v>
      </c>
      <c r="G42" s="111" t="n">
        <f t="shared" si="101"/>
        <v>47581.0</v>
      </c>
      <c r="H42" s="111" t="n">
        <f t="shared" si="101"/>
        <v>49527.0</v>
      </c>
      <c r="I42" s="111" t="n">
        <f t="shared" si="101"/>
        <v>40571.0</v>
      </c>
      <c r="J42" s="111" t="n">
        <f t="shared" si="101"/>
        <v>39482.0</v>
      </c>
      <c r="K42" s="111" t="n">
        <f t="shared" si="101"/>
        <v>39817.0</v>
      </c>
      <c r="L42" s="111" t="n">
        <f t="shared" si="101"/>
        <v>41479.0</v>
      </c>
      <c r="M42" s="111" t="n">
        <f t="shared" si="101"/>
        <v>38260.0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18671.0</v>
      </c>
      <c r="E44" s="134" t="n">
        <f t="shared" ref="E44:M44" si="102">E34-E42</f>
        <v>19443.0</v>
      </c>
      <c r="F44" s="134" t="n">
        <f t="shared" si="102"/>
        <v>53230.0</v>
      </c>
      <c r="G44" s="134" t="n">
        <f t="shared" si="102"/>
        <v>52063.0</v>
      </c>
      <c r="H44" s="134" t="n">
        <f t="shared" si="102"/>
        <v>50330.0</v>
      </c>
      <c r="I44" s="134" t="n">
        <f t="shared" si="102"/>
        <v>50822.0</v>
      </c>
      <c r="J44" s="134" t="n">
        <f t="shared" si="102"/>
        <v>50212.0</v>
      </c>
      <c r="K44" s="134" t="n">
        <f t="shared" si="102"/>
        <v>50872.0</v>
      </c>
      <c r="L44" s="134" t="n">
        <f t="shared" si="102"/>
        <v>51603.0</v>
      </c>
      <c r="M44" s="134" t="n">
        <f t="shared" si="102"/>
        <v>52720.0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7359.0</v>
      </c>
      <c r="D46" s="133" t="n">
        <v>9741.0</v>
      </c>
      <c r="E46" s="133" t="n">
        <v>10315.0</v>
      </c>
      <c r="F46" s="133" t="n">
        <v>33752.0</v>
      </c>
      <c r="G46" s="133" t="n">
        <v>30109.0</v>
      </c>
      <c r="H46" s="133" t="n">
        <v>25921.0</v>
      </c>
      <c r="I46" s="133" t="n">
        <v>23699.0</v>
      </c>
      <c r="J46" s="133" t="n">
        <v>24486.0</v>
      </c>
      <c r="K46" s="136" t="n">
        <v>22021.0</v>
      </c>
      <c r="L46" s="133" t="n">
        <v>26378.0</v>
      </c>
      <c r="M46" s="133" t="n">
        <v>20372.0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0.20898131404460518</v>
      </c>
      <c r="E50" s="126" t="n">
        <f t="shared" si="103"/>
        <v>0.18024110555718906</v>
      </c>
      <c r="F50" s="126" t="n">
        <f t="shared" si="103"/>
        <v>0.13202704703617787</v>
      </c>
      <c r="G50" s="126" t="n">
        <f t="shared" si="103"/>
        <v>0.12270662088579058</v>
      </c>
      <c r="H50" s="126" t="n">
        <f t="shared" si="103"/>
        <v>0.13557724671827667</v>
      </c>
      <c r="I50" s="126" t="n">
        <f t="shared" si="103"/>
        <v>0.10362901879611391</v>
      </c>
      <c r="J50" s="126" t="n">
        <f t="shared" si="103"/>
        <v>0.1515528356841313</v>
      </c>
      <c r="K50" s="126" t="n">
        <f t="shared" si="103"/>
        <v>0.16563483554110608</v>
      </c>
      <c r="L50" s="126" t="n">
        <f t="shared" si="103"/>
        <v>0.11973304113955573</v>
      </c>
      <c r="M50" s="126" t="n">
        <f t="shared" si="103"/>
        <v>0.1590292242630815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0.3422543701024714</v>
      </c>
      <c r="E51" s="126" t="n">
        <f t="shared" si="104"/>
        <v>0.2746839164951485</v>
      </c>
      <c r="F51" s="126" t="n">
        <f t="shared" si="104"/>
        <v>0.25408420117467057</v>
      </c>
      <c r="G51" s="126" t="n">
        <f t="shared" si="104"/>
        <v>0.28474317622169043</v>
      </c>
      <c r="H51" s="126" t="n">
        <f t="shared" si="104"/>
        <v>0.279367216425446</v>
      </c>
      <c r="I51" s="126" t="n">
        <f t="shared" si="104"/>
        <v>0.30995225853837677</v>
      </c>
      <c r="J51" s="126" t="n">
        <f t="shared" si="104"/>
        <v>0.29214255326111854</v>
      </c>
      <c r="K51" s="126" t="n">
        <f t="shared" si="104"/>
        <v>0.25780790647805485</v>
      </c>
      <c r="L51" s="126" t="n">
        <f t="shared" si="104"/>
        <v>0.23860278248165487</v>
      </c>
      <c r="M51" s="126" t="n">
        <f t="shared" si="104"/>
        <v>0.2669948873319447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0.27034358047016277</v>
      </c>
      <c r="E52" s="126" t="n">
        <f t="shared" si="105"/>
        <v>0.26833284328138785</v>
      </c>
      <c r="F52" s="126" t="n">
        <f t="shared" si="105"/>
        <v>0.21376042643502294</v>
      </c>
      <c r="G52" s="126" t="n">
        <f t="shared" si="105"/>
        <v>0.14469531439669822</v>
      </c>
      <c r="H52" s="126" t="n">
        <f t="shared" si="105"/>
        <v>0.18936385055536856</v>
      </c>
      <c r="I52" s="126" t="n">
        <f t="shared" si="105"/>
        <v>0.1207224651954729</v>
      </c>
      <c r="J52" s="126" t="n">
        <f t="shared" si="105"/>
        <v>0.1921981869947966</v>
      </c>
      <c r="K52" s="126" t="n">
        <f t="shared" si="105"/>
        <v>0.20824542593297132</v>
      </c>
      <c r="L52" s="126" t="n">
        <f t="shared" si="105"/>
        <v>0.16220075040674703</v>
      </c>
      <c r="M52" s="126" t="n">
        <f t="shared" si="105"/>
        <v>0.18866376317616612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0.23522853957636566</v>
      </c>
      <c r="E55" s="126" t="n">
        <f t="shared" ref="E55:M55" si="106">E23/E20</f>
        <v>0.2445759368836292</v>
      </c>
      <c r="F55" s="126" t="n">
        <f t="shared" si="106"/>
        <v>0.30870468713922883</v>
      </c>
      <c r="G55" s="126" t="n">
        <f t="shared" si="106"/>
        <v>0.5127037392138063</v>
      </c>
      <c r="H55" s="126" t="n">
        <f t="shared" si="106"/>
        <v>0.4223249200142197</v>
      </c>
      <c r="I55" s="126" t="n">
        <f t="shared" si="106"/>
        <v>0.6897123893805309</v>
      </c>
      <c r="J55" s="126" t="n">
        <f t="shared" si="106"/>
        <v>0.4585390771326409</v>
      </c>
      <c r="K55" s="126" t="n">
        <f t="shared" si="106"/>
        <v>0.480651054642086</v>
      </c>
      <c r="L55" s="126" t="n">
        <f t="shared" si="106"/>
        <v>0.638689866939611</v>
      </c>
      <c r="M55" s="126" t="n">
        <f t="shared" si="106"/>
        <v>0.5659083305453328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0.8692089336404049</v>
      </c>
      <c r="E58" s="112" t="n">
        <f t="shared" ref="E58:M58" si="107">E42/E44</f>
        <v>0.9514992542303142</v>
      </c>
      <c r="F58" s="112" t="n">
        <f t="shared" si="107"/>
        <v>1.0042269396956602</v>
      </c>
      <c r="G58" s="112" t="n">
        <f t="shared" si="107"/>
        <v>0.9139119912413807</v>
      </c>
      <c r="H58" s="112" t="n">
        <f t="shared" si="107"/>
        <v>0.9840453010133121</v>
      </c>
      <c r="I58" s="112" t="n">
        <f t="shared" si="107"/>
        <v>0.7982960135374444</v>
      </c>
      <c r="J58" s="112" t="n">
        <f t="shared" si="107"/>
        <v>0.7863060622958655</v>
      </c>
      <c r="K58" s="112" t="n">
        <f t="shared" si="107"/>
        <v>0.7826898883472244</v>
      </c>
      <c r="L58" s="112" t="n">
        <f t="shared" si="107"/>
        <v>0.8038098560161231</v>
      </c>
      <c r="M58" s="112" t="n">
        <f t="shared" si="107"/>
        <v>0.7257207890743551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4.519493670886076</v>
      </c>
      <c r="E59" s="112" t="n">
        <f t="shared" ref="E59:M59" si="108">E28/E36</f>
        <v>3.8154344306529953</v>
      </c>
      <c r="F59" s="112" t="n">
        <f t="shared" si="108"/>
        <v>3.3624768341872886</v>
      </c>
      <c r="G59" s="112" t="n">
        <f t="shared" si="108"/>
        <v>3.293789253314724</v>
      </c>
      <c r="H59" s="112" t="n">
        <f t="shared" si="108"/>
        <v>1.7437605159842962</v>
      </c>
      <c r="I59" s="112" t="n">
        <f t="shared" si="108"/>
        <v>2.2788575961919872</v>
      </c>
      <c r="J59" s="112" t="n">
        <f t="shared" si="108"/>
        <v>2.592894239848914</v>
      </c>
      <c r="K59" s="112" t="n">
        <f t="shared" si="108"/>
        <v>2.1253135249855295</v>
      </c>
      <c r="L59" s="112" t="n">
        <f t="shared" si="108"/>
        <v>2.6499001057703606</v>
      </c>
      <c r="M59" s="112" t="n">
        <f t="shared" si="108"/>
        <v>1.8604970146845248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1.715568862275449</v>
      </c>
      <c r="E60" s="112" t="n">
        <f t="shared" ref="E60:M60" si="109">E46/E9</f>
        <v>2.2083065724684223</v>
      </c>
      <c r="F60" s="112" t="n">
        <f t="shared" si="109"/>
        <v>6.556332556332556</v>
      </c>
      <c r="G60" s="112" t="n">
        <f t="shared" si="109"/>
        <v>3.6673568818514006</v>
      </c>
      <c r="H60" s="112" t="n">
        <f t="shared" si="109"/>
        <v>3.1230120481927712</v>
      </c>
      <c r="I60" s="112" t="n">
        <f t="shared" si="109"/>
        <v>2.552671262386902</v>
      </c>
      <c r="J60" s="112" t="n">
        <f t="shared" si="109"/>
        <v>2.742914752996527</v>
      </c>
      <c r="K60" s="112" t="n">
        <f t="shared" si="109"/>
        <v>2.9542527502012343</v>
      </c>
      <c r="L60" s="112" t="n">
        <f t="shared" si="109"/>
        <v>3.670748677984971</v>
      </c>
      <c r="M60" s="112" t="n">
        <f t="shared" si="109"/>
        <v>2.4080378250591017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0.10577176856171855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0.02915158284649988</v>
      </c>
    </row>
    <row r="65" spans="2:13">
      <c r="B65" s="10" t="s">
        <v>74</v>
      </c>
      <c r="C65" s="114"/>
      <c r="D65" s="121" t="n">
        <f>(M6/I6)^0.2 - 1</f>
        <v>0.10175372913869052</v>
      </c>
    </row>
    <row r="66" spans="2:13">
      <c r="B66" s="10" t="s">
        <v>84</v>
      </c>
      <c r="C66" s="114"/>
      <c r="D66" s="121" t="n">
        <f>(M6/D6)^0.1 - 1</f>
        <v>0.038099666855591297</v>
      </c>
    </row>
    <row r="67" spans="2:13">
      <c r="B67" s="10" t="s">
        <v>75</v>
      </c>
      <c r="C67" s="114"/>
      <c r="D67" s="121" t="n">
        <f>(M3/I3)^0.2 - 1</f>
        <v>0.011312600235921622</v>
      </c>
    </row>
    <row r="68" spans="2:13">
      <c r="B68" s="10" t="s">
        <v>85</v>
      </c>
      <c r="C68" s="114"/>
      <c r="D68" s="121" t="n">
        <f>(M3/D3)^0.1 - 1</f>
        <v>0.06684690881331834</v>
      </c>
    </row>
    <row r="69" spans="2:13">
      <c r="B69" s="10" t="s">
        <v>88</v>
      </c>
      <c r="C69" s="114"/>
      <c r="D69" s="121" t="n">
        <f>(M9/I9)^0.2 - 1</f>
        <v>-0.018416959323199533</v>
      </c>
    </row>
    <row r="70" spans="2:13">
      <c r="B70" s="10" t="s">
        <v>89</v>
      </c>
      <c r="C70" s="114"/>
      <c r="D70" s="121" t="n">
        <f>(M9/D9)^0.2 - 1</f>
        <v>0.08301630479020483</v>
      </c>
    </row>
    <row r="71" spans="2:13">
      <c r="B71" s="10" t="s">
        <v>131</v>
      </c>
      <c r="D71" s="121" t="n">
        <f>(M23/I23)^0.2 - 1</f>
        <v>0.06287235108956613</v>
      </c>
    </row>
    <row r="72" spans="2:13">
      <c r="B72" s="10" t="s">
        <v>132</v>
      </c>
      <c r="D72" s="121" t="n">
        <f>AVERAGE(I24:M24)</f>
        <v>0.07329604533780773</v>
      </c>
    </row>
    <row r="73" spans="2:13">
      <c r="B73" s="10" t="s">
        <v>135</v>
      </c>
      <c r="D73" s="121" t="n">
        <f>AVERAGE(I55:M55)</f>
        <v>0.5667001437280403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9.934097421203438</v>
      </c>
      <c r="E76" s="110" t="n">
        <f t="shared" si="110"/>
        <v>8.077906333183986</v>
      </c>
      <c r="F76" s="110" t="n">
        <f t="shared" si="110"/>
        <v>2.50738154379716</v>
      </c>
      <c r="G76" s="110" t="n">
        <f t="shared" si="110"/>
        <v>3.5506402793946448</v>
      </c>
      <c r="H76" s="110" t="n">
        <f t="shared" si="110"/>
        <v>4.033768288652773</v>
      </c>
      <c r="I76" s="110" t="n">
        <f t="shared" si="110"/>
        <v>3.3963213812874073</v>
      </c>
      <c r="J76" s="110" t="n">
        <f t="shared" si="110"/>
        <v>5.1631101299975475</v>
      </c>
      <c r="K76" s="110" t="n">
        <f t="shared" si="110"/>
        <v>5.280684537264718</v>
      </c>
      <c r="L76" s="110" t="n">
        <f t="shared" si="110"/>
        <v>3.8740035667475987</v>
      </c>
      <c r="M76" s="110" t="n">
        <f t="shared" si="110"/>
        <v>5.538579907672016</v>
      </c>
    </row>
    <row r="77" spans="2:13">
      <c r="B77" s="10" t="s">
        <v>139</v>
      </c>
      <c r="C77" s="110">
        <v>0</v>
      </c>
      <c r="D77" s="110" t="n">
        <f t="shared" ref="D77:M77" si="111">100*D6/D44</f>
        <v>18.568903647367577</v>
      </c>
      <c r="E77" s="110" t="n">
        <f t="shared" si="111"/>
        <v>15.764028184950883</v>
      </c>
      <c r="F77" s="110" t="n">
        <f t="shared" si="111"/>
        <v>5.025361638173962</v>
      </c>
      <c r="G77" s="110" t="n">
        <f t="shared" si="111"/>
        <v>6.795613007318057</v>
      </c>
      <c r="H77" s="110" t="n">
        <f t="shared" si="111"/>
        <v>8.003179018478045</v>
      </c>
      <c r="I77" s="110" t="n">
        <f t="shared" si="111"/>
        <v>6.107591200661131</v>
      </c>
      <c r="J77" s="110" t="n">
        <f t="shared" si="111"/>
        <v>9.222894925515813</v>
      </c>
      <c r="K77" s="110" t="n">
        <f t="shared" si="111"/>
        <v>9.413822928133355</v>
      </c>
      <c r="L77" s="110" t="n">
        <f t="shared" si="111"/>
        <v>6.9879658159409335</v>
      </c>
      <c r="M77" s="110" t="n">
        <f t="shared" si="111"/>
        <v>9.55804248861912</v>
      </c>
    </row>
    <row r="78" spans="2:13">
      <c r="B78" s="10" t="s">
        <v>140</v>
      </c>
      <c r="C78" s="110" t="n">
        <v>0.0</v>
      </c>
      <c r="D78" s="40" t="n">
        <v>12.619999885559082</v>
      </c>
      <c r="E78" s="40" t="n">
        <v>10.390000343322754</v>
      </c>
      <c r="F78" s="40" t="n">
        <v>4.789999961853027</v>
      </c>
      <c r="G78" s="40" t="n">
        <v>5.0</v>
      </c>
      <c r="H78" s="40" t="n">
        <v>5.579999923706055</v>
      </c>
      <c r="I78" s="40" t="n">
        <v>4.670000076293945</v>
      </c>
      <c r="J78" s="40" t="n">
        <v>7.800000190734863</v>
      </c>
      <c r="K78" s="40" t="n">
        <v>7.400000095367432</v>
      </c>
      <c r="L78" s="40" t="n">
        <v>5.829999923706055</v>
      </c>
      <c r="M78" s="40" t="n">
        <v>7.179999828338623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15.34000015258789</v>
      </c>
      <c r="E81" s="40" t="n">
        <v>24.979999542236328</v>
      </c>
      <c r="F81" s="40" t="n">
        <v>46.619998931884766</v>
      </c>
      <c r="G81" s="40" t="n">
        <v>23.739999771118164</v>
      </c>
      <c r="H81" s="40" t="n">
        <v>22.18000030517578</v>
      </c>
      <c r="I81" s="40" t="n">
        <v>54.470001220703125</v>
      </c>
      <c r="J81" s="40" t="n">
        <v>32.880001068115234</v>
      </c>
      <c r="K81" s="40" t="n">
        <v>44.880001068115234</v>
      </c>
      <c r="L81" s="40" t="n">
        <v>29.809999465942383</v>
      </c>
      <c r="M81" s="40" t="n">
        <v>24.139999389648438</v>
      </c>
    </row>
    <row r="82" spans="2:13">
      <c r="B82" s="122" t="s">
        <v>148</v>
      </c>
      <c r="C82" s="110" t="n">
        <v>0.0</v>
      </c>
      <c r="D82" s="40" t="n">
        <v>12.510000228881836</v>
      </c>
      <c r="E82" s="40" t="n">
        <v>17.440000534057617</v>
      </c>
      <c r="F82" s="40" t="n">
        <v>17.65999984741211</v>
      </c>
      <c r="G82" s="40" t="n">
        <v>16.34000015258789</v>
      </c>
      <c r="H82" s="40" t="n">
        <v>20.209999084472656</v>
      </c>
      <c r="I82" s="40" t="n">
        <v>21.020000457763672</v>
      </c>
      <c r="J82" s="40" t="n">
        <v>20.399999618530273</v>
      </c>
      <c r="K82" s="40" t="n">
        <v>26.389999389648438</v>
      </c>
      <c r="L82" s="40" t="n">
        <v>19.59000015258789</v>
      </c>
      <c r="M82" s="40" t="n">
        <v>16.559999465942383</v>
      </c>
    </row>
    <row r="83" spans="2:13">
      <c r="B83" s="122" t="s">
        <v>153</v>
      </c>
      <c r="C83" s="110" t="n">
        <v>2.2200000286102295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