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449CDF3-4847-49B3-B1C1-32D83E004718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<sst xmlns="http://schemas.openxmlformats.org/spreadsheetml/2006/main" count="231" uniqueCount="165">
  <si>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</si>
  <si>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</si>
  <si>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</si>
  <si>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</si>
  <si>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</si>
  <si>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</si>
  <si>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</si>
  <si>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</si>
  <si>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</si>
  <si>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</si>
  <si>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</si>
  <si>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</si>
  <si>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</si>
  <si>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</si>
  <si>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</si>
  <si>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</si>
  <si>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</si>
  <si>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</si>
  <si>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</si>
  <si>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</si>
  <si>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</si>
  <si>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</si>
  <si>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</si>
  <si>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</si>
  <si>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</si>
  <si>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</si>
  <si>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</si>
  <si>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</si>
  <si>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</si>
  <si>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</si>
  <si>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</si>
  <si>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</si>
  <si>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</si>
  <si>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</si>
  <si>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</si>
  <si>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</si>
  <si>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</si>
  <si>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</si>
  <si>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</si>
  <si>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</si>
  <si>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</si>
  <si>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</si>
  <si>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</si>
  <si>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</si>
  <si>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</si>
  <si>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</si>
  <si>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</si>
  <si>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</si>
  <si>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</si>
  <si>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</si>
  <si>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</si>
  <si>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</si>
  <si>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</si>
  <si>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</si>
  <si>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</si>
  <si>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</si>
  <si>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</si>
  <si>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</si>
  <si>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</si>
  <si>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</si>
  <si>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</si>
  <si>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</si>
  <si>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</si>
  <si>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</si>
  <si>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</si>
  <si>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</si>
  <si>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</si>
  <si>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</si>
  <si>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</si>
  <si>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</si>
  <si>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</si>
  <si>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</si>
  <si>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</si>
  <si>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</si>
  <si>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</si>
  <si>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</si>
  <si>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</si>
  <si>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</si>
  <si>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</si>
  <si>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</si>
  <si>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</si>
  <si>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</si>
  <si>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</si>
  <si>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</si>
  <si>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</si>
  <si>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</si>
  <si>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</si>
  <si>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</si>
  <si>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</si>
  <si>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</si>
  <si>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</si>
  <si>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</si>
  <si>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</si>
  <si>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</si>
  <si>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</si>
  <si>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</si>
  <si>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</si>
  <si>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</si>
  <si>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</si>
  <si>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</si>
  <si>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</si>
  <si>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</si>
  <si>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</si>
  <si>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</si>
  <si>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</si>
  <si>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</si>
  <si>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</si>
  <si>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</si>
  <si>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</si>
  <si>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</si>
  <si>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</si>
  <si>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</si>
  <si>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</si>
  <si>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</si>
  <si>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</si>
  <si>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</si>
  <si>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</si>
  <si>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</si>
  <si>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</si>
  <si>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</si>
  <si>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</si>
  <si>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</si>
  <si>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</si>
  <si>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</si>
  <si>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</si>
  <si>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</si>
  <si>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</si>
  <si>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</si>
  <si>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</si>
  <si>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</si>
  <si>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</si>
  <si>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</si>
  <si>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</si>
  <si>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</si>
  <si>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</si>
  <si>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</si>
  <si>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</si>
  <si>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</si>
  <si>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</si>
  <si>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</si>
  <si>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</si>
  <si>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</si>
  <si>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</si>
  <si>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</si>
  <si>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</si>
  <si>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</si>
  <si>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</si>
  <si>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</si>
  <si>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</si>
  <si>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</si>
  <si>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</si>
  <si>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</si>
  <si>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</si>
  <si>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</si>
  <si>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</si>
  <si>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</si>
  <si>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</si>
  <si>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</si>
  <si>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</si>
  <si>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</si>
  <si>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</si>
  <si>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</si>
  <si>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GOOG_Alphabet</t>
  </si>
  <si>
    <t>sector median (19.13)</t>
  </si>
  <si>
    <t>sector median (7.94)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</si>
</sst>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4" t="str">
        <f>T11</f>
        <v>J</v>
      </c>
      <c r="E12" s="45" t="s">
        <v>141</v>
      </c>
      <c r="F12" s="123" t="n">
        <f>AVERAGE(L12:P12)</f>
        <v>15.166344708788836</v>
      </c>
      <c r="G12" s="119" t="n">
        <f>Financials!D76</f>
        <v>11.479444644789037</v>
      </c>
      <c r="H12" s="119" t="n">
        <f>Financials!E76</f>
        <v>10.942277473739617</v>
      </c>
      <c r="I12" s="119" t="n">
        <f>Financials!F76</f>
        <v>10.732329226032645</v>
      </c>
      <c r="J12" s="119" t="n">
        <f>Financials!G76</f>
        <v>11.628864994596919</v>
      </c>
      <c r="K12" s="119" t="n">
        <f>Financials!H76</f>
        <v>6.417800755214273</v>
      </c>
      <c r="L12" s="119" t="n">
        <f>Financials!I76</f>
        <v>13.203202859204783</v>
      </c>
      <c r="M12" s="119" t="n">
        <f>Financials!J76</f>
        <v>12.447219916711669</v>
      </c>
      <c r="N12" s="119" t="n">
        <f>Financials!K76</f>
        <v>12.599181517821386</v>
      </c>
      <c r="O12" s="119" t="n">
        <f>Financials!L76</f>
        <v>21.163309841121393</v>
      </c>
      <c r="P12" s="119" t="n">
        <f>Financials!M76</f>
        <v>16.418809409084936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21.21519783435442</v>
      </c>
      <c r="G14" s="40" t="n">
        <f>Financials!D77</f>
        <v>14.583834427149549</v>
      </c>
      <c r="H14" s="40" t="n">
        <f>Financials!E77</f>
        <v>13.610629693818602</v>
      </c>
      <c r="I14" s="40" t="n">
        <f>Financials!F77</f>
        <v>13.152055580025097</v>
      </c>
      <c r="J14" s="40" t="n">
        <f>Financials!G77</f>
        <v>14.0093213268506</v>
      </c>
      <c r="K14" s="40" t="n">
        <f>Financials!H77</f>
        <v>8.302841929941902</v>
      </c>
      <c r="L14" s="40" t="n">
        <f>Financials!I77</f>
        <v>17.303578264688</v>
      </c>
      <c r="M14" s="40" t="n">
        <f>Financials!J77</f>
        <v>17.048579740074064</v>
      </c>
      <c r="N14" s="40" t="n">
        <f>Financials!K77</f>
        <v>18.09484865914156</v>
      </c>
      <c r="O14" s="40" t="n">
        <f>Financials!L77</f>
        <v>30.215590041131005</v>
      </c>
      <c r="P14" s="40" t="n">
        <f>Financials!M77</f>
        <v>23.41339246673746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0.11851412902932952</v>
      </c>
      <c r="F16" s="124" t="n">
        <f>AVERAGE(L16:P16)</f>
        <v>19.811999893188478</v>
      </c>
      <c r="G16" s="40" t="n">
        <f>Financials!D78</f>
        <v>14.520000457763672</v>
      </c>
      <c r="H16" s="40" t="n">
        <f>Financials!E78</f>
        <v>13.770000457763672</v>
      </c>
      <c r="I16" s="40" t="n">
        <f>Financials!F78</f>
        <v>12.819999694824219</v>
      </c>
      <c r="J16" s="40" t="n">
        <f>Financials!G78</f>
        <v>14.020000457763672</v>
      </c>
      <c r="K16" s="40" t="n">
        <f>Financials!H78</f>
        <v>7.980000019073486</v>
      </c>
      <c r="L16" s="40" t="n">
        <f>Financials!I78</f>
        <v>17.260000228881836</v>
      </c>
      <c r="M16" s="40" t="n">
        <f>Financials!J78</f>
        <v>16.149999618530273</v>
      </c>
      <c r="N16" s="40" t="n">
        <f>Financials!K78</f>
        <v>16.6299991607666</v>
      </c>
      <c r="O16" s="40" t="n">
        <f>Financials!L78</f>
        <v>28.360000610351562</v>
      </c>
      <c r="P16" s="40" t="n">
        <f>Financials!M78</f>
        <v>20.65999984741211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 t="n">
        <f>AVERAGE(L18:P18)</f>
        <v>3.1331843402561375</v>
      </c>
      <c r="G18" s="42" t="n">
        <f>Financials!D59</f>
        <v>4.581719889363842</v>
      </c>
      <c r="H18" s="42" t="n">
        <f>Financials!E59</f>
        <v>4.6877644674891235</v>
      </c>
      <c r="I18" s="42" t="n">
        <f>Financials!F59</f>
        <v>4.666701191092698</v>
      </c>
      <c r="J18" s="42" t="n">
        <f>Financials!G59</f>
        <v>6.290761518262115</v>
      </c>
      <c r="K18" s="42" t="n">
        <f>Financials!H59</f>
        <v>5.140305173055452</v>
      </c>
      <c r="L18" s="42" t="n">
        <f>Financials!I59</f>
        <v>3.919006354708261</v>
      </c>
      <c r="M18" s="42" t="n">
        <f>Financials!J59</f>
        <v>3.374051878552</v>
      </c>
      <c r="N18" s="42" t="n">
        <f>Financials!K59</f>
        <v>3.0667558151810534</v>
      </c>
      <c r="O18" s="42" t="n">
        <f>Financials!L59</f>
        <v>2.928113424845146</v>
      </c>
      <c r="P18" s="42" t="n">
        <f>Financials!M59</f>
        <v>2.377994227994228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4" t="str">
        <f>T11</f>
        <v>J</v>
      </c>
      <c r="E20" s="49" t="s">
        <v>137</v>
      </c>
      <c r="F20" s="125" t="n">
        <f>AVERAGE(L20:P20)</f>
        <v>0.3940332411743665</v>
      </c>
      <c r="G20" s="42" t="n">
        <f>Financials!D58</f>
        <v>0.27043031073543394</v>
      </c>
      <c r="H20" s="42" t="n">
        <f>Financials!E58</f>
        <v>0.24385711534758328</v>
      </c>
      <c r="I20" s="42" t="n">
        <f>Financials!F58</f>
        <v>0.22546143554030135</v>
      </c>
      <c r="J20" s="42" t="n">
        <f>Financials!G58</f>
        <v>0.20470237923990908</v>
      </c>
      <c r="K20" s="42" t="n">
        <f>Financials!H58</f>
        <v>0.2937207380886808</v>
      </c>
      <c r="L20" s="42" t="n">
        <f>Financials!I58</f>
        <v>0.3105591460805729</v>
      </c>
      <c r="M20" s="42" t="n">
        <f>Financials!J58</f>
        <v>0.369669681595695</v>
      </c>
      <c r="N20" s="42" t="n">
        <f>Financials!K58</f>
        <v>0.436192393414336</v>
      </c>
      <c r="O20" s="42" t="n">
        <f>Financials!L58</f>
        <v>0.4277346156138852</v>
      </c>
      <c r="P20" s="42" t="n">
        <f>Financials!M58</f>
        <v>0.42601036916734336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0.15737883299426822</v>
      </c>
      <c r="G22" s="42" t="n">
        <f>Financials!D60</f>
        <v>0.11560335022231413</v>
      </c>
      <c r="H22" s="42" t="n">
        <f>Financials!E60</f>
        <v>0.15031431897555297</v>
      </c>
      <c r="I22" s="42" t="n">
        <f>Financials!F60</f>
        <v>0.08168529664660361</v>
      </c>
      <c r="J22" s="42" t="n">
        <f>Financials!G60</f>
        <v>0.13178164768921635</v>
      </c>
      <c r="K22" s="42" t="n">
        <f>Financials!H60</f>
        <v>0.11993472939896654</v>
      </c>
      <c r="L22" s="42" t="n">
        <f>Financials!I60</f>
        <v>0.10974041959572198</v>
      </c>
      <c r="M22" s="42" t="n">
        <f>Financials!J60</f>
        <v>0.09897418064852648</v>
      </c>
      <c r="N22" s="42" t="n">
        <f>Financials!K60</f>
        <v>0.25367345824001747</v>
      </c>
      <c r="O22" s="42" t="n">
        <f>Financials!L60</f>
        <v>0.1625473095277275</v>
      </c>
      <c r="P22" s="42" t="n">
        <f>Financials!M60</f>
        <v>0.1619587969593478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14739.0</v>
      </c>
      <c r="H24" s="40" t="n">
        <f>Financials!E12</f>
        <v>14839.9599609375</v>
      </c>
      <c r="I24" s="40" t="n">
        <f>Financials!F12</f>
        <v>14893.5</v>
      </c>
      <c r="J24" s="40" t="n">
        <f>Financials!G12</f>
        <v>14951.2998046875</v>
      </c>
      <c r="K24" s="40" t="n">
        <f>Financials!H12</f>
        <v>15014.599609375</v>
      </c>
      <c r="L24" s="40" t="n">
        <f>Financials!I12</f>
        <v>15002.98046875</v>
      </c>
      <c r="M24" s="40" t="n">
        <f>Financials!J12</f>
        <v>14901.66015625</v>
      </c>
      <c r="N24" s="40" t="n">
        <f>Financials!K12</f>
        <v>14665.0</v>
      </c>
      <c r="O24" s="40" t="n">
        <f>Financials!L12</f>
        <v>14462.0</v>
      </c>
      <c r="P24" s="40" t="n">
        <f>Financials!M12</f>
        <v>14046.0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163</v>
      </c>
      <c r="F26" s="57" t="n">
        <f>AVERAGEIF(L26:P26,"&lt;100")</f>
        <v>29.461999893188477</v>
      </c>
      <c r="G26" s="44" t="n">
        <f>Financials!D81</f>
        <v>16.110000610351562</v>
      </c>
      <c r="H26" s="44" t="n">
        <f>Financials!E81</f>
        <v>14.40999984741211</v>
      </c>
      <c r="I26" s="44" t="n">
        <f>Financials!F81</f>
        <v>36.02000045776367</v>
      </c>
      <c r="J26" s="44" t="n">
        <f>Financials!G81</f>
        <v>29.0</v>
      </c>
      <c r="K26" s="44" t="n">
        <f>Financials!H81</f>
        <v>35.2400016784668</v>
      </c>
      <c r="L26" s="44" t="n">
        <f>Financials!I81</f>
        <v>39.209999084472656</v>
      </c>
      <c r="M26" s="44" t="n">
        <f>Financials!J81</f>
        <v>28.75</v>
      </c>
      <c r="N26" s="44" t="n">
        <f>Financials!K81</f>
        <v>33.88999938964844</v>
      </c>
      <c r="O26" s="44" t="n">
        <f>Financials!L81</f>
        <v>27.920000076293945</v>
      </c>
      <c r="P26" s="44" t="n">
        <f>Financials!M81</f>
        <v>17.540000915527344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164</v>
      </c>
      <c r="F28" s="57" t="n">
        <f>AVERAGEIF(L28:P28, "&lt;100")</f>
        <v>17.973999977111816</v>
      </c>
      <c r="G28" s="44" t="n">
        <f>Financials!D82</f>
        <v>10.460000038146973</v>
      </c>
      <c r="H28" s="44" t="n">
        <f>Financials!E82</f>
        <v>8.65999984741211</v>
      </c>
      <c r="I28" s="44" t="n">
        <f>Financials!F82</f>
        <v>20.690000534057617</v>
      </c>
      <c r="J28" s="44" t="n">
        <f>Financials!G82</f>
        <v>16.920000076293945</v>
      </c>
      <c r="K28" s="44" t="n">
        <f>Financials!H82</f>
        <v>20.420000076293945</v>
      </c>
      <c r="L28" s="44" t="n">
        <f>Financials!I82</f>
        <v>16.260000228881836</v>
      </c>
      <c r="M28" s="44" t="n">
        <f>Financials!J82</f>
        <v>17.65999984741211</v>
      </c>
      <c r="N28" s="44" t="n">
        <f>Financials!K82</f>
        <v>21.270000457763672</v>
      </c>
      <c r="O28" s="44" t="n">
        <f>Financials!L82</f>
        <v>22.049999237060547</v>
      </c>
      <c r="P28" s="44" t="n">
        <f>Financials!M82</f>
        <v>12.630000114440918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5" t="str">
        <f>U11</f>
        <v>K</v>
      </c>
      <c r="E30" s="51" t="s">
        <v>70</v>
      </c>
      <c r="F30" s="127" t="n">
        <f>Financials!$C$83</f>
        <v>1.159999966621399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0.2132098682345318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0.1817093592186514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0.19947059441071735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0.3623484165376336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0.1430368638402002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0.16762068282343656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0.15631898178412817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0.17681800715537244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2.6202606551957055E-6</v>
      </c>
    </row>
    <row r="45" spans="2:17" ht="18.5">
      <c r="B45" s="138"/>
      <c r="C45" s="100" t="s">
        <v>133</v>
      </c>
      <c r="D45" s="56" t="str">
        <f>V11</f>
        <v>L</v>
      </c>
      <c r="E45" s="101" t="s">
        <v>134</v>
      </c>
      <c r="F45" s="103" t="n">
        <f>Financials!D71</f>
        <v>0.0</v>
      </c>
    </row>
    <row r="46" spans="2:17" ht="18.5">
      <c r="B46" s="138"/>
      <c r="C46" s="100" t="s">
        <v>130</v>
      </c>
      <c r="D46" s="56" t="str">
        <f>V11</f>
        <v>L</v>
      </c>
      <c r="E46" s="18" t="s">
        <v>77</v>
      </c>
      <c r="F46" s="103" t="n">
        <f>Financials!D72</f>
        <v>0.0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 t="n">
        <f>F45+F46</f>
        <v>0.0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1350.0</v>
      </c>
    </row>
    <row r="6" spans="2:16">
      <c r="B6" s="4" t="s">
        <v>5</v>
      </c>
      <c r="C6" s="59" t="n">
        <v>6.93E7</v>
      </c>
    </row>
    <row r="7" spans="2:16">
      <c r="B7" s="4" t="s">
        <v>4</v>
      </c>
      <c r="C7" s="59" t="n">
        <v>3.982E7</v>
      </c>
    </row>
    <row r="8" spans="2:16">
      <c r="B8" s="4" t="s">
        <v>3</v>
      </c>
      <c r="C8" s="59" t="n">
        <v>357000.0</v>
      </c>
    </row>
    <row r="9" spans="2:16">
      <c r="B9" s="10" t="s">
        <v>6</v>
      </c>
      <c r="C9" s="59" t="n">
        <v>7.1328E7</v>
      </c>
    </row>
    <row r="10" spans="2:16">
      <c r="B10" s="10" t="s">
        <v>7</v>
      </c>
      <c r="C10" s="59" t="n">
        <v>1.1356E7</v>
      </c>
    </row>
    <row r="11" spans="2:16">
      <c r="B11" s="10" t="s">
        <v>9</v>
      </c>
      <c r="C11" s="60" t="n">
        <v>1.090000033378601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1.0912E8</v>
      </c>
    </row>
    <row r="18" spans="2:15" ht="18" thickTop="1" thickBot="1">
      <c r="B18" s="2" t="s">
        <v>20</v>
      </c>
      <c r="C18" s="12" t="n">
        <f>C8/C17</f>
        <v>0.0032716275659824046</v>
      </c>
    </row>
    <row r="19" spans="2:15" ht="18" thickTop="1" thickBot="1">
      <c r="B19" s="2" t="s">
        <v>19</v>
      </c>
      <c r="C19" s="12" t="n">
        <f>C14+C11*(C15-C14)</f>
        <v>0.1278300029039382</v>
      </c>
    </row>
    <row r="20" spans="2:15" ht="18" thickTop="1" thickBot="1">
      <c r="B20" s="2" t="s">
        <v>18</v>
      </c>
      <c r="C20" s="12" t="n">
        <f>C8/C17</f>
        <v>0.0032716275659824046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1.45912E9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0.9252151982016558</v>
      </c>
      <c r="K22" t="s" s="0">
        <v>12</v>
      </c>
    </row>
    <row r="23" spans="2:15" ht="18" thickTop="1" thickBot="1">
      <c r="B23" s="16" t="s">
        <v>24</v>
      </c>
      <c r="C23" s="12" t="n">
        <f>C17/C21</f>
        <v>0.07478480179834421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0.11851412902932952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3" zoomScale="82" workbookViewId="0">
      <selection activeCell="E48" sqref="E4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0.11851412902932952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0.11999999731779099</v>
      </c>
    </row>
    <row r="7" spans="2:12">
      <c r="B7" s="18" t="s">
        <v>31</v>
      </c>
      <c r="C7" s="13" t="n">
        <f>AVERAGEIF(C28:L28, "&lt;0.5")</f>
        <v>0.21491617095153187</v>
      </c>
    </row>
    <row r="8" spans="2:12">
      <c r="B8" s="18" t="s">
        <v>112</v>
      </c>
      <c r="C8" s="13" t="n">
        <f>AVERAGEIF(C29:L29,"&lt;2")</f>
        <v>1.0610348245096073</v>
      </c>
    </row>
    <row r="9" spans="2:12">
      <c r="B9" s="18" t="s">
        <v>136</v>
      </c>
      <c r="C9" s="66" t="n">
        <v>14.0</v>
      </c>
    </row>
    <row r="10" spans="2:12">
      <c r="B10" s="18" t="s">
        <v>100</v>
      </c>
      <c r="C10" s="67" t="n">
        <v>0.10000000149011612</v>
      </c>
    </row>
    <row r="11" spans="2:12">
      <c r="B11" s="18" t="s">
        <v>44</v>
      </c>
      <c r="C11" s="59" t="n">
        <v>1.4046000128E10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55519.0</v>
      </c>
      <c r="D16" s="21" t="n">
        <f>Financials!E3</f>
        <v>66001.0</v>
      </c>
      <c r="E16" s="21" t="n">
        <f>Financials!F3</f>
        <v>74989.0</v>
      </c>
      <c r="F16" s="21" t="n">
        <f>Financials!G3</f>
        <v>90272.0</v>
      </c>
      <c r="G16" s="21" t="n">
        <f>Financials!H3</f>
        <v>110855.0</v>
      </c>
      <c r="H16" s="21" t="n">
        <f>Financials!I3</f>
        <v>136819.0</v>
      </c>
      <c r="I16" s="21" t="n">
        <f>Financials!J3</f>
        <v>161857.0</v>
      </c>
      <c r="J16" s="21" t="n">
        <f>Financials!K3</f>
        <v>182527.0</v>
      </c>
      <c r="K16" s="21" t="n">
        <f>Financials!L3</f>
        <v>257637.0</v>
      </c>
      <c r="L16" s="21" t="n">
        <f>Financials!M3</f>
        <v>282836.0</v>
      </c>
    </row>
    <row r="17" spans="2:12">
      <c r="B17" s="18" t="s">
        <v>27</v>
      </c>
      <c r="C17" s="22"/>
      <c r="D17" s="20" t="n">
        <f t="shared" ref="D17:L17" si="0">(D16-C16)/C16</f>
        <v>0.18880023055170303</v>
      </c>
      <c r="E17" s="20" t="n">
        <f t="shared" si="0"/>
        <v>0.13617975485219921</v>
      </c>
      <c r="F17" s="20" t="n">
        <f t="shared" si="0"/>
        <v>0.2038032244729227</v>
      </c>
      <c r="G17" s="20" t="n">
        <f t="shared" si="0"/>
        <v>0.22801090038993266</v>
      </c>
      <c r="H17" s="20" t="n">
        <f t="shared" si="0"/>
        <v>0.23421586757475982</v>
      </c>
      <c r="I17" s="20" t="n">
        <f t="shared" si="0"/>
        <v>0.1830008989979462</v>
      </c>
      <c r="J17" s="20" t="n">
        <f t="shared" si="0"/>
        <v>0.12770532012826136</v>
      </c>
      <c r="K17" s="20" t="n">
        <f t="shared" si="0"/>
        <v>0.4115007642704915</v>
      </c>
      <c r="L17" s="20" t="n">
        <f t="shared" si="0"/>
        <v>0.0978081564371577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12733.0</v>
      </c>
      <c r="D19" s="21" t="n">
        <f>Financials!E6</f>
        <v>14136.0</v>
      </c>
      <c r="E19" s="21" t="n">
        <f>Financials!F6</f>
        <v>15826.0</v>
      </c>
      <c r="F19" s="21" t="n">
        <f>Financials!G6</f>
        <v>19478.0</v>
      </c>
      <c r="G19" s="21" t="n">
        <f>Financials!H6</f>
        <v>12662.0</v>
      </c>
      <c r="H19" s="21" t="n">
        <f>Financials!I6</f>
        <v>30736.0</v>
      </c>
      <c r="I19" s="21" t="n">
        <f>Financials!J6</f>
        <v>34343.0</v>
      </c>
      <c r="J19" s="21" t="n">
        <f>Financials!K6</f>
        <v>40269.0</v>
      </c>
      <c r="K19" s="21" t="n">
        <f>Financials!L6</f>
        <v>76033.0</v>
      </c>
      <c r="L19" s="21" t="n">
        <f>Financials!M6</f>
        <v>59972.0</v>
      </c>
    </row>
    <row r="20" spans="2:12">
      <c r="B20" s="18" t="s">
        <v>27</v>
      </c>
      <c r="C20" s="22"/>
      <c r="D20" s="20" t="n">
        <f>(D19-C19)/C19</f>
        <v>0.11018613052697715</v>
      </c>
      <c r="E20" s="20" t="n">
        <f t="shared" ref="E20:L20" si="1">(E19-D19)/D19</f>
        <v>0.11955291454442558</v>
      </c>
      <c r="F20" s="20" t="n">
        <f t="shared" si="1"/>
        <v>0.23075950966763553</v>
      </c>
      <c r="G20" s="20" t="n">
        <f t="shared" si="1"/>
        <v>-0.3499332580347058</v>
      </c>
      <c r="H20" s="20" t="n">
        <f t="shared" si="1"/>
        <v>1.4274206286526616</v>
      </c>
      <c r="I20" s="20" t="n">
        <f t="shared" si="1"/>
        <v>0.11735424258198855</v>
      </c>
      <c r="J20" s="20" t="n">
        <f t="shared" si="1"/>
        <v>0.1725533587630667</v>
      </c>
      <c r="K20" s="20" t="n">
        <f t="shared" si="1"/>
        <v>0.8881273436141945</v>
      </c>
      <c r="L20" s="20" t="n">
        <f t="shared" si="1"/>
        <v>-0.21123722594136757</v>
      </c>
    </row>
    <row r="22" spans="2:12">
      <c r="B22" s="18" t="s">
        <v>30</v>
      </c>
      <c r="C22" s="25" t="n">
        <f>Financials!D20</f>
        <v>11301.0</v>
      </c>
      <c r="D22" s="25" t="n">
        <f>Financials!E20</f>
        <v>12065.0</v>
      </c>
      <c r="E22" s="25" t="n">
        <f>Financials!F20</f>
        <v>16657.0</v>
      </c>
      <c r="F22" s="25" t="n">
        <f>Financials!G20</f>
        <v>26064.0</v>
      </c>
      <c r="G22" s="25" t="n">
        <f>Financials!H20</f>
        <v>23907.0</v>
      </c>
      <c r="H22" s="25" t="n">
        <f>Financials!I20</f>
        <v>22832.0</v>
      </c>
      <c r="I22" s="25" t="n">
        <f>Financials!J20</f>
        <v>30972.0</v>
      </c>
      <c r="J22" s="25" t="n">
        <f>Financials!K20</f>
        <v>42843.0</v>
      </c>
      <c r="K22" s="25" t="n">
        <f>Financials!L20</f>
        <v>67012.0</v>
      </c>
      <c r="L22" s="25" t="n">
        <f>Financials!M20</f>
        <v>60010.0</v>
      </c>
    </row>
    <row r="23" spans="2:12">
      <c r="B23" s="18" t="s">
        <v>27</v>
      </c>
      <c r="C23" s="26"/>
      <c r="D23" s="26" t="n">
        <f>(D22-C22)/C22</f>
        <v>0.06760463675780905</v>
      </c>
      <c r="E23" s="26" t="n">
        <f t="shared" ref="E23:L23" si="2">(E22-D22)/D22</f>
        <v>0.380605055946954</v>
      </c>
      <c r="F23" s="26" t="n">
        <f t="shared" si="2"/>
        <v>0.564747553581077</v>
      </c>
      <c r="G23" s="26" t="n">
        <f t="shared" si="2"/>
        <v>-0.08275782688766115</v>
      </c>
      <c r="H23" s="26" t="n">
        <f t="shared" si="2"/>
        <v>-0.04496590956623583</v>
      </c>
      <c r="I23" s="26" t="n">
        <f t="shared" si="2"/>
        <v>0.35651716888577434</v>
      </c>
      <c r="J23" s="26" t="n">
        <f t="shared" si="2"/>
        <v>0.38328167376985667</v>
      </c>
      <c r="K23" s="26" t="n">
        <f t="shared" si="2"/>
        <v>0.5641294960670354</v>
      </c>
      <c r="L23" s="26" t="n">
        <f t="shared" si="2"/>
        <v>-0.10448874828388945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19342.0</v>
      </c>
      <c r="D25" s="62" t="n">
        <f>Financials!E9</f>
        <v>21475.0</v>
      </c>
      <c r="E25" s="62" t="n">
        <f>Financials!F9</f>
        <v>24423.0</v>
      </c>
      <c r="F25" s="62" t="n">
        <f>Financials!G9</f>
        <v>29860.0</v>
      </c>
      <c r="G25" s="62" t="n">
        <f>Financials!H9</f>
        <v>33093.0</v>
      </c>
      <c r="H25" s="62" t="n">
        <f>Financials!I9</f>
        <v>36559.0</v>
      </c>
      <c r="I25" s="62" t="n">
        <f>Financials!J9</f>
        <v>46012.0</v>
      </c>
      <c r="J25" s="62" t="n">
        <f>Financials!K9</f>
        <v>54921.0</v>
      </c>
      <c r="K25" s="62" t="n">
        <f>Financials!L9</f>
        <v>91155.0</v>
      </c>
      <c r="L25" s="62" t="n">
        <f>Financials!M9</f>
        <v>90770.0</v>
      </c>
    </row>
    <row r="26" spans="2:12">
      <c r="B26" s="18" t="s">
        <v>27</v>
      </c>
      <c r="C26" s="63"/>
      <c r="D26" s="63" t="n">
        <f>Financials!E10</f>
        <v>0.11027815117361182</v>
      </c>
      <c r="E26" s="63" t="n">
        <f>Financials!F10</f>
        <v>0.13727590221187427</v>
      </c>
      <c r="F26" s="63" t="n">
        <f>Financials!G10</f>
        <v>0.22261802399377636</v>
      </c>
      <c r="G26" s="63" t="n">
        <f>Financials!H10</f>
        <v>0.10827193569993301</v>
      </c>
      <c r="H26" s="63" t="n">
        <f>Financials!I10</f>
        <v>0.10473514036201009</v>
      </c>
      <c r="I26" s="63" t="n">
        <f>Financials!J10</f>
        <v>0.2585683415848355</v>
      </c>
      <c r="J26" s="63" t="n">
        <f>Financials!K10</f>
        <v>0.19362340259062852</v>
      </c>
      <c r="K26" s="63" t="n">
        <f>Financials!L10</f>
        <v>0.6597476375157044</v>
      </c>
      <c r="L26" s="63" t="n">
        <f>Financials!M10</f>
        <v>-0.00422357522900554</v>
      </c>
    </row>
    <row r="28" spans="2:12" ht="15" thickBot="1">
      <c r="B28" s="1" t="s">
        <v>31</v>
      </c>
      <c r="C28" s="24" t="n">
        <f t="shared" ref="C28:L28" si="3">C19/C16</f>
        <v>0.22934490895008916</v>
      </c>
      <c r="D28" s="24" t="n">
        <f t="shared" si="3"/>
        <v>0.21417857305192345</v>
      </c>
      <c r="E28" s="24" t="n">
        <f t="shared" si="3"/>
        <v>0.21104428649535265</v>
      </c>
      <c r="F28" s="24" t="n">
        <f t="shared" si="3"/>
        <v>0.2157701169797944</v>
      </c>
      <c r="G28" s="24" t="n">
        <f t="shared" si="3"/>
        <v>0.11422128005051645</v>
      </c>
      <c r="H28" s="24" t="n">
        <f t="shared" si="3"/>
        <v>0.22464716157843576</v>
      </c>
      <c r="I28" s="24" t="n">
        <f t="shared" si="3"/>
        <v>0.2121811228430034</v>
      </c>
      <c r="J28" s="24" t="n">
        <f t="shared" si="3"/>
        <v>0.22061941520980458</v>
      </c>
      <c r="K28" s="24" t="n">
        <f t="shared" si="3"/>
        <v>0.2951167728237792</v>
      </c>
      <c r="L28" s="24" t="n">
        <f t="shared" si="3"/>
        <v>0.2120380715326196</v>
      </c>
    </row>
    <row r="29" spans="2:12" ht="15" thickBot="1">
      <c r="B29" s="1" t="s">
        <v>32</v>
      </c>
      <c r="C29" s="24" t="n">
        <f t="shared" ref="C29:L29" si="4">C22/C19</f>
        <v>0.8875363229403911</v>
      </c>
      <c r="D29" s="24" t="n">
        <f t="shared" si="4"/>
        <v>0.853494623655914</v>
      </c>
      <c r="E29" s="24" t="n">
        <f t="shared" si="4"/>
        <v>1.05250853026665</v>
      </c>
      <c r="F29" s="24" t="n">
        <f t="shared" si="4"/>
        <v>1.3381250641749667</v>
      </c>
      <c r="G29" s="24" t="n">
        <f t="shared" si="4"/>
        <v>1.8880903490759753</v>
      </c>
      <c r="H29" s="24" t="n">
        <f t="shared" si="4"/>
        <v>0.7428422696512234</v>
      </c>
      <c r="I29" s="24" t="n">
        <f t="shared" si="4"/>
        <v>0.9018431703695076</v>
      </c>
      <c r="J29" s="24" t="n">
        <f t="shared" si="4"/>
        <v>1.0639201370781495</v>
      </c>
      <c r="K29" s="24" t="n">
        <f t="shared" si="4"/>
        <v>0.8813541488564176</v>
      </c>
      <c r="L29" s="24" t="n">
        <f t="shared" si="4"/>
        <v>1.0006336290268791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298957.6509547824</v>
      </c>
      <c r="D36" s="21" t="n">
        <f>C36*(D37+1)</f>
        <v>335101.6324805449</v>
      </c>
      <c r="E36" s="21" t="n">
        <f>D36*(E37+1)</f>
        <v>373370.2400642986</v>
      </c>
      <c r="F36" s="21" t="n">
        <f t="shared" ref="F36:L36" si="5">E36*(F37+1)</f>
        <v>418174.66787055746</v>
      </c>
      <c r="G36" s="21" t="n">
        <f t="shared" si="5"/>
        <v>468355.62689339154</v>
      </c>
      <c r="H36" s="21" t="n">
        <f t="shared" si="5"/>
        <v>524558.3008643709</v>
      </c>
      <c r="I36" s="21" t="n">
        <f t="shared" si="5"/>
        <v>587505.29556112</v>
      </c>
      <c r="J36" s="21" t="n">
        <f t="shared" si="5"/>
        <v>658005.9294526419</v>
      </c>
      <c r="K36" s="21" t="n">
        <f t="shared" si="5"/>
        <v>736966.6392220489</v>
      </c>
      <c r="L36" s="21" t="n">
        <f t="shared" si="5"/>
        <v>825402.6339519956</v>
      </c>
    </row>
    <row r="37" spans="2:12">
      <c r="B37" s="18" t="s">
        <v>27</v>
      </c>
      <c r="C37" s="68" t="n">
        <v>0.056999996304512024</v>
      </c>
      <c r="D37" s="68" t="n">
        <v>0.12090000510215759</v>
      </c>
      <c r="E37" s="68" t="n">
        <v>0.11420000344514847</v>
      </c>
      <c r="F37" s="27" t="n">
        <f>C6</f>
        <v>0.11999999731779099</v>
      </c>
      <c r="G37" s="27" t="n">
        <f>C6</f>
        <v>0.11999999731779099</v>
      </c>
      <c r="H37" s="27" t="n">
        <f>C6</f>
        <v>0.11999999731779099</v>
      </c>
      <c r="I37" s="27" t="n">
        <f>C6</f>
        <v>0.11999999731779099</v>
      </c>
      <c r="J37" s="27" t="n">
        <f>C6</f>
        <v>0.11999999731779099</v>
      </c>
      <c r="K37" s="27" t="n">
        <f>C6</f>
        <v>0.11999999731779099</v>
      </c>
      <c r="L37" s="27" t="n">
        <f>C6</f>
        <v>0.11999999731779099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64250.83361986636</v>
      </c>
      <c r="D39" s="21" t="n">
        <f>D36*C7</f>
        <v>72018.75973232626</v>
      </c>
      <c r="E39" s="21" t="n">
        <f>E36*C7</f>
        <v>80243.30234187342</v>
      </c>
      <c r="F39" s="21" t="n">
        <f>F36*C7</f>
        <v>89872.49840766874</v>
      </c>
      <c r="G39" s="21" t="n">
        <f>G36*C7</f>
        <v>100657.19797553217</v>
      </c>
      <c r="H39" s="21" t="n">
        <f>H36*C7</f>
        <v>112736.06146261231</v>
      </c>
      <c r="I39" s="21" t="n">
        <f>I36*C7</f>
        <v>126264.388535744</v>
      </c>
      <c r="J39" s="21" t="n">
        <f>J36*C7</f>
        <v>141416.1148213657</v>
      </c>
      <c r="K39" s="21" t="n">
        <f>K36*C7</f>
        <v>158386.0482206219</v>
      </c>
      <c r="L39" s="21" t="n">
        <f>L36*C7</f>
        <v>177392.37358227198</v>
      </c>
    </row>
    <row r="40" spans="2:12">
      <c r="B40" s="18"/>
      <c r="C40" s="20" t="n">
        <f>(C39-L19)/L19</f>
        <v>0.07134718901931501</v>
      </c>
      <c r="D40" s="20" t="n">
        <f>(D39-C39)/C39</f>
        <v>0.1209000051021603</v>
      </c>
      <c r="E40" s="20" t="n">
        <f t="shared" ref="E40:L40" si="6">(E39-D39)/D39</f>
        <v>0.11420000344515092</v>
      </c>
      <c r="F40" s="20" t="n">
        <f t="shared" si="6"/>
        <v>0.11999999731778875</v>
      </c>
      <c r="G40" s="20" t="n">
        <f t="shared" si="6"/>
        <v>0.11999999731779078</v>
      </c>
      <c r="H40" s="20" t="n">
        <f t="shared" si="6"/>
        <v>0.11999999731779003</v>
      </c>
      <c r="I40" s="20" t="n">
        <f t="shared" si="6"/>
        <v>0.11999999731779046</v>
      </c>
      <c r="J40" s="20" t="n">
        <f t="shared" si="6"/>
        <v>0.11999999731779021</v>
      </c>
      <c r="K40" s="20" t="n">
        <f t="shared" si="6"/>
        <v>0.11999999731778999</v>
      </c>
      <c r="L40" s="20" t="n">
        <f t="shared" si="6"/>
        <v>0.11999999731779065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68172.37197445109</v>
      </c>
      <c r="D42" s="21" t="n">
        <f>D39*C8</f>
        <v>76414.4120939886</v>
      </c>
      <c r="E42" s="21" t="n">
        <f>E39*C8</f>
        <v>85140.93821838123</v>
      </c>
      <c r="F42" s="21" t="n">
        <f>F39*C8</f>
        <v>95357.85057622097</v>
      </c>
      <c r="G42" s="21" t="n">
        <f>G39*C8</f>
        <v>106800.79238959767</v>
      </c>
      <c r="H42" s="21" t="n">
        <f>H39*C8</f>
        <v>119616.88718988713</v>
      </c>
      <c r="I42" s="21" t="n">
        <f>I39*C8</f>
        <v>133970.91333183635</v>
      </c>
      <c r="J42" s="21" t="n">
        <f>J39*C8</f>
        <v>150047.42257231893</v>
      </c>
      <c r="K42" s="21" t="n">
        <f>K39*C8</f>
        <v>168053.1128785383</v>
      </c>
      <c r="L42" s="21" t="n">
        <f>L39*C8</f>
        <v>188219.48597320914</v>
      </c>
    </row>
    <row r="43" spans="2:12">
      <c r="B43" s="18" t="s">
        <v>27</v>
      </c>
      <c r="C43" s="20" t="n">
        <f>(C42-L22)/L22</f>
        <v>0.1360168634302798</v>
      </c>
      <c r="D43" s="20" t="n">
        <f>(D42-C42)/C42</f>
        <v>0.12090000510216048</v>
      </c>
      <c r="E43" s="20" t="n">
        <f t="shared" ref="E43:L43" si="7">(E42-D42)/D42</f>
        <v>0.11420000344515013</v>
      </c>
      <c r="F43" s="20" t="n">
        <f t="shared" si="7"/>
        <v>0.11999999731778803</v>
      </c>
      <c r="G43" s="20" t="n">
        <f t="shared" si="7"/>
        <v>0.11999999731778958</v>
      </c>
      <c r="H43" s="20" t="n">
        <f t="shared" si="7"/>
        <v>0.119999997317789</v>
      </c>
      <c r="I43" s="20" t="n">
        <f t="shared" si="7"/>
        <v>0.11999999731779311</v>
      </c>
      <c r="J43" s="20" t="n">
        <f t="shared" si="7"/>
        <v>0.11999999731779301</v>
      </c>
      <c r="K43" s="20" t="n">
        <f t="shared" si="7"/>
        <v>0.11999999731778878</v>
      </c>
      <c r="L43" s="20" t="n">
        <f t="shared" si="7"/>
        <v>0.11999999731779047</v>
      </c>
    </row>
    <row r="45" spans="2:12">
      <c r="B45" s="18" t="s">
        <v>47</v>
      </c>
      <c r="C45" s="60" t="n">
        <v>102161.0</v>
      </c>
      <c r="D45" s="60" t="n">
        <v>112667.0</v>
      </c>
      <c r="E45" s="60" t="n">
        <v>114005.0</v>
      </c>
      <c r="F45" s="21" t="n">
        <f t="shared" ref="E45:L45" si="8">E45*(1+F46)</f>
        <v>125405.50016988112</v>
      </c>
      <c r="G45" s="21" t="n">
        <f t="shared" si="8"/>
        <v>137946.05037373834</v>
      </c>
      <c r="H45" s="21" t="n">
        <f t="shared" si="8"/>
        <v>151740.65561666797</v>
      </c>
      <c r="I45" s="21" t="n">
        <f t="shared" si="8"/>
        <v>166914.72140444658</v>
      </c>
      <c r="J45" s="21" t="n">
        <f t="shared" si="8"/>
        <v>183606.19379361466</v>
      </c>
      <c r="K45" s="21" t="n">
        <f t="shared" si="8"/>
        <v>201966.81344657176</v>
      </c>
      <c r="L45" s="21" t="n">
        <f t="shared" si="8"/>
        <v>222163.495092184</v>
      </c>
    </row>
    <row r="46" spans="2:12">
      <c r="B46" s="18" t="s">
        <v>27</v>
      </c>
      <c r="C46" s="20" t="n">
        <f>C10</f>
        <v>0.10000000149011612</v>
      </c>
      <c r="D46" s="20" t="n">
        <f>C10</f>
        <v>0.10000000149011612</v>
      </c>
      <c r="E46" s="20" t="n">
        <f>C10</f>
        <v>0.10000000149011612</v>
      </c>
      <c r="F46" s="20" t="n">
        <f>C10</f>
        <v>0.10000000149011612</v>
      </c>
      <c r="G46" s="20" t="n">
        <f>C10</f>
        <v>0.10000000149011612</v>
      </c>
      <c r="H46" s="20" t="n">
        <f>C10</f>
        <v>0.10000000149011612</v>
      </c>
      <c r="I46" s="20" t="n">
        <f>C10</f>
        <v>0.10000000149011612</v>
      </c>
      <c r="J46" s="20" t="n">
        <f>C10</f>
        <v>0.10000000149011612</v>
      </c>
      <c r="K46" s="20" t="n">
        <f>C10</f>
        <v>0.10000000149011612</v>
      </c>
      <c r="L46" s="20" t="n">
        <f>C10</f>
        <v>0.10000000149011612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1.1185141290293295</v>
      </c>
      <c r="D51" s="61" t="n">
        <f>POWER((1+C4),2)</f>
        <v>1.2510738568382394</v>
      </c>
      <c r="E51" s="61" t="n">
        <f>POWER((1+C4),3)</f>
        <v>1.3993437853327875</v>
      </c>
      <c r="F51" s="61" t="n">
        <f>POWER((1+C4),4)</f>
        <v>1.5651857952641077</v>
      </c>
      <c r="G51" s="61" t="n">
        <f>POWER((1+C4),5)</f>
        <v>1.7506824265589118</v>
      </c>
      <c r="H51" s="61" t="n">
        <f>POWER((1+C4),6)</f>
        <v>1.9581630295494943</v>
      </c>
      <c r="I51" s="61" t="n">
        <f>POWER((1+C4),7)</f>
        <v>2.1902330154939857</v>
      </c>
      <c r="J51" s="61" t="n">
        <f>POWER((1+C4),8)</f>
        <v>2.449806573696537</v>
      </c>
      <c r="K51" s="61" t="n">
        <f>POWER((1+C4),9)</f>
        <v>2.740143266068508</v>
      </c>
      <c r="L51" s="61" t="n">
        <f>POWER((1+C4),10)</f>
        <v>3.0648889586621992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60949.048568221944</v>
      </c>
      <c r="D53" s="21" t="n">
        <f t="shared" si="9"/>
        <v>61079.057544297124</v>
      </c>
      <c r="E53" s="21" t="n">
        <f t="shared" si="9"/>
        <v>60843.47471349444</v>
      </c>
      <c r="F53" s="21" t="n">
        <f t="shared" si="9"/>
        <v>60924.30104128966</v>
      </c>
      <c r="G53" s="21" t="n">
        <f t="shared" si="9"/>
        <v>61005.23474124459</v>
      </c>
      <c r="H53" s="21" t="n">
        <f t="shared" si="9"/>
        <v>61086.275955994824</v>
      </c>
      <c r="I53" s="21" t="n">
        <f t="shared" si="9"/>
        <v>61167.42482836691</v>
      </c>
      <c r="J53" s="21" t="n">
        <f t="shared" si="9"/>
        <v>61248.68150137698</v>
      </c>
      <c r="K53" s="21" t="n">
        <f t="shared" si="9"/>
        <v>61330.0461182296</v>
      </c>
      <c r="L53" s="21" t="n">
        <f t="shared" si="9"/>
        <v>61411.51882232149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3.4281216041696587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673126.1622843865</v>
      </c>
    </row>
    <row r="60" spans="2:12" ht="15" thickBot="1">
      <c r="B60" s="5" t="s">
        <v>41</v>
      </c>
      <c r="C60" s="23" t="n">
        <f>C59/C55</f>
        <v>196354.22543519334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1284171.226119224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91.42611522260268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3110288.931290576</v>
      </c>
    </row>
    <row r="70" spans="2:12" ht="15" thickBot="1">
      <c r="B70" s="5" t="s">
        <v>41</v>
      </c>
      <c r="C70" s="23" t="n">
        <f>C69/C55</f>
        <v>907286.6398635051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1518331.7036983427</v>
      </c>
    </row>
    <row r="73" spans="2:12" ht="15" thickTop="1"/>
    <row r="74" spans="2:12" ht="18.5">
      <c r="B74" s="69" t="s">
        <v>42</v>
      </c>
      <c r="C74" s="70" t="n">
        <f>C72/(C11/1000000)</f>
        <v>108.09708741719442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4.480000019073486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23.350000381469727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135.35276245850815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0.0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0.0</v>
      </c>
    </row>
    <row r="7" spans="2:16" ht="15" thickBot="1">
      <c r="B7" s="89" t="s">
        <v>121</v>
      </c>
      <c r="C7" s="90" t="n">
        <f>P6*(1+P7)</f>
        <v>0.0</v>
      </c>
      <c r="D7" s="90" t="n">
        <f>C7*(1+P7)</f>
        <v>0.0</v>
      </c>
      <c r="E7" s="90" t="n">
        <f>D7*(1+P7)</f>
        <v>0.0</v>
      </c>
      <c r="F7" s="90" t="n">
        <f>E7*(1+P7)</f>
        <v>0.0</v>
      </c>
      <c r="G7" s="90" t="n">
        <f>F7*(1+P7)</f>
        <v>0.0</v>
      </c>
      <c r="H7" s="90" t="n">
        <f>G7*(1+P7)</f>
        <v>0.0</v>
      </c>
      <c r="I7" s="90" t="n">
        <f>H7*(1+P7)</f>
        <v>0.0</v>
      </c>
      <c r="J7" s="90" t="n">
        <f>I7*(1+P7)</f>
        <v>0.0</v>
      </c>
      <c r="K7" s="90" t="n">
        <f>J7*(1+P7)</f>
        <v>0.0</v>
      </c>
      <c r="L7" s="90" t="n">
        <f>K7*(1+P7)</f>
        <v>0.0</v>
      </c>
      <c r="M7" s="159" t="n">
        <f>L7*(1+P7)/(P8-P7)</f>
        <v>0.0</v>
      </c>
      <c r="N7" s="160"/>
      <c r="O7" s="88" t="s">
        <v>122</v>
      </c>
      <c r="P7" s="104" t="n">
        <v>0.0</v>
      </c>
    </row>
    <row r="8" spans="2:16" ht="15" thickBot="1">
      <c r="B8" s="89" t="s">
        <v>123</v>
      </c>
      <c r="C8" s="90" t="n">
        <f>C7/(1+P8)</f>
        <v>0.0</v>
      </c>
      <c r="D8" s="90" t="n">
        <f>D7/(1+P8)^2</f>
        <v>0.0</v>
      </c>
      <c r="E8" s="90" t="n">
        <f>E7/(1+P8)^3</f>
        <v>0.0</v>
      </c>
      <c r="F8" s="90" t="n">
        <f>F7/(1+P8)^4</f>
        <v>0.0</v>
      </c>
      <c r="G8" s="90" t="n">
        <f>G7/(1+P8)^5</f>
        <v>0.0</v>
      </c>
      <c r="H8" s="90" t="n">
        <f>H7/(1+P8)^6</f>
        <v>0.0</v>
      </c>
      <c r="I8" s="90" t="n">
        <f>I7/(1+P8)^7</f>
        <v>0.0</v>
      </c>
      <c r="J8" s="90" t="n">
        <f>J7/(1+P8)^8</f>
        <v>0.0</v>
      </c>
      <c r="K8" s="90" t="n">
        <f>K7/(1+P8)^9</f>
        <v>0.0</v>
      </c>
      <c r="L8" s="90" t="n">
        <f>L7/(1+P8)^10</f>
        <v>0.0</v>
      </c>
      <c r="M8" s="159" t="n">
        <f>M7/POWER((1+P8),10)</f>
        <v>0.0</v>
      </c>
      <c r="N8" s="160"/>
      <c r="O8" s="91" t="s">
        <v>124</v>
      </c>
      <c r="P8" s="105" t="n">
        <f>WACC!$C$25</f>
        <v>0.11851412902932952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0.0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0.0</v>
      </c>
    </row>
    <row r="16" spans="2:16" ht="15" thickBot="1">
      <c r="B16" s="89" t="s">
        <v>121</v>
      </c>
      <c r="C16" s="90" t="n">
        <f>P15*(1+P16)</f>
        <v>0.0</v>
      </c>
      <c r="D16" s="90" t="n">
        <f>C16*(1+P16)</f>
        <v>0.0</v>
      </c>
      <c r="E16" s="90" t="n">
        <f>D16*(1+P16)</f>
        <v>0.0</v>
      </c>
      <c r="F16" s="90" t="n">
        <f>E16*(1+P16)</f>
        <v>0.0</v>
      </c>
      <c r="G16" s="90" t="n">
        <f>F16*(1+P16)</f>
        <v>0.0</v>
      </c>
      <c r="H16" s="90" t="n">
        <f>G16*(1+P16)</f>
        <v>0.0</v>
      </c>
      <c r="I16" s="90" t="n">
        <f>H16*(1+P16)</f>
        <v>0.0</v>
      </c>
      <c r="J16" s="90" t="n">
        <f>I16*(1+P16)</f>
        <v>0.0</v>
      </c>
      <c r="K16" s="90" t="n">
        <f>J16*(1+P16)</f>
        <v>0.0</v>
      </c>
      <c r="L16" s="90" t="n">
        <f>K16*(1+P16)</f>
        <v>0.0</v>
      </c>
      <c r="M16" s="159" t="n">
        <f>L16*(1+P16)/(P17-P16)</f>
        <v>0.0</v>
      </c>
      <c r="N16" s="160"/>
      <c r="O16" s="88" t="s">
        <v>122</v>
      </c>
      <c r="P16" s="104" t="n">
        <v>0.0</v>
      </c>
    </row>
    <row r="17" spans="2:16" ht="15" thickBot="1">
      <c r="B17" s="89" t="s">
        <v>123</v>
      </c>
      <c r="C17" s="90" t="n">
        <f>C16/(1+P17)</f>
        <v>0.0</v>
      </c>
      <c r="D17" s="90" t="n">
        <f>D16/(1+P17)^2</f>
        <v>0.0</v>
      </c>
      <c r="E17" s="90" t="n">
        <f>E16/(1+P17)^3</f>
        <v>0.0</v>
      </c>
      <c r="F17" s="90" t="n">
        <f>F16/(1+P17)^4</f>
        <v>0.0</v>
      </c>
      <c r="G17" s="90" t="n">
        <f>G16/(1+P17)^5</f>
        <v>0.0</v>
      </c>
      <c r="H17" s="90" t="n">
        <f>H16/(1+P17)^6</f>
        <v>0.0</v>
      </c>
      <c r="I17" s="90" t="n">
        <f>I16/(1+P17)^7</f>
        <v>0.0</v>
      </c>
      <c r="J17" s="90" t="n">
        <f>J16/(1+P17)^8</f>
        <v>0.0</v>
      </c>
      <c r="K17" s="90" t="n">
        <f>K16/(1+P17)^9</f>
        <v>0.0</v>
      </c>
      <c r="L17" s="90" t="n">
        <f>L16/(1+P17)^10</f>
        <v>0.0</v>
      </c>
      <c r="M17" s="159" t="n">
        <f>M16/POWER((1+P17),10)</f>
        <v>0.0</v>
      </c>
      <c r="N17" s="160"/>
      <c r="O17" s="91" t="s">
        <v>124</v>
      </c>
      <c r="P17" s="105" t="n">
        <f>WACC!$C$25</f>
        <v>0.11851412902932952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0.0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0.0</v>
      </c>
    </row>
    <row r="25" spans="2:16" ht="15" thickBot="1">
      <c r="B25" s="89" t="s">
        <v>121</v>
      </c>
      <c r="C25" s="90" t="n">
        <f>P24*(1+P25)</f>
        <v>0.0</v>
      </c>
      <c r="D25" s="90" t="n">
        <f>C25*(1+P25)</f>
        <v>0.0</v>
      </c>
      <c r="E25" s="90" t="n">
        <f>D25*(1+P25)</f>
        <v>0.0</v>
      </c>
      <c r="F25" s="90" t="n">
        <f>E25*(1+P25)</f>
        <v>0.0</v>
      </c>
      <c r="G25" s="90" t="n">
        <f>F25*(1+P25)</f>
        <v>0.0</v>
      </c>
      <c r="H25" s="90" t="n">
        <f>G25*(1+P25)</f>
        <v>0.0</v>
      </c>
      <c r="I25" s="90" t="n">
        <f>H25*(1+P25)</f>
        <v>0.0</v>
      </c>
      <c r="J25" s="90" t="n">
        <f>I25*(1+P25)</f>
        <v>0.0</v>
      </c>
      <c r="K25" s="90" t="n">
        <f>J25*(1+P25)</f>
        <v>0.0</v>
      </c>
      <c r="L25" s="90" t="n">
        <f>K25*(1+P25)</f>
        <v>0.0</v>
      </c>
      <c r="M25" s="159" t="n">
        <f>L25*(1+P25)/(P26-P25)</f>
        <v>0.0</v>
      </c>
      <c r="N25" s="160"/>
      <c r="O25" s="88" t="s">
        <v>122</v>
      </c>
      <c r="P25" s="104" t="n">
        <v>0.0</v>
      </c>
    </row>
    <row r="26" spans="2:16" ht="15" thickBot="1">
      <c r="B26" s="89" t="s">
        <v>123</v>
      </c>
      <c r="C26" s="90" t="n">
        <f>C25/(1+P26)</f>
        <v>0.0</v>
      </c>
      <c r="D26" s="90" t="n">
        <f>D25/(1+P26)^2</f>
        <v>0.0</v>
      </c>
      <c r="E26" s="90" t="n">
        <f>E25/(1+P26)^3</f>
        <v>0.0</v>
      </c>
      <c r="F26" s="90" t="n">
        <f>F25/(1+P26)^4</f>
        <v>0.0</v>
      </c>
      <c r="G26" s="90" t="n">
        <f>G25/(1+P26)^5</f>
        <v>0.0</v>
      </c>
      <c r="H26" s="90" t="n">
        <f>H25/(1+P26)^6</f>
        <v>0.0</v>
      </c>
      <c r="I26" s="90" t="n">
        <f>I25/(1+P26)^7</f>
        <v>0.0</v>
      </c>
      <c r="J26" s="90" t="n">
        <f>J25/(1+P26)^8</f>
        <v>0.0</v>
      </c>
      <c r="K26" s="90" t="n">
        <f>K25/(1+P26)^9</f>
        <v>0.0</v>
      </c>
      <c r="L26" s="90" t="n">
        <f>L25/(1+P26)^10</f>
        <v>0.0</v>
      </c>
      <c r="M26" s="159" t="n">
        <f>M25/POWER((1+P26),10)</f>
        <v>0.0</v>
      </c>
      <c r="N26" s="160"/>
      <c r="O26" s="91" t="s">
        <v>124</v>
      </c>
      <c r="P26" s="105" t="n">
        <f>WACC!$C$25</f>
        <v>0.11851412902932952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0.0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46039.0</v>
      </c>
      <c r="D3" s="110" t="n">
        <v>55519.0</v>
      </c>
      <c r="E3" s="110" t="n">
        <v>66001.0</v>
      </c>
      <c r="F3" s="110" t="n">
        <v>74989.0</v>
      </c>
      <c r="G3" s="110" t="n">
        <v>90272.0</v>
      </c>
      <c r="H3" s="110" t="n">
        <v>110855.0</v>
      </c>
      <c r="I3" s="110" t="n">
        <v>136819.0</v>
      </c>
      <c r="J3" s="110" t="n">
        <v>161857.0</v>
      </c>
      <c r="K3" s="110" t="n">
        <v>182527.0</v>
      </c>
      <c r="L3" s="110" t="n">
        <v>257637.0</v>
      </c>
      <c r="M3" s="110" t="n">
        <v>282836.0</v>
      </c>
      <c r="Q3" s="107"/>
    </row>
    <row r="4" spans="2:17">
      <c r="B4" s="18" t="s">
        <v>27</v>
      </c>
      <c r="C4" s="113"/>
      <c r="D4" s="121" t="n">
        <f t="shared" ref="D4:M4" si="0">(D3-C3)/C3</f>
        <v>0.20591237863550468</v>
      </c>
      <c r="E4" s="121" t="n">
        <f t="shared" si="0"/>
        <v>0.18880023055170303</v>
      </c>
      <c r="F4" s="121" t="n">
        <f t="shared" si="0"/>
        <v>0.13617975485219921</v>
      </c>
      <c r="G4" s="121" t="n">
        <f t="shared" si="0"/>
        <v>0.2038032244729227</v>
      </c>
      <c r="H4" s="121" t="n">
        <f t="shared" si="0"/>
        <v>0.22801090038993266</v>
      </c>
      <c r="I4" s="121" t="n">
        <f t="shared" si="0"/>
        <v>0.23421586757475982</v>
      </c>
      <c r="J4" s="121" t="n">
        <f t="shared" si="0"/>
        <v>0.1830008989979462</v>
      </c>
      <c r="K4" s="121" t="n">
        <f t="shared" si="0"/>
        <v>0.12770532012826136</v>
      </c>
      <c r="L4" s="121" t="n">
        <f t="shared" si="0"/>
        <v>0.4115007642704915</v>
      </c>
      <c r="M4" s="121" t="n">
        <f t="shared" si="0"/>
        <v>0.0978081564371577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10737.0</v>
      </c>
      <c r="D6" s="110" t="n">
        <v>12733.0</v>
      </c>
      <c r="E6" s="110" t="n">
        <v>14136.0</v>
      </c>
      <c r="F6" s="110" t="n">
        <v>15826.0</v>
      </c>
      <c r="G6" s="110" t="n">
        <v>19478.0</v>
      </c>
      <c r="H6" s="110" t="n">
        <v>12662.0</v>
      </c>
      <c r="I6" s="110" t="n">
        <v>30736.0</v>
      </c>
      <c r="J6" s="110" t="n">
        <v>34343.0</v>
      </c>
      <c r="K6" s="110" t="n">
        <v>40269.0</v>
      </c>
      <c r="L6" s="110" t="n">
        <v>76033.0</v>
      </c>
      <c r="M6" s="110" t="n">
        <v>59972.0</v>
      </c>
      <c r="Q6" s="107"/>
    </row>
    <row r="7" spans="2:17">
      <c r="B7" s="18" t="s">
        <v>27</v>
      </c>
      <c r="C7" s="113"/>
      <c r="D7" s="121" t="n">
        <f t="shared" ref="D7" si="1">(D6-C6)/C6</f>
        <v>0.18589922697215236</v>
      </c>
      <c r="E7" s="121" t="n">
        <f t="shared" ref="E7" si="2">(E6-D6)/D6</f>
        <v>0.11018613052697715</v>
      </c>
      <c r="F7" s="121" t="n">
        <f t="shared" ref="F7" si="3">(F6-E6)/E6</f>
        <v>0.11955291454442558</v>
      </c>
      <c r="G7" s="121" t="n">
        <f t="shared" ref="G7" si="4">(G6-F6)/F6</f>
        <v>0.23075950966763553</v>
      </c>
      <c r="H7" s="121" t="n">
        <f t="shared" ref="H7" si="5">(H6-G6)/G6</f>
        <v>-0.3499332580347058</v>
      </c>
      <c r="I7" s="121" t="n">
        <f t="shared" ref="I7" si="6">(I6-H6)/H6</f>
        <v>1.4274206286526616</v>
      </c>
      <c r="J7" s="121" t="n">
        <f t="shared" ref="J7" si="7">(J6-I6)/I6</f>
        <v>0.11735424258198855</v>
      </c>
      <c r="K7" s="121" t="n">
        <f t="shared" ref="K7" si="8">(K6-J6)/J6</f>
        <v>0.1725533587630667</v>
      </c>
      <c r="L7" s="121" t="n">
        <f t="shared" ref="L7" si="9">(L6-K6)/K6</f>
        <v>0.8881273436141945</v>
      </c>
      <c r="M7" s="121" t="n">
        <f t="shared" ref="M7" si="10">(M6-L6)/L6</f>
        <v>-0.21123722594136757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16796.0</v>
      </c>
      <c r="D9" s="110" t="n">
        <v>19342.0</v>
      </c>
      <c r="E9" s="110" t="n">
        <v>21475.0</v>
      </c>
      <c r="F9" s="110" t="n">
        <v>24423.0</v>
      </c>
      <c r="G9" s="110" t="n">
        <v>29860.0</v>
      </c>
      <c r="H9" s="110" t="n">
        <v>33093.0</v>
      </c>
      <c r="I9" s="110" t="n">
        <v>36559.0</v>
      </c>
      <c r="J9" s="110" t="n">
        <v>46012.0</v>
      </c>
      <c r="K9" s="110" t="n">
        <v>54921.0</v>
      </c>
      <c r="L9" s="110" t="n">
        <v>91155.0</v>
      </c>
      <c r="M9" s="110" t="n">
        <v>90770.0</v>
      </c>
      <c r="Q9" s="107"/>
    </row>
    <row r="10" spans="2:17">
      <c r="B10" s="18" t="s">
        <v>27</v>
      </c>
      <c r="C10" s="113"/>
      <c r="D10" s="121" t="n">
        <f t="shared" ref="D10" si="11">(D9-C9)/C9</f>
        <v>0.1515837104072398</v>
      </c>
      <c r="E10" s="121" t="n">
        <f t="shared" ref="E10" si="12">(E9-D9)/D9</f>
        <v>0.11027815117361182</v>
      </c>
      <c r="F10" s="121" t="n">
        <f t="shared" ref="F10" si="13">(F9-E9)/E9</f>
        <v>0.13727590221187427</v>
      </c>
      <c r="G10" s="121" t="n">
        <f t="shared" ref="G10" si="14">(G9-F9)/F9</f>
        <v>0.22261802399377636</v>
      </c>
      <c r="H10" s="121" t="n">
        <f t="shared" ref="H10" si="15">(H9-G9)/G9</f>
        <v>0.10827193569993301</v>
      </c>
      <c r="I10" s="121" t="n">
        <f t="shared" ref="I10" si="16">(I9-H9)/H9</f>
        <v>0.10473514036201009</v>
      </c>
      <c r="J10" s="121" t="n">
        <f t="shared" ref="J10" si="17">(J9-I9)/I9</f>
        <v>0.2585683415848355</v>
      </c>
      <c r="K10" s="121" t="n">
        <f t="shared" ref="K10" si="18">(K9-J9)/J9</f>
        <v>0.19362340259062852</v>
      </c>
      <c r="L10" s="121" t="n">
        <f t="shared" ref="L10" si="19">(L9-K9)/K9</f>
        <v>0.6597476375157044</v>
      </c>
      <c r="M10" s="121" t="n">
        <f t="shared" ref="M10" si="20">(M9-L9)/L9</f>
        <v>-0.00422357522900554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13292.2001953125</v>
      </c>
      <c r="D12" s="110" t="n">
        <v>14739.0</v>
      </c>
      <c r="E12" s="110" t="n">
        <v>14839.9599609375</v>
      </c>
      <c r="F12" s="110" t="n">
        <v>14893.5</v>
      </c>
      <c r="G12" s="110" t="n">
        <v>14951.2998046875</v>
      </c>
      <c r="H12" s="110" t="n">
        <v>15014.599609375</v>
      </c>
      <c r="I12" s="110" t="n">
        <v>15002.98046875</v>
      </c>
      <c r="J12" s="110" t="n">
        <v>14901.66015625</v>
      </c>
      <c r="K12" s="110" t="n">
        <v>14665.0</v>
      </c>
      <c r="L12" s="110" t="n">
        <v>14462.0</v>
      </c>
      <c r="M12" s="110" t="n">
        <v>14046.0</v>
      </c>
      <c r="Q12" s="107"/>
    </row>
    <row r="13" spans="2:17">
      <c r="B13" s="18" t="s">
        <v>27</v>
      </c>
      <c r="C13" s="113"/>
      <c r="D13" s="121" t="n">
        <f t="shared" ref="D13" si="21">(D12-C12)/C12</f>
        <v>0.1088457729667444</v>
      </c>
      <c r="E13" s="121" t="n">
        <f t="shared" ref="E13" si="22">(E12-D12)/D12</f>
        <v>0.006849851478221046</v>
      </c>
      <c r="F13" s="121" t="n">
        <f t="shared" ref="F13" si="23">(F12-E12)/E12</f>
        <v>0.0036078290779375972</v>
      </c>
      <c r="G13" s="121" t="n">
        <f t="shared" ref="G13" si="24">(G12-F12)/F12</f>
        <v>0.003880874521603384</v>
      </c>
      <c r="H13" s="121" t="n">
        <f t="shared" ref="H13" si="25">(H12-G12)/G12</f>
        <v>0.0042337325526476555</v>
      </c>
      <c r="I13" s="121" t="n">
        <f t="shared" ref="I13" si="26">(I12-H12)/H12</f>
        <v>-7.73856175142033E-4</v>
      </c>
      <c r="J13" s="121" t="n">
        <f t="shared" ref="J13" si="27">(J12-I12)/I12</f>
        <v>-0.006753345624293923</v>
      </c>
      <c r="K13" s="121" t="n">
        <f t="shared" ref="K13" si="28">(K12-J12)/J12</f>
        <v>-0.015881462452406073</v>
      </c>
      <c r="L13" s="121" t="n">
        <f t="shared" ref="L13" si="29">(L12-K12)/K12</f>
        <v>-0.013842482100238664</v>
      </c>
      <c r="M13" s="121" t="n">
        <f t="shared" ref="M13" si="30">(M12-L12)/L12</f>
        <v>-0.028765039413635736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0.8080000281333923</v>
      </c>
      <c r="D15" s="110" t="n">
        <v>0.9394999742507935</v>
      </c>
      <c r="E15" s="110" t="n">
        <v>1.028499960899353</v>
      </c>
      <c r="F15" s="110" t="n">
        <v>1.1419999599456787</v>
      </c>
      <c r="G15" s="110" t="n">
        <v>1.3925000429153442</v>
      </c>
      <c r="H15" s="110" t="n">
        <v>0.8999999761581421</v>
      </c>
      <c r="I15" s="110" t="n">
        <v>2.184999942779541</v>
      </c>
      <c r="J15" s="110" t="n">
        <v>2.4579999446868896</v>
      </c>
      <c r="K15" s="110" t="n">
        <v>2.930000066757202</v>
      </c>
      <c r="L15" s="110" t="n">
        <v>5.610000133514404</v>
      </c>
      <c r="M15" s="110" t="n">
        <v>4.559999942779541</v>
      </c>
      <c r="Q15" s="107"/>
    </row>
    <row r="16" spans="2:17">
      <c r="B16" s="18" t="s">
        <v>27</v>
      </c>
      <c r="D16" s="121" t="n">
        <f t="shared" ref="D16" si="31">(D15-C15)/C15</f>
        <v>0.1627474523994593</v>
      </c>
      <c r="E16" s="121" t="n">
        <f t="shared" ref="E16" si="32">(E15-D15)/D15</f>
        <v>0.09473122840640086</v>
      </c>
      <c r="F16" s="121" t="n">
        <f t="shared" ref="F16" si="33">(F15-E15)/E15</f>
        <v>0.1103548890240874</v>
      </c>
      <c r="G16" s="121" t="n">
        <f t="shared" ref="G16" si="34">(G15-F15)/F15</f>
        <v>0.2193520943569746</v>
      </c>
      <c r="H16" s="121" t="n">
        <f t="shared" ref="H16" si="35">(H15-G15)/G15</f>
        <v>-0.3536804679202043</v>
      </c>
      <c r="I16" s="121" t="n">
        <f t="shared" ref="I16" si="36">(I15-H15)/H15</f>
        <v>1.427777778513639</v>
      </c>
      <c r="J16" s="121" t="n">
        <f t="shared" ref="J16" si="37">(J15-I15)/I15</f>
        <v>0.12494279590692597</v>
      </c>
      <c r="K16" s="121" t="n">
        <f t="shared" ref="K16" si="38">(K15-J15)/J15</f>
        <v>0.19202609141247898</v>
      </c>
      <c r="L16" s="121" t="n">
        <f t="shared" ref="L16" si="39">(L15-K15)/K15</f>
        <v>0.9146757698621183</v>
      </c>
      <c r="M16" s="121" t="n">
        <f t="shared" ref="M16" si="40">(M15-L15)/L15</f>
        <v>-0.18716580494572724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13346.0</v>
      </c>
      <c r="D20" s="128" t="n">
        <v>11301.0</v>
      </c>
      <c r="E20" s="128" t="n">
        <v>12065.0</v>
      </c>
      <c r="F20" s="128" t="n">
        <v>16657.0</v>
      </c>
      <c r="G20" s="128" t="n">
        <v>26064.0</v>
      </c>
      <c r="H20" s="128" t="n">
        <v>23907.0</v>
      </c>
      <c r="I20" s="128" t="n">
        <v>22832.0</v>
      </c>
      <c r="J20" s="128" t="n">
        <v>30972.0</v>
      </c>
      <c r="K20" s="128" t="n">
        <v>42843.0</v>
      </c>
      <c r="L20" s="128" t="n">
        <v>67012.0</v>
      </c>
      <c r="M20" s="128" t="n">
        <v>60010.0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0.06760463675780905</v>
      </c>
      <c r="F21" s="131" t="n">
        <f t="shared" ref="F21" si="42">(F20-E20)/E20</f>
        <v>0.380605055946954</v>
      </c>
      <c r="G21" s="131" t="n">
        <f t="shared" ref="G21" si="43">(G20-F20)/F20</f>
        <v>0.564747553581077</v>
      </c>
      <c r="H21" s="131" t="n">
        <f t="shared" ref="H21" si="44">(H20-G20)/G20</f>
        <v>-0.08275782688766115</v>
      </c>
      <c r="I21" s="131" t="n">
        <f t="shared" ref="I21" si="45">(I20-H20)/H20</f>
        <v>-0.04496590956623583</v>
      </c>
      <c r="J21" s="131" t="n">
        <f t="shared" ref="J21" si="46">(J20-I20)/I20</f>
        <v>0.35651716888577434</v>
      </c>
      <c r="K21" s="131" t="n">
        <f t="shared" ref="K21" si="47">(K20-J20)/J20</f>
        <v>0.38328167376985667</v>
      </c>
      <c r="L21" s="131" t="n">
        <f t="shared" ref="L21" si="48">(L20-K20)/K20</f>
        <v>0.5641294960670354</v>
      </c>
      <c r="M21" s="131" t="n">
        <f t="shared" ref="M21" si="49">(M20-L20)/L20</f>
        <v>-0.10448874828388945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0.10000000149011612</v>
      </c>
      <c r="D23" s="130" t="n">
        <v>0.10000000149011612</v>
      </c>
      <c r="E23" s="130" t="n">
        <v>0.10000000149011612</v>
      </c>
      <c r="F23" s="130" t="n">
        <v>0.10000000149011612</v>
      </c>
      <c r="G23" s="130" t="n">
        <v>0.10000000149011612</v>
      </c>
      <c r="H23" s="130" t="n">
        <v>0.10000000149011612</v>
      </c>
      <c r="I23" s="130" t="n">
        <v>0.10000000149011612</v>
      </c>
      <c r="J23" s="130" t="n">
        <v>0.10000000149011612</v>
      </c>
      <c r="K23" s="130" t="n">
        <v>0.10000000149011612</v>
      </c>
      <c r="L23" s="130" t="n">
        <v>0.10000000149011612</v>
      </c>
      <c r="M23" s="130" t="n">
        <v>0.10000000149011612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0.0</v>
      </c>
      <c r="E24" s="121" t="n">
        <f t="shared" ref="E24" si="51">(E23-D23)/D23</f>
        <v>0.0</v>
      </c>
      <c r="F24" s="121" t="n">
        <f t="shared" ref="F24" si="52">(F23-E23)/E23</f>
        <v>0.0</v>
      </c>
      <c r="G24" s="121" t="n">
        <f t="shared" ref="G24" si="53">(G23-F23)/F23</f>
        <v>0.0</v>
      </c>
      <c r="H24" s="121" t="n">
        <f t="shared" ref="H24" si="54">(H23-G23)/G23</f>
        <v>0.0</v>
      </c>
      <c r="I24" s="121" t="n">
        <f t="shared" ref="I24" si="55">(I23-H23)/H23</f>
        <v>0.0</v>
      </c>
      <c r="J24" s="121" t="n">
        <f t="shared" ref="J24" si="56">(J23-I23)/I23</f>
        <v>0.0</v>
      </c>
      <c r="K24" s="121" t="n">
        <f t="shared" ref="K24" si="57">(K23-J23)/J23</f>
        <v>0.0</v>
      </c>
      <c r="L24" s="121" t="n">
        <f t="shared" ref="L24" si="58">(L23-K23)/K23</f>
        <v>0.0</v>
      </c>
      <c r="M24" s="121" t="n">
        <f t="shared" ref="M24" si="59">(M23-L23)/L23</f>
        <v>0.0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60454.0</v>
      </c>
      <c r="D28" s="110" t="n">
        <v>72886.0</v>
      </c>
      <c r="E28" s="110" t="n">
        <v>78656.0</v>
      </c>
      <c r="F28" s="110" t="n">
        <v>90114.0</v>
      </c>
      <c r="G28" s="110" t="n">
        <v>105408.0</v>
      </c>
      <c r="H28" s="110" t="n">
        <v>124308.0</v>
      </c>
      <c r="I28" s="110" t="n">
        <v>135676.0</v>
      </c>
      <c r="J28" s="110" t="n">
        <v>152578.0</v>
      </c>
      <c r="K28" s="110" t="n">
        <v>174296.0</v>
      </c>
      <c r="L28" s="110" t="n">
        <v>188143.0</v>
      </c>
      <c r="M28" s="110" t="n">
        <v>164795.0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0.20564396069738974</v>
      </c>
      <c r="E29" s="121" t="n">
        <f t="shared" ref="E29" si="61">(E28-D28)/D28</f>
        <v>0.07916472299206981</v>
      </c>
      <c r="F29" s="121" t="n">
        <f t="shared" ref="F29" si="62">(F28-E28)/E28</f>
        <v>0.14567229454841335</v>
      </c>
      <c r="G29" s="121" t="n">
        <f t="shared" ref="G29" si="63">(G28-F28)/F28</f>
        <v>0.16971835674811905</v>
      </c>
      <c r="H29" s="121" t="n">
        <f t="shared" ref="H29" si="64">(H28-G28)/G28</f>
        <v>0.17930327868852458</v>
      </c>
      <c r="I29" s="121" t="n">
        <f t="shared" ref="I29" si="65">(I28-H28)/H28</f>
        <v>0.09145026868745375</v>
      </c>
      <c r="J29" s="121" t="n">
        <f t="shared" ref="J29" si="66">(J28-I28)/I28</f>
        <v>0.12457619623220025</v>
      </c>
      <c r="K29" s="121" t="n">
        <f t="shared" ref="K29" si="67">(K28-J28)/J28</f>
        <v>0.14234031118509877</v>
      </c>
      <c r="L29" s="121" t="n">
        <f t="shared" ref="L29" si="68">(L28-K28)/K28</f>
        <v>0.07944531142424381</v>
      </c>
      <c r="M29" s="121" t="n">
        <f t="shared" ref="M29" si="69">(M28-L28)/L28</f>
        <v>-0.12409709635755782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33344.0</v>
      </c>
      <c r="D31" s="110" t="n">
        <v>38034.0</v>
      </c>
      <c r="E31" s="110" t="n">
        <v>50531.0</v>
      </c>
      <c r="F31" s="110" t="n">
        <v>57347.0</v>
      </c>
      <c r="G31" s="110" t="n">
        <v>62089.0</v>
      </c>
      <c r="H31" s="110" t="n">
        <v>72987.0</v>
      </c>
      <c r="I31" s="110" t="n">
        <v>97116.0</v>
      </c>
      <c r="J31" s="110" t="n">
        <v>123331.0</v>
      </c>
      <c r="K31" s="110" t="n">
        <v>145320.0</v>
      </c>
      <c r="L31" s="110" t="n">
        <v>171125.0</v>
      </c>
      <c r="M31" s="110" t="n">
        <v>200469.0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0.14065499040307103</v>
      </c>
      <c r="E32" s="121" t="n">
        <f t="shared" ref="E32" si="71">(E31-D31)/D31</f>
        <v>0.32857443340169323</v>
      </c>
      <c r="F32" s="121" t="n">
        <f t="shared" ref="F32" si="72">(F31-E31)/E31</f>
        <v>0.1348874948051691</v>
      </c>
      <c r="G32" s="121" t="n">
        <f t="shared" ref="G32" si="73">(G31-F31)/F31</f>
        <v>0.08268959143459989</v>
      </c>
      <c r="H32" s="121" t="n">
        <f t="shared" ref="H32" si="74">(H31-G31)/G31</f>
        <v>0.1755222342121793</v>
      </c>
      <c r="I32" s="121" t="n">
        <f t="shared" ref="I32" si="75">(I31-H31)/H31</f>
        <v>0.3305931193226191</v>
      </c>
      <c r="J32" s="121" t="n">
        <f t="shared" ref="J32" si="76">(J31-I31)/I31</f>
        <v>0.2699349231846452</v>
      </c>
      <c r="K32" s="121" t="n">
        <f t="shared" ref="K32" si="77">(K31-J31)/J31</f>
        <v>0.17829256229171903</v>
      </c>
      <c r="L32" s="121" t="n">
        <f t="shared" ref="L32" si="78">(L31-K31)/K31</f>
        <v>0.1775736306083127</v>
      </c>
      <c r="M32" s="121" t="n">
        <f t="shared" ref="M32" si="79">(M31-L31)/L31</f>
        <v>0.17147699050401752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110920.0</v>
      </c>
      <c r="E34" s="111" t="n">
        <f t="shared" ref="E34:M34" si="80">E28+E31</f>
        <v>129187.0</v>
      </c>
      <c r="F34" s="111" t="n">
        <f t="shared" si="80"/>
        <v>147461.0</v>
      </c>
      <c r="G34" s="111" t="n">
        <f t="shared" si="80"/>
        <v>167497.0</v>
      </c>
      <c r="H34" s="111" t="n">
        <f t="shared" si="80"/>
        <v>197295.0</v>
      </c>
      <c r="I34" s="111" t="n">
        <f t="shared" si="80"/>
        <v>232792.0</v>
      </c>
      <c r="J34" s="111" t="n">
        <f t="shared" si="80"/>
        <v>275909.0</v>
      </c>
      <c r="K34" s="111" t="n">
        <f t="shared" si="80"/>
        <v>319616.0</v>
      </c>
      <c r="L34" s="111" t="n">
        <f t="shared" si="80"/>
        <v>359268.0</v>
      </c>
      <c r="M34" s="111" t="n">
        <f t="shared" si="80"/>
        <v>365264.0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14337.0</v>
      </c>
      <c r="D36" s="118" t="n">
        <v>15908.0</v>
      </c>
      <c r="E36" s="110" t="n">
        <v>16779.0</v>
      </c>
      <c r="F36" s="110" t="n">
        <v>19310.0</v>
      </c>
      <c r="G36" s="110" t="n">
        <v>16756.0</v>
      </c>
      <c r="H36" s="110" t="n">
        <v>24183.0</v>
      </c>
      <c r="I36" s="110" t="n">
        <v>34620.0</v>
      </c>
      <c r="J36" s="110" t="n">
        <v>45221.0</v>
      </c>
      <c r="K36" s="110" t="n">
        <v>56834.0</v>
      </c>
      <c r="L36" s="110" t="n">
        <v>64254.0</v>
      </c>
      <c r="M36" s="110" t="n">
        <v>69300.0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0.10957661993443538</v>
      </c>
      <c r="E37" s="121" t="n">
        <f t="shared" ref="E37" si="82">(E36-D36)/D36</f>
        <v>0.0547523258737742</v>
      </c>
      <c r="F37" s="121" t="n">
        <f t="shared" ref="F37" si="83">(F36-E36)/E36</f>
        <v>0.15084331604982418</v>
      </c>
      <c r="G37" s="121" t="n">
        <f t="shared" ref="G37" si="84">(G36-F36)/F36</f>
        <v>-0.1322630761263594</v>
      </c>
      <c r="H37" s="121" t="n">
        <f t="shared" ref="H37" si="85">(H36-G36)/G36</f>
        <v>0.44324421102888517</v>
      </c>
      <c r="I37" s="121" t="n">
        <f t="shared" ref="I37" si="86">(I36-H36)/H36</f>
        <v>0.43158417069842453</v>
      </c>
      <c r="J37" s="121" t="n">
        <f t="shared" ref="J37" si="87">(J36-I36)/I36</f>
        <v>0.306210283073368</v>
      </c>
      <c r="K37" s="121" t="n">
        <f t="shared" ref="K37" si="88">(K36-J36)/J36</f>
        <v>0.25680546648680924</v>
      </c>
      <c r="L37" s="121" t="n">
        <f t="shared" ref="L37" si="89">(L36-K36)/K36</f>
        <v>0.13055565330611957</v>
      </c>
      <c r="M37" s="121" t="n">
        <f t="shared" ref="M37" si="90">(M36-L36)/L36</f>
        <v>0.0785320758240732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7746.0</v>
      </c>
      <c r="D39" s="110" t="n">
        <v>7703.0</v>
      </c>
      <c r="E39" s="110" t="n">
        <v>8548.0</v>
      </c>
      <c r="F39" s="110" t="n">
        <v>7820.0</v>
      </c>
      <c r="G39" s="110" t="n">
        <v>11705.0</v>
      </c>
      <c r="H39" s="110" t="n">
        <v>20610.0</v>
      </c>
      <c r="I39" s="110" t="n">
        <v>20544.0</v>
      </c>
      <c r="J39" s="110" t="n">
        <v>29246.0</v>
      </c>
      <c r="K39" s="110" t="n">
        <v>40238.0</v>
      </c>
      <c r="L39" s="110" t="n">
        <v>43379.0</v>
      </c>
      <c r="M39" s="110" t="n">
        <v>39820.0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-0.005551252259230571</v>
      </c>
      <c r="E40" s="121" t="n">
        <f t="shared" ref="E40" si="92">(E39-D39)/D39</f>
        <v>0.10969752044657925</v>
      </c>
      <c r="F40" s="121" t="n">
        <f t="shared" ref="F40" si="93">(F39-E39)/E39</f>
        <v>-0.08516612072999533</v>
      </c>
      <c r="G40" s="121" t="n">
        <f t="shared" ref="G40" si="94">(G39-F39)/F39</f>
        <v>0.4968030690537084</v>
      </c>
      <c r="H40" s="121" t="n">
        <f t="shared" ref="H40" si="95">(H39-G39)/G39</f>
        <v>0.7607859888936352</v>
      </c>
      <c r="I40" s="121" t="n">
        <f t="shared" ref="I40" si="96">(I39-H39)/H39</f>
        <v>-0.003202328966521106</v>
      </c>
      <c r="J40" s="121" t="n">
        <f t="shared" ref="J40" si="97">(J39-I39)/I39</f>
        <v>0.42357866043613707</v>
      </c>
      <c r="K40" s="121" t="n">
        <f t="shared" ref="K40" si="98">(K39-J39)/J39</f>
        <v>0.3758462695753265</v>
      </c>
      <c r="L40" s="121" t="n">
        <f t="shared" ref="L40" si="99">(L39-K39)/K39</f>
        <v>0.07806053978825986</v>
      </c>
      <c r="M40" s="121" t="n">
        <f t="shared" ref="M40" si="100">(M39-L39)/L39</f>
        <v>-0.08204430715323083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23611.0</v>
      </c>
      <c r="E42" s="111" t="n">
        <f t="shared" ref="E42:M42" si="101">E36+E39</f>
        <v>25327.0</v>
      </c>
      <c r="F42" s="111" t="n">
        <f t="shared" si="101"/>
        <v>27130.0</v>
      </c>
      <c r="G42" s="111" t="n">
        <f t="shared" si="101"/>
        <v>28461.0</v>
      </c>
      <c r="H42" s="111" t="n">
        <f t="shared" si="101"/>
        <v>44793.0</v>
      </c>
      <c r="I42" s="111" t="n">
        <f t="shared" si="101"/>
        <v>55164.0</v>
      </c>
      <c r="J42" s="111" t="n">
        <f t="shared" si="101"/>
        <v>74467.0</v>
      </c>
      <c r="K42" s="111" t="n">
        <f t="shared" si="101"/>
        <v>97072.0</v>
      </c>
      <c r="L42" s="111" t="n">
        <f t="shared" si="101"/>
        <v>107633.0</v>
      </c>
      <c r="M42" s="111" t="n">
        <f t="shared" si="101"/>
        <v>109120.0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87309.0</v>
      </c>
      <c r="E44" s="134" t="n">
        <f t="shared" ref="E44:M44" si="102">E34-E42</f>
        <v>103860.0</v>
      </c>
      <c r="F44" s="134" t="n">
        <f t="shared" si="102"/>
        <v>120331.0</v>
      </c>
      <c r="G44" s="134" t="n">
        <f t="shared" si="102"/>
        <v>139036.0</v>
      </c>
      <c r="H44" s="134" t="n">
        <f t="shared" si="102"/>
        <v>152502.0</v>
      </c>
      <c r="I44" s="134" t="n">
        <f t="shared" si="102"/>
        <v>177628.0</v>
      </c>
      <c r="J44" s="134" t="n">
        <f t="shared" si="102"/>
        <v>201442.0</v>
      </c>
      <c r="K44" s="134" t="n">
        <f t="shared" si="102"/>
        <v>222544.0</v>
      </c>
      <c r="L44" s="134" t="n">
        <f t="shared" si="102"/>
        <v>251635.0</v>
      </c>
      <c r="M44" s="134" t="n">
        <f t="shared" si="102"/>
        <v>256144.0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2988.0</v>
      </c>
      <c r="D46" s="133" t="n">
        <v>2236.0</v>
      </c>
      <c r="E46" s="133" t="n">
        <v>3228.0</v>
      </c>
      <c r="F46" s="133" t="n">
        <v>1995.0</v>
      </c>
      <c r="G46" s="133" t="n">
        <v>3935.0</v>
      </c>
      <c r="H46" s="133" t="n">
        <v>3969.0</v>
      </c>
      <c r="I46" s="133" t="n">
        <v>4012.0</v>
      </c>
      <c r="J46" s="133" t="n">
        <v>4554.0</v>
      </c>
      <c r="K46" s="136" t="n">
        <v>13932.0</v>
      </c>
      <c r="L46" s="133" t="n">
        <v>14817.0</v>
      </c>
      <c r="M46" s="133" t="n">
        <v>14701.0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0.22934490895008916</v>
      </c>
      <c r="E50" s="126" t="n">
        <f t="shared" si="103"/>
        <v>0.21417857305192345</v>
      </c>
      <c r="F50" s="126" t="n">
        <f t="shared" si="103"/>
        <v>0.21104428649535265</v>
      </c>
      <c r="G50" s="126" t="n">
        <f t="shared" si="103"/>
        <v>0.2157701169797944</v>
      </c>
      <c r="H50" s="126" t="n">
        <f t="shared" si="103"/>
        <v>0.11422128005051645</v>
      </c>
      <c r="I50" s="126" t="n">
        <f t="shared" si="103"/>
        <v>0.22464716157843576</v>
      </c>
      <c r="J50" s="126" t="n">
        <f t="shared" si="103"/>
        <v>0.2121811228430034</v>
      </c>
      <c r="K50" s="126" t="n">
        <f t="shared" si="103"/>
        <v>0.22061941520980458</v>
      </c>
      <c r="L50" s="126" t="n">
        <f t="shared" si="103"/>
        <v>0.2951167728237792</v>
      </c>
      <c r="M50" s="126" t="n">
        <f t="shared" si="103"/>
        <v>0.2120380715326196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0.348385237486266</v>
      </c>
      <c r="E51" s="126" t="n">
        <f t="shared" si="104"/>
        <v>0.3253738579718489</v>
      </c>
      <c r="F51" s="126" t="n">
        <f t="shared" si="104"/>
        <v>0.3256877675392391</v>
      </c>
      <c r="G51" s="126" t="n">
        <f t="shared" si="104"/>
        <v>0.3307780928748671</v>
      </c>
      <c r="H51" s="126" t="n">
        <f t="shared" si="104"/>
        <v>0.2985251003563213</v>
      </c>
      <c r="I51" s="126" t="n">
        <f t="shared" si="104"/>
        <v>0.26720703995790057</v>
      </c>
      <c r="J51" s="126" t="n">
        <f t="shared" si="104"/>
        <v>0.28427562601555695</v>
      </c>
      <c r="K51" s="126" t="n">
        <f t="shared" si="104"/>
        <v>0.3008924707029645</v>
      </c>
      <c r="L51" s="126" t="n">
        <f t="shared" si="104"/>
        <v>0.3538117584042665</v>
      </c>
      <c r="M51" s="126" t="n">
        <f t="shared" si="104"/>
        <v>0.32092802896378114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0.20355193717466094</v>
      </c>
      <c r="E52" s="126" t="n">
        <f t="shared" si="105"/>
        <v>0.1828002606021121</v>
      </c>
      <c r="F52" s="126" t="n">
        <f t="shared" si="105"/>
        <v>0.2221259118003974</v>
      </c>
      <c r="G52" s="126" t="n">
        <f t="shared" si="105"/>
        <v>0.28872740163062743</v>
      </c>
      <c r="H52" s="126" t="n">
        <f t="shared" si="105"/>
        <v>0.21566009652248433</v>
      </c>
      <c r="I52" s="126" t="n">
        <f t="shared" si="105"/>
        <v>0.1668774073776303</v>
      </c>
      <c r="J52" s="126" t="n">
        <f t="shared" si="105"/>
        <v>0.19135409651729612</v>
      </c>
      <c r="K52" s="126" t="n">
        <f t="shared" si="105"/>
        <v>0.23472143847211646</v>
      </c>
      <c r="L52" s="126" t="n">
        <f t="shared" si="105"/>
        <v>0.2601023921253547</v>
      </c>
      <c r="M52" s="126" t="n">
        <f t="shared" si="105"/>
        <v>0.21217242500954617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8.848774576596408E-6</v>
      </c>
      <c r="E55" s="126" t="n">
        <f t="shared" ref="E55:M55" si="106">E23/E20</f>
        <v>8.288437753014174E-6</v>
      </c>
      <c r="F55" s="126" t="n">
        <f t="shared" si="106"/>
        <v>6.003482109030197E-6</v>
      </c>
      <c r="G55" s="126" t="n">
        <f t="shared" si="106"/>
        <v>3.836709694986034E-6</v>
      </c>
      <c r="H55" s="126" t="n">
        <f t="shared" si="106"/>
        <v>4.182875370816749E-6</v>
      </c>
      <c r="I55" s="126" t="n">
        <f t="shared" si="106"/>
        <v>4.3798178648439036E-6</v>
      </c>
      <c r="J55" s="126" t="n">
        <f t="shared" si="106"/>
        <v>3.2287227654047526E-6</v>
      </c>
      <c r="K55" s="126" t="n">
        <f t="shared" si="106"/>
        <v>2.334103622298065E-6</v>
      </c>
      <c r="L55" s="126" t="n">
        <f t="shared" si="106"/>
        <v>1.4922700634232078E-6</v>
      </c>
      <c r="M55" s="126" t="n">
        <f t="shared" si="106"/>
        <v>1.6663889600085985E-6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0.27043031073543394</v>
      </c>
      <c r="E58" s="112" t="n">
        <f t="shared" ref="E58:M58" si="107">E42/E44</f>
        <v>0.24385711534758328</v>
      </c>
      <c r="F58" s="112" t="n">
        <f t="shared" si="107"/>
        <v>0.22546143554030135</v>
      </c>
      <c r="G58" s="112" t="n">
        <f t="shared" si="107"/>
        <v>0.20470237923990908</v>
      </c>
      <c r="H58" s="112" t="n">
        <f t="shared" si="107"/>
        <v>0.2937207380886808</v>
      </c>
      <c r="I58" s="112" t="n">
        <f t="shared" si="107"/>
        <v>0.3105591460805729</v>
      </c>
      <c r="J58" s="112" t="n">
        <f t="shared" si="107"/>
        <v>0.369669681595695</v>
      </c>
      <c r="K58" s="112" t="n">
        <f t="shared" si="107"/>
        <v>0.436192393414336</v>
      </c>
      <c r="L58" s="112" t="n">
        <f t="shared" si="107"/>
        <v>0.4277346156138852</v>
      </c>
      <c r="M58" s="112" t="n">
        <f t="shared" si="107"/>
        <v>0.42601036916734336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4.581719889363842</v>
      </c>
      <c r="E59" s="112" t="n">
        <f t="shared" ref="E59:M59" si="108">E28/E36</f>
        <v>4.6877644674891235</v>
      </c>
      <c r="F59" s="112" t="n">
        <f t="shared" si="108"/>
        <v>4.666701191092698</v>
      </c>
      <c r="G59" s="112" t="n">
        <f t="shared" si="108"/>
        <v>6.290761518262115</v>
      </c>
      <c r="H59" s="112" t="n">
        <f t="shared" si="108"/>
        <v>5.140305173055452</v>
      </c>
      <c r="I59" s="112" t="n">
        <f t="shared" si="108"/>
        <v>3.919006354708261</v>
      </c>
      <c r="J59" s="112" t="n">
        <f t="shared" si="108"/>
        <v>3.374051878552</v>
      </c>
      <c r="K59" s="112" t="n">
        <f t="shared" si="108"/>
        <v>3.0667558151810534</v>
      </c>
      <c r="L59" s="112" t="n">
        <f t="shared" si="108"/>
        <v>2.928113424845146</v>
      </c>
      <c r="M59" s="112" t="n">
        <f t="shared" si="108"/>
        <v>2.377994227994228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0.11560335022231413</v>
      </c>
      <c r="E60" s="112" t="n">
        <f t="shared" ref="E60:M60" si="109">E46/E9</f>
        <v>0.15031431897555297</v>
      </c>
      <c r="F60" s="112" t="n">
        <f t="shared" si="109"/>
        <v>0.08168529664660361</v>
      </c>
      <c r="G60" s="112" t="n">
        <f t="shared" si="109"/>
        <v>0.13178164768921635</v>
      </c>
      <c r="H60" s="112" t="n">
        <f t="shared" si="109"/>
        <v>0.11993472939896654</v>
      </c>
      <c r="I60" s="112" t="n">
        <f t="shared" si="109"/>
        <v>0.10974041959572198</v>
      </c>
      <c r="J60" s="112" t="n">
        <f t="shared" si="109"/>
        <v>0.09897418064852648</v>
      </c>
      <c r="K60" s="112" t="n">
        <f t="shared" si="109"/>
        <v>0.25367345824001747</v>
      </c>
      <c r="L60" s="112" t="n">
        <f t="shared" si="109"/>
        <v>0.1625473095277275</v>
      </c>
      <c r="M60" s="112" t="n">
        <f t="shared" si="109"/>
        <v>0.1619587969593478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0.2132098682345318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0.1817093592186514</v>
      </c>
    </row>
    <row r="65" spans="2:13">
      <c r="B65" s="10" t="s">
        <v>74</v>
      </c>
      <c r="C65" s="114"/>
      <c r="D65" s="121" t="n">
        <f>(M6/I6)^0.2 - 1</f>
        <v>0.1430368638402002</v>
      </c>
    </row>
    <row r="66" spans="2:13">
      <c r="B66" s="10" t="s">
        <v>84</v>
      </c>
      <c r="C66" s="114"/>
      <c r="D66" s="121" t="n">
        <f>(M6/D6)^0.1 - 1</f>
        <v>0.16762068282343656</v>
      </c>
    </row>
    <row r="67" spans="2:13">
      <c r="B67" s="10" t="s">
        <v>75</v>
      </c>
      <c r="C67" s="114"/>
      <c r="D67" s="121" t="n">
        <f>(M3/I3)^0.2 - 1</f>
        <v>0.15631898178412817</v>
      </c>
    </row>
    <row r="68" spans="2:13">
      <c r="B68" s="10" t="s">
        <v>85</v>
      </c>
      <c r="C68" s="114"/>
      <c r="D68" s="121" t="n">
        <f>(M3/D3)^0.1 - 1</f>
        <v>0.17681800715537244</v>
      </c>
    </row>
    <row r="69" spans="2:13">
      <c r="B69" s="10" t="s">
        <v>88</v>
      </c>
      <c r="C69" s="114"/>
      <c r="D69" s="121" t="n">
        <f>(M9/I9)^0.2 - 1</f>
        <v>0.19947059441071735</v>
      </c>
    </row>
    <row r="70" spans="2:13">
      <c r="B70" s="10" t="s">
        <v>89</v>
      </c>
      <c r="C70" s="114"/>
      <c r="D70" s="121" t="n">
        <f>(M9/D9)^0.2 - 1</f>
        <v>0.3623484165376336</v>
      </c>
    </row>
    <row r="71" spans="2:13">
      <c r="B71" s="10" t="s">
        <v>131</v>
      </c>
      <c r="D71" s="121" t="n">
        <f>(M23/I23)^0.2 - 1</f>
        <v>0.0</v>
      </c>
    </row>
    <row r="72" spans="2:13">
      <c r="B72" s="10" t="s">
        <v>132</v>
      </c>
      <c r="D72" s="121" t="n">
        <f>AVERAGE(I24:M24)</f>
        <v>0.0</v>
      </c>
    </row>
    <row r="73" spans="2:13">
      <c r="B73" s="10" t="s">
        <v>135</v>
      </c>
      <c r="D73" s="121" t="n">
        <f>AVERAGE(I55:M55)</f>
        <v>2.6202606551957055E-6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11.479444644789037</v>
      </c>
      <c r="E76" s="110" t="n">
        <f t="shared" si="110"/>
        <v>10.942277473739617</v>
      </c>
      <c r="F76" s="110" t="n">
        <f t="shared" si="110"/>
        <v>10.732329226032645</v>
      </c>
      <c r="G76" s="110" t="n">
        <f t="shared" si="110"/>
        <v>11.628864994596919</v>
      </c>
      <c r="H76" s="110" t="n">
        <f t="shared" si="110"/>
        <v>6.417800755214273</v>
      </c>
      <c r="I76" s="110" t="n">
        <f t="shared" si="110"/>
        <v>13.203202859204783</v>
      </c>
      <c r="J76" s="110" t="n">
        <f t="shared" si="110"/>
        <v>12.447219916711669</v>
      </c>
      <c r="K76" s="110" t="n">
        <f t="shared" si="110"/>
        <v>12.599181517821386</v>
      </c>
      <c r="L76" s="110" t="n">
        <f t="shared" si="110"/>
        <v>21.163309841121393</v>
      </c>
      <c r="M76" s="110" t="n">
        <f t="shared" si="110"/>
        <v>16.418809409084936</v>
      </c>
    </row>
    <row r="77" spans="2:13">
      <c r="B77" s="10" t="s">
        <v>139</v>
      </c>
      <c r="C77" s="110">
        <v>0</v>
      </c>
      <c r="D77" s="110" t="n">
        <f t="shared" ref="D77:M77" si="111">100*D6/D44</f>
        <v>14.583834427149549</v>
      </c>
      <c r="E77" s="110" t="n">
        <f t="shared" si="111"/>
        <v>13.610629693818602</v>
      </c>
      <c r="F77" s="110" t="n">
        <f t="shared" si="111"/>
        <v>13.152055580025097</v>
      </c>
      <c r="G77" s="110" t="n">
        <f t="shared" si="111"/>
        <v>14.0093213268506</v>
      </c>
      <c r="H77" s="110" t="n">
        <f t="shared" si="111"/>
        <v>8.302841929941902</v>
      </c>
      <c r="I77" s="110" t="n">
        <f t="shared" si="111"/>
        <v>17.303578264688</v>
      </c>
      <c r="J77" s="110" t="n">
        <f t="shared" si="111"/>
        <v>17.048579740074064</v>
      </c>
      <c r="K77" s="110" t="n">
        <f t="shared" si="111"/>
        <v>18.09484865914156</v>
      </c>
      <c r="L77" s="110" t="n">
        <f t="shared" si="111"/>
        <v>30.215590041131005</v>
      </c>
      <c r="M77" s="110" t="n">
        <f t="shared" si="111"/>
        <v>23.41339246673746</v>
      </c>
    </row>
    <row r="78" spans="2:13">
      <c r="B78" s="10" t="s">
        <v>140</v>
      </c>
      <c r="C78" s="110" t="n">
        <v>0.0</v>
      </c>
      <c r="D78" s="40" t="n">
        <v>14.520000457763672</v>
      </c>
      <c r="E78" s="40" t="n">
        <v>13.770000457763672</v>
      </c>
      <c r="F78" s="40" t="n">
        <v>12.819999694824219</v>
      </c>
      <c r="G78" s="40" t="n">
        <v>14.020000457763672</v>
      </c>
      <c r="H78" s="40" t="n">
        <v>7.980000019073486</v>
      </c>
      <c r="I78" s="40" t="n">
        <v>17.260000228881836</v>
      </c>
      <c r="J78" s="40" t="n">
        <v>16.149999618530273</v>
      </c>
      <c r="K78" s="40" t="n">
        <v>16.6299991607666</v>
      </c>
      <c r="L78" s="40" t="n">
        <v>28.360000610351562</v>
      </c>
      <c r="M78" s="40" t="n">
        <v>20.65999984741211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16.110000610351562</v>
      </c>
      <c r="E81" s="40" t="n">
        <v>14.40999984741211</v>
      </c>
      <c r="F81" s="40" t="n">
        <v>36.02000045776367</v>
      </c>
      <c r="G81" s="40" t="n">
        <v>29.0</v>
      </c>
      <c r="H81" s="40" t="n">
        <v>35.2400016784668</v>
      </c>
      <c r="I81" s="40" t="n">
        <v>39.209999084472656</v>
      </c>
      <c r="J81" s="40" t="n">
        <v>28.75</v>
      </c>
      <c r="K81" s="40" t="n">
        <v>33.88999938964844</v>
      </c>
      <c r="L81" s="40" t="n">
        <v>27.920000076293945</v>
      </c>
      <c r="M81" s="40" t="n">
        <v>17.540000915527344</v>
      </c>
    </row>
    <row r="82" spans="2:13">
      <c r="B82" s="122" t="s">
        <v>148</v>
      </c>
      <c r="C82" s="110" t="n">
        <v>0.0</v>
      </c>
      <c r="D82" s="40" t="n">
        <v>10.460000038146973</v>
      </c>
      <c r="E82" s="40" t="n">
        <v>8.65999984741211</v>
      </c>
      <c r="F82" s="40" t="n">
        <v>20.690000534057617</v>
      </c>
      <c r="G82" s="40" t="n">
        <v>16.920000076293945</v>
      </c>
      <c r="H82" s="40" t="n">
        <v>20.420000076293945</v>
      </c>
      <c r="I82" s="40" t="n">
        <v>16.260000228881836</v>
      </c>
      <c r="J82" s="40" t="n">
        <v>17.65999984741211</v>
      </c>
      <c r="K82" s="40" t="n">
        <v>21.270000457763672</v>
      </c>
      <c r="L82" s="40" t="n">
        <v>22.049999237060547</v>
      </c>
      <c r="M82" s="40" t="n">
        <v>12.630000114440918</v>
      </c>
    </row>
    <row r="83" spans="2:13">
      <c r="B83" s="122" t="s">
        <v>153</v>
      </c>
      <c r="C83" s="110" t="n">
        <v>1.159999966621399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2023-05-03T14:16:06Z</dcterms:modified>
</cp:coreProperties>
</file>