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\OneDrive\Área de Trabalho\Estudos variados\Projeto casa\"/>
    </mc:Choice>
  </mc:AlternateContent>
  <xr:revisionPtr revIDLastSave="0" documentId="13_ncr:1_{45E85963-49AE-4954-B596-AFE0F3C5AB5E}" xr6:coauthVersionLast="47" xr6:coauthVersionMax="47" xr10:uidLastSave="{00000000-0000-0000-0000-000000000000}"/>
  <bookViews>
    <workbookView xWindow="-120" yWindow="-120" windowWidth="20730" windowHeight="11160" activeTab="5" xr2:uid="{29D38717-A2F4-48DC-A70A-0E47CFF8E936}"/>
  </bookViews>
  <sheets>
    <sheet name="Circuitos" sheetId="1" r:id="rId1"/>
    <sheet name="Cabos" sheetId="2" r:id="rId2"/>
    <sheet name="Disjuntores" sheetId="3" r:id="rId3"/>
    <sheet name="Condutores de entrada " sheetId="5" r:id="rId4"/>
    <sheet name="Eletrodutos " sheetId="4" r:id="rId5"/>
    <sheet name="Preço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6" i="4"/>
  <c r="AB6" i="4"/>
  <c r="F7" i="4"/>
  <c r="P9" i="4"/>
  <c r="P8" i="4"/>
  <c r="J5" i="5"/>
  <c r="I5" i="5"/>
  <c r="E5" i="5"/>
  <c r="F5" i="5"/>
  <c r="G5" i="5" s="1"/>
  <c r="D5" i="5"/>
  <c r="C5" i="5"/>
  <c r="B5" i="5"/>
  <c r="G10" i="3"/>
  <c r="J8" i="3"/>
  <c r="D12" i="3"/>
  <c r="E12" i="3" s="1"/>
  <c r="D11" i="3"/>
  <c r="E11" i="3" s="1"/>
  <c r="D10" i="3"/>
  <c r="E10" i="3" s="1"/>
  <c r="D9" i="3"/>
  <c r="E9" i="3" s="1"/>
  <c r="D8" i="3"/>
  <c r="D7" i="3"/>
  <c r="E7" i="3" s="1"/>
  <c r="D6" i="3"/>
  <c r="E6" i="3" s="1"/>
  <c r="D5" i="3"/>
  <c r="E5" i="3" s="1"/>
  <c r="H5" i="3" s="1"/>
  <c r="I5" i="3" s="1"/>
  <c r="M40" i="2"/>
  <c r="O40" i="2" s="1"/>
  <c r="D40" i="2"/>
  <c r="F40" i="2" s="1"/>
  <c r="D35" i="2"/>
  <c r="D30" i="2"/>
  <c r="F30" i="2" s="1"/>
  <c r="H30" i="2" s="1"/>
  <c r="D25" i="2"/>
  <c r="F25" i="2" s="1"/>
  <c r="D20" i="2"/>
  <c r="F20" i="2" s="1"/>
  <c r="G20" i="2" s="1"/>
  <c r="H20" i="2" s="1"/>
  <c r="D15" i="2"/>
  <c r="D10" i="2"/>
  <c r="F10" i="2" s="1"/>
  <c r="D5" i="2"/>
  <c r="F5" i="2" s="1"/>
  <c r="G5" i="2" s="1"/>
  <c r="H5" i="2" s="1"/>
  <c r="G5" i="3" s="1"/>
  <c r="J5" i="3" s="1"/>
  <c r="M23" i="1"/>
  <c r="M22" i="1"/>
  <c r="N19" i="1"/>
  <c r="M21" i="1"/>
  <c r="M20" i="1"/>
  <c r="M19" i="1"/>
  <c r="M18" i="1"/>
  <c r="L12" i="1"/>
  <c r="I12" i="1"/>
  <c r="G18" i="5"/>
  <c r="L15" i="5"/>
  <c r="J10" i="3"/>
  <c r="Q25" i="2"/>
  <c r="T25" i="2"/>
  <c r="O25" i="2"/>
  <c r="Q20" i="2"/>
  <c r="T20" i="2"/>
  <c r="O20" i="2"/>
  <c r="P20" i="2" s="1"/>
  <c r="Q15" i="2"/>
  <c r="T15" i="2"/>
  <c r="O15" i="2"/>
  <c r="H10" i="2"/>
  <c r="M25" i="1"/>
  <c r="N25" i="1" s="1"/>
  <c r="M24" i="1"/>
  <c r="N24" i="1" s="1"/>
  <c r="N18" i="1"/>
  <c r="F12" i="1"/>
  <c r="AC6" i="4"/>
  <c r="AC29" i="4"/>
  <c r="AB27" i="4"/>
  <c r="AC27" i="4" s="1"/>
  <c r="AB28" i="4"/>
  <c r="AC28" i="4" s="1"/>
  <c r="AB29" i="4"/>
  <c r="AB30" i="4"/>
  <c r="AC30" i="4" s="1"/>
  <c r="AB31" i="4"/>
  <c r="AC31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0" i="4"/>
  <c r="AC20" i="4" s="1"/>
  <c r="AB18" i="4"/>
  <c r="AC18" i="4" s="1"/>
  <c r="AB19" i="4"/>
  <c r="AC19" i="4" s="1"/>
  <c r="AC12" i="4"/>
  <c r="AC17" i="4"/>
  <c r="AC9" i="4"/>
  <c r="AB9" i="4"/>
  <c r="AB10" i="4"/>
  <c r="AC10" i="4" s="1"/>
  <c r="AB11" i="4"/>
  <c r="AC11" i="4" s="1"/>
  <c r="AB12" i="4"/>
  <c r="AB13" i="4"/>
  <c r="AC13" i="4" s="1"/>
  <c r="AB14" i="4"/>
  <c r="AC14" i="4" s="1"/>
  <c r="AB15" i="4"/>
  <c r="AC15" i="4" s="1"/>
  <c r="AB16" i="4"/>
  <c r="AC16" i="4" s="1"/>
  <c r="AB17" i="4"/>
  <c r="AB8" i="4"/>
  <c r="AC8" i="4" s="1"/>
  <c r="AC7" i="4"/>
  <c r="AB7" i="4"/>
  <c r="E9" i="4"/>
  <c r="F9" i="4"/>
  <c r="G9" i="4"/>
  <c r="H9" i="4"/>
  <c r="D9" i="4"/>
  <c r="E7" i="4"/>
  <c r="G7" i="4"/>
  <c r="H7" i="4"/>
  <c r="D7" i="4"/>
  <c r="D6" i="4"/>
  <c r="E6" i="4"/>
  <c r="F6" i="4"/>
  <c r="G6" i="4"/>
  <c r="H6" i="4"/>
  <c r="P11" i="4"/>
  <c r="T10" i="4"/>
  <c r="S9" i="4"/>
  <c r="Q8" i="4"/>
  <c r="Q11" i="4" s="1"/>
  <c r="R8" i="4"/>
  <c r="R11" i="4" s="1"/>
  <c r="S8" i="4"/>
  <c r="S11" i="4" s="1"/>
  <c r="T8" i="4"/>
  <c r="T9" i="4" s="1"/>
  <c r="P10" i="4"/>
  <c r="J6" i="3"/>
  <c r="J9" i="3"/>
  <c r="I6" i="3"/>
  <c r="I7" i="3"/>
  <c r="I8" i="3"/>
  <c r="I9" i="3"/>
  <c r="I10" i="3"/>
  <c r="I11" i="3"/>
  <c r="I12" i="3"/>
  <c r="H25" i="2"/>
  <c r="G11" i="3" s="1"/>
  <c r="J11" i="3" s="1"/>
  <c r="E8" i="3"/>
  <c r="Q40" i="2"/>
  <c r="K40" i="2"/>
  <c r="H40" i="2"/>
  <c r="G12" i="3" s="1"/>
  <c r="J12" i="3" s="1"/>
  <c r="H35" i="2"/>
  <c r="K35" i="2"/>
  <c r="J35" i="2"/>
  <c r="F35" i="2"/>
  <c r="K30" i="2"/>
  <c r="J30" i="2"/>
  <c r="K25" i="2"/>
  <c r="N23" i="1"/>
  <c r="N22" i="1"/>
  <c r="N20" i="1"/>
  <c r="N21" i="1"/>
  <c r="K20" i="2"/>
  <c r="K15" i="2"/>
  <c r="F15" i="2"/>
  <c r="H15" i="2" s="1"/>
  <c r="G7" i="3" s="1"/>
  <c r="J7" i="3" s="1"/>
  <c r="K10" i="2"/>
  <c r="K5" i="2"/>
  <c r="J5" i="2"/>
  <c r="F5" i="1"/>
  <c r="F6" i="1"/>
  <c r="F7" i="1"/>
  <c r="F8" i="1"/>
  <c r="F9" i="1"/>
  <c r="F10" i="1"/>
  <c r="F4" i="1"/>
  <c r="H5" i="5" l="1"/>
  <c r="E15" i="5"/>
  <c r="E17" i="5" s="1"/>
  <c r="E19" i="5" s="1"/>
  <c r="M11" i="1"/>
  <c r="M4" i="1"/>
  <c r="R9" i="4"/>
  <c r="S10" i="4"/>
  <c r="T11" i="4"/>
  <c r="Q9" i="4"/>
  <c r="R10" i="4"/>
  <c r="Q10" i="4"/>
</calcChain>
</file>

<file path=xl/sharedStrings.xml><?xml version="1.0" encoding="utf-8"?>
<sst xmlns="http://schemas.openxmlformats.org/spreadsheetml/2006/main" count="423" uniqueCount="186">
  <si>
    <t xml:space="preserve">Espaço </t>
  </si>
  <si>
    <t>Área (m²)</t>
  </si>
  <si>
    <t>Perimetro(m)</t>
  </si>
  <si>
    <t xml:space="preserve">Quarto 1 </t>
  </si>
  <si>
    <t>Quarto 2</t>
  </si>
  <si>
    <t>Quarto 3</t>
  </si>
  <si>
    <t xml:space="preserve">Cozinha </t>
  </si>
  <si>
    <t>Sala</t>
  </si>
  <si>
    <t xml:space="preserve">Banho 1 </t>
  </si>
  <si>
    <t xml:space="preserve">Banho 2 </t>
  </si>
  <si>
    <t xml:space="preserve">Lavanderia </t>
  </si>
  <si>
    <t xml:space="preserve">Lampadas </t>
  </si>
  <si>
    <t>--</t>
  </si>
  <si>
    <t>Potencia de iluminação (VA)</t>
  </si>
  <si>
    <t xml:space="preserve">chuveiro </t>
  </si>
  <si>
    <t>maquina de lavar</t>
  </si>
  <si>
    <t>Potencia de uso especifico (W)</t>
  </si>
  <si>
    <t xml:space="preserve">Total </t>
  </si>
  <si>
    <t>Potencia tomadas Uso Geral (VA)</t>
  </si>
  <si>
    <t>Cos f</t>
  </si>
  <si>
    <t>Potencia total da instalação (W)</t>
  </si>
  <si>
    <t xml:space="preserve">Circuitos </t>
  </si>
  <si>
    <t xml:space="preserve">Iluminação </t>
  </si>
  <si>
    <t>C1</t>
  </si>
  <si>
    <t>C2</t>
  </si>
  <si>
    <t>TUG</t>
  </si>
  <si>
    <t>TUE</t>
  </si>
  <si>
    <t>C8</t>
  </si>
  <si>
    <t>C7</t>
  </si>
  <si>
    <t>C4</t>
  </si>
  <si>
    <t>C3</t>
  </si>
  <si>
    <t>C5</t>
  </si>
  <si>
    <t>C6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</si>
  <si>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</si>
  <si>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</si>
  <si>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</si>
  <si>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</si>
  <si>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</si>
  <si>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</si>
  <si>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</si>
  <si>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</si>
  <si>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</si>
  <si>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Aparelhos de uso especifico </t>
  </si>
  <si>
    <t xml:space="preserve">forno  </t>
  </si>
  <si>
    <t>1'</t>
  </si>
  <si>
    <t xml:space="preserve">neutro </t>
  </si>
  <si>
    <t xml:space="preserve">terra </t>
  </si>
  <si>
    <t>tensão (V)</t>
  </si>
  <si>
    <t xml:space="preserve">fator de agrupamento </t>
  </si>
  <si>
    <t xml:space="preserve">Eletroduto </t>
  </si>
  <si>
    <t xml:space="preserve">Circuito </t>
  </si>
  <si>
    <t xml:space="preserve">Quant de circuitos </t>
  </si>
  <si>
    <t>fase</t>
  </si>
  <si>
    <t>corrente do circuito (A)</t>
  </si>
  <si>
    <t xml:space="preserve">corrente max do condutor (A)  </t>
  </si>
  <si>
    <t xml:space="preserve">Correção por agrupamento(A) </t>
  </si>
  <si>
    <t xml:space="preserve">Tamanho do condutor(mm²) </t>
  </si>
  <si>
    <t>Neutro(mm²)</t>
  </si>
  <si>
    <t>Terra(mm²)</t>
  </si>
  <si>
    <t>Potencia em W</t>
  </si>
  <si>
    <t>cos f</t>
  </si>
  <si>
    <t xml:space="preserve">Tomadas 220  V uso geral </t>
  </si>
  <si>
    <t>Corrente (A)</t>
  </si>
  <si>
    <t>2'</t>
  </si>
  <si>
    <t>2-i</t>
  </si>
  <si>
    <t>3'</t>
  </si>
  <si>
    <t>4'</t>
  </si>
  <si>
    <t xml:space="preserve">potência(W) </t>
  </si>
  <si>
    <t>i2</t>
  </si>
  <si>
    <t>tamanho do condutor (mm²)</t>
  </si>
  <si>
    <t>1.1/4</t>
  </si>
  <si>
    <t>1.1/2</t>
  </si>
  <si>
    <t>Eletrodutos (pol)</t>
  </si>
  <si>
    <t>Diametro Interno (mm)</t>
  </si>
  <si>
    <t>Diametro Externo (mm)</t>
  </si>
  <si>
    <t xml:space="preserve">Dados eletrodutos </t>
  </si>
  <si>
    <t>Diametro externo (mm)</t>
  </si>
  <si>
    <t>Área para 3 condutores</t>
  </si>
  <si>
    <t xml:space="preserve">Dados Cabos </t>
  </si>
  <si>
    <t xml:space="preserve">para 2 </t>
  </si>
  <si>
    <t xml:space="preserve">Dimensionamento dos eletrodutos </t>
  </si>
  <si>
    <t xml:space="preserve">Nome do eletroduto </t>
  </si>
  <si>
    <t>Numero de condutores 4 mm2</t>
  </si>
  <si>
    <t>Numero de condutores 2,5 mm2</t>
  </si>
  <si>
    <t xml:space="preserve">Numero de condutores 1,5 mm2 </t>
  </si>
  <si>
    <t>Numero de condutores 6 mm2</t>
  </si>
  <si>
    <t>Numero de condutores 10 mm2</t>
  </si>
  <si>
    <t>eletroduto (pol)</t>
  </si>
  <si>
    <t>5'</t>
  </si>
  <si>
    <t>6'</t>
  </si>
  <si>
    <t>1'.1</t>
  </si>
  <si>
    <t>Cabo(mm2)</t>
  </si>
  <si>
    <t>1'.2</t>
  </si>
  <si>
    <t>1'.3</t>
  </si>
  <si>
    <t>1'.4</t>
  </si>
  <si>
    <t>2'.2</t>
  </si>
  <si>
    <t>2'.3</t>
  </si>
  <si>
    <t>2'.4</t>
  </si>
  <si>
    <t>2'.5</t>
  </si>
  <si>
    <t>3'.1</t>
  </si>
  <si>
    <t>3'.2</t>
  </si>
  <si>
    <t>3'.3</t>
  </si>
  <si>
    <t>3'.4</t>
  </si>
  <si>
    <t>3'.5</t>
  </si>
  <si>
    <t>5'.1</t>
  </si>
  <si>
    <t>5'.2</t>
  </si>
  <si>
    <t>5'.3</t>
  </si>
  <si>
    <t>5'.4</t>
  </si>
  <si>
    <t>5'.5</t>
  </si>
  <si>
    <t>6'.2</t>
  </si>
  <si>
    <t>6'.3</t>
  </si>
  <si>
    <t xml:space="preserve">Com terra compartilhado </t>
  </si>
  <si>
    <t>Area (mm2)</t>
  </si>
  <si>
    <t xml:space="preserve"> tomadas uso especifico (qnt)</t>
  </si>
  <si>
    <t>Potencia total VA</t>
  </si>
  <si>
    <t xml:space="preserve">Tomadas 110 V </t>
  </si>
  <si>
    <t>Potencia (VA)</t>
  </si>
  <si>
    <t xml:space="preserve">potência(VA) </t>
  </si>
  <si>
    <t>1-d</t>
  </si>
  <si>
    <t>Potencia em VA</t>
  </si>
  <si>
    <t>Cabo (mm2)</t>
  </si>
  <si>
    <t>se fator</t>
  </si>
  <si>
    <t>Corrente (A)(IB)</t>
  </si>
  <si>
    <t xml:space="preserve">Disjuntor (A)(IN) </t>
  </si>
  <si>
    <t>Corrente max condutor (A)(IZ)</t>
  </si>
  <si>
    <t>iz*1,45</t>
  </si>
  <si>
    <t>Circuitos de ilimunação e TUG</t>
  </si>
  <si>
    <t>Potencia (W)</t>
  </si>
  <si>
    <t xml:space="preserve">Fator de demanda </t>
  </si>
  <si>
    <t>&lt;1000</t>
  </si>
  <si>
    <t>&gt;10000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</si>
  <si>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</si>
  <si>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</si>
  <si>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</si>
  <si>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</si>
  <si>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</si>
  <si>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</si>
  <si>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</si>
  <si>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</si>
  <si>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</si>
  <si>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 xml:space="preserve">potencia tug e iliminação </t>
  </si>
  <si>
    <t>FD</t>
  </si>
  <si>
    <t>Demanda</t>
  </si>
  <si>
    <t>Circuitos TUE</t>
  </si>
  <si>
    <t xml:space="preserve">N de circuitos </t>
  </si>
  <si>
    <t xml:space="preserve">Demanda </t>
  </si>
  <si>
    <t xml:space="preserve">Potencia </t>
  </si>
  <si>
    <t>18000*0,76</t>
  </si>
  <si>
    <t>Demanda total (VA)</t>
  </si>
  <si>
    <t>Demanda total (W)</t>
  </si>
  <si>
    <t>Corrente max (A)</t>
  </si>
  <si>
    <t>Condutor (3 condutores carregados)</t>
  </si>
  <si>
    <t xml:space="preserve">B e C5  </t>
  </si>
  <si>
    <t>25 mm2</t>
  </si>
  <si>
    <t xml:space="preserve">Disjuntor </t>
  </si>
  <si>
    <t>80 A</t>
  </si>
  <si>
    <t>Interruptor</t>
  </si>
  <si>
    <t>lampada ext</t>
  </si>
  <si>
    <t xml:space="preserve">Quantide circuitos </t>
  </si>
  <si>
    <t>2,,5</t>
  </si>
  <si>
    <t>chuveiro baixa potencia</t>
  </si>
  <si>
    <t>Disjuntores</t>
  </si>
  <si>
    <t>Caracterização da Instalação</t>
  </si>
  <si>
    <t>Circuitos do Quadro de Distribuição</t>
  </si>
  <si>
    <t>Circuitos com tensão 220V</t>
  </si>
  <si>
    <t xml:space="preserve">Potência e corrente dos circuitos </t>
  </si>
  <si>
    <t>Quantidade</t>
  </si>
  <si>
    <t xml:space="preserve">Fator </t>
  </si>
  <si>
    <t>Tamanho dos cabos</t>
  </si>
  <si>
    <t>Potência total da instalação (W)</t>
  </si>
  <si>
    <t>Potência total da instalação (VA)</t>
  </si>
  <si>
    <t>Potência total instalada com fator de demanda (VA)</t>
  </si>
  <si>
    <t>Potência TUG com fator de demanda (VA)</t>
  </si>
  <si>
    <t>Potência TUG e Iluminação (W)</t>
  </si>
  <si>
    <t>Potência TUE (W)</t>
  </si>
  <si>
    <t>Potência TUE com fator de demanda (W)</t>
  </si>
  <si>
    <t>Potência total instalada com fator de demanda (W)</t>
  </si>
  <si>
    <t>Disjuntor Quadro Geral (A)</t>
  </si>
  <si>
    <t>Cabo de entrada (método B1) (mm²)</t>
  </si>
  <si>
    <t>Dimensionamento do Cabo e Disjuntor Geral</t>
  </si>
  <si>
    <t>Corrente da instalação(A)</t>
  </si>
  <si>
    <t>Cabos (mm²)</t>
  </si>
  <si>
    <t>Área (mm²)</t>
  </si>
  <si>
    <t>Área para 3 ou mais condutores (mm²)</t>
  </si>
  <si>
    <t>2 condutores (mm²)</t>
  </si>
  <si>
    <t>1 condutor (mm²)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</si>
</sst>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/>
    <xf numFmtId="0" fontId="0" fillId="11" borderId="1" xfId="0" applyFill="1" applyBorder="1" applyAlignment="1">
      <alignment horizontal="center"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11" borderId="1" xfId="0" applyNumberForma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5890-62C7-41E3-8F6D-8673C4D439FB}">
  <dimension ref="B2:P37"/>
  <sheetViews>
    <sheetView zoomScaleNormal="100" workbookViewId="0">
      <selection activeCell="O6" sqref="O6"/>
    </sheetView>
  </sheetViews>
  <sheetFormatPr defaultRowHeight="15" x14ac:dyDescent="0.25"/>
  <cols>
    <col min="2" max="2" width="11" bestFit="1" customWidth="1"/>
    <col min="3" max="3" width="9.42578125" bestFit="1" customWidth="1"/>
    <col min="4" max="4" width="11.42578125" customWidth="1"/>
    <col min="5" max="5" width="12.28515625" bestFit="1" customWidth="1"/>
    <col min="6" max="6" width="11.28515625" customWidth="1"/>
    <col min="7" max="7" width="8.5703125" customWidth="1"/>
    <col min="8" max="8" width="10.7109375" customWidth="1"/>
    <col min="9" max="9" width="10" customWidth="1"/>
    <col min="10" max="10" width="12" customWidth="1"/>
    <col min="11" max="11" width="15.7109375" customWidth="1"/>
    <col min="12" max="12" width="14.42578125" customWidth="1"/>
    <col min="13" max="13" width="13.7109375" customWidth="1"/>
    <col min="14" max="14" width="16.85546875" customWidth="1"/>
  </cols>
  <sheetData>
    <row r="2" spans="2:16" x14ac:dyDescent="0.25">
      <c r="B2" s="46" t="s">
        <v>162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2:16" ht="60" x14ac:dyDescent="0.25">
      <c r="B3" s="2" t="s">
        <v>0</v>
      </c>
      <c r="C3" s="2" t="s">
        <v>1</v>
      </c>
      <c r="D3" s="2" t="s">
        <v>2</v>
      </c>
      <c r="E3" s="2" t="s">
        <v>11</v>
      </c>
      <c r="F3" s="3" t="s">
        <v>13</v>
      </c>
      <c r="G3" s="3" t="s">
        <v>115</v>
      </c>
      <c r="H3" s="3" t="s">
        <v>61</v>
      </c>
      <c r="I3" s="3" t="s">
        <v>18</v>
      </c>
      <c r="J3" s="3" t="s">
        <v>113</v>
      </c>
      <c r="K3" s="3" t="s">
        <v>42</v>
      </c>
      <c r="L3" s="3" t="s">
        <v>16</v>
      </c>
      <c r="M3" s="3" t="s">
        <v>20</v>
      </c>
      <c r="O3" s="25"/>
      <c r="P3" s="25"/>
    </row>
    <row r="4" spans="2:16" x14ac:dyDescent="0.25">
      <c r="B4" s="31" t="s">
        <v>3</v>
      </c>
      <c r="C4" s="1">
        <v>10</v>
      </c>
      <c r="D4" s="1">
        <v>12.77</v>
      </c>
      <c r="E4" s="1">
        <v>1</v>
      </c>
      <c r="F4" s="4">
        <f t="shared" ref="F4:F10" si="0">IF(C4&gt;=10,160,100)</f>
        <v>160</v>
      </c>
      <c r="G4" s="1">
        <v>2</v>
      </c>
      <c r="H4" s="1">
        <v>0</v>
      </c>
      <c r="I4" s="1">
        <v>200</v>
      </c>
      <c r="J4" s="33" t="s">
        <v>12</v>
      </c>
      <c r="K4" s="4">
        <v>0</v>
      </c>
      <c r="L4" s="1">
        <v>0</v>
      </c>
      <c r="M4" s="4">
        <f>L12+(I12*M8)+(F12*M8)</f>
        <v>19192.8</v>
      </c>
    </row>
    <row r="5" spans="2:16" x14ac:dyDescent="0.25">
      <c r="B5" s="31" t="s">
        <v>4</v>
      </c>
      <c r="C5" s="1">
        <v>9.76</v>
      </c>
      <c r="D5" s="1">
        <v>12.5</v>
      </c>
      <c r="E5" s="1">
        <v>1</v>
      </c>
      <c r="F5" s="4">
        <f t="shared" si="0"/>
        <v>100</v>
      </c>
      <c r="G5" s="1">
        <v>2</v>
      </c>
      <c r="H5" s="1">
        <v>0</v>
      </c>
      <c r="I5" s="1">
        <v>200</v>
      </c>
      <c r="J5" s="33" t="s">
        <v>12</v>
      </c>
      <c r="K5" s="4">
        <v>0</v>
      </c>
      <c r="L5" s="1">
        <v>0</v>
      </c>
      <c r="M5" s="4"/>
    </row>
    <row r="6" spans="2:16" x14ac:dyDescent="0.25">
      <c r="B6" s="31" t="s">
        <v>5</v>
      </c>
      <c r="C6" s="1">
        <v>6.4</v>
      </c>
      <c r="D6" s="1">
        <v>10.4</v>
      </c>
      <c r="E6" s="1">
        <v>1</v>
      </c>
      <c r="F6" s="4">
        <f t="shared" si="0"/>
        <v>100</v>
      </c>
      <c r="G6" s="1">
        <v>1</v>
      </c>
      <c r="H6" s="1">
        <v>0</v>
      </c>
      <c r="I6" s="1">
        <v>100</v>
      </c>
      <c r="J6" s="33" t="s">
        <v>12</v>
      </c>
      <c r="K6" s="4">
        <v>0</v>
      </c>
      <c r="L6" s="1">
        <v>0</v>
      </c>
      <c r="M6" s="4"/>
    </row>
    <row r="7" spans="2:16" x14ac:dyDescent="0.25">
      <c r="B7" s="31" t="s">
        <v>6</v>
      </c>
      <c r="C7" s="1">
        <v>9.1999999999999993</v>
      </c>
      <c r="D7" s="1">
        <v>13.2</v>
      </c>
      <c r="E7" s="1">
        <v>2</v>
      </c>
      <c r="F7" s="4">
        <f t="shared" si="0"/>
        <v>100</v>
      </c>
      <c r="G7" s="1">
        <v>4</v>
      </c>
      <c r="H7" s="1">
        <v>2</v>
      </c>
      <c r="I7" s="1">
        <v>2100</v>
      </c>
      <c r="J7" s="1">
        <v>1</v>
      </c>
      <c r="K7" s="4" t="s">
        <v>43</v>
      </c>
      <c r="L7" s="1">
        <v>2100</v>
      </c>
      <c r="M7" s="45" t="s">
        <v>19</v>
      </c>
    </row>
    <row r="8" spans="2:16" x14ac:dyDescent="0.25">
      <c r="B8" s="31" t="s">
        <v>7</v>
      </c>
      <c r="C8" s="1">
        <v>9.92</v>
      </c>
      <c r="D8" s="1">
        <v>12.6</v>
      </c>
      <c r="E8" s="1">
        <v>1</v>
      </c>
      <c r="F8" s="4">
        <f t="shared" si="0"/>
        <v>100</v>
      </c>
      <c r="G8" s="1">
        <v>2</v>
      </c>
      <c r="H8" s="1">
        <v>0</v>
      </c>
      <c r="I8" s="1">
        <v>200</v>
      </c>
      <c r="J8" s="33" t="s">
        <v>12</v>
      </c>
      <c r="K8" s="4">
        <v>0</v>
      </c>
      <c r="L8" s="1">
        <v>0</v>
      </c>
      <c r="M8" s="45">
        <v>0.92</v>
      </c>
    </row>
    <row r="9" spans="2:16" x14ac:dyDescent="0.25">
      <c r="B9" s="31" t="s">
        <v>8</v>
      </c>
      <c r="C9" s="1">
        <v>2.4</v>
      </c>
      <c r="D9" s="1">
        <v>6.8</v>
      </c>
      <c r="E9" s="1">
        <v>1</v>
      </c>
      <c r="F9" s="4">
        <f t="shared" si="0"/>
        <v>100</v>
      </c>
      <c r="G9" s="33">
        <v>1</v>
      </c>
      <c r="H9" s="33">
        <v>0</v>
      </c>
      <c r="I9" s="1">
        <v>600</v>
      </c>
      <c r="J9" s="1">
        <v>1</v>
      </c>
      <c r="K9" s="4" t="s">
        <v>14</v>
      </c>
      <c r="L9" s="1">
        <v>6000</v>
      </c>
      <c r="M9" s="4"/>
    </row>
    <row r="10" spans="2:16" ht="30" x14ac:dyDescent="0.25">
      <c r="B10" s="31" t="s">
        <v>9</v>
      </c>
      <c r="C10" s="1">
        <v>3.51</v>
      </c>
      <c r="D10" s="1">
        <v>8.4</v>
      </c>
      <c r="E10" s="1">
        <v>1</v>
      </c>
      <c r="F10" s="4">
        <f t="shared" si="0"/>
        <v>100</v>
      </c>
      <c r="G10" s="33">
        <v>1</v>
      </c>
      <c r="H10" s="33">
        <v>0</v>
      </c>
      <c r="I10" s="1">
        <v>600</v>
      </c>
      <c r="J10" s="33">
        <v>1</v>
      </c>
      <c r="K10" s="4" t="s">
        <v>160</v>
      </c>
      <c r="L10" s="1">
        <v>4000</v>
      </c>
      <c r="M10" s="3" t="s">
        <v>114</v>
      </c>
    </row>
    <row r="11" spans="2:16" ht="21" customHeight="1" x14ac:dyDescent="0.25">
      <c r="B11" s="31" t="s">
        <v>10</v>
      </c>
      <c r="C11" s="1">
        <v>23.28</v>
      </c>
      <c r="D11" s="1">
        <v>19.3</v>
      </c>
      <c r="E11" s="1">
        <v>3</v>
      </c>
      <c r="F11" s="4">
        <v>280</v>
      </c>
      <c r="G11" s="1">
        <v>3</v>
      </c>
      <c r="H11" s="1">
        <v>0</v>
      </c>
      <c r="I11" s="1">
        <v>1800</v>
      </c>
      <c r="J11" s="1">
        <v>1</v>
      </c>
      <c r="K11" s="4" t="s">
        <v>15</v>
      </c>
      <c r="L11" s="1">
        <v>800</v>
      </c>
      <c r="M11" s="4">
        <f>F12+I12+(L12/M8)</f>
        <v>20861.739130434784</v>
      </c>
    </row>
    <row r="12" spans="2:16" x14ac:dyDescent="0.25">
      <c r="B12" s="5" t="s">
        <v>17</v>
      </c>
      <c r="C12" s="5"/>
      <c r="D12" s="5"/>
      <c r="E12" s="5"/>
      <c r="F12" s="6">
        <f>SUM(F4:F11)</f>
        <v>1040</v>
      </c>
      <c r="G12" s="5"/>
      <c r="H12" s="5"/>
      <c r="I12" s="5">
        <f>SUM(I4:I11)</f>
        <v>5800</v>
      </c>
      <c r="J12" s="5"/>
      <c r="K12" s="5"/>
      <c r="L12" s="5">
        <f>SUM(L4:L11)</f>
        <v>12900</v>
      </c>
      <c r="M12" s="4"/>
    </row>
    <row r="16" spans="2:16" ht="30" customHeight="1" x14ac:dyDescent="0.25">
      <c r="D16" s="46" t="s">
        <v>163</v>
      </c>
      <c r="E16" s="46"/>
      <c r="F16" s="46"/>
      <c r="G16" s="46"/>
      <c r="J16" s="50" t="s">
        <v>165</v>
      </c>
      <c r="K16" s="50"/>
      <c r="L16" s="50"/>
      <c r="M16" s="50"/>
      <c r="N16" s="50"/>
    </row>
    <row r="17" spans="3:15" x14ac:dyDescent="0.25">
      <c r="D17" s="2" t="s">
        <v>0</v>
      </c>
      <c r="E17" s="2" t="s">
        <v>22</v>
      </c>
      <c r="F17" s="2" t="s">
        <v>25</v>
      </c>
      <c r="G17" s="2" t="s">
        <v>26</v>
      </c>
      <c r="J17" s="2" t="s">
        <v>0</v>
      </c>
      <c r="K17" s="2" t="s">
        <v>156</v>
      </c>
      <c r="L17" s="3" t="s">
        <v>21</v>
      </c>
      <c r="M17" s="3" t="s">
        <v>116</v>
      </c>
      <c r="N17" s="3" t="s">
        <v>62</v>
      </c>
    </row>
    <row r="18" spans="3:15" x14ac:dyDescent="0.25">
      <c r="D18" s="31" t="s">
        <v>3</v>
      </c>
      <c r="E18" s="1" t="s">
        <v>23</v>
      </c>
      <c r="F18" s="1" t="s">
        <v>24</v>
      </c>
      <c r="G18" s="1"/>
      <c r="H18" s="10"/>
      <c r="J18" s="31" t="s">
        <v>3</v>
      </c>
      <c r="K18" s="1" t="s">
        <v>33</v>
      </c>
      <c r="L18" s="4" t="s">
        <v>23</v>
      </c>
      <c r="M18" s="4">
        <f>F12</f>
        <v>1040</v>
      </c>
      <c r="N18" s="4">
        <f>M18/127</f>
        <v>8.1889763779527556</v>
      </c>
    </row>
    <row r="19" spans="3:15" x14ac:dyDescent="0.25">
      <c r="D19" s="31" t="s">
        <v>4</v>
      </c>
      <c r="E19" s="1" t="s">
        <v>23</v>
      </c>
      <c r="F19" s="1" t="s">
        <v>24</v>
      </c>
      <c r="G19" s="1"/>
      <c r="H19" s="10"/>
      <c r="J19" s="31" t="s">
        <v>4</v>
      </c>
      <c r="K19" s="1" t="s">
        <v>34</v>
      </c>
      <c r="L19" s="4" t="s">
        <v>24</v>
      </c>
      <c r="M19" s="4">
        <f>I4+I5+I6+I8+I9+I10</f>
        <v>1900</v>
      </c>
      <c r="N19" s="4">
        <f>M19/127</f>
        <v>14.960629921259843</v>
      </c>
    </row>
    <row r="20" spans="3:15" x14ac:dyDescent="0.25">
      <c r="D20" s="31" t="s">
        <v>5</v>
      </c>
      <c r="E20" s="1" t="s">
        <v>23</v>
      </c>
      <c r="F20" s="1" t="s">
        <v>24</v>
      </c>
      <c r="G20" s="1"/>
      <c r="H20" s="10"/>
      <c r="J20" s="31" t="s">
        <v>5</v>
      </c>
      <c r="K20" s="1" t="s">
        <v>35</v>
      </c>
      <c r="L20" s="4" t="s">
        <v>30</v>
      </c>
      <c r="M20" s="4">
        <f>I7</f>
        <v>2100</v>
      </c>
      <c r="N20" s="4">
        <f t="shared" ref="N20:N21" si="1">M20/127</f>
        <v>16.535433070866141</v>
      </c>
    </row>
    <row r="21" spans="3:15" x14ac:dyDescent="0.25">
      <c r="D21" s="31" t="s">
        <v>6</v>
      </c>
      <c r="E21" s="1" t="s">
        <v>23</v>
      </c>
      <c r="F21" s="1" t="s">
        <v>30</v>
      </c>
      <c r="G21" s="1" t="s">
        <v>31</v>
      </c>
      <c r="H21" s="10"/>
      <c r="J21" s="31" t="s">
        <v>6</v>
      </c>
      <c r="K21" s="1" t="s">
        <v>36</v>
      </c>
      <c r="L21" s="4" t="s">
        <v>29</v>
      </c>
      <c r="M21" s="4">
        <f>I11</f>
        <v>1800</v>
      </c>
      <c r="N21" s="4">
        <f t="shared" si="1"/>
        <v>14.173228346456693</v>
      </c>
    </row>
    <row r="22" spans="3:15" x14ac:dyDescent="0.25">
      <c r="D22" s="31" t="s">
        <v>7</v>
      </c>
      <c r="E22" s="1" t="s">
        <v>23</v>
      </c>
      <c r="F22" s="1" t="s">
        <v>24</v>
      </c>
      <c r="G22" s="1"/>
      <c r="H22" s="10"/>
      <c r="J22" s="31" t="s">
        <v>7</v>
      </c>
      <c r="K22" s="1" t="s">
        <v>37</v>
      </c>
      <c r="L22" s="6" t="s">
        <v>31</v>
      </c>
      <c r="M22" s="6">
        <f>L7/M8</f>
        <v>2282.608695652174</v>
      </c>
      <c r="N22" s="6">
        <f>M22/220</f>
        <v>10.375494071146246</v>
      </c>
    </row>
    <row r="23" spans="3:15" x14ac:dyDescent="0.25">
      <c r="D23" s="31" t="s">
        <v>8</v>
      </c>
      <c r="E23" s="1" t="s">
        <v>23</v>
      </c>
      <c r="F23" s="1" t="s">
        <v>24</v>
      </c>
      <c r="G23" s="1" t="s">
        <v>32</v>
      </c>
      <c r="H23" s="10"/>
      <c r="J23" s="31" t="s">
        <v>8</v>
      </c>
      <c r="K23" s="1" t="s">
        <v>38</v>
      </c>
      <c r="L23" s="6" t="s">
        <v>32</v>
      </c>
      <c r="M23" s="6">
        <f>L9/M8</f>
        <v>6521.7391304347821</v>
      </c>
      <c r="N23" s="6">
        <f t="shared" ref="N23:N25" si="2">M23/220</f>
        <v>29.644268774703555</v>
      </c>
    </row>
    <row r="24" spans="3:15" x14ac:dyDescent="0.25">
      <c r="D24" s="31" t="s">
        <v>9</v>
      </c>
      <c r="E24" s="1" t="s">
        <v>23</v>
      </c>
      <c r="F24" s="1" t="s">
        <v>24</v>
      </c>
      <c r="G24" s="1" t="s">
        <v>28</v>
      </c>
      <c r="H24" s="10"/>
      <c r="J24" s="31" t="s">
        <v>9</v>
      </c>
      <c r="K24" s="1" t="s">
        <v>39</v>
      </c>
      <c r="L24" s="6" t="s">
        <v>28</v>
      </c>
      <c r="M24" s="6">
        <f>L10/M8</f>
        <v>4347.826086956522</v>
      </c>
      <c r="N24" s="6">
        <f>M24/220</f>
        <v>19.762845849802371</v>
      </c>
    </row>
    <row r="25" spans="3:15" x14ac:dyDescent="0.25">
      <c r="D25" s="40" t="s">
        <v>10</v>
      </c>
      <c r="E25" s="9" t="s">
        <v>23</v>
      </c>
      <c r="F25" s="9" t="s">
        <v>29</v>
      </c>
      <c r="G25" s="9" t="s">
        <v>27</v>
      </c>
      <c r="H25" s="10"/>
      <c r="J25" s="31" t="s">
        <v>10</v>
      </c>
      <c r="K25" s="1" t="s">
        <v>40</v>
      </c>
      <c r="L25" s="6" t="s">
        <v>27</v>
      </c>
      <c r="M25" s="6">
        <f>L11/M8</f>
        <v>869.56521739130426</v>
      </c>
      <c r="N25" s="6">
        <f t="shared" si="2"/>
        <v>3.9525691699604737</v>
      </c>
    </row>
    <row r="26" spans="3:15" ht="30" customHeight="1" x14ac:dyDescent="0.25">
      <c r="C26" s="7"/>
      <c r="D26" s="1"/>
      <c r="E26" s="7"/>
      <c r="F26" s="1"/>
      <c r="G26" s="7"/>
      <c r="H26" s="7"/>
      <c r="I26" s="7"/>
      <c r="J26" s="41" t="s">
        <v>157</v>
      </c>
      <c r="K26" s="1" t="s">
        <v>41</v>
      </c>
      <c r="L26" s="47" t="s">
        <v>164</v>
      </c>
      <c r="M26" s="48"/>
      <c r="N26" s="49"/>
    </row>
    <row r="27" spans="3:15" x14ac:dyDescent="0.25">
      <c r="C27" s="7"/>
      <c r="D27" s="7"/>
      <c r="E27" s="7"/>
      <c r="F27" s="7"/>
      <c r="G27" s="7"/>
      <c r="H27" s="7"/>
      <c r="I27" s="7"/>
      <c r="J27" s="8"/>
      <c r="K27" s="7"/>
    </row>
    <row r="28" spans="3:15" x14ac:dyDescent="0.25">
      <c r="C28" s="7"/>
      <c r="D28" s="7"/>
      <c r="E28" s="7"/>
      <c r="F28" s="7"/>
      <c r="G28" s="7"/>
      <c r="H28" s="7"/>
      <c r="I28" s="7"/>
      <c r="M28" s="3" t="s">
        <v>21</v>
      </c>
      <c r="N28" s="2" t="s">
        <v>120</v>
      </c>
      <c r="O28" s="2" t="s">
        <v>121</v>
      </c>
    </row>
    <row r="29" spans="3:15" x14ac:dyDescent="0.25">
      <c r="C29" s="7"/>
      <c r="D29" s="7"/>
      <c r="E29" s="7"/>
      <c r="F29" s="7"/>
      <c r="G29" s="7"/>
      <c r="H29" s="7"/>
      <c r="I29" s="7"/>
      <c r="M29" s="4" t="s">
        <v>23</v>
      </c>
      <c r="N29" s="1">
        <v>1.5</v>
      </c>
      <c r="O29" s="1">
        <v>1.5</v>
      </c>
    </row>
    <row r="30" spans="3:15" x14ac:dyDescent="0.25">
      <c r="D30" s="26"/>
      <c r="M30" s="4" t="s">
        <v>24</v>
      </c>
      <c r="N30" s="1">
        <v>2.5</v>
      </c>
      <c r="O30" s="1">
        <v>2.5</v>
      </c>
    </row>
    <row r="31" spans="3:15" x14ac:dyDescent="0.25">
      <c r="D31" s="26"/>
      <c r="M31" s="4" t="s">
        <v>30</v>
      </c>
      <c r="N31" s="1">
        <v>4</v>
      </c>
      <c r="O31" s="1">
        <v>2.5</v>
      </c>
    </row>
    <row r="32" spans="3:15" x14ac:dyDescent="0.25">
      <c r="D32" s="26"/>
      <c r="M32" s="4" t="s">
        <v>29</v>
      </c>
      <c r="N32" s="1">
        <v>2.5</v>
      </c>
      <c r="O32" s="1">
        <v>2.5</v>
      </c>
    </row>
    <row r="33" spans="4:15" x14ac:dyDescent="0.25">
      <c r="D33" s="26"/>
      <c r="M33" s="27" t="s">
        <v>31</v>
      </c>
      <c r="N33" s="1">
        <v>6</v>
      </c>
      <c r="O33" s="1">
        <v>2.5</v>
      </c>
    </row>
    <row r="34" spans="4:15" x14ac:dyDescent="0.25">
      <c r="D34" s="26"/>
      <c r="M34" s="27" t="s">
        <v>32</v>
      </c>
      <c r="N34" s="1">
        <v>4</v>
      </c>
      <c r="O34" s="1">
        <v>4</v>
      </c>
    </row>
    <row r="35" spans="4:15" x14ac:dyDescent="0.25">
      <c r="D35" s="26"/>
      <c r="M35" s="27" t="s">
        <v>28</v>
      </c>
      <c r="N35" s="1">
        <v>10</v>
      </c>
      <c r="O35" s="1">
        <v>4</v>
      </c>
    </row>
    <row r="36" spans="4:15" x14ac:dyDescent="0.25">
      <c r="D36" s="26"/>
      <c r="M36" s="27" t="s">
        <v>27</v>
      </c>
      <c r="N36" s="1">
        <v>2.5</v>
      </c>
      <c r="O36" s="1">
        <v>2.5</v>
      </c>
    </row>
    <row r="37" spans="4:15" x14ac:dyDescent="0.25">
      <c r="D37" s="26"/>
      <c r="M37" s="28"/>
    </row>
  </sheetData>
  <mergeCells count="4">
    <mergeCell ref="D16:G16"/>
    <mergeCell ref="L26:N26"/>
    <mergeCell ref="J16:N16"/>
    <mergeCell ref="B2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2539-FEB8-4960-8B57-4AC7F474672B}">
  <dimension ref="B1:T59"/>
  <sheetViews>
    <sheetView topLeftCell="G13" zoomScaleNormal="100" workbookViewId="0">
      <selection activeCell="T5" sqref="T5"/>
    </sheetView>
  </sheetViews>
  <sheetFormatPr defaultRowHeight="15" x14ac:dyDescent="0.25"/>
  <cols>
    <col min="3" max="3" width="12" customWidth="1"/>
    <col min="4" max="4" width="12.7109375" bestFit="1" customWidth="1"/>
    <col min="5" max="5" width="11.28515625" bestFit="1" customWidth="1"/>
    <col min="6" max="6" width="11.5703125" bestFit="1" customWidth="1"/>
    <col min="7" max="7" width="12.140625" bestFit="1" customWidth="1"/>
    <col min="8" max="8" width="15.7109375" customWidth="1"/>
    <col min="9" max="9" width="14.7109375" bestFit="1" customWidth="1"/>
    <col min="10" max="10" width="12.85546875" bestFit="1" customWidth="1"/>
    <col min="11" max="11" width="11.140625" bestFit="1" customWidth="1"/>
    <col min="13" max="13" width="12.7109375" bestFit="1" customWidth="1"/>
    <col min="14" max="14" width="10.140625" bestFit="1" customWidth="1"/>
    <col min="15" max="15" width="11.5703125" bestFit="1" customWidth="1"/>
    <col min="16" max="16" width="15.5703125" bestFit="1" customWidth="1"/>
    <col min="17" max="17" width="15.7109375" bestFit="1" customWidth="1"/>
    <col min="18" max="18" width="14.7109375" bestFit="1" customWidth="1"/>
    <col min="19" max="19" width="12.85546875" bestFit="1" customWidth="1"/>
    <col min="20" max="20" width="11.140625" bestFit="1" customWidth="1"/>
  </cols>
  <sheetData>
    <row r="1" spans="2:20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2:20" ht="30" x14ac:dyDescent="0.25">
      <c r="B2" s="11"/>
      <c r="C2" s="11"/>
      <c r="D2" s="14" t="s">
        <v>49</v>
      </c>
      <c r="E2" s="14" t="s">
        <v>50</v>
      </c>
      <c r="F2" s="14" t="s">
        <v>158</v>
      </c>
      <c r="G2" s="16" t="s">
        <v>52</v>
      </c>
      <c r="H2" s="16" t="s">
        <v>45</v>
      </c>
      <c r="I2" s="16" t="s">
        <v>46</v>
      </c>
      <c r="J2" s="16"/>
      <c r="K2" s="16"/>
    </row>
    <row r="3" spans="2:20" x14ac:dyDescent="0.25">
      <c r="B3" s="11"/>
      <c r="C3" s="11"/>
      <c r="D3" s="14" t="s">
        <v>44</v>
      </c>
      <c r="E3" s="14" t="s">
        <v>118</v>
      </c>
      <c r="F3" s="14">
        <v>4</v>
      </c>
      <c r="G3" s="16">
        <v>1</v>
      </c>
      <c r="H3" s="16">
        <v>1</v>
      </c>
      <c r="I3" s="16">
        <v>1</v>
      </c>
      <c r="J3" s="16"/>
      <c r="K3" s="16"/>
    </row>
    <row r="4" spans="2:20" ht="45" x14ac:dyDescent="0.25">
      <c r="B4" s="11"/>
      <c r="C4" s="11"/>
      <c r="D4" s="15" t="s">
        <v>117</v>
      </c>
      <c r="E4" s="15" t="s">
        <v>47</v>
      </c>
      <c r="F4" s="15" t="s">
        <v>53</v>
      </c>
      <c r="G4" s="15" t="s">
        <v>54</v>
      </c>
      <c r="H4" s="15" t="s">
        <v>55</v>
      </c>
      <c r="I4" s="15" t="s">
        <v>56</v>
      </c>
      <c r="J4" s="15" t="s">
        <v>57</v>
      </c>
      <c r="K4" s="15" t="s">
        <v>58</v>
      </c>
      <c r="O4" s="46" t="s">
        <v>48</v>
      </c>
      <c r="P4" s="46"/>
    </row>
    <row r="5" spans="2:20" x14ac:dyDescent="0.25">
      <c r="B5" s="11"/>
      <c r="C5" s="11"/>
      <c r="D5" s="15">
        <f>Circuitos!M18</f>
        <v>1040</v>
      </c>
      <c r="E5" s="15">
        <v>127</v>
      </c>
      <c r="F5" s="15">
        <f>D5/E5</f>
        <v>8.1889763779527556</v>
      </c>
      <c r="G5" s="15">
        <f>IF(F5&lt;=17.5,17.5,2.5)</f>
        <v>17.5</v>
      </c>
      <c r="H5" s="15">
        <f>G5*P9</f>
        <v>11.375</v>
      </c>
      <c r="I5" s="15">
        <v>1.5</v>
      </c>
      <c r="J5" s="15">
        <f>IF(I5&lt;=25,I5,25)</f>
        <v>1.5</v>
      </c>
      <c r="K5" s="15">
        <f>IF(I5&lt;=16,I5,16)</f>
        <v>1.5</v>
      </c>
      <c r="O5" s="2" t="s">
        <v>166</v>
      </c>
      <c r="P5" s="2" t="s">
        <v>167</v>
      </c>
    </row>
    <row r="6" spans="2:20" x14ac:dyDescent="0.25">
      <c r="B6" s="11"/>
      <c r="C6" s="11"/>
      <c r="D6" s="4"/>
      <c r="E6" s="4"/>
      <c r="F6" s="4"/>
      <c r="G6" s="4"/>
      <c r="H6" s="4"/>
      <c r="I6" s="4"/>
      <c r="J6" s="4"/>
      <c r="K6" s="4"/>
      <c r="O6" s="1">
        <v>1</v>
      </c>
      <c r="P6" s="1">
        <v>1</v>
      </c>
    </row>
    <row r="7" spans="2:20" ht="21" customHeight="1" x14ac:dyDescent="0.25">
      <c r="B7" s="11"/>
      <c r="C7" s="11"/>
      <c r="D7" s="18" t="s">
        <v>49</v>
      </c>
      <c r="E7" s="18" t="s">
        <v>50</v>
      </c>
      <c r="F7" s="18" t="s">
        <v>158</v>
      </c>
      <c r="G7" s="16" t="s">
        <v>52</v>
      </c>
      <c r="H7" s="16" t="s">
        <v>45</v>
      </c>
      <c r="I7" s="16" t="s">
        <v>46</v>
      </c>
      <c r="J7" s="16"/>
      <c r="K7" s="16"/>
      <c r="O7" s="1">
        <v>2</v>
      </c>
      <c r="P7" s="1">
        <v>0.8</v>
      </c>
    </row>
    <row r="8" spans="2:20" ht="25.5" customHeight="1" x14ac:dyDescent="0.25">
      <c r="B8" s="11"/>
      <c r="C8" s="11"/>
      <c r="D8" s="18" t="s">
        <v>44</v>
      </c>
      <c r="E8" s="18">
        <v>5</v>
      </c>
      <c r="F8" s="18">
        <v>4</v>
      </c>
      <c r="G8" s="16">
        <v>2</v>
      </c>
      <c r="H8" s="16">
        <v>0</v>
      </c>
      <c r="I8" s="16">
        <v>1</v>
      </c>
      <c r="J8" s="16"/>
      <c r="K8" s="16"/>
      <c r="O8" s="1">
        <v>3</v>
      </c>
      <c r="P8" s="1">
        <v>0.7</v>
      </c>
    </row>
    <row r="9" spans="2:20" ht="20.25" customHeight="1" x14ac:dyDescent="0.25">
      <c r="B9" s="11"/>
      <c r="C9" s="11"/>
      <c r="D9" s="19" t="s">
        <v>117</v>
      </c>
      <c r="E9" s="19" t="s">
        <v>47</v>
      </c>
      <c r="F9" s="19" t="s">
        <v>53</v>
      </c>
      <c r="G9" s="19" t="s">
        <v>54</v>
      </c>
      <c r="H9" s="19" t="s">
        <v>55</v>
      </c>
      <c r="I9" s="19" t="s">
        <v>56</v>
      </c>
      <c r="J9" s="19" t="s">
        <v>57</v>
      </c>
      <c r="K9" s="19" t="s">
        <v>58</v>
      </c>
      <c r="O9" s="1">
        <v>4</v>
      </c>
      <c r="P9" s="1">
        <v>0.65</v>
      </c>
    </row>
    <row r="10" spans="2:20" x14ac:dyDescent="0.25">
      <c r="B10" s="11"/>
      <c r="C10" s="11"/>
      <c r="D10" s="19">
        <f>Circuitos!M22</f>
        <v>2282.608695652174</v>
      </c>
      <c r="E10" s="19">
        <v>220</v>
      </c>
      <c r="F10" s="19">
        <f>D10/E10</f>
        <v>10.375494071146246</v>
      </c>
      <c r="G10" s="19">
        <v>24</v>
      </c>
      <c r="H10" s="19">
        <f>G10*$P$9</f>
        <v>15.600000000000001</v>
      </c>
      <c r="I10" s="19">
        <v>2.5</v>
      </c>
      <c r="J10" s="19">
        <v>0</v>
      </c>
      <c r="K10" s="19">
        <f>IF(I10&lt;=16,I10,16)</f>
        <v>2.5</v>
      </c>
      <c r="O10" s="1">
        <v>5</v>
      </c>
      <c r="P10" s="1">
        <v>0.6</v>
      </c>
    </row>
    <row r="11" spans="2:20" x14ac:dyDescent="0.25">
      <c r="B11" s="11"/>
      <c r="C11" s="11"/>
      <c r="D11" s="4"/>
      <c r="E11" s="4"/>
      <c r="F11" s="4"/>
      <c r="G11" s="4"/>
      <c r="H11" s="4"/>
      <c r="I11" s="4"/>
      <c r="J11" s="4"/>
      <c r="K11" s="4"/>
    </row>
    <row r="12" spans="2:20" ht="30" x14ac:dyDescent="0.25">
      <c r="B12" s="11"/>
      <c r="C12" s="11"/>
      <c r="D12" s="18" t="s">
        <v>49</v>
      </c>
      <c r="E12" s="18" t="s">
        <v>50</v>
      </c>
      <c r="F12" s="18" t="s">
        <v>158</v>
      </c>
      <c r="G12" s="16" t="s">
        <v>52</v>
      </c>
      <c r="H12" s="16" t="s">
        <v>45</v>
      </c>
      <c r="I12" s="16" t="s">
        <v>46</v>
      </c>
      <c r="J12" s="16"/>
      <c r="K12" s="16"/>
      <c r="M12" s="18" t="s">
        <v>49</v>
      </c>
      <c r="N12" s="18" t="s">
        <v>50</v>
      </c>
      <c r="O12" s="18" t="s">
        <v>51</v>
      </c>
      <c r="P12" s="16" t="s">
        <v>52</v>
      </c>
      <c r="Q12" s="16" t="s">
        <v>45</v>
      </c>
      <c r="R12" s="16" t="s">
        <v>46</v>
      </c>
      <c r="S12" s="16" t="s">
        <v>59</v>
      </c>
      <c r="T12" s="17" t="s">
        <v>60</v>
      </c>
    </row>
    <row r="13" spans="2:20" x14ac:dyDescent="0.25">
      <c r="B13" s="11"/>
      <c r="C13" s="11"/>
      <c r="D13" s="18" t="s">
        <v>44</v>
      </c>
      <c r="E13" s="18">
        <v>3</v>
      </c>
      <c r="F13" s="18">
        <v>4</v>
      </c>
      <c r="G13" s="16">
        <v>1</v>
      </c>
      <c r="H13" s="16">
        <v>1</v>
      </c>
      <c r="I13" s="16">
        <v>1</v>
      </c>
      <c r="J13" s="16"/>
      <c r="K13" s="16"/>
      <c r="M13" s="18" t="s">
        <v>44</v>
      </c>
      <c r="N13" s="18">
        <v>5</v>
      </c>
      <c r="O13" s="18">
        <v>1</v>
      </c>
      <c r="P13" s="16">
        <v>2</v>
      </c>
      <c r="Q13" s="16">
        <v>0</v>
      </c>
      <c r="R13" s="16">
        <v>1</v>
      </c>
      <c r="S13" s="17">
        <v>4500</v>
      </c>
      <c r="T13" s="17">
        <v>0.92</v>
      </c>
    </row>
    <row r="14" spans="2:20" ht="45" x14ac:dyDescent="0.25">
      <c r="B14" s="11"/>
      <c r="C14" s="11"/>
      <c r="D14" s="19" t="s">
        <v>117</v>
      </c>
      <c r="E14" s="19" t="s">
        <v>47</v>
      </c>
      <c r="F14" s="19" t="s">
        <v>53</v>
      </c>
      <c r="G14" s="19" t="s">
        <v>54</v>
      </c>
      <c r="H14" s="19" t="s">
        <v>55</v>
      </c>
      <c r="I14" s="19" t="s">
        <v>56</v>
      </c>
      <c r="J14" s="19" t="s">
        <v>57</v>
      </c>
      <c r="K14" s="19" t="s">
        <v>58</v>
      </c>
      <c r="M14" s="19" t="s">
        <v>117</v>
      </c>
      <c r="N14" s="19" t="s">
        <v>47</v>
      </c>
      <c r="O14" s="19" t="s">
        <v>53</v>
      </c>
      <c r="P14" s="19" t="s">
        <v>54</v>
      </c>
      <c r="Q14" s="19" t="s">
        <v>55</v>
      </c>
      <c r="R14" s="19" t="s">
        <v>56</v>
      </c>
      <c r="S14" s="19" t="s">
        <v>57</v>
      </c>
      <c r="T14" s="20" t="s">
        <v>58</v>
      </c>
    </row>
    <row r="15" spans="2:20" x14ac:dyDescent="0.25">
      <c r="B15" s="11"/>
      <c r="C15" s="11"/>
      <c r="D15" s="19">
        <f>Circuitos!M20</f>
        <v>2100</v>
      </c>
      <c r="E15" s="19">
        <v>127</v>
      </c>
      <c r="F15" s="19">
        <f>D15/E15</f>
        <v>16.535433070866141</v>
      </c>
      <c r="G15" s="19">
        <v>32</v>
      </c>
      <c r="H15" s="19">
        <f>G15*$P$9</f>
        <v>20.8</v>
      </c>
      <c r="I15" s="19">
        <v>4</v>
      </c>
      <c r="J15" s="19">
        <v>4</v>
      </c>
      <c r="K15" s="19">
        <f>IF(I15&lt;=16,I15,16)</f>
        <v>4</v>
      </c>
      <c r="M15" s="19">
        <v>4891.3043479999997</v>
      </c>
      <c r="N15" s="19">
        <v>220</v>
      </c>
      <c r="O15" s="19">
        <f>M15/N15</f>
        <v>22.233201581818179</v>
      </c>
      <c r="P15" s="19">
        <v>24</v>
      </c>
      <c r="Q15" s="19">
        <f>P15*P6</f>
        <v>24</v>
      </c>
      <c r="R15" s="19">
        <v>2.5</v>
      </c>
      <c r="S15" s="20">
        <v>0</v>
      </c>
      <c r="T15" s="20">
        <f>IF(R15&lt;=16,R15,16)</f>
        <v>2.5</v>
      </c>
    </row>
    <row r="16" spans="2:20" x14ac:dyDescent="0.25">
      <c r="B16" s="11"/>
      <c r="C16" s="11"/>
      <c r="D16" s="4"/>
      <c r="E16" s="4"/>
      <c r="F16" s="4"/>
      <c r="G16" s="4"/>
      <c r="H16" s="4"/>
      <c r="I16" s="4"/>
      <c r="J16" s="4"/>
      <c r="K16" s="4"/>
    </row>
    <row r="17" spans="2:20" ht="30" x14ac:dyDescent="0.25">
      <c r="B17" s="11"/>
      <c r="C17" s="11"/>
      <c r="D17" s="18" t="s">
        <v>49</v>
      </c>
      <c r="E17" s="18" t="s">
        <v>50</v>
      </c>
      <c r="F17" s="18" t="s">
        <v>158</v>
      </c>
      <c r="G17" s="16" t="s">
        <v>52</v>
      </c>
      <c r="H17" s="16" t="s">
        <v>45</v>
      </c>
      <c r="I17" s="16" t="s">
        <v>46</v>
      </c>
      <c r="J17" s="16"/>
      <c r="K17" s="16"/>
      <c r="M17" s="18" t="s">
        <v>49</v>
      </c>
      <c r="N17" s="18" t="s">
        <v>50</v>
      </c>
      <c r="O17" s="18" t="s">
        <v>51</v>
      </c>
      <c r="P17" s="16" t="s">
        <v>52</v>
      </c>
      <c r="Q17" s="16" t="s">
        <v>45</v>
      </c>
      <c r="R17" s="16" t="s">
        <v>46</v>
      </c>
      <c r="S17" s="16"/>
      <c r="T17" s="17"/>
    </row>
    <row r="18" spans="2:20" x14ac:dyDescent="0.25">
      <c r="B18" s="12"/>
      <c r="C18" s="12"/>
      <c r="D18" s="18" t="s">
        <v>44</v>
      </c>
      <c r="E18" s="18">
        <v>2</v>
      </c>
      <c r="F18" s="18">
        <v>4</v>
      </c>
      <c r="G18" s="16">
        <v>1</v>
      </c>
      <c r="H18" s="16">
        <v>1</v>
      </c>
      <c r="I18" s="16">
        <v>1</v>
      </c>
      <c r="J18" s="16"/>
      <c r="K18" s="16"/>
      <c r="M18" s="18" t="s">
        <v>44</v>
      </c>
      <c r="N18" s="18">
        <v>3</v>
      </c>
      <c r="O18" s="18">
        <v>1</v>
      </c>
      <c r="P18" s="16">
        <v>1</v>
      </c>
      <c r="Q18" s="16">
        <v>1</v>
      </c>
      <c r="R18" s="16">
        <v>1</v>
      </c>
      <c r="S18" s="17"/>
      <c r="T18" s="17"/>
    </row>
    <row r="19" spans="2:20" ht="45" x14ac:dyDescent="0.25">
      <c r="B19" s="13"/>
      <c r="C19" s="13"/>
      <c r="D19" s="19" t="s">
        <v>117</v>
      </c>
      <c r="E19" s="19" t="s">
        <v>47</v>
      </c>
      <c r="F19" s="19" t="s">
        <v>53</v>
      </c>
      <c r="G19" s="19" t="s">
        <v>54</v>
      </c>
      <c r="H19" s="19" t="s">
        <v>55</v>
      </c>
      <c r="I19" s="19" t="s">
        <v>56</v>
      </c>
      <c r="J19" s="19" t="s">
        <v>57</v>
      </c>
      <c r="K19" s="19" t="s">
        <v>58</v>
      </c>
      <c r="M19" s="19" t="s">
        <v>117</v>
      </c>
      <c r="N19" s="19" t="s">
        <v>47</v>
      </c>
      <c r="O19" s="19" t="s">
        <v>53</v>
      </c>
      <c r="P19" s="19" t="s">
        <v>54</v>
      </c>
      <c r="Q19" s="19" t="s">
        <v>55</v>
      </c>
      <c r="R19" s="19" t="s">
        <v>56</v>
      </c>
      <c r="S19" s="19" t="s">
        <v>57</v>
      </c>
      <c r="T19" s="19" t="s">
        <v>58</v>
      </c>
    </row>
    <row r="20" spans="2:20" x14ac:dyDescent="0.25">
      <c r="B20" s="13"/>
      <c r="C20" s="13"/>
      <c r="D20" s="19">
        <f>Circuitos!M19</f>
        <v>1900</v>
      </c>
      <c r="E20" s="19">
        <v>127</v>
      </c>
      <c r="F20" s="19">
        <f>D20/E20</f>
        <v>14.960629921259843</v>
      </c>
      <c r="G20" s="19">
        <f>IF(F20&lt;=17.5,24,2.5)</f>
        <v>24</v>
      </c>
      <c r="H20" s="19">
        <f>G20*$P$9</f>
        <v>15.600000000000001</v>
      </c>
      <c r="I20" s="19">
        <v>2.5</v>
      </c>
      <c r="J20" s="19">
        <v>2.5</v>
      </c>
      <c r="K20" s="19">
        <f>IF(I20&lt;=16,I20,16)</f>
        <v>2.5</v>
      </c>
      <c r="M20" s="19">
        <v>2200</v>
      </c>
      <c r="N20" s="19">
        <v>127</v>
      </c>
      <c r="O20" s="19">
        <f>M20/N20</f>
        <v>17.322834645669293</v>
      </c>
      <c r="P20" s="19">
        <f>IF(O20&lt;=17.5,24,2.5)</f>
        <v>24</v>
      </c>
      <c r="Q20" s="19">
        <f>P20</f>
        <v>24</v>
      </c>
      <c r="R20" s="19">
        <v>2.5</v>
      </c>
      <c r="S20" s="19">
        <v>2.5</v>
      </c>
      <c r="T20" s="19">
        <f>IF(R20&lt;=16,R20,16)</f>
        <v>2.5</v>
      </c>
    </row>
    <row r="21" spans="2:20" x14ac:dyDescent="0.25">
      <c r="B21" s="13"/>
      <c r="C21" s="13"/>
      <c r="D21" s="4"/>
      <c r="E21" s="4"/>
      <c r="F21" s="4"/>
      <c r="G21" s="4"/>
      <c r="H21" s="4"/>
      <c r="I21" s="4"/>
      <c r="J21" s="4"/>
      <c r="K21" s="4"/>
    </row>
    <row r="22" spans="2:20" ht="30" x14ac:dyDescent="0.25">
      <c r="D22" s="18" t="s">
        <v>49</v>
      </c>
      <c r="E22" s="18" t="s">
        <v>50</v>
      </c>
      <c r="F22" s="18" t="s">
        <v>158</v>
      </c>
      <c r="G22" s="16" t="s">
        <v>52</v>
      </c>
      <c r="H22" s="16" t="s">
        <v>45</v>
      </c>
      <c r="I22" s="16" t="s">
        <v>46</v>
      </c>
      <c r="J22" s="16"/>
      <c r="K22" s="16"/>
      <c r="M22" s="18" t="s">
        <v>49</v>
      </c>
      <c r="N22" s="18" t="s">
        <v>50</v>
      </c>
      <c r="O22" s="18" t="s">
        <v>51</v>
      </c>
      <c r="P22" s="16" t="s">
        <v>52</v>
      </c>
      <c r="Q22" s="16" t="s">
        <v>45</v>
      </c>
      <c r="R22" s="16" t="s">
        <v>46</v>
      </c>
      <c r="S22" s="16" t="s">
        <v>119</v>
      </c>
      <c r="T22" s="17" t="s">
        <v>60</v>
      </c>
    </row>
    <row r="23" spans="2:20" x14ac:dyDescent="0.25">
      <c r="D23" s="18" t="s">
        <v>63</v>
      </c>
      <c r="E23" s="18">
        <v>7</v>
      </c>
      <c r="F23" s="18">
        <v>4</v>
      </c>
      <c r="G23" s="16">
        <v>2</v>
      </c>
      <c r="H23" s="16">
        <v>0</v>
      </c>
      <c r="I23" s="16">
        <v>1</v>
      </c>
      <c r="J23" s="16"/>
      <c r="K23" s="16"/>
      <c r="M23" s="18" t="s">
        <v>63</v>
      </c>
      <c r="N23" s="18">
        <v>7</v>
      </c>
      <c r="O23" s="18">
        <v>1</v>
      </c>
      <c r="P23" s="16">
        <v>2</v>
      </c>
      <c r="Q23" s="16">
        <v>0</v>
      </c>
      <c r="R23" s="16">
        <v>1</v>
      </c>
      <c r="S23" s="17">
        <v>6521.7391299999999</v>
      </c>
      <c r="T23" s="17">
        <v>0.92</v>
      </c>
    </row>
    <row r="24" spans="2:20" ht="45" x14ac:dyDescent="0.25">
      <c r="D24" s="19" t="s">
        <v>117</v>
      </c>
      <c r="E24" s="19" t="s">
        <v>47</v>
      </c>
      <c r="F24" s="19" t="s">
        <v>53</v>
      </c>
      <c r="G24" s="19" t="s">
        <v>54</v>
      </c>
      <c r="H24" s="19" t="s">
        <v>55</v>
      </c>
      <c r="I24" s="19" t="s">
        <v>56</v>
      </c>
      <c r="J24" s="19" t="s">
        <v>57</v>
      </c>
      <c r="K24" s="19" t="s">
        <v>58</v>
      </c>
      <c r="M24" s="19" t="s">
        <v>117</v>
      </c>
      <c r="N24" s="19" t="s">
        <v>47</v>
      </c>
      <c r="O24" s="19" t="s">
        <v>53</v>
      </c>
      <c r="P24" s="19" t="s">
        <v>54</v>
      </c>
      <c r="Q24" s="19" t="s">
        <v>55</v>
      </c>
      <c r="R24" s="19" t="s">
        <v>56</v>
      </c>
      <c r="S24" s="19" t="s">
        <v>57</v>
      </c>
      <c r="T24" s="20" t="s">
        <v>58</v>
      </c>
    </row>
    <row r="25" spans="2:20" x14ac:dyDescent="0.25">
      <c r="D25" s="19">
        <f>Circuitos!M24</f>
        <v>4347.826086956522</v>
      </c>
      <c r="E25" s="19">
        <v>220</v>
      </c>
      <c r="F25" s="19">
        <f>D25/E25</f>
        <v>19.762845849802371</v>
      </c>
      <c r="G25" s="19">
        <v>32</v>
      </c>
      <c r="H25" s="19">
        <f>G25*$P$9</f>
        <v>20.8</v>
      </c>
      <c r="I25" s="19">
        <v>4</v>
      </c>
      <c r="J25" s="19">
        <v>0</v>
      </c>
      <c r="K25" s="19">
        <f>IF(I25&lt;=16,I25,16)</f>
        <v>4</v>
      </c>
      <c r="M25" s="19">
        <v>6521.7391299999999</v>
      </c>
      <c r="N25" s="19">
        <v>220</v>
      </c>
      <c r="O25" s="19">
        <f>M25/N25</f>
        <v>29.644268772727273</v>
      </c>
      <c r="P25" s="19">
        <v>32</v>
      </c>
      <c r="Q25" s="19">
        <f>P25</f>
        <v>32</v>
      </c>
      <c r="R25" s="19">
        <v>4</v>
      </c>
      <c r="S25" s="20">
        <v>0</v>
      </c>
      <c r="T25" s="20">
        <f>IF(R25&lt;=16,R25,16)</f>
        <v>4</v>
      </c>
    </row>
    <row r="26" spans="2:20" x14ac:dyDescent="0.25">
      <c r="D26" s="4"/>
      <c r="E26" s="4"/>
      <c r="F26" s="4"/>
      <c r="G26" s="4"/>
      <c r="H26" s="4"/>
      <c r="I26" s="4"/>
      <c r="J26" s="4"/>
      <c r="K26" s="4"/>
    </row>
    <row r="27" spans="2:20" ht="30" x14ac:dyDescent="0.25">
      <c r="D27" s="14" t="s">
        <v>49</v>
      </c>
      <c r="E27" s="14" t="s">
        <v>50</v>
      </c>
      <c r="F27" s="14" t="s">
        <v>158</v>
      </c>
      <c r="G27" s="16" t="s">
        <v>52</v>
      </c>
      <c r="H27" s="16" t="s">
        <v>45</v>
      </c>
      <c r="I27" s="16" t="s">
        <v>46</v>
      </c>
      <c r="J27" s="16"/>
      <c r="K27" s="16"/>
    </row>
    <row r="28" spans="2:20" x14ac:dyDescent="0.25">
      <c r="D28" s="14" t="s">
        <v>65</v>
      </c>
      <c r="E28" s="14" t="s">
        <v>64</v>
      </c>
      <c r="F28" s="14">
        <v>4</v>
      </c>
      <c r="G28" s="16">
        <v>1</v>
      </c>
      <c r="H28" s="16">
        <v>1</v>
      </c>
      <c r="I28" s="16">
        <v>1</v>
      </c>
      <c r="J28" s="16"/>
      <c r="K28" s="16"/>
    </row>
    <row r="29" spans="2:20" ht="45" x14ac:dyDescent="0.25">
      <c r="D29" s="15" t="s">
        <v>67</v>
      </c>
      <c r="E29" s="15" t="s">
        <v>47</v>
      </c>
      <c r="F29" s="15" t="s">
        <v>53</v>
      </c>
      <c r="G29" s="15" t="s">
        <v>54</v>
      </c>
      <c r="H29" s="15" t="s">
        <v>55</v>
      </c>
      <c r="I29" s="15" t="s">
        <v>56</v>
      </c>
      <c r="J29" s="15" t="s">
        <v>57</v>
      </c>
      <c r="K29" s="15" t="s">
        <v>58</v>
      </c>
    </row>
    <row r="30" spans="2:20" x14ac:dyDescent="0.25">
      <c r="D30" s="15">
        <f>Circuitos!M19</f>
        <v>1900</v>
      </c>
      <c r="E30" s="15">
        <v>127</v>
      </c>
      <c r="F30" s="15">
        <f>D30/E30</f>
        <v>14.960629921259843</v>
      </c>
      <c r="G30" s="15">
        <v>24</v>
      </c>
      <c r="H30" s="15">
        <f>G30*P9</f>
        <v>15.600000000000001</v>
      </c>
      <c r="I30" s="15">
        <v>2.5</v>
      </c>
      <c r="J30" s="15">
        <f>IF(I30&lt;=25,I30,25)</f>
        <v>2.5</v>
      </c>
      <c r="K30" s="15">
        <f>IF(I30&lt;=16,I30,16)</f>
        <v>2.5</v>
      </c>
    </row>
    <row r="31" spans="2:20" x14ac:dyDescent="0.25">
      <c r="D31" s="4"/>
      <c r="E31" s="4"/>
      <c r="F31" s="4"/>
      <c r="G31" s="4"/>
      <c r="H31" s="4"/>
      <c r="I31" s="4"/>
      <c r="J31" s="4"/>
      <c r="K31" s="4"/>
    </row>
    <row r="32" spans="2:20" ht="30" x14ac:dyDescent="0.25">
      <c r="D32" s="14" t="s">
        <v>49</v>
      </c>
      <c r="E32" s="14" t="s">
        <v>50</v>
      </c>
      <c r="F32" s="14" t="s">
        <v>158</v>
      </c>
      <c r="G32" s="16" t="s">
        <v>52</v>
      </c>
      <c r="H32" s="16" t="s">
        <v>45</v>
      </c>
      <c r="I32" s="16" t="s">
        <v>46</v>
      </c>
      <c r="J32" s="16"/>
      <c r="K32" s="16"/>
    </row>
    <row r="33" spans="4:20" x14ac:dyDescent="0.25">
      <c r="D33" s="14" t="s">
        <v>65</v>
      </c>
      <c r="E33" s="14">
        <v>4</v>
      </c>
      <c r="F33" s="14">
        <v>4</v>
      </c>
      <c r="G33" s="16">
        <v>1</v>
      </c>
      <c r="H33" s="16">
        <v>1</v>
      </c>
      <c r="I33" s="16">
        <v>1</v>
      </c>
      <c r="J33" s="16"/>
      <c r="K33" s="16"/>
    </row>
    <row r="34" spans="4:20" ht="45" x14ac:dyDescent="0.25">
      <c r="D34" s="15" t="s">
        <v>117</v>
      </c>
      <c r="E34" s="15" t="s">
        <v>47</v>
      </c>
      <c r="F34" s="15" t="s">
        <v>53</v>
      </c>
      <c r="G34" s="15" t="s">
        <v>54</v>
      </c>
      <c r="H34" s="15" t="s">
        <v>55</v>
      </c>
      <c r="I34" s="15" t="s">
        <v>56</v>
      </c>
      <c r="J34" s="15" t="s">
        <v>57</v>
      </c>
      <c r="K34" s="15" t="s">
        <v>58</v>
      </c>
    </row>
    <row r="35" spans="4:20" x14ac:dyDescent="0.25">
      <c r="D35" s="15">
        <f>Circuitos!M21</f>
        <v>1800</v>
      </c>
      <c r="E35" s="15">
        <v>127</v>
      </c>
      <c r="F35" s="15">
        <f>D35/E35</f>
        <v>14.173228346456693</v>
      </c>
      <c r="G35" s="15">
        <v>24</v>
      </c>
      <c r="H35" s="15">
        <f>G35*P9</f>
        <v>15.600000000000001</v>
      </c>
      <c r="I35" s="15">
        <v>2.5</v>
      </c>
      <c r="J35" s="15">
        <f>IF(I35&lt;=25,I35,25)</f>
        <v>2.5</v>
      </c>
      <c r="K35" s="15">
        <f>IF(I35&lt;=16,I35,16)</f>
        <v>2.5</v>
      </c>
    </row>
    <row r="36" spans="4:20" x14ac:dyDescent="0.25">
      <c r="D36" s="22"/>
      <c r="E36" s="22"/>
      <c r="F36" s="22"/>
      <c r="G36" s="22"/>
      <c r="H36" s="22"/>
      <c r="I36" s="22"/>
      <c r="J36" s="22"/>
      <c r="K36" s="22"/>
    </row>
    <row r="37" spans="4:20" ht="30" x14ac:dyDescent="0.25">
      <c r="D37" s="18" t="s">
        <v>49</v>
      </c>
      <c r="E37" s="18" t="s">
        <v>50</v>
      </c>
      <c r="F37" s="18" t="s">
        <v>158</v>
      </c>
      <c r="G37" s="16" t="s">
        <v>52</v>
      </c>
      <c r="H37" s="16" t="s">
        <v>45</v>
      </c>
      <c r="I37" s="16" t="s">
        <v>46</v>
      </c>
      <c r="J37" s="16"/>
      <c r="K37" s="16"/>
      <c r="M37" s="18" t="s">
        <v>49</v>
      </c>
      <c r="N37" s="18" t="s">
        <v>50</v>
      </c>
      <c r="O37" s="18" t="s">
        <v>158</v>
      </c>
      <c r="P37" s="16" t="s">
        <v>52</v>
      </c>
      <c r="Q37" s="16" t="s">
        <v>45</v>
      </c>
      <c r="R37" s="16" t="s">
        <v>46</v>
      </c>
      <c r="S37" s="16"/>
      <c r="T37" s="16"/>
    </row>
    <row r="38" spans="4:20" x14ac:dyDescent="0.25">
      <c r="D38" s="18" t="s">
        <v>65</v>
      </c>
      <c r="E38" s="18">
        <v>8</v>
      </c>
      <c r="F38" s="18">
        <v>4</v>
      </c>
      <c r="G38" s="16">
        <v>2</v>
      </c>
      <c r="H38" s="16">
        <v>0</v>
      </c>
      <c r="I38" s="16">
        <v>1</v>
      </c>
      <c r="J38" s="16"/>
      <c r="K38" s="16"/>
      <c r="M38" s="18" t="s">
        <v>66</v>
      </c>
      <c r="N38" s="18">
        <v>6</v>
      </c>
      <c r="O38" s="18">
        <v>1</v>
      </c>
      <c r="P38" s="16">
        <v>2</v>
      </c>
      <c r="Q38" s="16">
        <v>0</v>
      </c>
      <c r="R38" s="16">
        <v>1</v>
      </c>
      <c r="S38" s="16"/>
      <c r="T38" s="16"/>
    </row>
    <row r="39" spans="4:20" ht="45" x14ac:dyDescent="0.25">
      <c r="D39" s="19" t="s">
        <v>117</v>
      </c>
      <c r="E39" s="19" t="s">
        <v>47</v>
      </c>
      <c r="F39" s="19" t="s">
        <v>53</v>
      </c>
      <c r="G39" s="19" t="s">
        <v>54</v>
      </c>
      <c r="H39" s="19" t="s">
        <v>55</v>
      </c>
      <c r="I39" s="19" t="s">
        <v>56</v>
      </c>
      <c r="J39" s="19" t="s">
        <v>57</v>
      </c>
      <c r="K39" s="19" t="s">
        <v>58</v>
      </c>
      <c r="M39" s="19" t="s">
        <v>117</v>
      </c>
      <c r="N39" s="19" t="s">
        <v>47</v>
      </c>
      <c r="O39" s="19" t="s">
        <v>53</v>
      </c>
      <c r="P39" s="19" t="s">
        <v>54</v>
      </c>
      <c r="Q39" s="19" t="s">
        <v>55</v>
      </c>
      <c r="R39" s="19" t="s">
        <v>56</v>
      </c>
      <c r="S39" s="19" t="s">
        <v>57</v>
      </c>
      <c r="T39" s="19" t="s">
        <v>58</v>
      </c>
    </row>
    <row r="40" spans="4:20" x14ac:dyDescent="0.25">
      <c r="D40" s="19">
        <f>Circuitos!M25</f>
        <v>869.56521739130426</v>
      </c>
      <c r="E40" s="19">
        <v>220</v>
      </c>
      <c r="F40" s="19">
        <f>D40/E40</f>
        <v>3.9525691699604737</v>
      </c>
      <c r="G40" s="19">
        <v>24</v>
      </c>
      <c r="H40" s="19">
        <f>G40*$P$9</f>
        <v>15.600000000000001</v>
      </c>
      <c r="I40" s="19">
        <v>2.5</v>
      </c>
      <c r="J40" s="19">
        <v>0</v>
      </c>
      <c r="K40" s="19">
        <f>IF(I40&lt;=16,I40,16)</f>
        <v>2.5</v>
      </c>
      <c r="M40" s="19">
        <f>Circuitos!M23</f>
        <v>6521.7391304347821</v>
      </c>
      <c r="N40" s="19">
        <v>220</v>
      </c>
      <c r="O40" s="19">
        <f>M40/N40</f>
        <v>29.644268774703555</v>
      </c>
      <c r="P40" s="19">
        <v>32</v>
      </c>
      <c r="Q40" s="19">
        <f>P40*1</f>
        <v>32</v>
      </c>
      <c r="R40" s="19">
        <v>4</v>
      </c>
      <c r="S40" s="19">
        <v>0</v>
      </c>
      <c r="T40" s="19">
        <v>4</v>
      </c>
    </row>
    <row r="49" spans="4:5" x14ac:dyDescent="0.25">
      <c r="D49" s="46" t="s">
        <v>168</v>
      </c>
      <c r="E49" s="46"/>
    </row>
    <row r="50" spans="4:5" x14ac:dyDescent="0.25">
      <c r="D50" s="2" t="s">
        <v>50</v>
      </c>
      <c r="E50" s="2" t="s">
        <v>91</v>
      </c>
    </row>
    <row r="51" spans="4:5" x14ac:dyDescent="0.25">
      <c r="D51" s="1" t="s">
        <v>23</v>
      </c>
      <c r="E51" s="1">
        <v>1.5</v>
      </c>
    </row>
    <row r="52" spans="4:5" x14ac:dyDescent="0.25">
      <c r="D52" s="1" t="s">
        <v>24</v>
      </c>
      <c r="E52" s="1">
        <v>2.5</v>
      </c>
    </row>
    <row r="53" spans="4:5" x14ac:dyDescent="0.25">
      <c r="D53" s="1" t="s">
        <v>30</v>
      </c>
      <c r="E53" s="1">
        <v>4</v>
      </c>
    </row>
    <row r="54" spans="4:5" x14ac:dyDescent="0.25">
      <c r="D54" s="1" t="s">
        <v>29</v>
      </c>
      <c r="E54" s="1">
        <v>2.5</v>
      </c>
    </row>
    <row r="55" spans="4:5" x14ac:dyDescent="0.25">
      <c r="D55" s="1" t="s">
        <v>31</v>
      </c>
      <c r="E55" s="1" t="s">
        <v>159</v>
      </c>
    </row>
    <row r="56" spans="4:5" x14ac:dyDescent="0.25">
      <c r="D56" s="1" t="s">
        <v>32</v>
      </c>
      <c r="E56" s="1">
        <v>4</v>
      </c>
    </row>
    <row r="57" spans="4:5" x14ac:dyDescent="0.25">
      <c r="D57" s="1" t="s">
        <v>28</v>
      </c>
      <c r="E57" s="1">
        <v>4</v>
      </c>
    </row>
    <row r="58" spans="4:5" x14ac:dyDescent="0.25">
      <c r="D58" s="1" t="s">
        <v>27</v>
      </c>
      <c r="E58" s="1">
        <v>2.5</v>
      </c>
    </row>
    <row r="59" spans="4:5" x14ac:dyDescent="0.25">
      <c r="D59" s="1"/>
      <c r="E59" s="1"/>
    </row>
  </sheetData>
  <mergeCells count="2">
    <mergeCell ref="O4:P4"/>
    <mergeCell ref="D49:E4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1C6-84A4-4FC2-8CAB-9B9F03622673}">
  <dimension ref="C3:J13"/>
  <sheetViews>
    <sheetView topLeftCell="B1" zoomScale="110" zoomScaleNormal="110" workbookViewId="0">
      <selection activeCell="N7" sqref="N7"/>
    </sheetView>
  </sheetViews>
  <sheetFormatPr defaultRowHeight="15" x14ac:dyDescent="0.25"/>
  <cols>
    <col min="3" max="3" width="11.28515625" customWidth="1"/>
    <col min="4" max="4" width="8.7109375" bestFit="1" customWidth="1"/>
    <col min="5" max="5" width="8.85546875" bestFit="1" customWidth="1"/>
    <col min="6" max="6" width="14" bestFit="1" customWidth="1"/>
    <col min="7" max="7" width="15.28515625" bestFit="1" customWidth="1"/>
    <col min="8" max="8" width="9.140625" bestFit="1" customWidth="1"/>
    <col min="9" max="9" width="5.5703125" bestFit="1" customWidth="1"/>
    <col min="10" max="10" width="9.28515625" bestFit="1" customWidth="1"/>
  </cols>
  <sheetData>
    <row r="3" spans="3:10" x14ac:dyDescent="0.25">
      <c r="C3" s="51" t="s">
        <v>161</v>
      </c>
      <c r="D3" s="52"/>
      <c r="E3" s="52"/>
      <c r="F3" s="52"/>
      <c r="G3" s="52"/>
      <c r="H3" s="52"/>
      <c r="I3" s="52"/>
      <c r="J3" s="53"/>
    </row>
    <row r="4" spans="3:10" ht="45" x14ac:dyDescent="0.25">
      <c r="C4" s="3" t="s">
        <v>21</v>
      </c>
      <c r="D4" s="3" t="s">
        <v>116</v>
      </c>
      <c r="E4" s="3" t="s">
        <v>122</v>
      </c>
      <c r="F4" s="3" t="s">
        <v>69</v>
      </c>
      <c r="G4" s="3" t="s">
        <v>124</v>
      </c>
      <c r="H4" s="3" t="s">
        <v>123</v>
      </c>
      <c r="I4" s="3" t="s">
        <v>68</v>
      </c>
      <c r="J4" s="3" t="s">
        <v>125</v>
      </c>
    </row>
    <row r="5" spans="3:10" x14ac:dyDescent="0.25">
      <c r="C5" s="4" t="s">
        <v>23</v>
      </c>
      <c r="D5" s="4">
        <f>Circuitos!M18</f>
        <v>1040</v>
      </c>
      <c r="E5" s="34">
        <f>D5/127</f>
        <v>8.1889763779527556</v>
      </c>
      <c r="F5" s="1">
        <v>1.5</v>
      </c>
      <c r="G5" s="4">
        <f>Cabos!H5</f>
        <v>11.375</v>
      </c>
      <c r="H5" s="32">
        <f>IF(E5&lt;=10,10,16)</f>
        <v>10</v>
      </c>
      <c r="I5" s="38">
        <f>H5*1.45</f>
        <v>14.5</v>
      </c>
      <c r="J5" s="37">
        <f>G5*1.45</f>
        <v>16.493749999999999</v>
      </c>
    </row>
    <row r="6" spans="3:10" x14ac:dyDescent="0.25">
      <c r="C6" s="4" t="s">
        <v>24</v>
      </c>
      <c r="D6" s="4">
        <f>Circuitos!M19</f>
        <v>1900</v>
      </c>
      <c r="E6" s="34">
        <f>D6/127</f>
        <v>14.960629921259843</v>
      </c>
      <c r="F6" s="1">
        <v>2.5</v>
      </c>
      <c r="G6" s="4">
        <v>16</v>
      </c>
      <c r="H6" s="32">
        <v>16</v>
      </c>
      <c r="I6" s="38">
        <f t="shared" ref="I6:I12" si="0">H6*1.45</f>
        <v>23.2</v>
      </c>
      <c r="J6" s="1">
        <f t="shared" ref="J6:J12" si="1">G6*1.45</f>
        <v>23.2</v>
      </c>
    </row>
    <row r="7" spans="3:10" x14ac:dyDescent="0.25">
      <c r="C7" s="4" t="s">
        <v>30</v>
      </c>
      <c r="D7" s="4">
        <f>Circuitos!M20</f>
        <v>2100</v>
      </c>
      <c r="E7" s="34">
        <f t="shared" ref="E7:E8" si="2">D7/127</f>
        <v>16.535433070866141</v>
      </c>
      <c r="F7" s="1">
        <v>4</v>
      </c>
      <c r="G7" s="4">
        <f>Cabos!H15</f>
        <v>20.8</v>
      </c>
      <c r="H7" s="32">
        <v>20</v>
      </c>
      <c r="I7" s="38">
        <f t="shared" si="0"/>
        <v>29</v>
      </c>
      <c r="J7" s="1">
        <f t="shared" si="1"/>
        <v>30.16</v>
      </c>
    </row>
    <row r="8" spans="3:10" x14ac:dyDescent="0.25">
      <c r="C8" s="4" t="s">
        <v>29</v>
      </c>
      <c r="D8" s="4">
        <f>Circuitos!M21</f>
        <v>1800</v>
      </c>
      <c r="E8" s="34">
        <f t="shared" si="2"/>
        <v>14.173228346456693</v>
      </c>
      <c r="F8" s="1">
        <v>2.5</v>
      </c>
      <c r="G8" s="4">
        <v>16</v>
      </c>
      <c r="H8" s="32">
        <v>16</v>
      </c>
      <c r="I8" s="39">
        <f t="shared" si="0"/>
        <v>23.2</v>
      </c>
      <c r="J8" s="36">
        <f>G8*1.45</f>
        <v>23.2</v>
      </c>
    </row>
    <row r="9" spans="3:10" x14ac:dyDescent="0.25">
      <c r="C9" s="4" t="s">
        <v>31</v>
      </c>
      <c r="D9" s="35">
        <f>Circuitos!M22</f>
        <v>2282.608695652174</v>
      </c>
      <c r="E9" s="34">
        <f>D9/220</f>
        <v>10.375494071146246</v>
      </c>
      <c r="F9" s="1">
        <v>2.5</v>
      </c>
      <c r="G9" s="4">
        <v>16</v>
      </c>
      <c r="H9" s="32">
        <v>16</v>
      </c>
      <c r="I9" s="38">
        <f t="shared" si="0"/>
        <v>23.2</v>
      </c>
      <c r="J9" s="1">
        <f t="shared" si="1"/>
        <v>23.2</v>
      </c>
    </row>
    <row r="10" spans="3:10" x14ac:dyDescent="0.25">
      <c r="C10" s="4" t="s">
        <v>32</v>
      </c>
      <c r="D10" s="35">
        <f>Circuitos!M23</f>
        <v>6521.7391304347821</v>
      </c>
      <c r="E10" s="34">
        <f t="shared" ref="E10:E11" si="3">D10/220</f>
        <v>29.644268774703555</v>
      </c>
      <c r="F10" s="1">
        <v>4</v>
      </c>
      <c r="G10" s="4">
        <f>Cabos!Q40</f>
        <v>32</v>
      </c>
      <c r="H10" s="32">
        <v>32</v>
      </c>
      <c r="I10" s="38">
        <f t="shared" si="0"/>
        <v>46.4</v>
      </c>
      <c r="J10" s="1">
        <f>G10*1.45</f>
        <v>46.4</v>
      </c>
    </row>
    <row r="11" spans="3:10" x14ac:dyDescent="0.25">
      <c r="C11" s="4" t="s">
        <v>28</v>
      </c>
      <c r="D11" s="35">
        <f>Circuitos!M24</f>
        <v>4347.826086956522</v>
      </c>
      <c r="E11" s="34">
        <f t="shared" si="3"/>
        <v>19.762845849802371</v>
      </c>
      <c r="F11" s="1">
        <v>4</v>
      </c>
      <c r="G11" s="4">
        <f>Cabos!H25</f>
        <v>20.8</v>
      </c>
      <c r="H11" s="32">
        <v>20</v>
      </c>
      <c r="I11" s="38">
        <f t="shared" si="0"/>
        <v>29</v>
      </c>
      <c r="J11" s="1">
        <f t="shared" si="1"/>
        <v>30.16</v>
      </c>
    </row>
    <row r="12" spans="3:10" x14ac:dyDescent="0.25">
      <c r="C12" s="4" t="s">
        <v>27</v>
      </c>
      <c r="D12" s="35">
        <f>Circuitos!M25</f>
        <v>869.56521739130426</v>
      </c>
      <c r="E12" s="34">
        <f>D12/220</f>
        <v>3.9525691699604737</v>
      </c>
      <c r="F12" s="1">
        <v>2.5</v>
      </c>
      <c r="G12" s="4">
        <f>Cabos!H40</f>
        <v>15.600000000000001</v>
      </c>
      <c r="H12" s="32">
        <v>10</v>
      </c>
      <c r="I12" s="38">
        <f t="shared" si="0"/>
        <v>14.5</v>
      </c>
      <c r="J12" s="1">
        <f t="shared" si="1"/>
        <v>22.62</v>
      </c>
    </row>
    <row r="13" spans="3:10" x14ac:dyDescent="0.25">
      <c r="C13" s="4"/>
      <c r="D13" s="4"/>
      <c r="E13" s="4"/>
      <c r="F13" s="4"/>
      <c r="G13" s="4"/>
      <c r="H13" s="4"/>
      <c r="I13" s="4"/>
      <c r="J13" s="1"/>
    </row>
  </sheetData>
  <mergeCells count="1">
    <mergeCell ref="C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D067-09E9-4DA1-A457-11DD97A29820}">
  <dimension ref="B3:M33"/>
  <sheetViews>
    <sheetView topLeftCell="G1" zoomScale="120" zoomScaleNormal="120" workbookViewId="0">
      <selection activeCell="N5" sqref="N5"/>
    </sheetView>
  </sheetViews>
  <sheetFormatPr defaultRowHeight="15" x14ac:dyDescent="0.25"/>
  <cols>
    <col min="2" max="2" width="11.28515625" customWidth="1"/>
    <col min="3" max="4" width="10.85546875" customWidth="1"/>
    <col min="5" max="5" width="9.5703125" customWidth="1"/>
    <col min="6" max="6" width="8.7109375" bestFit="1" customWidth="1"/>
    <col min="7" max="7" width="11.7109375" customWidth="1"/>
    <col min="8" max="8" width="12" customWidth="1"/>
    <col min="9" max="9" width="11.7109375" customWidth="1"/>
    <col min="10" max="10" width="10" bestFit="1" customWidth="1"/>
  </cols>
  <sheetData>
    <row r="3" spans="2:13" x14ac:dyDescent="0.25">
      <c r="B3" s="46" t="s">
        <v>179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3" ht="76.5" x14ac:dyDescent="0.25">
      <c r="B4" s="43" t="s">
        <v>169</v>
      </c>
      <c r="C4" s="43" t="s">
        <v>170</v>
      </c>
      <c r="D4" s="43" t="s">
        <v>173</v>
      </c>
      <c r="E4" s="43" t="s">
        <v>172</v>
      </c>
      <c r="F4" s="43" t="s">
        <v>174</v>
      </c>
      <c r="G4" s="43" t="s">
        <v>175</v>
      </c>
      <c r="H4" s="43" t="s">
        <v>176</v>
      </c>
      <c r="I4" s="43" t="s">
        <v>171</v>
      </c>
      <c r="J4" s="43" t="s">
        <v>180</v>
      </c>
      <c r="K4" s="43" t="s">
        <v>178</v>
      </c>
      <c r="L4" s="43" t="s">
        <v>177</v>
      </c>
      <c r="M4" s="3"/>
    </row>
    <row r="5" spans="2:13" ht="27.75" customHeight="1" x14ac:dyDescent="0.25">
      <c r="B5" s="4">
        <f>Circuitos!M4</f>
        <v>19192.8</v>
      </c>
      <c r="C5" s="4">
        <f>Circuitos!M11</f>
        <v>20861.739130434784</v>
      </c>
      <c r="D5" s="4">
        <f>(Circuitos!I12+Circuitos!F12)*Circuitos!M8</f>
        <v>6292.8</v>
      </c>
      <c r="E5" s="4">
        <f>D5*C29</f>
        <v>2517.1200000000003</v>
      </c>
      <c r="F5" s="4">
        <f>Circuitos!L12*0.92</f>
        <v>11868</v>
      </c>
      <c r="G5" s="4">
        <f>F5*'Condutores de entrada '!K25</f>
        <v>9019.68</v>
      </c>
      <c r="H5" s="4">
        <f>G5+E5</f>
        <v>11536.800000000001</v>
      </c>
      <c r="I5" s="4">
        <f>H5/0.92</f>
        <v>12540</v>
      </c>
      <c r="J5" s="4">
        <f>I5/220</f>
        <v>57</v>
      </c>
      <c r="K5" s="44">
        <v>16</v>
      </c>
      <c r="L5" s="44">
        <v>63</v>
      </c>
      <c r="M5" s="4"/>
    </row>
    <row r="6" spans="2:13" ht="27.7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ht="60" x14ac:dyDescent="0.25">
      <c r="L10" s="42" t="s">
        <v>140</v>
      </c>
    </row>
    <row r="11" spans="2:13" x14ac:dyDescent="0.25">
      <c r="L11" s="18">
        <v>5225.6000000000004</v>
      </c>
    </row>
    <row r="12" spans="2:13" x14ac:dyDescent="0.25">
      <c r="G12" s="30" t="s">
        <v>146</v>
      </c>
      <c r="L12" s="18" t="s">
        <v>141</v>
      </c>
    </row>
    <row r="13" spans="2:13" x14ac:dyDescent="0.25">
      <c r="G13" s="18">
        <v>18000</v>
      </c>
      <c r="L13" s="18">
        <v>0.45</v>
      </c>
    </row>
    <row r="14" spans="2:13" x14ac:dyDescent="0.25">
      <c r="E14" s="31" t="s">
        <v>149</v>
      </c>
      <c r="G14" s="30" t="s">
        <v>144</v>
      </c>
      <c r="L14" s="30" t="s">
        <v>142</v>
      </c>
    </row>
    <row r="15" spans="2:13" x14ac:dyDescent="0.25">
      <c r="E15" s="31">
        <f>L15+G18</f>
        <v>16031.52</v>
      </c>
      <c r="G15" s="30">
        <v>4</v>
      </c>
      <c r="L15" s="30">
        <f>L13*L11</f>
        <v>2351.5200000000004</v>
      </c>
    </row>
    <row r="16" spans="2:13" x14ac:dyDescent="0.25">
      <c r="B16" s="4"/>
      <c r="C16" s="4"/>
      <c r="E16" s="31" t="s">
        <v>148</v>
      </c>
      <c r="G16" s="30" t="s">
        <v>145</v>
      </c>
    </row>
    <row r="17" spans="2:11" x14ac:dyDescent="0.25">
      <c r="B17" s="4"/>
      <c r="C17" s="4"/>
      <c r="E17" s="31">
        <f>E15/0.92</f>
        <v>17425.565217391304</v>
      </c>
      <c r="G17" s="30" t="s">
        <v>147</v>
      </c>
    </row>
    <row r="18" spans="2:11" ht="30" x14ac:dyDescent="0.25">
      <c r="B18" s="4"/>
      <c r="C18" s="4"/>
      <c r="E18" s="32" t="s">
        <v>150</v>
      </c>
      <c r="G18" s="30">
        <f>K25*G13</f>
        <v>13680</v>
      </c>
    </row>
    <row r="19" spans="2:11" x14ac:dyDescent="0.25">
      <c r="E19" s="32">
        <f>E17/220</f>
        <v>79.207114624505934</v>
      </c>
    </row>
    <row r="20" spans="2:11" ht="90" x14ac:dyDescent="0.25">
      <c r="E20" s="32" t="s">
        <v>151</v>
      </c>
      <c r="J20" s="18" t="s">
        <v>143</v>
      </c>
      <c r="K20" s="18"/>
    </row>
    <row r="21" spans="2:11" ht="60" x14ac:dyDescent="0.25">
      <c r="B21" s="29" t="s">
        <v>126</v>
      </c>
      <c r="C21" s="4"/>
      <c r="E21" s="32" t="s">
        <v>152</v>
      </c>
      <c r="J21" s="18" t="s">
        <v>144</v>
      </c>
      <c r="K21" s="18" t="s">
        <v>128</v>
      </c>
    </row>
    <row r="22" spans="2:11" ht="30" x14ac:dyDescent="0.25">
      <c r="B22" s="18" t="s">
        <v>127</v>
      </c>
      <c r="C22" s="18" t="s">
        <v>128</v>
      </c>
      <c r="E22" s="32" t="s">
        <v>153</v>
      </c>
      <c r="J22" s="4">
        <v>1</v>
      </c>
      <c r="K22" s="4">
        <v>1</v>
      </c>
    </row>
    <row r="23" spans="2:11" x14ac:dyDescent="0.25">
      <c r="B23" s="4" t="s">
        <v>129</v>
      </c>
      <c r="C23" s="4">
        <v>0.86</v>
      </c>
      <c r="E23" s="32" t="s">
        <v>154</v>
      </c>
      <c r="J23" s="4">
        <v>2</v>
      </c>
      <c r="K23" s="4">
        <v>1</v>
      </c>
    </row>
    <row r="24" spans="2:11" x14ac:dyDescent="0.25">
      <c r="B24" s="4" t="s">
        <v>131</v>
      </c>
      <c r="C24" s="4">
        <v>0.75</v>
      </c>
      <c r="E24" s="32" t="s">
        <v>155</v>
      </c>
      <c r="J24" s="4">
        <v>3</v>
      </c>
      <c r="K24" s="4">
        <v>0.84</v>
      </c>
    </row>
    <row r="25" spans="2:11" x14ac:dyDescent="0.25">
      <c r="B25" s="4" t="s">
        <v>132</v>
      </c>
      <c r="C25" s="4">
        <v>0.66</v>
      </c>
      <c r="J25" s="4">
        <v>4</v>
      </c>
      <c r="K25" s="4">
        <v>0.76</v>
      </c>
    </row>
    <row r="26" spans="2:11" x14ac:dyDescent="0.25">
      <c r="B26" s="4" t="s">
        <v>133</v>
      </c>
      <c r="C26" s="4">
        <v>0.59</v>
      </c>
      <c r="J26" s="4">
        <v>5</v>
      </c>
      <c r="K26" s="4">
        <v>0.7</v>
      </c>
    </row>
    <row r="27" spans="2:11" x14ac:dyDescent="0.25">
      <c r="B27" s="4" t="s">
        <v>134</v>
      </c>
      <c r="C27" s="4">
        <v>0.52</v>
      </c>
    </row>
    <row r="28" spans="2:11" x14ac:dyDescent="0.25">
      <c r="B28" s="4" t="s">
        <v>135</v>
      </c>
      <c r="C28" s="4">
        <v>0.45</v>
      </c>
    </row>
    <row r="29" spans="2:11" x14ac:dyDescent="0.25">
      <c r="B29" s="4" t="s">
        <v>136</v>
      </c>
      <c r="C29" s="4">
        <v>0.4</v>
      </c>
    </row>
    <row r="30" spans="2:11" x14ac:dyDescent="0.25">
      <c r="B30" s="4" t="s">
        <v>137</v>
      </c>
      <c r="C30" s="4">
        <v>0.35</v>
      </c>
    </row>
    <row r="31" spans="2:11" x14ac:dyDescent="0.25">
      <c r="B31" s="4" t="s">
        <v>138</v>
      </c>
      <c r="C31" s="4">
        <v>0.31</v>
      </c>
    </row>
    <row r="32" spans="2:11" x14ac:dyDescent="0.25">
      <c r="B32" s="4" t="s">
        <v>139</v>
      </c>
      <c r="C32" s="4">
        <v>0.27</v>
      </c>
    </row>
    <row r="33" spans="2:3" x14ac:dyDescent="0.25">
      <c r="B33" s="4" t="s">
        <v>130</v>
      </c>
      <c r="C33" s="4">
        <v>0.24</v>
      </c>
    </row>
  </sheetData>
  <mergeCells count="1">
    <mergeCell ref="B3:L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F0EB-601F-4A6A-AE80-44A9F1EFC6E2}">
  <dimension ref="A1:AU38"/>
  <sheetViews>
    <sheetView topLeftCell="Q1" zoomScaleNormal="100" workbookViewId="0">
      <selection activeCell="AF14" sqref="AF14"/>
    </sheetView>
  </sheetViews>
  <sheetFormatPr defaultRowHeight="15" x14ac:dyDescent="0.25"/>
  <cols>
    <col min="2" max="2" width="2.28515625" customWidth="1"/>
    <col min="3" max="3" width="16.85546875" bestFit="1" customWidth="1"/>
    <col min="4" max="5" width="7.5703125" bestFit="1" customWidth="1"/>
    <col min="6" max="6" width="5.5703125" bestFit="1" customWidth="1"/>
    <col min="7" max="8" width="7.5703125" bestFit="1" customWidth="1"/>
    <col min="9" max="9" width="6.5703125" bestFit="1" customWidth="1"/>
    <col min="15" max="15" width="18.7109375" bestFit="1" customWidth="1"/>
    <col min="16" max="19" width="6.5703125" bestFit="1" customWidth="1"/>
    <col min="20" max="20" width="7.5703125" bestFit="1" customWidth="1"/>
    <col min="22" max="22" width="10.5703125" bestFit="1" customWidth="1"/>
    <col min="23" max="23" width="14.140625" bestFit="1" customWidth="1"/>
    <col min="24" max="24" width="11" bestFit="1" customWidth="1"/>
    <col min="25" max="26" width="12.42578125" bestFit="1" customWidth="1"/>
    <col min="27" max="27" width="13.5703125" customWidth="1"/>
    <col min="28" max="28" width="6.85546875" bestFit="1" customWidth="1"/>
    <col min="29" max="29" width="10.5703125" bestFit="1" customWidth="1"/>
  </cols>
  <sheetData>
    <row r="1" spans="1:4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1"/>
      <c r="Y1" s="21"/>
      <c r="Z1" s="21"/>
      <c r="AA1" s="21"/>
      <c r="AB1" s="21"/>
      <c r="AC1" s="21"/>
      <c r="AD1" s="21"/>
      <c r="AE1" s="21"/>
      <c r="AF1" s="21"/>
    </row>
    <row r="2" spans="1:47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1"/>
      <c r="Y2" s="21"/>
      <c r="Z2" s="21"/>
      <c r="AA2" s="21"/>
      <c r="AB2" s="21"/>
      <c r="AC2" s="21"/>
      <c r="AD2" s="21"/>
      <c r="AE2" s="21"/>
      <c r="AF2" s="21"/>
    </row>
    <row r="3" spans="1:47" x14ac:dyDescent="0.25">
      <c r="A3" s="22"/>
      <c r="B3" s="22"/>
      <c r="C3" s="54" t="s">
        <v>78</v>
      </c>
      <c r="D3" s="55"/>
      <c r="E3" s="55"/>
      <c r="F3" s="55"/>
      <c r="G3" s="55"/>
      <c r="H3" s="55"/>
      <c r="I3" s="56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</row>
    <row r="4" spans="1:47" ht="30" customHeight="1" x14ac:dyDescent="0.25">
      <c r="A4" s="22"/>
      <c r="B4" s="22"/>
      <c r="C4" s="3" t="s">
        <v>181</v>
      </c>
      <c r="D4" s="4">
        <v>1.5</v>
      </c>
      <c r="E4" s="4">
        <v>2.5</v>
      </c>
      <c r="F4" s="4">
        <v>4</v>
      </c>
      <c r="G4" s="4">
        <v>6</v>
      </c>
      <c r="H4" s="4">
        <v>10</v>
      </c>
      <c r="I4" s="4">
        <v>16</v>
      </c>
      <c r="J4" s="22"/>
      <c r="K4" s="22"/>
      <c r="L4" s="22"/>
      <c r="M4" s="22"/>
      <c r="N4" s="22"/>
      <c r="O4" s="54" t="s">
        <v>75</v>
      </c>
      <c r="P4" s="55"/>
      <c r="Q4" s="55"/>
      <c r="R4" s="55"/>
      <c r="S4" s="55"/>
      <c r="T4" s="56"/>
      <c r="U4" s="22"/>
      <c r="V4" s="57" t="s">
        <v>80</v>
      </c>
      <c r="W4" s="57"/>
      <c r="X4" s="57"/>
      <c r="Y4" s="57"/>
      <c r="Z4" s="57"/>
      <c r="AA4" s="57"/>
      <c r="AB4" s="57"/>
      <c r="AC4" s="57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47" ht="47.25" customHeight="1" x14ac:dyDescent="0.25">
      <c r="A5" s="22"/>
      <c r="B5" s="22"/>
      <c r="C5" s="3" t="s">
        <v>76</v>
      </c>
      <c r="D5" s="4">
        <v>2.9</v>
      </c>
      <c r="E5" s="4">
        <v>3.4</v>
      </c>
      <c r="F5" s="4">
        <v>4</v>
      </c>
      <c r="G5" s="4">
        <v>4.5</v>
      </c>
      <c r="H5" s="4">
        <v>5.9</v>
      </c>
      <c r="I5" s="4">
        <v>7</v>
      </c>
      <c r="J5" s="22"/>
      <c r="K5" s="22"/>
      <c r="L5" s="22"/>
      <c r="M5" s="22"/>
      <c r="N5" s="22"/>
      <c r="O5" s="3" t="s">
        <v>72</v>
      </c>
      <c r="P5" s="24">
        <v>0.5</v>
      </c>
      <c r="Q5" s="24">
        <v>0.75</v>
      </c>
      <c r="R5" s="24">
        <v>1</v>
      </c>
      <c r="S5" s="24" t="s">
        <v>70</v>
      </c>
      <c r="T5" s="24" t="s">
        <v>71</v>
      </c>
      <c r="U5" s="23"/>
      <c r="V5" s="3" t="s">
        <v>81</v>
      </c>
      <c r="W5" s="3" t="s">
        <v>84</v>
      </c>
      <c r="X5" s="3" t="s">
        <v>83</v>
      </c>
      <c r="Y5" s="3" t="s">
        <v>82</v>
      </c>
      <c r="Z5" s="3" t="s">
        <v>85</v>
      </c>
      <c r="AA5" s="3" t="s">
        <v>86</v>
      </c>
      <c r="AB5" s="3" t="s">
        <v>112</v>
      </c>
      <c r="AC5" s="3" t="s">
        <v>87</v>
      </c>
      <c r="AD5" s="22" t="s">
        <v>111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ht="30" x14ac:dyDescent="0.25">
      <c r="A6" s="22"/>
      <c r="B6" s="22"/>
      <c r="C6" s="3" t="s">
        <v>182</v>
      </c>
      <c r="D6" s="35">
        <f>3.14*(D5^2/4)</f>
        <v>6.6018500000000007</v>
      </c>
      <c r="E6" s="35">
        <f t="shared" ref="E6:H6" si="0">3.14*(E5^2/4)</f>
        <v>9.0746000000000002</v>
      </c>
      <c r="F6" s="35">
        <f t="shared" si="0"/>
        <v>12.56</v>
      </c>
      <c r="G6" s="35">
        <f t="shared" si="0"/>
        <v>15.89625</v>
      </c>
      <c r="H6" s="35">
        <f t="shared" si="0"/>
        <v>27.325850000000003</v>
      </c>
      <c r="I6" s="35">
        <f>3.14*(I5^2/4)</f>
        <v>38.465000000000003</v>
      </c>
      <c r="J6" s="22"/>
      <c r="K6" s="22"/>
      <c r="L6" s="22"/>
      <c r="M6" s="22"/>
      <c r="N6" s="22"/>
      <c r="O6" s="3" t="s">
        <v>73</v>
      </c>
      <c r="P6" s="4">
        <v>13</v>
      </c>
      <c r="Q6" s="4">
        <v>19</v>
      </c>
      <c r="R6" s="4">
        <v>26</v>
      </c>
      <c r="S6" s="4">
        <v>31.5</v>
      </c>
      <c r="T6" s="4">
        <v>40</v>
      </c>
      <c r="U6" s="22"/>
      <c r="V6" s="3" t="s">
        <v>44</v>
      </c>
      <c r="W6" s="4">
        <v>3</v>
      </c>
      <c r="X6" s="4">
        <v>6</v>
      </c>
      <c r="Y6" s="4"/>
      <c r="Z6" s="4">
        <v>3</v>
      </c>
      <c r="AA6" s="4"/>
      <c r="AB6" s="35">
        <f>(W6*$D$6)+(X6*$E$6)+(Y6*$F$6)+(Z6*$G$6)+(AA6*$H$6)</f>
        <v>121.9419</v>
      </c>
      <c r="AC6" s="24">
        <f>IF(AB6&lt;=$P$9,$P$5,IF(AB6&lt;=$Q$9,$Q$5,IF(AB6&lt;=$R$9,$R$5,IF(AB6&lt;=$S$9,$S$5,$T$5))))</f>
        <v>1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</row>
    <row r="7" spans="1:47" ht="30" x14ac:dyDescent="0.25">
      <c r="A7" s="22"/>
      <c r="B7" s="22"/>
      <c r="C7" s="3" t="s">
        <v>77</v>
      </c>
      <c r="D7" s="35">
        <f>3*D6</f>
        <v>19.805550000000004</v>
      </c>
      <c r="E7" s="35">
        <f t="shared" ref="E7:I7" si="1">3*E6</f>
        <v>27.223800000000001</v>
      </c>
      <c r="F7" s="35">
        <f>3*F6</f>
        <v>37.68</v>
      </c>
      <c r="G7" s="35">
        <f t="shared" si="1"/>
        <v>47.688749999999999</v>
      </c>
      <c r="H7" s="35">
        <f t="shared" si="1"/>
        <v>81.977550000000008</v>
      </c>
      <c r="I7" s="35">
        <f t="shared" si="1"/>
        <v>115.39500000000001</v>
      </c>
      <c r="J7" s="22"/>
      <c r="K7" s="22"/>
      <c r="L7" s="22"/>
      <c r="M7" s="22"/>
      <c r="N7" s="22"/>
      <c r="O7" s="3" t="s">
        <v>74</v>
      </c>
      <c r="P7" s="4">
        <v>19</v>
      </c>
      <c r="Q7" s="4">
        <v>26</v>
      </c>
      <c r="R7" s="4">
        <v>32</v>
      </c>
      <c r="S7" s="4">
        <v>39</v>
      </c>
      <c r="T7" s="4">
        <v>48</v>
      </c>
      <c r="U7" s="22"/>
      <c r="V7" s="3" t="s">
        <v>63</v>
      </c>
      <c r="W7" s="4">
        <v>6</v>
      </c>
      <c r="X7" s="4">
        <v>3</v>
      </c>
      <c r="Y7" s="4"/>
      <c r="Z7" s="4"/>
      <c r="AA7" s="4">
        <v>3</v>
      </c>
      <c r="AB7" s="35">
        <f>(W7*$D$6)+(X7*$E$6)+(Y7*$F$6)+(Z7*$G$6)+(AA7*$H$6)</f>
        <v>148.81245000000001</v>
      </c>
      <c r="AC7" s="24">
        <f>IF(AB7&lt;=$P$9,$P$5,IF(AB7&lt;=$Q$9,$Q$5,IF(AB7&lt;=$R$9,$R$5,IF(AB7&lt;=$S$9,$S$5,$T$5))))</f>
        <v>1</v>
      </c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47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3" t="s">
        <v>182</v>
      </c>
      <c r="P8" s="35">
        <f>3.14*(P6^2/4)</f>
        <v>132.66499999999999</v>
      </c>
      <c r="Q8" s="35">
        <f>3.14*(Q6^2/4)</f>
        <v>283.38499999999999</v>
      </c>
      <c r="R8" s="35">
        <f>3.14*(R6^2/4)</f>
        <v>530.66</v>
      </c>
      <c r="S8" s="35">
        <f>3.14*(S6^2/4)</f>
        <v>778.91624999999999</v>
      </c>
      <c r="T8" s="35">
        <f>3.14*(T6^2/4)</f>
        <v>1256</v>
      </c>
      <c r="U8" s="22"/>
      <c r="V8" s="3" t="s">
        <v>65</v>
      </c>
      <c r="W8" s="4">
        <v>6</v>
      </c>
      <c r="X8" s="4">
        <v>3</v>
      </c>
      <c r="Y8" s="4">
        <v>3</v>
      </c>
      <c r="Z8" s="4"/>
      <c r="AA8" s="4"/>
      <c r="AB8" s="35">
        <f>(W8*$D$6)+(X8*$E$6)+(Y8*$F$6)+(Z8*$G$6)+(AA8*$H$6)</f>
        <v>104.51490000000001</v>
      </c>
      <c r="AC8" s="24">
        <f>IF(AB8&lt;=$P$9,$P$5,IF(AB8&lt;=$Q$9,$Q$5,IF(AB8&lt;=$R$9,$R$5,IF(AB8&lt;=$S$9,$S$5,$T$5))))</f>
        <v>0.75</v>
      </c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47" ht="21.75" customHeight="1" x14ac:dyDescent="0.25">
      <c r="A9" s="22"/>
      <c r="B9" s="22"/>
      <c r="C9" s="22" t="s">
        <v>79</v>
      </c>
      <c r="D9" s="22">
        <f>D6*2</f>
        <v>13.203700000000001</v>
      </c>
      <c r="E9" s="22">
        <f t="shared" ref="E9:H9" si="2">E6*2</f>
        <v>18.1492</v>
      </c>
      <c r="F9" s="22">
        <f t="shared" si="2"/>
        <v>25.12</v>
      </c>
      <c r="G9" s="22">
        <f t="shared" si="2"/>
        <v>31.7925</v>
      </c>
      <c r="H9" s="22">
        <f t="shared" si="2"/>
        <v>54.651700000000005</v>
      </c>
      <c r="I9" s="22"/>
      <c r="J9" s="22"/>
      <c r="K9" s="22"/>
      <c r="L9" s="22"/>
      <c r="M9" s="22"/>
      <c r="N9" s="22"/>
      <c r="O9" s="3" t="s">
        <v>183</v>
      </c>
      <c r="P9" s="35">
        <f>P8*0.4</f>
        <v>53.066000000000003</v>
      </c>
      <c r="Q9" s="35">
        <f t="shared" ref="Q9:T9" si="3">Q8*0.4</f>
        <v>113.354</v>
      </c>
      <c r="R9" s="35">
        <f t="shared" si="3"/>
        <v>212.26400000000001</v>
      </c>
      <c r="S9" s="35">
        <f t="shared" si="3"/>
        <v>311.56650000000002</v>
      </c>
      <c r="T9" s="35">
        <f t="shared" si="3"/>
        <v>502.40000000000003</v>
      </c>
      <c r="U9" s="22"/>
      <c r="V9" s="3" t="s">
        <v>66</v>
      </c>
      <c r="W9" s="4"/>
      <c r="X9" s="4"/>
      <c r="Y9" s="4">
        <v>3</v>
      </c>
      <c r="Z9" s="4"/>
      <c r="AA9" s="4"/>
      <c r="AB9" s="35">
        <f t="shared" ref="AB9:AB31" si="4">(W9*$D$6)+(X9*$E$6)+(Y9*$F$6)+(Z9*$G$6)+(AA9*$H$6)</f>
        <v>37.68</v>
      </c>
      <c r="AC9" s="24">
        <f>IF(AB9&lt;=$P$9,$P$5,IF(AB9&lt;=$Q$9,$Q$5,IF(AB9&lt;=$R$9,$R$5,IF(AB9&lt;=$S$9,$S$5,$T$5))))</f>
        <v>0.5</v>
      </c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47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3" t="s">
        <v>184</v>
      </c>
      <c r="P10" s="35">
        <f>0.31*P8</f>
        <v>41.126149999999996</v>
      </c>
      <c r="Q10" s="35">
        <f t="shared" ref="Q10:T10" si="5">0.31*Q8</f>
        <v>87.849350000000001</v>
      </c>
      <c r="R10" s="35">
        <f t="shared" si="5"/>
        <v>164.50459999999998</v>
      </c>
      <c r="S10" s="35">
        <f t="shared" si="5"/>
        <v>241.46403749999999</v>
      </c>
      <c r="T10" s="35">
        <f t="shared" si="5"/>
        <v>389.36</v>
      </c>
      <c r="U10" s="22"/>
      <c r="V10" s="3" t="s">
        <v>88</v>
      </c>
      <c r="W10" s="4">
        <v>6</v>
      </c>
      <c r="X10" s="4">
        <v>3</v>
      </c>
      <c r="Y10" s="4"/>
      <c r="Z10" s="4"/>
      <c r="AA10" s="4"/>
      <c r="AB10" s="35">
        <f t="shared" si="4"/>
        <v>66.834900000000005</v>
      </c>
      <c r="AC10" s="24">
        <f t="shared" ref="AC10:AC31" si="6">IF(AB10&lt;=$P$9,$P$5,IF(AB10&lt;=$Q$9,$Q$5,IF(AB10&lt;=$R$9,$R$5,IF(AB10&lt;=$S$9,$S$5,$T$5))))</f>
        <v>0.75</v>
      </c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47" x14ac:dyDescent="0.25">
      <c r="A11" s="22"/>
      <c r="B11" s="22"/>
      <c r="G11" s="22"/>
      <c r="H11" s="22"/>
      <c r="I11" s="22"/>
      <c r="J11" s="22"/>
      <c r="K11" s="22"/>
      <c r="L11" s="22"/>
      <c r="M11" s="22"/>
      <c r="N11" s="22"/>
      <c r="O11" s="3" t="s">
        <v>185</v>
      </c>
      <c r="P11" s="35">
        <f>0.53*P8</f>
        <v>70.312449999999998</v>
      </c>
      <c r="Q11" s="35">
        <f t="shared" ref="Q11:T11" si="7">0.53*Q8</f>
        <v>150.19405</v>
      </c>
      <c r="R11" s="35">
        <f t="shared" si="7"/>
        <v>281.24979999999999</v>
      </c>
      <c r="S11" s="35">
        <f t="shared" si="7"/>
        <v>412.82561250000003</v>
      </c>
      <c r="T11" s="35">
        <f t="shared" si="7"/>
        <v>665.68000000000006</v>
      </c>
      <c r="U11" s="22"/>
      <c r="V11" s="3" t="s">
        <v>89</v>
      </c>
      <c r="W11" s="4">
        <v>3</v>
      </c>
      <c r="X11" s="4">
        <v>3</v>
      </c>
      <c r="Y11" s="4"/>
      <c r="Z11" s="4"/>
      <c r="AA11" s="4"/>
      <c r="AB11" s="35">
        <f t="shared" si="4"/>
        <v>47.029350000000008</v>
      </c>
      <c r="AC11" s="24">
        <f t="shared" si="6"/>
        <v>0.5</v>
      </c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</row>
    <row r="12" spans="1:47" x14ac:dyDescent="0.25">
      <c r="A12" s="22"/>
      <c r="B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3" t="s">
        <v>90</v>
      </c>
      <c r="W12" s="4"/>
      <c r="X12" s="4">
        <v>4</v>
      </c>
      <c r="Y12" s="4"/>
      <c r="Z12" s="4">
        <v>3</v>
      </c>
      <c r="AA12" s="4"/>
      <c r="AB12" s="35">
        <f t="shared" si="4"/>
        <v>83.98715</v>
      </c>
      <c r="AC12" s="24">
        <f t="shared" si="6"/>
        <v>0.75</v>
      </c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1:47" x14ac:dyDescent="0.25">
      <c r="A13" s="22"/>
      <c r="B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3" t="s">
        <v>92</v>
      </c>
      <c r="W13" s="4">
        <v>3</v>
      </c>
      <c r="X13" s="4">
        <v>3</v>
      </c>
      <c r="Y13" s="4"/>
      <c r="Z13" s="4"/>
      <c r="AA13" s="4"/>
      <c r="AB13" s="35">
        <f t="shared" si="4"/>
        <v>47.029350000000008</v>
      </c>
      <c r="AC13" s="24">
        <f t="shared" si="6"/>
        <v>0.5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</row>
    <row r="14" spans="1:47" x14ac:dyDescent="0.25">
      <c r="A14" s="22"/>
      <c r="B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3" t="s">
        <v>93</v>
      </c>
      <c r="W14" s="4">
        <v>2</v>
      </c>
      <c r="X14" s="4"/>
      <c r="Y14" s="4"/>
      <c r="Z14" s="4"/>
      <c r="AA14" s="4"/>
      <c r="AB14" s="35">
        <f t="shared" si="4"/>
        <v>13.203700000000001</v>
      </c>
      <c r="AC14" s="24">
        <f t="shared" si="6"/>
        <v>0.5</v>
      </c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1:4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3" t="s">
        <v>94</v>
      </c>
      <c r="W15" s="4">
        <v>2</v>
      </c>
      <c r="X15" s="4">
        <v>3</v>
      </c>
      <c r="Y15" s="4"/>
      <c r="Z15" s="4"/>
      <c r="AA15" s="4"/>
      <c r="AB15" s="35">
        <f t="shared" si="4"/>
        <v>40.427500000000002</v>
      </c>
      <c r="AC15" s="24">
        <f t="shared" si="6"/>
        <v>0.5</v>
      </c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47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3" t="s">
        <v>95</v>
      </c>
      <c r="W16" s="4">
        <v>3</v>
      </c>
      <c r="X16" s="4"/>
      <c r="Y16" s="4"/>
      <c r="Z16" s="4"/>
      <c r="AA16" s="4">
        <v>3</v>
      </c>
      <c r="AB16" s="35">
        <f t="shared" si="4"/>
        <v>101.78310000000002</v>
      </c>
      <c r="AC16" s="24">
        <f t="shared" si="6"/>
        <v>0.75</v>
      </c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3" t="s">
        <v>96</v>
      </c>
      <c r="W17" s="4">
        <v>2</v>
      </c>
      <c r="X17" s="4">
        <v>3</v>
      </c>
      <c r="Y17" s="4"/>
      <c r="Z17" s="4"/>
      <c r="AA17" s="4"/>
      <c r="AB17" s="35">
        <f t="shared" si="4"/>
        <v>40.427500000000002</v>
      </c>
      <c r="AC17" s="24">
        <f t="shared" si="6"/>
        <v>0.5</v>
      </c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3" t="s">
        <v>97</v>
      </c>
      <c r="W18" s="4"/>
      <c r="X18" s="4"/>
      <c r="Y18" s="4"/>
      <c r="Z18" s="4"/>
      <c r="AA18" s="4">
        <v>3</v>
      </c>
      <c r="AB18" s="35">
        <f t="shared" si="4"/>
        <v>81.977550000000008</v>
      </c>
      <c r="AC18" s="24">
        <f t="shared" si="6"/>
        <v>0.75</v>
      </c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3" t="s">
        <v>98</v>
      </c>
      <c r="W19" s="4">
        <v>2</v>
      </c>
      <c r="X19" s="4"/>
      <c r="Y19" s="4"/>
      <c r="Z19" s="4"/>
      <c r="AA19" s="4"/>
      <c r="AB19" s="35">
        <f t="shared" si="4"/>
        <v>13.203700000000001</v>
      </c>
      <c r="AC19" s="24">
        <f t="shared" si="6"/>
        <v>0.5</v>
      </c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3" t="s">
        <v>99</v>
      </c>
      <c r="W20" s="4">
        <v>2</v>
      </c>
      <c r="X20" s="4">
        <v>3</v>
      </c>
      <c r="Y20" s="4">
        <v>3</v>
      </c>
      <c r="Z20" s="4"/>
      <c r="AA20" s="4"/>
      <c r="AB20" s="35">
        <f t="shared" si="4"/>
        <v>78.107500000000002</v>
      </c>
      <c r="AC20" s="24">
        <f t="shared" si="6"/>
        <v>0.75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" t="s">
        <v>100</v>
      </c>
      <c r="W21" s="4"/>
      <c r="X21" s="4">
        <v>3</v>
      </c>
      <c r="Y21" s="4">
        <v>3</v>
      </c>
      <c r="Z21" s="4"/>
      <c r="AA21" s="4"/>
      <c r="AB21" s="35">
        <f t="shared" si="4"/>
        <v>64.903800000000004</v>
      </c>
      <c r="AC21" s="24">
        <f t="shared" si="6"/>
        <v>0.75</v>
      </c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" t="s">
        <v>101</v>
      </c>
      <c r="W22" s="4">
        <v>3</v>
      </c>
      <c r="X22" s="4"/>
      <c r="Y22" s="4"/>
      <c r="Z22" s="4"/>
      <c r="AA22" s="4"/>
      <c r="AB22" s="35">
        <f t="shared" si="4"/>
        <v>19.805550000000004</v>
      </c>
      <c r="AC22" s="24">
        <f t="shared" si="6"/>
        <v>0.5</v>
      </c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3" t="s">
        <v>102</v>
      </c>
      <c r="W23" s="4">
        <v>2</v>
      </c>
      <c r="X23" s="4"/>
      <c r="Y23" s="4"/>
      <c r="Z23" s="4"/>
      <c r="AA23" s="4"/>
      <c r="AB23" s="35">
        <f t="shared" si="4"/>
        <v>13.203700000000001</v>
      </c>
      <c r="AC23" s="24">
        <f t="shared" si="6"/>
        <v>0.5</v>
      </c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1"/>
      <c r="Q24" s="21"/>
      <c r="R24" s="21"/>
      <c r="S24" s="21"/>
      <c r="T24" s="21"/>
      <c r="U24" s="22"/>
      <c r="V24" s="3" t="s">
        <v>103</v>
      </c>
      <c r="W24" s="4">
        <v>2</v>
      </c>
      <c r="X24" s="4"/>
      <c r="Y24" s="4"/>
      <c r="Z24" s="4"/>
      <c r="AA24" s="4"/>
      <c r="AB24" s="35">
        <f t="shared" si="4"/>
        <v>13.203700000000001</v>
      </c>
      <c r="AC24" s="24">
        <f t="shared" si="6"/>
        <v>0.5</v>
      </c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  <c r="Q25" s="21"/>
      <c r="R25" s="21"/>
      <c r="S25" s="21"/>
      <c r="T25" s="21"/>
      <c r="U25" s="22"/>
      <c r="V25" s="3" t="s">
        <v>104</v>
      </c>
      <c r="W25" s="4">
        <v>2</v>
      </c>
      <c r="X25" s="4"/>
      <c r="Y25" s="4"/>
      <c r="Z25" s="4"/>
      <c r="AA25" s="4"/>
      <c r="AB25" s="35">
        <f t="shared" si="4"/>
        <v>13.203700000000001</v>
      </c>
      <c r="AC25" s="24">
        <f t="shared" si="6"/>
        <v>0.5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</row>
    <row r="26" spans="1:47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1"/>
      <c r="Q26" s="21"/>
      <c r="R26" s="21"/>
      <c r="S26" s="21"/>
      <c r="T26" s="21"/>
      <c r="U26" s="22"/>
      <c r="V26" s="3" t="s">
        <v>105</v>
      </c>
      <c r="W26" s="4">
        <v>3</v>
      </c>
      <c r="X26" s="4"/>
      <c r="Y26" s="4">
        <v>3</v>
      </c>
      <c r="Z26" s="4"/>
      <c r="AA26" s="4"/>
      <c r="AB26" s="35">
        <f t="shared" si="4"/>
        <v>57.485550000000003</v>
      </c>
      <c r="AC26" s="24">
        <f t="shared" si="6"/>
        <v>0.75</v>
      </c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</row>
    <row r="27" spans="1:47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1"/>
      <c r="Q27" s="21"/>
      <c r="R27" s="21"/>
      <c r="S27" s="21"/>
      <c r="T27" s="21"/>
      <c r="U27" s="22"/>
      <c r="V27" s="3" t="s">
        <v>106</v>
      </c>
      <c r="W27" s="4"/>
      <c r="X27" s="4"/>
      <c r="Y27" s="4">
        <v>3</v>
      </c>
      <c r="Z27" s="4"/>
      <c r="AA27" s="4"/>
      <c r="AB27" s="35">
        <f t="shared" si="4"/>
        <v>37.68</v>
      </c>
      <c r="AC27" s="24">
        <f t="shared" si="6"/>
        <v>0.5</v>
      </c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</row>
    <row r="28" spans="1:47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1"/>
      <c r="Q28" s="21"/>
      <c r="R28" s="21"/>
      <c r="S28" s="21"/>
      <c r="T28" s="21"/>
      <c r="U28" s="22"/>
      <c r="V28" s="3" t="s">
        <v>107</v>
      </c>
      <c r="W28" s="4">
        <v>2</v>
      </c>
      <c r="X28" s="4"/>
      <c r="Y28" s="4">
        <v>3</v>
      </c>
      <c r="Z28" s="4"/>
      <c r="AA28" s="4"/>
      <c r="AB28" s="35">
        <f t="shared" si="4"/>
        <v>50.883700000000005</v>
      </c>
      <c r="AC28" s="24">
        <f t="shared" si="6"/>
        <v>0.5</v>
      </c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47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U29" s="22"/>
      <c r="V29" s="3" t="s">
        <v>108</v>
      </c>
      <c r="W29" s="4"/>
      <c r="X29" s="4"/>
      <c r="Y29" s="4">
        <v>3</v>
      </c>
      <c r="Z29" s="4"/>
      <c r="AA29" s="4"/>
      <c r="AB29" s="35">
        <f t="shared" si="4"/>
        <v>37.68</v>
      </c>
      <c r="AC29" s="24">
        <f t="shared" si="6"/>
        <v>0.5</v>
      </c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47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U30" s="22"/>
      <c r="V30" s="3" t="s">
        <v>109</v>
      </c>
      <c r="W30" s="4">
        <v>2</v>
      </c>
      <c r="X30" s="4">
        <v>3</v>
      </c>
      <c r="Y30" s="4"/>
      <c r="Z30" s="4"/>
      <c r="AA30" s="4"/>
      <c r="AB30" s="35">
        <f t="shared" si="4"/>
        <v>40.427500000000002</v>
      </c>
      <c r="AC30" s="24">
        <f t="shared" si="6"/>
        <v>0.5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</row>
    <row r="31" spans="1:47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U31" s="22"/>
      <c r="V31" s="3" t="s">
        <v>110</v>
      </c>
      <c r="W31" s="4"/>
      <c r="X31" s="4">
        <v>3</v>
      </c>
      <c r="Y31" s="4"/>
      <c r="Z31" s="4"/>
      <c r="AA31" s="4"/>
      <c r="AB31" s="35">
        <f t="shared" si="4"/>
        <v>27.223800000000001</v>
      </c>
      <c r="AC31" s="24">
        <f t="shared" si="6"/>
        <v>0.5</v>
      </c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47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U32" s="22"/>
      <c r="V32" s="22"/>
      <c r="W32" s="22"/>
      <c r="X32" s="22"/>
      <c r="Y32" s="22"/>
      <c r="Z32" s="22"/>
      <c r="AA32" s="22"/>
      <c r="AB32" s="22"/>
      <c r="AC32" s="23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</row>
    <row r="33" spans="1:47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U33" s="22"/>
      <c r="V33" s="22"/>
      <c r="W33" s="22"/>
      <c r="X33" s="22"/>
      <c r="Y33" s="22"/>
      <c r="Z33" s="22"/>
      <c r="AA33" s="22"/>
      <c r="AB33" s="22"/>
      <c r="AC33" s="23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</row>
    <row r="34" spans="1:47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U34" s="22"/>
      <c r="V34" s="22"/>
      <c r="W34" s="22"/>
      <c r="X34" s="22"/>
      <c r="Y34" s="22"/>
      <c r="Z34" s="22"/>
      <c r="AA34" s="22"/>
      <c r="AB34" s="22"/>
      <c r="AC34" s="23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</row>
    <row r="35" spans="1:47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U35" s="22"/>
      <c r="V35" s="22"/>
      <c r="W35" s="22"/>
      <c r="X35" s="22"/>
      <c r="Y35" s="22"/>
      <c r="Z35" s="22"/>
      <c r="AA35" s="22"/>
      <c r="AB35" s="22"/>
      <c r="AC35" s="23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</row>
    <row r="36" spans="1:47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U36" s="22"/>
      <c r="V36" s="22"/>
      <c r="W36" s="22"/>
      <c r="X36" s="22"/>
      <c r="Y36" s="22"/>
      <c r="Z36" s="22"/>
      <c r="AA36" s="22"/>
      <c r="AB36" s="22"/>
      <c r="AC36" s="23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</row>
    <row r="37" spans="1:47" x14ac:dyDescent="0.25">
      <c r="U37" s="22"/>
      <c r="V37" s="22"/>
      <c r="W37" s="22"/>
      <c r="X37" s="22"/>
      <c r="Y37" s="22"/>
      <c r="Z37" s="22"/>
      <c r="AA37" s="22"/>
      <c r="AB37" s="22"/>
      <c r="AC37" s="23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x14ac:dyDescent="0.25"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</row>
  </sheetData>
  <mergeCells count="3">
    <mergeCell ref="C3:I3"/>
    <mergeCell ref="O4:T4"/>
    <mergeCell ref="V4:AC4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768E-9E7F-42E0-8245-D1D9ECE2B6E2}">
  <dimension ref="A1"/>
  <sheetViews>
    <sheetView tabSelected="1" workbookViewId="0">
      <selection activeCell="E8" sqref="B3:E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Circuitos</vt:lpstr>
      <vt:lpstr>Cabos</vt:lpstr>
      <vt:lpstr>Disjuntores</vt:lpstr>
      <vt:lpstr>Condutores de entrada </vt:lpstr>
      <vt:lpstr>Eletrodutos </vt:lpstr>
      <vt:lpstr>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irineu vc n sabe</dc:creator>
  <cp:lastModifiedBy>Israel Rodrigues</cp:lastModifiedBy>
  <dcterms:created xsi:type="dcterms:W3CDTF">2022-12-19T22:02:57Z</dcterms:created>
  <dcterms:modified xsi:type="dcterms:W3CDTF">2024-01-24T21:15:41Z</dcterms:modified>
</cp:coreProperties>
</file>