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users\SF09656\Downloads\"/>
    </mc:Choice>
  </mc:AlternateContent>
  <xr:revisionPtr revIDLastSave="0" documentId="8_{D6BC048F-A33C-4B65-8ABA-72BEC0C8E2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ynamics" sheetId="6" r:id="rId1"/>
    <sheet name="data tables" sheetId="12" r:id="rId2"/>
    <sheet name="Operating NWT" sheetId="10" r:id="rId3"/>
    <sheet name="Bilancio Previsionale (italian)" sheetId="31" r:id="rId4"/>
    <sheet name="BEP" sheetId="21" r:id="rId5"/>
    <sheet name="NPV" sheetId="30" r:id="rId6"/>
  </sheets>
  <externalReferences>
    <externalReference r:id="rId7"/>
  </externalReferences>
  <definedNames>
    <definedName name="Aumento_C.F.">#REF!</definedName>
    <definedName name="Aumento_C.V.">#REF!</definedName>
    <definedName name="Costi_Fissi">#REF!</definedName>
    <definedName name="Costi_variabili">#REF!</definedName>
    <definedName name="IVA">#REF!</definedName>
    <definedName name="Prezzi">#REF!</definedName>
    <definedName name="Prezzo">#REF!</definedName>
    <definedName name="Reddito_Operativo">#REF!</definedName>
    <definedName name="Ricavi">#REF!</definedName>
    <definedName name="VAI">'Bilancio Previsionale (italian)'!$D$20</definedName>
    <definedName name="Volumi">#REF!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0" l="1"/>
  <c r="D5" i="30"/>
  <c r="C5" i="30"/>
  <c r="D4" i="30"/>
  <c r="C4" i="30"/>
  <c r="D6" i="30"/>
  <c r="E4" i="30"/>
  <c r="F4" i="30"/>
  <c r="G4" i="30"/>
  <c r="E5" i="30"/>
  <c r="F5" i="30"/>
  <c r="G5" i="30"/>
  <c r="E6" i="30"/>
  <c r="F6" i="30"/>
  <c r="G6" i="30"/>
  <c r="D3" i="30"/>
  <c r="E3" i="30"/>
  <c r="F3" i="30"/>
  <c r="G3" i="30"/>
  <c r="B4" i="12"/>
  <c r="B6" i="12"/>
  <c r="B8" i="12"/>
  <c r="B8" i="10"/>
  <c r="B9" i="10"/>
  <c r="B15" i="10"/>
  <c r="B17" i="10"/>
  <c r="B18" i="10"/>
  <c r="C28" i="21"/>
  <c r="A18" i="21"/>
  <c r="A19" i="21"/>
  <c r="A20" i="21"/>
  <c r="A21" i="21"/>
  <c r="A22" i="21"/>
  <c r="A23" i="21"/>
  <c r="A24" i="21"/>
  <c r="A25" i="21"/>
  <c r="A26" i="21"/>
  <c r="A27" i="21"/>
  <c r="A28" i="21"/>
  <c r="B28" i="21"/>
  <c r="D28" i="21"/>
  <c r="E28" i="21"/>
  <c r="F28" i="21"/>
  <c r="C29" i="21"/>
  <c r="A29" i="21"/>
  <c r="B29" i="21"/>
  <c r="D29" i="21"/>
  <c r="E29" i="21"/>
  <c r="F29" i="21"/>
  <c r="C30" i="21"/>
  <c r="A30" i="21"/>
  <c r="B30" i="21"/>
  <c r="D30" i="21"/>
  <c r="E30" i="21"/>
  <c r="F30" i="21"/>
  <c r="C31" i="21"/>
  <c r="A31" i="21"/>
  <c r="B31" i="21"/>
  <c r="D31" i="21"/>
  <c r="E31" i="21"/>
  <c r="F31" i="21"/>
  <c r="C32" i="21"/>
  <c r="A32" i="21"/>
  <c r="B32" i="21"/>
  <c r="D32" i="21"/>
  <c r="E32" i="21"/>
  <c r="F32" i="21"/>
  <c r="C33" i="21"/>
  <c r="A33" i="21"/>
  <c r="B33" i="21"/>
  <c r="D33" i="21"/>
  <c r="E33" i="21"/>
  <c r="F33" i="21"/>
  <c r="C34" i="21"/>
  <c r="A34" i="21"/>
  <c r="B34" i="21"/>
  <c r="D34" i="21"/>
  <c r="E34" i="21"/>
  <c r="F34" i="21"/>
  <c r="C35" i="21"/>
  <c r="A35" i="21"/>
  <c r="B35" i="21"/>
  <c r="D35" i="21"/>
  <c r="E35" i="21"/>
  <c r="F35" i="21"/>
  <c r="C36" i="21"/>
  <c r="A36" i="21"/>
  <c r="B36" i="21"/>
  <c r="D36" i="21"/>
  <c r="E36" i="21"/>
  <c r="F36" i="21"/>
  <c r="C37" i="21"/>
  <c r="A37" i="21"/>
  <c r="B37" i="21"/>
  <c r="D37" i="21"/>
  <c r="E37" i="21"/>
  <c r="F37" i="21"/>
  <c r="C13" i="6"/>
  <c r="E27" i="21"/>
  <c r="B27" i="21"/>
  <c r="C27" i="21"/>
  <c r="D27" i="21"/>
  <c r="F27" i="21"/>
  <c r="E26" i="21"/>
  <c r="B26" i="21"/>
  <c r="C26" i="21"/>
  <c r="D26" i="21"/>
  <c r="F26" i="21"/>
  <c r="E25" i="21"/>
  <c r="B25" i="21"/>
  <c r="C25" i="21"/>
  <c r="D25" i="21"/>
  <c r="F25" i="21"/>
  <c r="E24" i="21"/>
  <c r="B24" i="21"/>
  <c r="C24" i="21"/>
  <c r="D24" i="21"/>
  <c r="F24" i="21"/>
  <c r="E23" i="21"/>
  <c r="B23" i="21"/>
  <c r="C23" i="21"/>
  <c r="D23" i="21"/>
  <c r="F23" i="21"/>
  <c r="E22" i="21"/>
  <c r="B22" i="21"/>
  <c r="C22" i="21"/>
  <c r="D22" i="21"/>
  <c r="F22" i="21"/>
  <c r="E21" i="21"/>
  <c r="B21" i="21"/>
  <c r="C21" i="21"/>
  <c r="D21" i="21"/>
  <c r="F21" i="21"/>
  <c r="E20" i="21"/>
  <c r="B20" i="21"/>
  <c r="C20" i="21"/>
  <c r="D20" i="21"/>
  <c r="F20" i="21"/>
  <c r="E19" i="21"/>
  <c r="B19" i="21"/>
  <c r="C19" i="21"/>
  <c r="D19" i="21"/>
  <c r="F19" i="21"/>
  <c r="E18" i="21"/>
  <c r="B18" i="21"/>
  <c r="C18" i="21"/>
  <c r="D18" i="21"/>
  <c r="F18" i="21"/>
  <c r="E17" i="21"/>
  <c r="B17" i="21"/>
  <c r="C17" i="21"/>
  <c r="D17" i="21"/>
  <c r="F17" i="21"/>
  <c r="B13" i="21"/>
  <c r="B9" i="21"/>
  <c r="B10" i="21"/>
  <c r="B12" i="21"/>
  <c r="B11" i="21"/>
  <c r="B13" i="10"/>
  <c r="B14" i="10"/>
  <c r="B11" i="10"/>
  <c r="C4" i="6"/>
  <c r="C5" i="6"/>
  <c r="C8" i="6"/>
  <c r="C10" i="6"/>
  <c r="C14" i="6"/>
  <c r="C15" i="6"/>
  <c r="C9" i="6"/>
  <c r="D6" i="6"/>
  <c r="D7" i="6"/>
  <c r="D4" i="6"/>
  <c r="D5" i="6"/>
  <c r="D8" i="6"/>
  <c r="D9" i="6"/>
  <c r="E6" i="6"/>
  <c r="E7" i="6"/>
  <c r="E4" i="6"/>
  <c r="E5" i="6"/>
  <c r="E8" i="6"/>
  <c r="E9" i="6"/>
  <c r="F6" i="6"/>
  <c r="F7" i="6"/>
  <c r="F4" i="6"/>
  <c r="F5" i="6"/>
  <c r="F8" i="6"/>
  <c r="F9" i="6"/>
  <c r="G6" i="6"/>
  <c r="G7" i="6"/>
  <c r="G4" i="6"/>
  <c r="G5" i="6"/>
  <c r="G8" i="6"/>
  <c r="G10" i="6"/>
  <c r="D13" i="6"/>
  <c r="E13" i="6"/>
  <c r="F13" i="6"/>
  <c r="G13" i="6"/>
  <c r="G14" i="6"/>
  <c r="G15" i="6"/>
  <c r="J18" i="6"/>
  <c r="G9" i="6"/>
  <c r="G18" i="6"/>
  <c r="J10" i="6"/>
  <c r="G17" i="6"/>
  <c r="J2" i="6"/>
  <c r="B10" i="12"/>
  <c r="B11" i="12"/>
  <c r="B13" i="12"/>
  <c r="E8" i="12"/>
  <c r="D14" i="6"/>
  <c r="D18" i="6"/>
  <c r="E14" i="6"/>
  <c r="E18" i="6"/>
  <c r="F14" i="6"/>
  <c r="F18" i="6"/>
  <c r="C18" i="6"/>
  <c r="D10" i="6"/>
  <c r="D15" i="6"/>
  <c r="E10" i="6"/>
  <c r="E15" i="6"/>
  <c r="F10" i="6"/>
  <c r="F15" i="6"/>
  <c r="C17" i="6"/>
  <c r="D17" i="6"/>
  <c r="E17" i="6"/>
  <c r="F17" i="6"/>
  <c r="B16" i="10"/>
  <c r="B19" i="10"/>
  <c r="E4" i="10"/>
  <c r="B21" i="10"/>
  <c r="B25" i="10"/>
  <c r="E13" i="10"/>
  <c r="B23" i="10"/>
  <c r="C7" i="30"/>
  <c r="D7" i="30"/>
  <c r="E7" i="30"/>
  <c r="F7" i="30"/>
  <c r="G7" i="30"/>
  <c r="C8" i="30"/>
  <c r="D8" i="30"/>
  <c r="E8" i="30"/>
  <c r="F8" i="30"/>
  <c r="G8" i="30"/>
  <c r="C9" i="30"/>
  <c r="D9" i="30"/>
  <c r="E9" i="30"/>
  <c r="F9" i="30"/>
  <c r="G9" i="30"/>
  <c r="C10" i="30"/>
  <c r="D10" i="30"/>
  <c r="E10" i="30"/>
  <c r="F10" i="30"/>
  <c r="G10" i="30"/>
  <c r="D12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Filippo</author>
  </authors>
  <commentList>
    <comment ref="A1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Filippo:</t>
        </r>
        <r>
          <rPr>
            <sz val="9"/>
            <color indexed="81"/>
            <rFont val="Tahoma"/>
            <charset val="1"/>
          </rPr>
          <t xml:space="preserve">
In questo caso equivale all'EBITDA poiché qui non vengono considerati gli ammortamenti.</t>
        </r>
      </text>
    </comment>
    <comment ref="A15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Filippo:</t>
        </r>
        <r>
          <rPr>
            <sz val="9"/>
            <color indexed="81"/>
            <rFont val="Tahoma"/>
            <charset val="1"/>
          </rPr>
          <t xml:space="preserve">
Senza valutare i "costi fissi di struttura" ed i "costi di sviluppo", considerati nel Bilancio Previsionale.</t>
        </r>
      </text>
    </comment>
    <comment ref="A19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Filippo:</t>
        </r>
        <r>
          <rPr>
            <sz val="9"/>
            <color indexed="81"/>
            <rFont val="Tahoma"/>
            <charset val="1"/>
          </rPr>
          <t xml:space="preserve">
Di conseguenza alla variazione dei "debiti verso i fornitori", anche il "CCN Operativo" non corrisponde a quello del Bilancio Previsionale.</t>
        </r>
      </text>
    </comment>
  </commentList>
</comments>
</file>

<file path=xl/sharedStrings.xml><?xml version="1.0" encoding="utf-8"?>
<sst xmlns="http://schemas.openxmlformats.org/spreadsheetml/2006/main" count="277" uniqueCount="213">
  <si>
    <t>Prezzo</t>
  </si>
  <si>
    <t>Margine di contribuzione</t>
  </si>
  <si>
    <t>Gg. pag. clienti</t>
  </si>
  <si>
    <t>CCN Operativo</t>
  </si>
  <si>
    <t>Immobilizzazioni</t>
  </si>
  <si>
    <t>Fabbisogno finanziario</t>
  </si>
  <si>
    <t>ROI</t>
  </si>
  <si>
    <t>Ipotesi</t>
  </si>
  <si>
    <t>Anno 1</t>
  </si>
  <si>
    <t>Anno 2</t>
  </si>
  <si>
    <t>Volumi</t>
  </si>
  <si>
    <t>Provvigioni</t>
  </si>
  <si>
    <t>Fatturato realizzabile con 1 addetto diretto</t>
  </si>
  <si>
    <t>Costo annuo di 1 addetto: 30.000.</t>
  </si>
  <si>
    <t>Addetti indiretti</t>
  </si>
  <si>
    <t>Incidenza TFR sul costo del lavoro</t>
  </si>
  <si>
    <t>Costi fissi di struttura</t>
  </si>
  <si>
    <t>Costi di Sviluppo</t>
  </si>
  <si>
    <t>Immobilizzazioni (investimento nell'anno)</t>
  </si>
  <si>
    <t>Periodo di ammortamento (anni)</t>
  </si>
  <si>
    <t>Tempi pagamento clienti (mesi)</t>
  </si>
  <si>
    <t>Tempi pagamento fornitori (mesi)</t>
  </si>
  <si>
    <t>Tempi rotazione scorte materie prime (mesi)</t>
  </si>
  <si>
    <t>% oneri finanziari su debiti onerosi</t>
  </si>
  <si>
    <t>% imposte su reddito a.i. (acconto 100%)</t>
  </si>
  <si>
    <t>% IVA su Vendite, Acquisti e Immobilizzazioni</t>
  </si>
  <si>
    <t>Conto Economico</t>
  </si>
  <si>
    <t>+</t>
  </si>
  <si>
    <t>Ricavi di vendita</t>
  </si>
  <si>
    <t>-</t>
  </si>
  <si>
    <t>Costo materiali</t>
  </si>
  <si>
    <t>=</t>
  </si>
  <si>
    <t>Manodopera diretta</t>
  </si>
  <si>
    <t>Accantonamento TFR MDO diretta</t>
  </si>
  <si>
    <t>MDC - Costo MDO diretta</t>
  </si>
  <si>
    <t>Manodopera indiretta</t>
  </si>
  <si>
    <t>Accantonamento TFR MDO indiretta</t>
  </si>
  <si>
    <t>Costi di sviluppo</t>
  </si>
  <si>
    <t>EBITDA</t>
  </si>
  <si>
    <t>Reddito ante imposte</t>
  </si>
  <si>
    <t>Imposte</t>
  </si>
  <si>
    <t>Reddito netto</t>
  </si>
  <si>
    <t>IMPIEGHI</t>
  </si>
  <si>
    <t>Attivo circolante</t>
  </si>
  <si>
    <t>+ Crediti verso clienti</t>
  </si>
  <si>
    <t>+ Erario c.to IVA attivo</t>
  </si>
  <si>
    <t>+ Scorte</t>
  </si>
  <si>
    <t>Immobilizzazioni operative nette</t>
  </si>
  <si>
    <t>+ Immobilizzazioni lorde</t>
  </si>
  <si>
    <t>- Fondo ammortamento</t>
  </si>
  <si>
    <t>Totale Impieghi</t>
  </si>
  <si>
    <t>Calcolo Erario conto iva</t>
  </si>
  <si>
    <t>+ IVA su Acquisti</t>
  </si>
  <si>
    <t>+ IVA su Immobilizzazioni</t>
  </si>
  <si>
    <t>-  IVA su vendite</t>
  </si>
  <si>
    <t>Somma algebrica IVA dell'anno</t>
  </si>
  <si>
    <t>Recupero crediti IVA</t>
  </si>
  <si>
    <t>Erario conto IVA</t>
  </si>
  <si>
    <t>FONTI</t>
  </si>
  <si>
    <t>Passivo circolante</t>
  </si>
  <si>
    <t>+ Debiti verso fornitori</t>
  </si>
  <si>
    <t>+ Fondo imposte</t>
  </si>
  <si>
    <t>+ Fondo TFR</t>
  </si>
  <si>
    <t>+ Erario c.to IVA passivo</t>
  </si>
  <si>
    <t>Debiti finanziari</t>
  </si>
  <si>
    <t>+ Scoperti di c/c e castelletto</t>
  </si>
  <si>
    <t>+ Finanziamenti a medio/lungo termine</t>
  </si>
  <si>
    <t>Mezzi Propri</t>
  </si>
  <si>
    <t>+ Capitale sociale</t>
  </si>
  <si>
    <t>+ Riserve</t>
  </si>
  <si>
    <t>+ Reddito netto</t>
  </si>
  <si>
    <t>Totale Fonti</t>
  </si>
  <si>
    <t>Capitale investito netto operativo</t>
  </si>
  <si>
    <t>Autofinanziamento</t>
  </si>
  <si>
    <t>INPS</t>
  </si>
  <si>
    <t>Incidenza materiali (sui ricavi)</t>
  </si>
  <si>
    <t>1 su 18</t>
  </si>
  <si>
    <t>Ammortamenti (inserirlo prima nello SP)</t>
  </si>
  <si>
    <t>EBIT (Reddito Operativo)</t>
  </si>
  <si>
    <t>Oneri (Gestione finanziaria)</t>
  </si>
  <si>
    <t>Acconto sulle imposte</t>
  </si>
  <si>
    <t>Affidamento per anticipazione si crediti da parte delle banche (verificare con i crediti verso clienti)</t>
  </si>
  <si>
    <t>Nella realtà sono molto più bassi</t>
  </si>
  <si>
    <t>Eur</t>
  </si>
  <si>
    <t xml:space="preserve"> = Cvu * Q</t>
  </si>
  <si>
    <t xml:space="preserve"> = CV*Q +CF</t>
  </si>
  <si>
    <t xml:space="preserve"> = Ru (o P) * Q</t>
  </si>
  <si>
    <t xml:space="preserve"> = R - CT</t>
  </si>
  <si>
    <t xml:space="preserve"> = CF/(R-CV)</t>
  </si>
  <si>
    <t>Q</t>
  </si>
  <si>
    <t>CV</t>
  </si>
  <si>
    <t>CF</t>
  </si>
  <si>
    <t>CT</t>
  </si>
  <si>
    <t>R</t>
  </si>
  <si>
    <t>P</t>
  </si>
  <si>
    <t>EBIT</t>
  </si>
  <si>
    <t>Tasso Rend.</t>
  </si>
  <si>
    <t>VAN</t>
  </si>
  <si>
    <t>Effetto su reddito netto</t>
  </si>
  <si>
    <t>Effetto su indebitamento</t>
  </si>
  <si>
    <t>INDICI DI BILANCIO</t>
  </si>
  <si>
    <t>Scoperto di c/c</t>
  </si>
  <si>
    <t>Castelletto salvo buon fine</t>
  </si>
  <si>
    <t>% smobilizzazione dei crediti</t>
  </si>
  <si>
    <t>% utilizzo degli affidamenti</t>
  </si>
  <si>
    <t>Mezzi terzi/mezzi propri</t>
  </si>
  <si>
    <t>Indici di liquidità</t>
  </si>
  <si>
    <t>Debiti finanziari/mezzi propri</t>
  </si>
  <si>
    <t>Indici di solidità</t>
  </si>
  <si>
    <t>Indici di redditività</t>
  </si>
  <si>
    <t>ROI (EBIT/impieghi)</t>
  </si>
  <si>
    <t>RONA (EBIT/CI netto operativo)</t>
  </si>
  <si>
    <t>Indici di crescita</t>
  </si>
  <si>
    <t>ROE (Reddito netto/mezzi propri)</t>
  </si>
  <si>
    <t>Crescita del fatturato</t>
  </si>
  <si>
    <t>Crescita del CCN Operativo</t>
  </si>
  <si>
    <t>Crescita CI netto operativo</t>
  </si>
  <si>
    <t>Stato Patrimoniale</t>
  </si>
  <si>
    <t>Basic simulation</t>
  </si>
  <si>
    <t>Advertising costs (euro)</t>
  </si>
  <si>
    <t>Initial acquisition cost per customer</t>
  </si>
  <si>
    <t>Variation in advertising yield and acquisition cost</t>
  </si>
  <si>
    <t>Number of new customers from advertising</t>
  </si>
  <si>
    <t>Customers lost (% of customers previous year)</t>
  </si>
  <si>
    <t>Customers from word of mouth (% of customers prev. year)</t>
  </si>
  <si>
    <t>Change in number of customers</t>
  </si>
  <si>
    <t>Cumulative number of clients</t>
  </si>
  <si>
    <t>Advertising costs/change in number of clients</t>
  </si>
  <si>
    <t>Average revenue per initial customer (€)</t>
  </si>
  <si>
    <t>Variation in sales per capita and Revenues per customer</t>
  </si>
  <si>
    <t>CM per customer (% of turnover)</t>
  </si>
  <si>
    <t>Acquisition cost recovery time (years)</t>
  </si>
  <si>
    <t>Total turnover</t>
  </si>
  <si>
    <t>Total CM</t>
  </si>
  <si>
    <t>CM (Contribution margin) is used to cover fixed costs once variable costs are removed</t>
  </si>
  <si>
    <t>Year 1</t>
  </si>
  <si>
    <t>Year 2</t>
  </si>
  <si>
    <t>Year 3</t>
  </si>
  <si>
    <t>Year 4</t>
  </si>
  <si>
    <t>Year 5</t>
  </si>
  <si>
    <t>Turnover</t>
  </si>
  <si>
    <t>CM</t>
  </si>
  <si>
    <t>Acquisition cost recovery time</t>
  </si>
  <si>
    <t>% Customers lost</t>
  </si>
  <si>
    <t xml:space="preserve"> No. Potential customers </t>
  </si>
  <si>
    <t xml:space="preserve">Subscriptions </t>
  </si>
  <si>
    <t xml:space="preserve"> Saleable subscriptions (Cap. production) </t>
  </si>
  <si>
    <t xml:space="preserve"> % saturation </t>
  </si>
  <si>
    <t xml:space="preserve"> Subscriptions sold </t>
  </si>
  <si>
    <t xml:space="preserve"> Price (excluding VAT) </t>
  </si>
  <si>
    <t xml:space="preserve"> Revenues </t>
  </si>
  <si>
    <t xml:space="preserve"> Incidence Variable costs </t>
  </si>
  <si>
    <t xml:space="preserve"> Variable costs* </t>
  </si>
  <si>
    <t xml:space="preserve"> Contribution margin </t>
  </si>
  <si>
    <t xml:space="preserve"> Fixed costs </t>
  </si>
  <si>
    <t xml:space="preserve"> Operating income </t>
  </si>
  <si>
    <t xml:space="preserve"> *All variable cost items must be specified. </t>
  </si>
  <si>
    <t xml:space="preserve"> No. Potential customers 
 Saturation (input column) </t>
  </si>
  <si>
    <t xml:space="preserve"> what we want in the table </t>
  </si>
  <si>
    <t xml:space="preserve"> Choose two variables on which to do the simulation </t>
  </si>
  <si>
    <t xml:space="preserve"> Price (input line) </t>
  </si>
  <si>
    <t>Days stock rotation</t>
  </si>
  <si>
    <t>Customer payment days</t>
  </si>
  <si>
    <t>Supplier payment days</t>
  </si>
  <si>
    <t>Incidence of material consumption</t>
  </si>
  <si>
    <t>VAT rate</t>
  </si>
  <si>
    <t>Revenues (without VAT)</t>
  </si>
  <si>
    <t>Material consumption</t>
  </si>
  <si>
    <t>Other operating costs</t>
  </si>
  <si>
    <t>Operating income</t>
  </si>
  <si>
    <t>Accounts receivable from customers</t>
  </si>
  <si>
    <t>Stocks</t>
  </si>
  <si>
    <t>Accounts payable to suppliers</t>
  </si>
  <si>
    <t>Provision for taxes</t>
  </si>
  <si>
    <t>Provision for severance pay</t>
  </si>
  <si>
    <t>VAT liability</t>
  </si>
  <si>
    <t>Fixed assets</t>
  </si>
  <si>
    <t>Operating invested capital</t>
  </si>
  <si>
    <t>OPERATING financial requirement</t>
  </si>
  <si>
    <t>NWT</t>
  </si>
  <si>
    <t>Needs:</t>
  </si>
  <si>
    <t>Fixed assets (plant, machinery, vehicles)</t>
  </si>
  <si>
    <t>Profit or loss</t>
  </si>
  <si>
    <t>Operating NWT (Current assets - Current liabilities)</t>
  </si>
  <si>
    <t>Operating NWT</t>
  </si>
  <si>
    <t>Calculation of OPERATIONAL requirements composed of NWT, Fixed assets and self-financing</t>
  </si>
  <si>
    <t>Active</t>
  </si>
  <si>
    <t>Passive</t>
  </si>
  <si>
    <t>Operating cash, cash fund to do transactions</t>
  </si>
  <si>
    <t>VAT credit to the state</t>
  </si>
  <si>
    <t>Down payments to suppliers</t>
  </si>
  <si>
    <t>Accounts payable</t>
  </si>
  <si>
    <t>VAT (Sales&gt;Purchases)</t>
  </si>
  <si>
    <t>Customer advances (collected in advance before delivery of goods)</t>
  </si>
  <si>
    <t>Contributions TFR</t>
  </si>
  <si>
    <t>Taxes</t>
  </si>
  <si>
    <t>BEP Analisys</t>
  </si>
  <si>
    <t>Quantity sold Q =</t>
  </si>
  <si>
    <t>Price Ru =</t>
  </si>
  <si>
    <t>Costs Var. Unit CVu =</t>
  </si>
  <si>
    <t>Fixed Costs CF =</t>
  </si>
  <si>
    <t xml:space="preserve">Variable Costs CV = </t>
  </si>
  <si>
    <t xml:space="preserve">Total Costs CT = </t>
  </si>
  <si>
    <t xml:space="preserve">Revenues R = </t>
  </si>
  <si>
    <t xml:space="preserve">Profits P = </t>
  </si>
  <si>
    <t xml:space="preserve">Breakeven Point Q* = </t>
  </si>
  <si>
    <t>Units</t>
  </si>
  <si>
    <t>CASH FLOW</t>
  </si>
  <si>
    <t>Depreciation and amortization</t>
  </si>
  <si>
    <t>Provisions</t>
  </si>
  <si>
    <t>Δ funds</t>
  </si>
  <si>
    <t>Financial charges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</si>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</sst>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&quot;€&quot;\ #,##0.00;[Red]\-&quot;€&quot;\ #,##0.00"/>
    <numFmt numFmtId="165" formatCode="_-&quot;€&quot;\ * #,##0.00_-;\-&quot;€&quot;\ * #,##0.00_-;_-&quot;€&quot;\ * &quot;-&quot;??_-;_-@_-"/>
    <numFmt numFmtId="166" formatCode="_(* #,##0_);_(* \(#,##0\);_(* &quot;-&quot;_);_(@_)"/>
    <numFmt numFmtId="167" formatCode="_(* #,##0.00_);_(* \(#,##0.00\);_(* &quot;-&quot;??_);_(@_)"/>
    <numFmt numFmtId="168" formatCode="_-* #,##0.0_-;\-* #,##0.0_-;_-* &quot;-&quot;??_-;_-@_-"/>
    <numFmt numFmtId="169" formatCode="_-* #,##0_-;\-* #,##0_-;_-* &quot;-&quot;??_-;_-@_-"/>
    <numFmt numFmtId="170" formatCode="_-* #,##0.0_-;\-* #,##0.0_-;_-* &quot;-&quot;_-;_-@_-"/>
    <numFmt numFmtId="171" formatCode="_(* #,##0.0_);_(* \(#,##0.0\);_(* &quot;-&quot;??_);_(@_)"/>
    <numFmt numFmtId="172" formatCode="_(* #,##0_);_(* \(#,##0\);_(* &quot;-&quot;??_);_(@_)"/>
    <numFmt numFmtId="173" formatCode="0.0%"/>
    <numFmt numFmtId="174" formatCode="0.000%"/>
    <numFmt numFmtId="175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indexed="12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19FF8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auto="1"/>
      </bottom>
      <diagonal/>
    </border>
    <border>
      <left style="thin">
        <color auto="1"/>
      </left>
      <right style="mediumDashed">
        <color auto="1"/>
      </right>
      <top style="thin">
        <color auto="1"/>
      </top>
      <bottom style="medium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Dashed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18" borderId="0" applyNumberFormat="0" applyBorder="0" applyAlignment="0" applyProtection="0"/>
  </cellStyleXfs>
  <cellXfs count="210">
    <xf numFmtId="0" fontId="0" fillId="0" borderId="0" xfId="0"/>
    <xf numFmtId="172" fontId="0" fillId="0" borderId="0" xfId="1" applyNumberFormat="1" applyFont="1"/>
    <xf numFmtId="173" fontId="0" fillId="0" borderId="1" xfId="2" applyNumberFormat="1" applyFont="1" applyBorder="1"/>
    <xf numFmtId="172" fontId="0" fillId="0" borderId="1" xfId="1" applyNumberFormat="1" applyFont="1" applyBorder="1"/>
    <xf numFmtId="172" fontId="0" fillId="0" borderId="0" xfId="1" applyNumberFormat="1" applyFont="1" applyBorder="1"/>
    <xf numFmtId="9" fontId="0" fillId="0" borderId="0" xfId="2" applyFont="1" applyBorder="1"/>
    <xf numFmtId="172" fontId="2" fillId="0" borderId="0" xfId="1" applyNumberFormat="1" applyFont="1" applyBorder="1"/>
    <xf numFmtId="172" fontId="4" fillId="0" borderId="0" xfId="0" applyNumberFormat="1" applyFont="1" applyBorder="1"/>
    <xf numFmtId="172" fontId="0" fillId="2" borderId="1" xfId="1" applyNumberFormat="1" applyFont="1" applyFill="1" applyBorder="1"/>
    <xf numFmtId="173" fontId="0" fillId="2" borderId="1" xfId="2" applyNumberFormat="1" applyFont="1" applyFill="1" applyBorder="1"/>
    <xf numFmtId="172" fontId="5" fillId="0" borderId="1" xfId="1" applyNumberFormat="1" applyFont="1" applyFill="1" applyBorder="1"/>
    <xf numFmtId="9" fontId="5" fillId="0" borderId="1" xfId="2" applyFont="1" applyFill="1" applyBorder="1"/>
    <xf numFmtId="172" fontId="0" fillId="6" borderId="1" xfId="1" applyNumberFormat="1" applyFont="1" applyFill="1" applyBorder="1"/>
    <xf numFmtId="172" fontId="2" fillId="6" borderId="1" xfId="1" applyNumberFormat="1" applyFont="1" applyFill="1" applyBorder="1"/>
    <xf numFmtId="173" fontId="2" fillId="6" borderId="1" xfId="2" applyNumberFormat="1" applyFont="1" applyFill="1" applyBorder="1"/>
    <xf numFmtId="0" fontId="2" fillId="6" borderId="1" xfId="0" applyFont="1" applyFill="1" applyBorder="1"/>
    <xf numFmtId="172" fontId="0" fillId="7" borderId="1" xfId="1" applyNumberFormat="1" applyFont="1" applyFill="1" applyBorder="1"/>
    <xf numFmtId="172" fontId="2" fillId="7" borderId="1" xfId="1" applyNumberFormat="1" applyFont="1" applyFill="1" applyBorder="1"/>
    <xf numFmtId="173" fontId="0" fillId="7" borderId="1" xfId="2" applyNumberFormat="1" applyFont="1" applyFill="1" applyBorder="1"/>
    <xf numFmtId="173" fontId="2" fillId="7" borderId="1" xfId="2" applyNumberFormat="1" applyFont="1" applyFill="1" applyBorder="1"/>
    <xf numFmtId="165" fontId="4" fillId="0" borderId="0" xfId="0" applyNumberFormat="1" applyFont="1"/>
    <xf numFmtId="173" fontId="0" fillId="0" borderId="22" xfId="2" applyNumberFormat="1" applyFont="1" applyBorder="1"/>
    <xf numFmtId="164" fontId="6" fillId="0" borderId="27" xfId="0" applyNumberFormat="1" applyFont="1" applyBorder="1"/>
    <xf numFmtId="0" fontId="0" fillId="0" borderId="0" xfId="0" applyFont="1"/>
    <xf numFmtId="0" fontId="0" fillId="6" borderId="1" xfId="0" applyFont="1" applyFill="1" applyBorder="1"/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0" xfId="0" applyFont="1" applyBorder="1" applyAlignment="1">
      <alignment textRotation="90"/>
    </xf>
    <xf numFmtId="0" fontId="0" fillId="0" borderId="0" xfId="0" applyFont="1" applyBorder="1" applyAlignment="1">
      <alignment horizontal="center"/>
    </xf>
    <xf numFmtId="0" fontId="0" fillId="2" borderId="0" xfId="0" applyFont="1" applyFill="1"/>
    <xf numFmtId="0" fontId="0" fillId="0" borderId="0" xfId="0" applyFont="1" applyFill="1"/>
    <xf numFmtId="43" fontId="9" fillId="4" borderId="1" xfId="7" applyNumberFormat="1" applyFont="1" applyFill="1" applyBorder="1"/>
    <xf numFmtId="169" fontId="10" fillId="0" borderId="1" xfId="7" applyNumberFormat="1" applyFont="1" applyBorder="1"/>
    <xf numFmtId="169" fontId="9" fillId="0" borderId="0" xfId="7" applyNumberFormat="1" applyFont="1"/>
    <xf numFmtId="169" fontId="9" fillId="4" borderId="1" xfId="7" applyNumberFormat="1" applyFont="1" applyFill="1" applyBorder="1"/>
    <xf numFmtId="9" fontId="10" fillId="0" borderId="1" xfId="5" applyFont="1" applyBorder="1"/>
    <xf numFmtId="169" fontId="9" fillId="0" borderId="0" xfId="7" quotePrefix="1" applyNumberFormat="1" applyFont="1"/>
    <xf numFmtId="43" fontId="11" fillId="4" borderId="1" xfId="7" applyNumberFormat="1" applyFont="1" applyFill="1" applyBorder="1"/>
    <xf numFmtId="169" fontId="11" fillId="4" borderId="1" xfId="7" applyNumberFormat="1" applyFont="1" applyFill="1" applyBorder="1"/>
    <xf numFmtId="169" fontId="9" fillId="0" borderId="17" xfId="7" applyNumberFormat="1" applyFont="1" applyFill="1" applyBorder="1"/>
    <xf numFmtId="169" fontId="10" fillId="0" borderId="11" xfId="1" applyNumberFormat="1" applyFont="1" applyBorder="1" applyAlignment="1"/>
    <xf numFmtId="169" fontId="10" fillId="0" borderId="12" xfId="1" applyNumberFormat="1" applyFont="1" applyBorder="1" applyAlignment="1">
      <alignment horizontal="center"/>
    </xf>
    <xf numFmtId="169" fontId="10" fillId="5" borderId="12" xfId="1" applyNumberFormat="1" applyFont="1" applyFill="1" applyBorder="1" applyAlignment="1">
      <alignment horizontal="center"/>
    </xf>
    <xf numFmtId="169" fontId="10" fillId="0" borderId="13" xfId="1" applyNumberFormat="1" applyFont="1" applyBorder="1" applyAlignment="1">
      <alignment horizontal="center"/>
    </xf>
    <xf numFmtId="173" fontId="10" fillId="0" borderId="1" xfId="5" applyNumberFormat="1" applyFont="1" applyBorder="1"/>
    <xf numFmtId="9" fontId="10" fillId="0" borderId="18" xfId="5" applyFont="1" applyBorder="1" applyAlignment="1">
      <alignment horizontal="center"/>
    </xf>
    <xf numFmtId="169" fontId="9" fillId="0" borderId="14" xfId="7" applyNumberFormat="1" applyFont="1" applyFill="1" applyBorder="1"/>
    <xf numFmtId="169" fontId="9" fillId="0" borderId="9" xfId="7" applyNumberFormat="1" applyFont="1" applyFill="1" applyBorder="1"/>
    <xf numFmtId="169" fontId="9" fillId="5" borderId="9" xfId="7" applyNumberFormat="1" applyFont="1" applyFill="1" applyBorder="1"/>
    <xf numFmtId="169" fontId="9" fillId="0" borderId="10" xfId="7" applyNumberFormat="1" applyFont="1" applyFill="1" applyBorder="1"/>
    <xf numFmtId="9" fontId="10" fillId="0" borderId="19" xfId="5" applyFont="1" applyBorder="1" applyAlignment="1">
      <alignment horizontal="center"/>
    </xf>
    <xf numFmtId="169" fontId="9" fillId="0" borderId="15" xfId="7" applyNumberFormat="1" applyFont="1" applyFill="1" applyBorder="1"/>
    <xf numFmtId="169" fontId="9" fillId="0" borderId="1" xfId="7" applyNumberFormat="1" applyFont="1" applyFill="1" applyBorder="1"/>
    <xf numFmtId="169" fontId="9" fillId="5" borderId="1" xfId="7" applyNumberFormat="1" applyFont="1" applyFill="1" applyBorder="1"/>
    <xf numFmtId="169" fontId="9" fillId="0" borderId="3" xfId="7" applyNumberFormat="1" applyFont="1" applyFill="1" applyBorder="1"/>
    <xf numFmtId="9" fontId="10" fillId="5" borderId="19" xfId="5" applyFont="1" applyFill="1" applyBorder="1" applyAlignment="1">
      <alignment horizontal="center"/>
    </xf>
    <xf numFmtId="169" fontId="9" fillId="5" borderId="15" xfId="7" applyNumberFormat="1" applyFont="1" applyFill="1" applyBorder="1"/>
    <xf numFmtId="169" fontId="11" fillId="5" borderId="1" xfId="7" applyNumberFormat="1" applyFont="1" applyFill="1" applyBorder="1"/>
    <xf numFmtId="169" fontId="9" fillId="5" borderId="3" xfId="7" applyNumberFormat="1" applyFont="1" applyFill="1" applyBorder="1"/>
    <xf numFmtId="9" fontId="10" fillId="0" borderId="20" xfId="5" applyFont="1" applyBorder="1" applyAlignment="1">
      <alignment horizontal="center"/>
    </xf>
    <xf numFmtId="169" fontId="9" fillId="0" borderId="16" xfId="7" applyNumberFormat="1" applyFont="1" applyFill="1" applyBorder="1"/>
    <xf numFmtId="169" fontId="9" fillId="0" borderId="4" xfId="7" applyNumberFormat="1" applyFont="1" applyFill="1" applyBorder="1"/>
    <xf numFmtId="169" fontId="9" fillId="5" borderId="4" xfId="7" applyNumberFormat="1" applyFont="1" applyFill="1" applyBorder="1"/>
    <xf numFmtId="169" fontId="9" fillId="0" borderId="5" xfId="7" applyNumberFormat="1" applyFont="1" applyFill="1" applyBorder="1"/>
    <xf numFmtId="0" fontId="12" fillId="0" borderId="1" xfId="0" applyFont="1" applyBorder="1"/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0" fontId="6" fillId="0" borderId="1" xfId="0" applyFont="1" applyBorder="1"/>
    <xf numFmtId="166" fontId="5" fillId="0" borderId="1" xfId="6" applyFont="1" applyBorder="1"/>
    <xf numFmtId="166" fontId="4" fillId="0" borderId="1" xfId="2" applyNumberFormat="1" applyFont="1" applyBorder="1" applyAlignment="1">
      <alignment horizontal="center"/>
    </xf>
    <xf numFmtId="9" fontId="2" fillId="0" borderId="1" xfId="2" applyFont="1" applyBorder="1" applyAlignment="1">
      <alignment horizontal="center"/>
    </xf>
    <xf numFmtId="9" fontId="2" fillId="3" borderId="1" xfId="2" applyFont="1" applyFill="1" applyBorder="1" applyAlignment="1">
      <alignment horizontal="center"/>
    </xf>
    <xf numFmtId="166" fontId="6" fillId="0" borderId="1" xfId="6" applyFont="1" applyBorder="1"/>
    <xf numFmtId="169" fontId="0" fillId="2" borderId="1" xfId="1" applyNumberFormat="1" applyFont="1" applyFill="1" applyBorder="1"/>
    <xf numFmtId="169" fontId="0" fillId="0" borderId="1" xfId="1" applyNumberFormat="1" applyFont="1" applyBorder="1"/>
    <xf numFmtId="169" fontId="0" fillId="3" borderId="1" xfId="1" applyNumberFormat="1" applyFont="1" applyFill="1" applyBorder="1"/>
    <xf numFmtId="9" fontId="5" fillId="0" borderId="1" xfId="0" applyNumberFormat="1" applyFont="1" applyBorder="1" applyAlignment="1">
      <alignment horizontal="center"/>
    </xf>
    <xf numFmtId="169" fontId="2" fillId="3" borderId="1" xfId="1" applyNumberFormat="1" applyFont="1" applyFill="1" applyBorder="1"/>
    <xf numFmtId="9" fontId="6" fillId="0" borderId="1" xfId="0" applyNumberFormat="1" applyFont="1" applyBorder="1" applyAlignment="1">
      <alignment horizontal="center"/>
    </xf>
    <xf numFmtId="9" fontId="0" fillId="0" borderId="0" xfId="2" applyFont="1" applyAlignment="1">
      <alignment horizontal="center"/>
    </xf>
    <xf numFmtId="0" fontId="2" fillId="0" borderId="0" xfId="0" applyFont="1" applyBorder="1" applyAlignment="1">
      <alignment horizontal="center"/>
    </xf>
    <xf numFmtId="170" fontId="12" fillId="0" borderId="1" xfId="6" applyNumberFormat="1" applyFont="1" applyBorder="1"/>
    <xf numFmtId="166" fontId="12" fillId="0" borderId="1" xfId="6" applyFont="1" applyBorder="1"/>
    <xf numFmtId="168" fontId="0" fillId="2" borderId="1" xfId="1" applyNumberFormat="1" applyFont="1" applyFill="1" applyBorder="1"/>
    <xf numFmtId="168" fontId="0" fillId="0" borderId="1" xfId="1" applyNumberFormat="1" applyFont="1" applyBorder="1"/>
    <xf numFmtId="168" fontId="0" fillId="3" borderId="1" xfId="1" applyNumberFormat="1" applyFont="1" applyFill="1" applyBorder="1"/>
    <xf numFmtId="168" fontId="2" fillId="3" borderId="1" xfId="1" applyNumberFormat="1" applyFont="1" applyFill="1" applyBorder="1"/>
    <xf numFmtId="0" fontId="0" fillId="0" borderId="0" xfId="0" applyFont="1" applyAlignment="1">
      <alignment horizontal="center"/>
    </xf>
    <xf numFmtId="0" fontId="2" fillId="0" borderId="1" xfId="0" applyFont="1" applyBorder="1"/>
    <xf numFmtId="172" fontId="2" fillId="0" borderId="1" xfId="8" applyNumberFormat="1" applyFont="1" applyBorder="1" applyAlignment="1">
      <alignment horizontal="center"/>
    </xf>
    <xf numFmtId="172" fontId="5" fillId="0" borderId="1" xfId="8" applyNumberFormat="1" applyFont="1" applyBorder="1"/>
    <xf numFmtId="9" fontId="5" fillId="0" borderId="1" xfId="2" applyFont="1" applyBorder="1"/>
    <xf numFmtId="174" fontId="5" fillId="0" borderId="1" xfId="2" applyNumberFormat="1" applyFont="1" applyBorder="1"/>
    <xf numFmtId="172" fontId="0" fillId="0" borderId="0" xfId="8" applyNumberFormat="1" applyFont="1"/>
    <xf numFmtId="0" fontId="2" fillId="9" borderId="6" xfId="0" applyFont="1" applyFill="1" applyBorder="1" applyAlignment="1">
      <alignment horizontal="center"/>
    </xf>
    <xf numFmtId="0" fontId="2" fillId="9" borderId="6" xfId="8" applyNumberFormat="1" applyFont="1" applyFill="1" applyBorder="1"/>
    <xf numFmtId="172" fontId="2" fillId="9" borderId="6" xfId="8" applyNumberFormat="1" applyFont="1" applyFill="1" applyBorder="1" applyAlignment="1">
      <alignment horizontal="center" vertical="center"/>
    </xf>
    <xf numFmtId="0" fontId="2" fillId="0" borderId="0" xfId="0" applyFont="1"/>
    <xf numFmtId="172" fontId="0" fillId="0" borderId="8" xfId="8" applyNumberFormat="1" applyFont="1" applyBorder="1"/>
    <xf numFmtId="172" fontId="2" fillId="0" borderId="0" xfId="8" applyNumberFormat="1" applyFont="1"/>
    <xf numFmtId="172" fontId="0" fillId="10" borderId="8" xfId="8" applyNumberFormat="1" applyFont="1" applyFill="1" applyBorder="1"/>
    <xf numFmtId="0" fontId="2" fillId="0" borderId="7" xfId="0" applyFont="1" applyBorder="1"/>
    <xf numFmtId="172" fontId="2" fillId="0" borderId="7" xfId="8" applyNumberFormat="1" applyFont="1" applyBorder="1"/>
    <xf numFmtId="0" fontId="2" fillId="8" borderId="6" xfId="0" applyFont="1" applyFill="1" applyBorder="1" applyAlignment="1">
      <alignment horizontal="center"/>
    </xf>
    <xf numFmtId="0" fontId="2" fillId="8" borderId="6" xfId="8" applyNumberFormat="1" applyFont="1" applyFill="1" applyBorder="1"/>
    <xf numFmtId="172" fontId="2" fillId="8" borderId="6" xfId="8" applyNumberFormat="1" applyFont="1" applyFill="1" applyBorder="1" applyAlignment="1">
      <alignment horizontal="center" vertical="center"/>
    </xf>
    <xf numFmtId="172" fontId="2" fillId="0" borderId="0" xfId="8" applyNumberFormat="1" applyFont="1" applyFill="1"/>
    <xf numFmtId="172" fontId="0" fillId="0" borderId="0" xfId="8" applyNumberFormat="1" applyFont="1" applyFill="1"/>
    <xf numFmtId="172" fontId="2" fillId="0" borderId="7" xfId="8" applyNumberFormat="1" applyFont="1" applyFill="1" applyBorder="1"/>
    <xf numFmtId="172" fontId="2" fillId="0" borderId="0" xfId="8" applyNumberFormat="1" applyFont="1" applyBorder="1"/>
    <xf numFmtId="0" fontId="2" fillId="0" borderId="6" xfId="0" applyFont="1" applyBorder="1" applyAlignment="1">
      <alignment horizontal="center"/>
    </xf>
    <xf numFmtId="0" fontId="2" fillId="0" borderId="6" xfId="8" applyNumberFormat="1" applyFont="1" applyBorder="1"/>
    <xf numFmtId="172" fontId="2" fillId="0" borderId="6" xfId="8" applyNumberFormat="1" applyFont="1" applyBorder="1" applyAlignment="1">
      <alignment horizontal="center" vertical="center"/>
    </xf>
    <xf numFmtId="0" fontId="0" fillId="0" borderId="0" xfId="0" quotePrefix="1" applyFont="1"/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172" fontId="2" fillId="0" borderId="0" xfId="0" applyNumberFormat="1" applyFont="1"/>
    <xf numFmtId="0" fontId="2" fillId="0" borderId="0" xfId="0" applyFont="1" applyAlignment="1">
      <alignment horizontal="center"/>
    </xf>
    <xf numFmtId="0" fontId="6" fillId="0" borderId="0" xfId="0" applyFont="1"/>
    <xf numFmtId="0" fontId="12" fillId="0" borderId="0" xfId="0" applyFont="1"/>
    <xf numFmtId="0" fontId="0" fillId="0" borderId="0" xfId="0" applyFont="1" applyAlignment="1">
      <alignment horizontal="right"/>
    </xf>
    <xf numFmtId="3" fontId="2" fillId="2" borderId="1" xfId="0" applyNumberFormat="1" applyFont="1" applyFill="1" applyBorder="1"/>
    <xf numFmtId="0" fontId="6" fillId="0" borderId="0" xfId="0" applyFont="1" applyAlignment="1">
      <alignment horizontal="right"/>
    </xf>
    <xf numFmtId="3" fontId="0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13" fillId="0" borderId="0" xfId="0" applyFont="1" applyAlignment="1">
      <alignment horizontal="right"/>
    </xf>
    <xf numFmtId="3" fontId="13" fillId="0" borderId="0" xfId="0" applyNumberFormat="1" applyFont="1"/>
    <xf numFmtId="0" fontId="13" fillId="0" borderId="0" xfId="0" applyFont="1"/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7" fillId="12" borderId="24" xfId="0" applyFont="1" applyFill="1" applyBorder="1"/>
    <xf numFmtId="0" fontId="12" fillId="13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2" fillId="13" borderId="13" xfId="0" applyFont="1" applyFill="1" applyBorder="1" applyAlignment="1">
      <alignment horizontal="center"/>
    </xf>
    <xf numFmtId="169" fontId="6" fillId="0" borderId="29" xfId="0" applyNumberFormat="1" applyFont="1" applyBorder="1"/>
    <xf numFmtId="169" fontId="6" fillId="0" borderId="30" xfId="0" applyNumberFormat="1" applyFont="1" applyBorder="1"/>
    <xf numFmtId="169" fontId="6" fillId="0" borderId="31" xfId="0" applyNumberFormat="1" applyFont="1" applyBorder="1"/>
    <xf numFmtId="169" fontId="6" fillId="0" borderId="32" xfId="0" applyNumberFormat="1" applyFont="1" applyBorder="1"/>
    <xf numFmtId="169" fontId="6" fillId="0" borderId="35" xfId="0" applyNumberFormat="1" applyFont="1" applyBorder="1"/>
    <xf numFmtId="169" fontId="6" fillId="0" borderId="36" xfId="0" applyNumberFormat="1" applyFont="1" applyBorder="1"/>
    <xf numFmtId="169" fontId="7" fillId="0" borderId="0" xfId="4" applyNumberFormat="1" applyFont="1" applyFill="1" applyBorder="1"/>
    <xf numFmtId="169" fontId="6" fillId="0" borderId="38" xfId="0" applyNumberFormat="1" applyFont="1" applyBorder="1"/>
    <xf numFmtId="169" fontId="6" fillId="0" borderId="39" xfId="0" applyNumberFormat="1" applyFont="1" applyBorder="1"/>
    <xf numFmtId="169" fontId="7" fillId="11" borderId="40" xfId="4" applyNumberFormat="1" applyFont="1" applyFill="1" applyBorder="1"/>
    <xf numFmtId="169" fontId="7" fillId="11" borderId="25" xfId="4" applyNumberFormat="1" applyFont="1" applyFill="1" applyBorder="1"/>
    <xf numFmtId="169" fontId="7" fillId="11" borderId="41" xfId="4" applyNumberFormat="1" applyFont="1" applyFill="1" applyBorder="1"/>
    <xf numFmtId="175" fontId="2" fillId="0" borderId="1" xfId="2" applyNumberFormat="1" applyFont="1" applyBorder="1" applyAlignment="1">
      <alignment horizontal="center"/>
    </xf>
    <xf numFmtId="175" fontId="2" fillId="3" borderId="1" xfId="2" applyNumberFormat="1" applyFont="1" applyFill="1" applyBorder="1" applyAlignment="1">
      <alignment horizontal="center"/>
    </xf>
    <xf numFmtId="172" fontId="12" fillId="0" borderId="1" xfId="8" applyNumberFormat="1" applyFont="1" applyBorder="1"/>
    <xf numFmtId="169" fontId="0" fillId="17" borderId="1" xfId="1" applyNumberFormat="1" applyFont="1" applyFill="1" applyBorder="1"/>
    <xf numFmtId="9" fontId="0" fillId="0" borderId="0" xfId="1" applyNumberFormat="1" applyFont="1"/>
    <xf numFmtId="0" fontId="6" fillId="18" borderId="1" xfId="9" applyFont="1" applyBorder="1"/>
    <xf numFmtId="172" fontId="6" fillId="18" borderId="1" xfId="9" applyNumberFormat="1" applyFont="1" applyBorder="1"/>
    <xf numFmtId="169" fontId="9" fillId="0" borderId="2" xfId="7" applyNumberFormat="1" applyFont="1" applyBorder="1" applyAlignment="1">
      <alignment horizontal="center" textRotation="90"/>
    </xf>
    <xf numFmtId="0" fontId="2" fillId="0" borderId="1" xfId="0" applyFont="1" applyBorder="1" applyAlignment="1">
      <alignment textRotation="90"/>
    </xf>
    <xf numFmtId="0" fontId="12" fillId="0" borderId="0" xfId="0" applyFont="1" applyAlignment="1">
      <alignment horizontal="center"/>
    </xf>
    <xf numFmtId="169" fontId="9" fillId="0" borderId="2" xfId="7" applyNumberFormat="1" applyFont="1" applyBorder="1" applyAlignment="1">
      <alignment horizontal="center" textRotation="90" wrapText="1"/>
    </xf>
    <xf numFmtId="169" fontId="9" fillId="0" borderId="42" xfId="7" applyNumberFormat="1" applyFont="1" applyBorder="1" applyAlignment="1">
      <alignment horizontal="center"/>
    </xf>
    <xf numFmtId="169" fontId="9" fillId="0" borderId="43" xfId="7" applyNumberFormat="1" applyFont="1" applyBorder="1" applyAlignment="1">
      <alignment horizontal="center"/>
    </xf>
    <xf numFmtId="169" fontId="9" fillId="0" borderId="44" xfId="7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0" xfId="0" applyFont="1" applyFill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wrapText="1"/>
    </xf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7" xfId="0" quotePrefix="1" applyBorder="1" applyAlignment="1">
      <alignment horizontal="center"/>
    </xf>
    <xf numFmtId="0" fontId="0" fillId="0" borderId="0" xfId="0" quotePrefix="1"/>
    <xf numFmtId="172" fontId="0" fillId="0" borderId="0" xfId="0" applyNumberFormat="1"/>
    <xf numFmtId="169" fontId="0" fillId="0" borderId="0" xfId="0" applyNumberFormat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3" fontId="0" fillId="0" borderId="0" xfId="0" applyNumberFormat="1"/>
    <xf numFmtId="1" fontId="0" fillId="0" borderId="0" xfId="0" applyNumberFormat="1"/>
    <xf numFmtId="43" fontId="0" fillId="0" borderId="0" xfId="0" applyNumberFormat="1" applyAlignment="1">
      <alignment horizontal="center"/>
    </xf>
    <xf numFmtId="165" fontId="0" fillId="0" borderId="0" xfId="0" applyNumberFormat="1"/>
    <xf numFmtId="43" fontId="0" fillId="0" borderId="0" xfId="0" applyNumberFormat="1"/>
    <xf numFmtId="0" fontId="0" fillId="15" borderId="18" xfId="0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164" fontId="0" fillId="0" borderId="0" xfId="0" applyNumberFormat="1"/>
    <xf numFmtId="0" fontId="7" fillId="11" borderId="21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6" fillId="14" borderId="45" xfId="0" applyFont="1" applyFill="1" applyBorder="1" applyAlignment="1">
      <alignment horizontal="center"/>
    </xf>
    <xf numFmtId="0" fontId="6" fillId="14" borderId="28" xfId="0" applyFont="1" applyFill="1" applyBorder="1" applyAlignment="1">
      <alignment horizontal="center"/>
    </xf>
    <xf numFmtId="0" fontId="6" fillId="14" borderId="33" xfId="0" applyFont="1" applyFill="1" applyBorder="1" applyAlignment="1">
      <alignment horizontal="center"/>
    </xf>
    <xf numFmtId="0" fontId="6" fillId="14" borderId="34" xfId="0" applyFont="1" applyFill="1" applyBorder="1" applyAlignment="1">
      <alignment horizontal="center"/>
    </xf>
    <xf numFmtId="0" fontId="6" fillId="14" borderId="46" xfId="0" applyFont="1" applyFill="1" applyBorder="1" applyAlignment="1">
      <alignment horizontal="center"/>
    </xf>
    <xf numFmtId="0" fontId="6" fillId="14" borderId="37" xfId="0" applyFont="1" applyFill="1" applyBorder="1" applyAlignment="1">
      <alignment horizontal="center"/>
    </xf>
    <xf numFmtId="0" fontId="7" fillId="11" borderId="23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</cellXfs>
  <cellStyles count="10">
    <cellStyle name="Migliaia" xfId="1" builtinId="3"/>
    <cellStyle name="Migliaia [0]" xfId="6" builtinId="6"/>
    <cellStyle name="Migliaia 2" xfId="4" xr:uid="{00000000-0005-0000-0000-000002000000}"/>
    <cellStyle name="Migliaia 3" xfId="7" xr:uid="{00000000-0005-0000-0000-000003000000}"/>
    <cellStyle name="Migliaia 4" xfId="8" xr:uid="{00000000-0005-0000-0000-000004000000}"/>
    <cellStyle name="Neutrale" xfId="9" builtinId="28"/>
    <cellStyle name="Normale" xfId="0" builtinId="0"/>
    <cellStyle name="Normale 2" xfId="3" xr:uid="{00000000-0005-0000-0000-000007000000}"/>
    <cellStyle name="Percentuale" xfId="2" builtinId="5"/>
    <cellStyle name="Percentuale 2" xfId="5" xr:uid="{00000000-0005-0000-0000-000009000000}"/>
  </cellStyles>
  <dxfs count="0"/>
  <tableStyles count="0" defaultTableStyle="TableStyleMedium9" defaultPivotStyle="PivotStyleLight16"/>
  <colors>
    <mruColors>
      <color rgb="FF0000FF"/>
      <color rgb="FFCCFFFF"/>
      <color rgb="FFFFFF99"/>
      <color rgb="FF99FF66"/>
      <color rgb="FFFAF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BEP</a:t>
            </a:r>
          </a:p>
        </c:rich>
      </c:tx>
      <c:layout>
        <c:manualLayout>
          <c:xMode val="edge"/>
          <c:yMode val="edge"/>
          <c:x val="0.41340467381336371"/>
          <c:y val="2.91013761401371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04389280420352"/>
          <c:y val="0.13407043720702227"/>
          <c:w val="0.80180773234468616"/>
          <c:h val="0.74605665212364014"/>
        </c:manualLayout>
      </c:layout>
      <c:scatterChart>
        <c:scatterStyle val="lineMarker"/>
        <c:varyColors val="0"/>
        <c:ser>
          <c:idx val="0"/>
          <c:order val="0"/>
          <c:tx>
            <c:v>CF</c:v>
          </c:tx>
          <c:spPr>
            <a:ln w="25400">
              <a:solidFill>
                <a:schemeClr val="accent2">
                  <a:lumMod val="75000"/>
                </a:schemeClr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</c:marker>
          <c:xVal>
            <c:numRef>
              <c:f>BEP!$A$17:$A$37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BEP!$C$17:$C$37</c:f>
              <c:numCache>
                <c:formatCode>#,##0</c:formatCode>
                <c:ptCount val="21"/>
                <c:pt idx="0">
                  <c:v>95520</c:v>
                </c:pt>
                <c:pt idx="1">
                  <c:v>95520</c:v>
                </c:pt>
                <c:pt idx="2">
                  <c:v>95520</c:v>
                </c:pt>
                <c:pt idx="3">
                  <c:v>95520</c:v>
                </c:pt>
                <c:pt idx="4">
                  <c:v>95520</c:v>
                </c:pt>
                <c:pt idx="5">
                  <c:v>95520</c:v>
                </c:pt>
                <c:pt idx="6">
                  <c:v>95520</c:v>
                </c:pt>
                <c:pt idx="7">
                  <c:v>95520</c:v>
                </c:pt>
                <c:pt idx="8">
                  <c:v>95520</c:v>
                </c:pt>
                <c:pt idx="9">
                  <c:v>95520</c:v>
                </c:pt>
                <c:pt idx="10">
                  <c:v>95520</c:v>
                </c:pt>
                <c:pt idx="11">
                  <c:v>95520</c:v>
                </c:pt>
                <c:pt idx="12">
                  <c:v>95520</c:v>
                </c:pt>
                <c:pt idx="13">
                  <c:v>95520</c:v>
                </c:pt>
                <c:pt idx="14">
                  <c:v>95520</c:v>
                </c:pt>
                <c:pt idx="15">
                  <c:v>95520</c:v>
                </c:pt>
                <c:pt idx="16">
                  <c:v>95520</c:v>
                </c:pt>
                <c:pt idx="17">
                  <c:v>95520</c:v>
                </c:pt>
                <c:pt idx="18">
                  <c:v>95520</c:v>
                </c:pt>
                <c:pt idx="19">
                  <c:v>95520</c:v>
                </c:pt>
                <c:pt idx="20">
                  <c:v>95520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F-4D25-BB31-5804A2D071EA}"/>
            </c:ext>
          </c:extLst>
        </c:ser>
        <c:ser>
          <c:idx val="1"/>
          <c:order val="1"/>
          <c:tx>
            <c:v>CT</c:v>
          </c:tx>
          <c:spPr>
            <a:ln w="25400">
              <a:solidFill>
                <a:srgbClr val="FF0000"/>
              </a:solidFill>
              <a:prstDash val="solid"/>
            </a:ln>
            <a:effectLst/>
          </c:spPr>
          <c:marker>
            <c:symbol val="circle"/>
            <c:size val="5"/>
            <c:spPr>
              <a:solidFill>
                <a:srgbClr val="CC0000"/>
              </a:solidFill>
              <a:ln>
                <a:solidFill>
                  <a:srgbClr val="CC0000"/>
                </a:solidFill>
                <a:prstDash val="solid"/>
              </a:ln>
              <a:effectLst/>
            </c:spPr>
          </c:marker>
          <c:xVal>
            <c:numRef>
              <c:f>BEP!$A$17:$A$37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BEP!$D$17:$D$37</c:f>
              <c:numCache>
                <c:formatCode>0</c:formatCode>
                <c:ptCount val="21"/>
                <c:pt idx="0">
                  <c:v>95520</c:v>
                </c:pt>
                <c:pt idx="1">
                  <c:v>100930</c:v>
                </c:pt>
                <c:pt idx="2">
                  <c:v>106340</c:v>
                </c:pt>
                <c:pt idx="3">
                  <c:v>111750</c:v>
                </c:pt>
                <c:pt idx="4">
                  <c:v>117160</c:v>
                </c:pt>
                <c:pt idx="5">
                  <c:v>122570</c:v>
                </c:pt>
                <c:pt idx="6">
                  <c:v>127980</c:v>
                </c:pt>
                <c:pt idx="7">
                  <c:v>133390</c:v>
                </c:pt>
                <c:pt idx="8">
                  <c:v>138800</c:v>
                </c:pt>
                <c:pt idx="9">
                  <c:v>144210</c:v>
                </c:pt>
                <c:pt idx="10">
                  <c:v>149620</c:v>
                </c:pt>
                <c:pt idx="11">
                  <c:v>155030</c:v>
                </c:pt>
                <c:pt idx="12">
                  <c:v>160440</c:v>
                </c:pt>
                <c:pt idx="13">
                  <c:v>165850</c:v>
                </c:pt>
                <c:pt idx="14">
                  <c:v>171260</c:v>
                </c:pt>
                <c:pt idx="15">
                  <c:v>176670</c:v>
                </c:pt>
                <c:pt idx="16">
                  <c:v>182080</c:v>
                </c:pt>
                <c:pt idx="17">
                  <c:v>187490</c:v>
                </c:pt>
                <c:pt idx="18">
                  <c:v>192900</c:v>
                </c:pt>
                <c:pt idx="19">
                  <c:v>198310</c:v>
                </c:pt>
                <c:pt idx="20">
                  <c:v>203720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FF-4D25-BB31-5804A2D071EA}"/>
            </c:ext>
          </c:extLst>
        </c:ser>
        <c:ser>
          <c:idx val="2"/>
          <c:order val="2"/>
          <c:tx>
            <c:v>R</c:v>
          </c:tx>
          <c:spPr>
            <a:ln w="25400">
              <a:solidFill>
                <a:srgbClr val="00CC6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6600"/>
              </a:solidFill>
              <a:ln>
                <a:solidFill>
                  <a:srgbClr val="006600"/>
                </a:solidFill>
                <a:prstDash val="solid"/>
              </a:ln>
            </c:spPr>
          </c:marker>
          <c:xVal>
            <c:numRef>
              <c:f>BEP!$A$17:$A$37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BEP!$E$17:$E$37</c:f>
              <c:numCache>
                <c:formatCode>General</c:formatCode>
                <c:ptCount val="21"/>
                <c:pt idx="0">
                  <c:v>0</c:v>
                </c:pt>
                <c:pt idx="1">
                  <c:v>12000</c:v>
                </c:pt>
                <c:pt idx="2">
                  <c:v>24000</c:v>
                </c:pt>
                <c:pt idx="3">
                  <c:v>36000</c:v>
                </c:pt>
                <c:pt idx="4">
                  <c:v>48000</c:v>
                </c:pt>
                <c:pt idx="5">
                  <c:v>60000</c:v>
                </c:pt>
                <c:pt idx="6">
                  <c:v>72000</c:v>
                </c:pt>
                <c:pt idx="7">
                  <c:v>84000</c:v>
                </c:pt>
                <c:pt idx="8">
                  <c:v>96000</c:v>
                </c:pt>
                <c:pt idx="9">
                  <c:v>108000</c:v>
                </c:pt>
                <c:pt idx="10">
                  <c:v>120000</c:v>
                </c:pt>
                <c:pt idx="11">
                  <c:v>132000</c:v>
                </c:pt>
                <c:pt idx="12">
                  <c:v>144000</c:v>
                </c:pt>
                <c:pt idx="13">
                  <c:v>156000</c:v>
                </c:pt>
                <c:pt idx="14">
                  <c:v>168000</c:v>
                </c:pt>
                <c:pt idx="15">
                  <c:v>180000</c:v>
                </c:pt>
                <c:pt idx="16">
                  <c:v>192000</c:v>
                </c:pt>
                <c:pt idx="17">
                  <c:v>204000</c:v>
                </c:pt>
                <c:pt idx="18">
                  <c:v>216000</c:v>
                </c:pt>
                <c:pt idx="19">
                  <c:v>228000</c:v>
                </c:pt>
                <c:pt idx="20">
                  <c:v>240000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FF-4D25-BB31-5804A2D071EA}"/>
            </c:ext>
          </c:extLst>
        </c:ser>
        <c:ser>
          <c:idx val="3"/>
          <c:order val="3"/>
          <c:tx>
            <c:v>CV</c:v>
          </c:tx>
          <c:marker>
            <c:symbol val="circle"/>
            <c:size val="5"/>
            <c:spPr>
              <a:solidFill>
                <a:srgbClr val="FDA403"/>
              </a:solidFill>
              <a:ln>
                <a:solidFill>
                  <a:srgbClr val="FDA403"/>
                </a:solidFill>
              </a:ln>
            </c:spPr>
          </c:marker>
          <c:xVal>
            <c:numRef>
              <c:f>BEP!$A$17:$A$37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BEP!$B$17:$B$37</c:f>
              <c:numCache>
                <c:formatCode>0</c:formatCode>
                <c:ptCount val="21"/>
                <c:pt idx="0">
                  <c:v>0</c:v>
                </c:pt>
                <c:pt idx="1">
                  <c:v>5410</c:v>
                </c:pt>
                <c:pt idx="2">
                  <c:v>10820</c:v>
                </c:pt>
                <c:pt idx="3">
                  <c:v>16230</c:v>
                </c:pt>
                <c:pt idx="4">
                  <c:v>21640</c:v>
                </c:pt>
                <c:pt idx="5">
                  <c:v>27050</c:v>
                </c:pt>
                <c:pt idx="6">
                  <c:v>32460</c:v>
                </c:pt>
                <c:pt idx="7">
                  <c:v>37870</c:v>
                </c:pt>
                <c:pt idx="8">
                  <c:v>43280</c:v>
                </c:pt>
                <c:pt idx="9">
                  <c:v>48690</c:v>
                </c:pt>
                <c:pt idx="10">
                  <c:v>54100</c:v>
                </c:pt>
                <c:pt idx="11">
                  <c:v>59510</c:v>
                </c:pt>
                <c:pt idx="12">
                  <c:v>64920</c:v>
                </c:pt>
                <c:pt idx="13">
                  <c:v>70330</c:v>
                </c:pt>
                <c:pt idx="14">
                  <c:v>75740</c:v>
                </c:pt>
                <c:pt idx="15">
                  <c:v>81150</c:v>
                </c:pt>
                <c:pt idx="16">
                  <c:v>86560</c:v>
                </c:pt>
                <c:pt idx="17">
                  <c:v>91970</c:v>
                </c:pt>
                <c:pt idx="18">
                  <c:v>97380</c:v>
                </c:pt>
                <c:pt idx="19">
                  <c:v>102790</c:v>
                </c:pt>
                <c:pt idx="20">
                  <c:v>108200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FF-4D25-BB31-5804A2D07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74048"/>
        <c:axId val="55488896"/>
      </c:scatterChart>
      <c:valAx>
        <c:axId val="55474048"/>
        <c:scaling>
          <c:orientation val="minMax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Quantities</a:t>
                </a:r>
              </a:p>
            </c:rich>
          </c:tx>
          <c:layout>
            <c:manualLayout>
              <c:xMode val="edge"/>
              <c:yMode val="edge"/>
              <c:x val="0.427630775068779"/>
              <c:y val="0.92860254346659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55488896"/>
        <c:crosses val="autoZero"/>
        <c:crossBetween val="midCat"/>
        <c:majorUnit val="2"/>
        <c:minorUnit val="2"/>
      </c:valAx>
      <c:valAx>
        <c:axId val="55488896"/>
        <c:scaling>
          <c:orientation val="minMax"/>
          <c:max val="2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it-IT"/>
                  <a:t>€</a:t>
                </a:r>
              </a:p>
            </c:rich>
          </c:tx>
          <c:layout>
            <c:manualLayout>
              <c:xMode val="edge"/>
              <c:yMode val="edge"/>
              <c:x val="2.6726876007968883E-2"/>
              <c:y val="0.41800321921085831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55474048"/>
        <c:crosses val="autoZero"/>
        <c:crossBetween val="midCat"/>
        <c:majorUnit val="4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719920825503221"/>
          <c:y val="0.37180716400356129"/>
          <c:w val="6.2560268834931682E-2"/>
          <c:h val="0.2542819110139298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0.75000000000000011" l="0.70000000000000007" r="0.70000000000000007" t="0.7500000000000001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rgbClr val="009242"/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9242"/>
                </a:solidFill>
              </a:rPr>
              <a:t>cas</a:t>
            </a:r>
            <a:r>
              <a:rPr lang="it-IT" baseline="0">
                <a:solidFill>
                  <a:srgbClr val="009242"/>
                </a:solidFill>
              </a:rPr>
              <a:t>h flow</a:t>
            </a:r>
            <a:endParaRPr lang="it-IT">
              <a:solidFill>
                <a:srgbClr val="00924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173956377198254E-2"/>
          <c:y val="0.18148915047704128"/>
          <c:w val="0.8747953841680346"/>
          <c:h val="0.71820757491985765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dLbl>
              <c:idx val="0"/>
              <c:layout>
                <c:manualLayout>
                  <c:x val="7.2647646806911784E-2"/>
                  <c:y val="-1.460988451075217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447-4FDD-8FBA-C0AA273BCAD5}"/>
                </c:ext>
              </c:extLst>
            </c:dLbl>
            <c:dLbl>
              <c:idx val="1"/>
              <c:layout>
                <c:manualLayout>
                  <c:x val="-1.532374192397389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447-4FDD-8FBA-C0AA273BCAD5}"/>
                </c:ext>
              </c:extLst>
            </c:dLbl>
            <c:dLbl>
              <c:idx val="2"/>
              <c:layout>
                <c:manualLayout>
                  <c:x val="-2.369952375049669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447-4FDD-8FBA-C0AA273BCAD5}"/>
                </c:ext>
              </c:extLst>
            </c:dLbl>
            <c:dLbl>
              <c:idx val="3"/>
              <c:layout>
                <c:manualLayout>
                  <c:x val="-2.1247416115714766E-2"/>
                  <c:y val="7.9267648230694884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447-4FDD-8FBA-C0AA273BCAD5}"/>
                </c:ext>
              </c:extLst>
            </c:dLbl>
            <c:dLbl>
              <c:idx val="4"/>
              <c:layout>
                <c:manualLayout>
                  <c:x val="-2.3699523750496696E-2"/>
                  <c:y val="-3.963382411534744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447-4FDD-8FBA-C0AA273BCA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NPV!$C$10:$G$10</c:f>
              <c:numCache>
                <c:formatCode>_-* #,##0_-;\-* #,##0_-;_-* "-"??_-;_-@_-</c:formatCode>
                <c:ptCount val="5"/>
                <c:pt idx="0">
                  <c:v>30150.925259356725</c:v>
                </c:pt>
                <c:pt idx="1">
                  <c:v>363167.06332783378</c:v>
                </c:pt>
                <c:pt idx="2">
                  <c:v>696183.20139631082</c:v>
                </c:pt>
                <c:pt idx="3">
                  <c:v>1029199.3394647881</c:v>
                </c:pt>
                <c:pt idx="4">
                  <c:v>1362215.477533265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7-4FDD-8FBA-C0AA273BCA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56354304"/>
        <c:axId val="56355456"/>
      </c:barChart>
      <c:catAx>
        <c:axId val="5635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55456"/>
        <c:crosses val="autoZero"/>
        <c:auto val="1"/>
        <c:lblAlgn val="ctr"/>
        <c:lblOffset val="100"/>
        <c:noMultiLvlLbl val="0"/>
      </c:catAx>
      <c:valAx>
        <c:axId val="56355456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5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rgbClr val="009242"/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9242"/>
                </a:solidFill>
              </a:rPr>
              <a:t>cas</a:t>
            </a:r>
            <a:r>
              <a:rPr lang="it-IT" baseline="0">
                <a:solidFill>
                  <a:srgbClr val="009242"/>
                </a:solidFill>
              </a:rPr>
              <a:t>h flow</a:t>
            </a:r>
            <a:endParaRPr lang="it-IT">
              <a:solidFill>
                <a:srgbClr val="009242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9173956377198254E-2"/>
          <c:y val="0.18148915047704128"/>
          <c:w val="0.8747953841680346"/>
          <c:h val="0.71820757491985765"/>
        </c:manualLayout>
      </c:layout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dLbl>
              <c:idx val="0"/>
              <c:layout>
                <c:manualLayout>
                  <c:x val="7.2647646806911784E-2"/>
                  <c:y val="-1.460988451075217E-16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93-4909-B277-5A71840EBBDB}"/>
                </c:ext>
              </c:extLst>
            </c:dLbl>
            <c:dLbl>
              <c:idx val="1"/>
              <c:layout>
                <c:manualLayout>
                  <c:x val="-1.532374192397389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893-4909-B277-5A71840EBBDB}"/>
                </c:ext>
              </c:extLst>
            </c:dLbl>
            <c:dLbl>
              <c:idx val="2"/>
              <c:layout>
                <c:manualLayout>
                  <c:x val="-2.3699523750496696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93-4909-B277-5A71840EBBDB}"/>
                </c:ext>
              </c:extLst>
            </c:dLbl>
            <c:dLbl>
              <c:idx val="3"/>
              <c:layout>
                <c:manualLayout>
                  <c:x val="-2.1247416115714766E-2"/>
                  <c:y val="7.9267648230694884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893-4909-B277-5A71840EBBDB}"/>
                </c:ext>
              </c:extLst>
            </c:dLbl>
            <c:dLbl>
              <c:idx val="4"/>
              <c:layout>
                <c:manualLayout>
                  <c:x val="-2.3699523750496696E-2"/>
                  <c:y val="-3.9633824115347442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893-4909-B277-5A71840EBB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'[1]Calcolo VAN'!$C$10:$G$10</c:f>
              <c:numCache>
                <c:formatCode>_-* #,##0_-;\-* #,##0_-;_-* "-"??_-;_-@_-</c:formatCode>
                <c:ptCount val="5"/>
                <c:pt idx="0">
                  <c:v>30150.925259356725</c:v>
                </c:pt>
                <c:pt idx="1">
                  <c:v>363167.06332783378</c:v>
                </c:pt>
                <c:pt idx="2">
                  <c:v>696183.20139631082</c:v>
                </c:pt>
                <c:pt idx="3">
                  <c:v>1029199.3394647881</c:v>
                </c:pt>
                <c:pt idx="4">
                  <c:v>1362215.477533265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93-4909-B277-5A71840EBB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56354304"/>
        <c:axId val="56355456"/>
      </c:barChart>
      <c:catAx>
        <c:axId val="56354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55456"/>
        <c:crosses val="autoZero"/>
        <c:auto val="1"/>
        <c:lblAlgn val="ctr"/>
        <c:lblOffset val="100"/>
        <c:noMultiLvlLbl val="0"/>
      </c:catAx>
      <c:valAx>
        <c:axId val="56355456"/>
        <c:scaling>
          <c:orientation val="minMax"/>
        </c:scaling>
        <c:delete val="0"/>
        <c:axPos val="b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635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141724</xdr:colOff>
      <xdr:row>16</xdr:row>
      <xdr:rowOff>125727</xdr:rowOff>
    </xdr:from>
    <xdr:ext cx="436786" cy="1245872"/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 rot="16200000">
          <a:off x="8385881" y="3456350"/>
          <a:ext cx="124587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t-IT" sz="1100" b="1"/>
            <a:t>% new customers by word of mouth</a:t>
          </a:r>
        </a:p>
      </xdr:txBody>
    </xdr:sp>
    <xdr:clientData/>
  </xdr:oneCellAnchor>
  <xdr:oneCellAnchor>
    <xdr:from>
      <xdr:col>7</xdr:col>
      <xdr:colOff>144780</xdr:colOff>
      <xdr:row>8</xdr:row>
      <xdr:rowOff>129540</xdr:rowOff>
    </xdr:from>
    <xdr:ext cx="436786" cy="1245872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DF4C60E6-25F0-402B-801A-5784A710EA65}"/>
            </a:ext>
          </a:extLst>
        </xdr:cNvPr>
        <xdr:cNvSpPr txBox="1"/>
      </xdr:nvSpPr>
      <xdr:spPr>
        <a:xfrm rot="16200000">
          <a:off x="8388937" y="1997123"/>
          <a:ext cx="124587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t-IT" sz="1100" b="1"/>
            <a:t>% new customers by word of mouth</a:t>
          </a:r>
        </a:p>
      </xdr:txBody>
    </xdr:sp>
    <xdr:clientData/>
  </xdr:oneCellAnchor>
  <xdr:oneCellAnchor>
    <xdr:from>
      <xdr:col>7</xdr:col>
      <xdr:colOff>137160</xdr:colOff>
      <xdr:row>0</xdr:row>
      <xdr:rowOff>152400</xdr:rowOff>
    </xdr:from>
    <xdr:ext cx="436786" cy="1245872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949E7E6E-4E7E-468D-828E-C30D26C6D41F}"/>
            </a:ext>
          </a:extLst>
        </xdr:cNvPr>
        <xdr:cNvSpPr txBox="1"/>
      </xdr:nvSpPr>
      <xdr:spPr>
        <a:xfrm rot="16200000">
          <a:off x="8381317" y="556943"/>
          <a:ext cx="124587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t-IT" sz="1100" b="1"/>
            <a:t>% new customers by word of mouth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5</xdr:row>
      <xdr:rowOff>146050</xdr:rowOff>
    </xdr:from>
    <xdr:to>
      <xdr:col>4</xdr:col>
      <xdr:colOff>266700</xdr:colOff>
      <xdr:row>7</xdr:row>
      <xdr:rowOff>19050</xdr:rowOff>
    </xdr:to>
    <xdr:cxnSp macro="">
      <xdr:nvCxnSpPr>
        <xdr:cNvPr id="3" name="Connettore 2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16200000" flipH="1">
          <a:off x="2794000" y="958850"/>
          <a:ext cx="190500" cy="889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486832</xdr:colOff>
      <xdr:row>24</xdr:row>
      <xdr:rowOff>1</xdr:rowOff>
    </xdr:from>
    <xdr:ext cx="3217334" cy="359833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C1C2DFFA-6A7D-4C87-9BC6-939295744A14}"/>
            </a:ext>
          </a:extLst>
        </xdr:cNvPr>
        <xdr:cNvSpPr txBox="1"/>
      </xdr:nvSpPr>
      <xdr:spPr>
        <a:xfrm>
          <a:off x="5790352" y="4389121"/>
          <a:ext cx="3217334" cy="35983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Questi sono i costi variabili, legati ai </a:t>
          </a:r>
          <a:r>
            <a:rPr lang="it-IT" sz="1100" b="1">
              <a:latin typeface="Times New Roman" panose="02020603050405020304" pitchFamily="18" charset="0"/>
              <a:cs typeface="Times New Roman" panose="02020603050405020304" pitchFamily="18" charset="0"/>
            </a:rPr>
            <a:t>volumi di vendita</a:t>
          </a:r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 possono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quindi essere molto più articolati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491064</xdr:colOff>
      <xdr:row>27</xdr:row>
      <xdr:rowOff>4233</xdr:rowOff>
    </xdr:from>
    <xdr:ext cx="3943351" cy="175683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2D0F4064-FC51-4E1F-8E4E-E0CA0DE47F06}"/>
            </a:ext>
          </a:extLst>
        </xdr:cNvPr>
        <xdr:cNvSpPr txBox="1"/>
      </xdr:nvSpPr>
      <xdr:spPr>
        <a:xfrm>
          <a:off x="5794584" y="4941993"/>
          <a:ext cx="3943351" cy="17568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E'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complicato definire se è variabile o fissa, la mettiamo a parte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465666</xdr:colOff>
      <xdr:row>33</xdr:row>
      <xdr:rowOff>0</xdr:rowOff>
    </xdr:from>
    <xdr:ext cx="3943351" cy="175683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FE3F9692-F001-430B-9AD0-DC1724E3CC1D}"/>
            </a:ext>
          </a:extLst>
        </xdr:cNvPr>
        <xdr:cNvSpPr txBox="1"/>
      </xdr:nvSpPr>
      <xdr:spPr>
        <a:xfrm>
          <a:off x="5769186" y="6035040"/>
          <a:ext cx="3943351" cy="17568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Sono i costi legati alla ricerca e sviluppo, pubblicità,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ecc...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469899</xdr:colOff>
      <xdr:row>34</xdr:row>
      <xdr:rowOff>5292</xdr:rowOff>
    </xdr:from>
    <xdr:ext cx="3943351" cy="175683"/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B05DE9B2-605F-42AA-9589-A113DC491C46}"/>
            </a:ext>
          </a:extLst>
        </xdr:cNvPr>
        <xdr:cNvSpPr txBox="1"/>
      </xdr:nvSpPr>
      <xdr:spPr>
        <a:xfrm>
          <a:off x="5773419" y="6223212"/>
          <a:ext cx="3943351" cy="17568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Misura la capacità dell'impresa di generare flussi di cassa positivi</a:t>
          </a:r>
        </a:p>
      </xdr:txBody>
    </xdr:sp>
    <xdr:clientData/>
  </xdr:oneCellAnchor>
  <xdr:oneCellAnchor>
    <xdr:from>
      <xdr:col>5</xdr:col>
      <xdr:colOff>463549</xdr:colOff>
      <xdr:row>35</xdr:row>
      <xdr:rowOff>8467</xdr:rowOff>
    </xdr:from>
    <xdr:ext cx="7442201" cy="171449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C7367774-BD9C-43B6-9731-0AF45D8A3EFA}"/>
            </a:ext>
          </a:extLst>
        </xdr:cNvPr>
        <xdr:cNvSpPr txBox="1"/>
      </xdr:nvSpPr>
      <xdr:spPr>
        <a:xfrm>
          <a:off x="5767069" y="6409267"/>
          <a:ext cx="7442201" cy="17144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Ammortamento: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quota spesata in un dato esercizio delle immobilizzazioni ma che non comporta uscita (perchè c'è stata già)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381000</xdr:colOff>
      <xdr:row>51</xdr:row>
      <xdr:rowOff>0</xdr:rowOff>
    </xdr:from>
    <xdr:ext cx="7442201" cy="328084"/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7070CF9B-B2C8-4CA6-BA61-864042498FED}"/>
            </a:ext>
          </a:extLst>
        </xdr:cNvPr>
        <xdr:cNvSpPr txBox="1"/>
      </xdr:nvSpPr>
      <xdr:spPr>
        <a:xfrm>
          <a:off x="5684520" y="9281160"/>
          <a:ext cx="7442201" cy="32808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Fondo ammortamento nel primo anno è uguale all'amm. del 1°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anno, dal 2° in poi è uguale alla somma di quello dell'anno precendete più l'ammortmento dell'anno in corso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463284</xdr:colOff>
      <xdr:row>47</xdr:row>
      <xdr:rowOff>0</xdr:rowOff>
    </xdr:from>
    <xdr:ext cx="3943351" cy="175683"/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057E3407-9395-4012-BF3E-A5D8A3F3E92F}"/>
            </a:ext>
          </a:extLst>
        </xdr:cNvPr>
        <xdr:cNvSpPr txBox="1"/>
      </xdr:nvSpPr>
      <xdr:spPr>
        <a:xfrm>
          <a:off x="5766804" y="8580120"/>
          <a:ext cx="3943351" cy="17568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Stiamo ipotizzando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di avere solo scorte di materie prime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400051</xdr:colOff>
      <xdr:row>64</xdr:row>
      <xdr:rowOff>11907</xdr:rowOff>
    </xdr:from>
    <xdr:ext cx="6888956" cy="197643"/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F82F026C-C376-477E-8025-8BF35EA265C9}"/>
            </a:ext>
          </a:extLst>
        </xdr:cNvPr>
        <xdr:cNvSpPr txBox="1"/>
      </xdr:nvSpPr>
      <xdr:spPr>
        <a:xfrm>
          <a:off x="5703571" y="11693367"/>
          <a:ext cx="6888956" cy="19764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Stiamo ipotizzando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che TUTTI i fornitori vengano pagati dopo 2 mesi, è evidente che è una semplificazione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403753</xdr:colOff>
      <xdr:row>66</xdr:row>
      <xdr:rowOff>-1</xdr:rowOff>
    </xdr:from>
    <xdr:ext cx="4763560" cy="178594"/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740D9790-7DEB-4D80-A19F-FAA479BE0175}"/>
            </a:ext>
          </a:extLst>
        </xdr:cNvPr>
        <xdr:cNvSpPr txBox="1"/>
      </xdr:nvSpPr>
      <xdr:spPr>
        <a:xfrm>
          <a:off x="5707273" y="12047219"/>
          <a:ext cx="4763560" cy="17859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Dal 2° anno in poi devo aggiungere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anche il primo anno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437091</xdr:colOff>
      <xdr:row>74</xdr:row>
      <xdr:rowOff>176212</xdr:rowOff>
    </xdr:from>
    <xdr:ext cx="4763560" cy="178594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27F0FA07-689C-4E6F-A992-8E6AEE916167}"/>
            </a:ext>
          </a:extLst>
        </xdr:cNvPr>
        <xdr:cNvSpPr txBox="1"/>
      </xdr:nvSpPr>
      <xdr:spPr>
        <a:xfrm>
          <a:off x="5740611" y="13686472"/>
          <a:ext cx="4763560" cy="17859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Utili o perdite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degli anni precedenti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468047</xdr:colOff>
      <xdr:row>46</xdr:row>
      <xdr:rowOff>0</xdr:rowOff>
    </xdr:from>
    <xdr:ext cx="7994916" cy="168539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C1AFFC2D-FB40-4316-9786-F119C832D2E8}"/>
            </a:ext>
          </a:extLst>
        </xdr:cNvPr>
        <xdr:cNvSpPr txBox="1"/>
      </xdr:nvSpPr>
      <xdr:spPr>
        <a:xfrm>
          <a:off x="5771567" y="8404860"/>
          <a:ext cx="7994916" cy="16853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Dfferenza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tra quanto viene dato di IVA ai clienti e quanto invece viene dato ai foritori, la differenza va allo Stato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328613</xdr:colOff>
      <xdr:row>55</xdr:row>
      <xdr:rowOff>14287</xdr:rowOff>
    </xdr:from>
    <xdr:ext cx="7442201" cy="533399"/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C289FBC9-C7A4-4743-A22F-7A69C8F1F556}"/>
            </a:ext>
          </a:extLst>
        </xdr:cNvPr>
        <xdr:cNvSpPr txBox="1"/>
      </xdr:nvSpPr>
      <xdr:spPr>
        <a:xfrm>
          <a:off x="5632133" y="10034587"/>
          <a:ext cx="7442201" cy="5333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IVA pagata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ai fornitori viene poi restituita dall'erario: CREDITO</a:t>
          </a:r>
        </a:p>
        <a:p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IVA imposta ricevuta dai clienti: DEBITO</a:t>
          </a:r>
        </a:p>
        <a:p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Se positiva dobbiamo noi versarla allo Stato, se negativa va divisa su 12 mesi</a:t>
          </a:r>
        </a:p>
        <a:p>
          <a:endParaRPr lang="it-IT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398992</xdr:colOff>
      <xdr:row>65</xdr:row>
      <xdr:rowOff>9525</xdr:rowOff>
    </xdr:from>
    <xdr:ext cx="6882871" cy="166687"/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E5DDA2B7-0BBD-4EEA-B972-1211E01A9B05}"/>
            </a:ext>
          </a:extLst>
        </xdr:cNvPr>
        <xdr:cNvSpPr txBox="1"/>
      </xdr:nvSpPr>
      <xdr:spPr>
        <a:xfrm>
          <a:off x="5702512" y="11873865"/>
          <a:ext cx="6882871" cy="16668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Il 1° anno non si versano e sono uguali alle imposte. Dal</a:t>
          </a:r>
          <a:r>
            <a:rPr lang="it-IT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2° si stimano le imposte sull'anno in corso</a:t>
          </a:r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it-IT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408517</xdr:colOff>
      <xdr:row>70</xdr:row>
      <xdr:rowOff>2380</xdr:rowOff>
    </xdr:from>
    <xdr:ext cx="4763560" cy="178594"/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02BC322E-EF60-466A-88A6-5EF6E48B21FC}"/>
            </a:ext>
          </a:extLst>
        </xdr:cNvPr>
        <xdr:cNvSpPr txBox="1"/>
      </xdr:nvSpPr>
      <xdr:spPr>
        <a:xfrm>
          <a:off x="5712037" y="12781120"/>
          <a:ext cx="4763560" cy="17859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0" bIns="0" rtlCol="0" anchor="t">
          <a:noAutofit/>
        </a:bodyPr>
        <a:lstStyle/>
        <a:p>
          <a:r>
            <a:rPr lang="it-IT" sz="1100">
              <a:latin typeface="Times New Roman" panose="02020603050405020304" pitchFamily="18" charset="0"/>
              <a:cs typeface="Times New Roman" panose="02020603050405020304" pitchFamily="18" charset="0"/>
            </a:rPr>
            <a:t>Fabbisogno finanziario</a:t>
          </a:r>
        </a:p>
      </xdr:txBody>
    </xdr:sp>
    <xdr:clientData/>
  </xdr:oneCellAnchor>
  <xdr:oneCellAnchor>
    <xdr:from>
      <xdr:col>11</xdr:col>
      <xdr:colOff>315078</xdr:colOff>
      <xdr:row>1</xdr:row>
      <xdr:rowOff>104773</xdr:rowOff>
    </xdr:from>
    <xdr:ext cx="436786" cy="1057278"/>
    <xdr:sp macro="" textlink="">
      <xdr:nvSpPr>
        <xdr:cNvPr id="16" name="CasellaDiTesto 15">
          <a:extLst>
            <a:ext uri="{FF2B5EF4-FFF2-40B4-BE49-F238E27FC236}">
              <a16:creationId xmlns:a16="http://schemas.microsoft.com/office/drawing/2014/main" id="{075DBC2A-216E-4BF6-A683-35AC117306EA}"/>
            </a:ext>
          </a:extLst>
        </xdr:cNvPr>
        <xdr:cNvSpPr txBox="1"/>
      </xdr:nvSpPr>
      <xdr:spPr>
        <a:xfrm rot="16200000">
          <a:off x="9880352" y="597899"/>
          <a:ext cx="10572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t-IT" sz="1100" b="1"/>
            <a:t>Incidenza materiali</a:t>
          </a:r>
        </a:p>
      </xdr:txBody>
    </xdr:sp>
    <xdr:clientData/>
  </xdr:oneCellAnchor>
  <xdr:oneCellAnchor>
    <xdr:from>
      <xdr:col>11</xdr:col>
      <xdr:colOff>315078</xdr:colOff>
      <xdr:row>9</xdr:row>
      <xdr:rowOff>104773</xdr:rowOff>
    </xdr:from>
    <xdr:ext cx="436786" cy="1057278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755BA1FA-0715-489F-A6F6-FCB36F2BA337}"/>
            </a:ext>
          </a:extLst>
        </xdr:cNvPr>
        <xdr:cNvSpPr txBox="1"/>
      </xdr:nvSpPr>
      <xdr:spPr>
        <a:xfrm rot="16200000">
          <a:off x="9880352" y="2060939"/>
          <a:ext cx="105727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t-IT" sz="1100" b="1"/>
            <a:t>Incidenza materiali</a:t>
          </a:r>
        </a:p>
      </xdr:txBody>
    </xdr:sp>
    <xdr:clientData/>
  </xdr:oneCellAnchor>
  <xdr:oneCellAnchor>
    <xdr:from>
      <xdr:col>11</xdr:col>
      <xdr:colOff>152764</xdr:colOff>
      <xdr:row>17</xdr:row>
      <xdr:rowOff>104774</xdr:rowOff>
    </xdr:from>
    <xdr:ext cx="609013" cy="1057278"/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DB504169-33EC-481F-9749-BF58955B8B42}"/>
            </a:ext>
          </a:extLst>
        </xdr:cNvPr>
        <xdr:cNvSpPr txBox="1"/>
      </xdr:nvSpPr>
      <xdr:spPr>
        <a:xfrm rot="16200000">
          <a:off x="9804152" y="3437866"/>
          <a:ext cx="105727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ctr"/>
          <a:r>
            <a:rPr lang="it-IT" sz="1100" b="1"/>
            <a:t>Tempi pagamento clienti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14</xdr:row>
      <xdr:rowOff>129540</xdr:rowOff>
    </xdr:from>
    <xdr:to>
      <xdr:col>19</xdr:col>
      <xdr:colOff>266700</xdr:colOff>
      <xdr:row>36</xdr:row>
      <xdr:rowOff>7620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DBF28B5-2BDB-468A-8DED-A7C1B8D7E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11907</xdr:colOff>
      <xdr:row>0</xdr:row>
      <xdr:rowOff>194071</xdr:rowOff>
    </xdr:from>
    <xdr:to>
      <xdr:col>13</xdr:col>
      <xdr:colOff>107156</xdr:colOff>
      <xdr:row>17</xdr:row>
      <xdr:rowOff>59530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A2E41B8-A329-427A-B0B3-6A67EF752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11907</xdr:colOff>
      <xdr:row>0</xdr:row>
      <xdr:rowOff>194071</xdr:rowOff>
    </xdr:from>
    <xdr:to>
      <xdr:col>13</xdr:col>
      <xdr:colOff>107156</xdr:colOff>
      <xdr:row>17</xdr:row>
      <xdr:rowOff>59530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EB6F2C2F-E157-49CE-81D8-01AE07541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SF09656\Downloads\Foglio%20di%20Calcolo%20Project%20Work%20(Versione%20Ridotta)%20(1).xlsx" TargetMode="External"/><Relationship Id="rId1" Type="http://schemas.openxmlformats.org/officeDocument/2006/relationships/externalLinkPath" Target="Foglio%20di%20Calcolo%20Project%20Work%20(Versione%20Ridotta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namica Clientela"/>
      <sheetName val="Tabelle Dati"/>
      <sheetName val="CCN operativo"/>
      <sheetName val="Bilancio Previsionale"/>
      <sheetName val="Calcolo BEP"/>
      <sheetName val="Calcolo VAN"/>
    </sheetNames>
    <sheetDataSet>
      <sheetData sheetId="0"/>
      <sheetData sheetId="1"/>
      <sheetData sheetId="2"/>
      <sheetData sheetId="3">
        <row r="38">
          <cell r="D38">
            <v>-2610.5062284210526</v>
          </cell>
          <cell r="E38">
            <v>-15789.848737728906</v>
          </cell>
        </row>
        <row r="40">
          <cell r="D40">
            <v>6334.2565682573077</v>
          </cell>
          <cell r="E40">
            <v>141026.55402058593</v>
          </cell>
        </row>
        <row r="66">
          <cell r="E66">
            <v>134692.29745232861</v>
          </cell>
        </row>
      </sheetData>
      <sheetData sheetId="4"/>
      <sheetData sheetId="5">
        <row r="7">
          <cell r="C7">
            <v>9482.4047160350892</v>
          </cell>
        </row>
        <row r="10">
          <cell r="C10">
            <v>30150.925259356725</v>
          </cell>
          <cell r="D10">
            <v>363167.06332783378</v>
          </cell>
          <cell r="E10">
            <v>696183.20139631082</v>
          </cell>
          <cell r="F10">
            <v>1029199.3394647881</v>
          </cell>
          <cell r="G10">
            <v>1362215.477533265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6" sqref="A6"/>
    </sheetView>
  </sheetViews>
  <sheetFormatPr defaultColWidth="9.109375" defaultRowHeight="14.4" x14ac:dyDescent="0.3"/>
  <cols>
    <col min="1" max="1" width="72.21875" style="23" bestFit="1" customWidth="1"/>
    <col min="2" max="2" width="4.44140625" style="23" customWidth="1"/>
    <col min="3" max="4" width="8.88671875" style="23" bestFit="1" customWidth="1"/>
    <col min="5" max="7" width="10.5546875" style="23" bestFit="1" customWidth="1"/>
    <col min="8" max="8" width="2.44140625" style="23" customWidth="1"/>
    <col min="9" max="9" width="5.5546875" style="23" customWidth="1"/>
    <col min="10" max="10" width="4.88671875" style="90" customWidth="1"/>
    <col min="11" max="14" width="10.5546875" style="23" bestFit="1" customWidth="1"/>
    <col min="15" max="15" width="13.88671875" style="23" bestFit="1" customWidth="1"/>
    <col min="16" max="16384" width="9.109375" style="23"/>
  </cols>
  <sheetData>
    <row r="1" spans="1:15" x14ac:dyDescent="0.3">
      <c r="A1" s="64" t="s">
        <v>118</v>
      </c>
      <c r="B1" s="65"/>
      <c r="C1" s="66" t="s">
        <v>135</v>
      </c>
      <c r="D1" s="66" t="s">
        <v>136</v>
      </c>
      <c r="E1" s="66" t="s">
        <v>137</v>
      </c>
      <c r="F1" s="66" t="s">
        <v>138</v>
      </c>
      <c r="G1" s="66" t="s">
        <v>139</v>
      </c>
      <c r="J1" s="67" t="s">
        <v>140</v>
      </c>
      <c r="K1" s="68"/>
      <c r="L1" s="68"/>
      <c r="N1" s="68"/>
      <c r="O1" s="69" t="s">
        <v>143</v>
      </c>
    </row>
    <row r="2" spans="1:15" x14ac:dyDescent="0.3">
      <c r="A2" s="70" t="s">
        <v>119</v>
      </c>
      <c r="B2" s="65"/>
      <c r="C2" s="71">
        <v>24000</v>
      </c>
      <c r="D2" s="71">
        <v>55000</v>
      </c>
      <c r="E2" s="71">
        <v>88000</v>
      </c>
      <c r="F2" s="71">
        <v>100000</v>
      </c>
      <c r="G2" s="71">
        <v>100000</v>
      </c>
      <c r="J2" s="72">
        <f>G17</f>
        <v>7486813.1054763077</v>
      </c>
      <c r="K2" s="73">
        <v>0.05</v>
      </c>
      <c r="L2" s="73">
        <v>0.1</v>
      </c>
      <c r="M2" s="74">
        <v>0.15</v>
      </c>
      <c r="N2" s="73">
        <v>0.2</v>
      </c>
      <c r="O2" s="73">
        <v>0.25</v>
      </c>
    </row>
    <row r="3" spans="1:15" x14ac:dyDescent="0.3">
      <c r="A3" s="70" t="s">
        <v>120</v>
      </c>
      <c r="B3" s="65"/>
      <c r="C3" s="71">
        <v>1200</v>
      </c>
      <c r="D3" s="75"/>
      <c r="E3" s="75"/>
      <c r="F3" s="75"/>
      <c r="G3" s="75"/>
      <c r="J3" s="73">
        <v>0.05</v>
      </c>
      <c r="K3" s="76">
        <f t="dataTable" ref="K3:O7" dt2D="1" dtr="1" r1="B6" r2="B7" ca="1"/>
        <v>7162240.2825690098</v>
      </c>
      <c r="L3" s="77">
        <v>6778306.0374070602</v>
      </c>
      <c r="M3" s="78">
        <v>6417468.3172141863</v>
      </c>
      <c r="N3" s="77">
        <v>6078575.4791332511</v>
      </c>
      <c r="O3" s="77">
        <v>5760510.3803071072</v>
      </c>
    </row>
    <row r="4" spans="1:15" x14ac:dyDescent="0.3">
      <c r="A4" s="23" t="s">
        <v>121</v>
      </c>
      <c r="B4" s="79">
        <v>0.23</v>
      </c>
      <c r="C4" s="75">
        <f>C3</f>
        <v>1200</v>
      </c>
      <c r="D4" s="75">
        <f>C4*(1-$B4)</f>
        <v>924</v>
      </c>
      <c r="E4" s="75">
        <f t="shared" ref="E4:G4" si="0">D4*(1-$B4)</f>
        <v>711.48</v>
      </c>
      <c r="F4" s="75">
        <f t="shared" si="0"/>
        <v>547.83960000000002</v>
      </c>
      <c r="G4" s="75">
        <f t="shared" si="0"/>
        <v>421.83649200000002</v>
      </c>
      <c r="J4" s="73">
        <v>0.1</v>
      </c>
      <c r="K4" s="77">
        <v>7570457.1955571827</v>
      </c>
      <c r="L4" s="77">
        <v>7162240.2825690098</v>
      </c>
      <c r="M4" s="78">
        <v>6778306.0374070583</v>
      </c>
      <c r="N4" s="77">
        <v>6417468.3172141863</v>
      </c>
      <c r="O4" s="77">
        <v>6078575.4791332511</v>
      </c>
    </row>
    <row r="5" spans="1:15" x14ac:dyDescent="0.3">
      <c r="A5" s="70" t="s">
        <v>122</v>
      </c>
      <c r="B5" s="65"/>
      <c r="C5" s="75">
        <f>C2/C4</f>
        <v>20</v>
      </c>
      <c r="D5" s="75">
        <f t="shared" ref="D5:G5" si="1">D2/D4</f>
        <v>59.523809523809526</v>
      </c>
      <c r="E5" s="75">
        <f t="shared" si="1"/>
        <v>123.68583797155226</v>
      </c>
      <c r="F5" s="75">
        <f t="shared" si="1"/>
        <v>182.53518000524241</v>
      </c>
      <c r="G5" s="75">
        <f t="shared" si="1"/>
        <v>237.05867533148364</v>
      </c>
      <c r="J5" s="74">
        <v>0.15</v>
      </c>
      <c r="K5" s="78">
        <v>8004177.4192287177</v>
      </c>
      <c r="L5" s="78">
        <v>7570457.1955571827</v>
      </c>
      <c r="M5" s="80">
        <v>7162240.2825690098</v>
      </c>
      <c r="N5" s="78">
        <v>6778306.0374070583</v>
      </c>
      <c r="O5" s="78">
        <v>6417468.3172141863</v>
      </c>
    </row>
    <row r="6" spans="1:15" x14ac:dyDescent="0.3">
      <c r="A6" s="70" t="s">
        <v>123</v>
      </c>
      <c r="B6" s="79">
        <v>0.06</v>
      </c>
      <c r="C6" s="75">
        <v>0</v>
      </c>
      <c r="D6" s="75">
        <f>C9*$B6</f>
        <v>1.2</v>
      </c>
      <c r="E6" s="75">
        <f t="shared" ref="E6:G6" si="2">D9*$B6</f>
        <v>4.8194285714285714</v>
      </c>
      <c r="F6" s="75">
        <f t="shared" si="2"/>
        <v>12.43335599257885</v>
      </c>
      <c r="G6" s="75">
        <f t="shared" si="2"/>
        <v>23.88280103259655</v>
      </c>
      <c r="J6" s="73">
        <v>0.2</v>
      </c>
      <c r="K6" s="77">
        <v>8464656.0964407604</v>
      </c>
      <c r="L6" s="77">
        <v>8004177.4192287177</v>
      </c>
      <c r="M6" s="78">
        <v>7570457.1955571827</v>
      </c>
      <c r="N6" s="77">
        <v>7162240.2825690098</v>
      </c>
      <c r="O6" s="77">
        <v>6778306.0374070602</v>
      </c>
    </row>
    <row r="7" spans="1:15" x14ac:dyDescent="0.3">
      <c r="A7" s="70" t="s">
        <v>124</v>
      </c>
      <c r="B7" s="79">
        <v>0.1</v>
      </c>
      <c r="C7" s="75">
        <v>0</v>
      </c>
      <c r="D7" s="75">
        <f>C9*$B7</f>
        <v>2</v>
      </c>
      <c r="E7" s="75">
        <f t="shared" ref="E7:G7" si="3">D9*$B7</f>
        <v>8.0323809523809526</v>
      </c>
      <c r="F7" s="75">
        <f t="shared" si="3"/>
        <v>20.722259987631418</v>
      </c>
      <c r="G7" s="75">
        <f t="shared" si="3"/>
        <v>39.804668387660918</v>
      </c>
      <c r="J7" s="73">
        <v>0.25</v>
      </c>
      <c r="K7" s="77">
        <v>8953182.8700504545</v>
      </c>
      <c r="L7" s="77">
        <v>8464656.0964407604</v>
      </c>
      <c r="M7" s="78">
        <v>8004177.4192287177</v>
      </c>
      <c r="N7" s="77">
        <v>7570457.1955571827</v>
      </c>
      <c r="O7" s="76">
        <v>7162240.2825690098</v>
      </c>
    </row>
    <row r="8" spans="1:15" x14ac:dyDescent="0.3">
      <c r="A8" s="70" t="s">
        <v>125</v>
      </c>
      <c r="B8" s="81"/>
      <c r="C8" s="75">
        <f>C5</f>
        <v>20</v>
      </c>
      <c r="D8" s="75">
        <f>D5-D6+D7</f>
        <v>60.323809523809523</v>
      </c>
      <c r="E8" s="75">
        <f t="shared" ref="E8:G8" si="4">E5-E6+E7</f>
        <v>126.89879035250463</v>
      </c>
      <c r="F8" s="75">
        <f t="shared" si="4"/>
        <v>190.82408400029499</v>
      </c>
      <c r="G8" s="75">
        <f t="shared" si="4"/>
        <v>252.98054268654801</v>
      </c>
      <c r="J8" s="82"/>
    </row>
    <row r="9" spans="1:15" x14ac:dyDescent="0.3">
      <c r="A9" s="70" t="s">
        <v>126</v>
      </c>
      <c r="B9" s="65"/>
      <c r="C9" s="75">
        <f>C5-C6+C7</f>
        <v>20</v>
      </c>
      <c r="D9" s="75">
        <f>C9+D8</f>
        <v>80.32380952380953</v>
      </c>
      <c r="E9" s="75">
        <f t="shared" ref="E9:G9" si="5">D9+E8</f>
        <v>207.22259987631418</v>
      </c>
      <c r="F9" s="75">
        <f t="shared" si="5"/>
        <v>398.04668387660917</v>
      </c>
      <c r="G9" s="75">
        <f t="shared" si="5"/>
        <v>651.02722656315723</v>
      </c>
      <c r="J9" s="67" t="s">
        <v>141</v>
      </c>
      <c r="K9" s="68"/>
      <c r="L9" s="68"/>
      <c r="M9" s="83"/>
      <c r="N9" s="68"/>
      <c r="O9" s="69" t="s">
        <v>143</v>
      </c>
    </row>
    <row r="10" spans="1:15" x14ac:dyDescent="0.3">
      <c r="A10" s="70" t="s">
        <v>127</v>
      </c>
      <c r="B10" s="65"/>
      <c r="C10" s="75">
        <f>C2/C8</f>
        <v>1200</v>
      </c>
      <c r="D10" s="75">
        <f t="shared" ref="D10:G10" si="6">D2/D8</f>
        <v>911.74613198610678</v>
      </c>
      <c r="E10" s="75">
        <f t="shared" si="6"/>
        <v>693.46602718237114</v>
      </c>
      <c r="F10" s="75">
        <f t="shared" si="6"/>
        <v>524.04286662183279</v>
      </c>
      <c r="G10" s="75">
        <f t="shared" si="6"/>
        <v>395.28731711159145</v>
      </c>
      <c r="J10" s="72">
        <f>G18</f>
        <v>3964755.6795641817</v>
      </c>
      <c r="K10" s="73">
        <v>0.05</v>
      </c>
      <c r="L10" s="73">
        <v>0.1</v>
      </c>
      <c r="M10" s="74">
        <v>0.15</v>
      </c>
      <c r="N10" s="73">
        <v>0.2</v>
      </c>
      <c r="O10" s="73">
        <v>0.25</v>
      </c>
    </row>
    <row r="11" spans="1:15" x14ac:dyDescent="0.3">
      <c r="J11" s="73">
        <v>0.05</v>
      </c>
      <c r="K11" s="76">
        <f t="dataTable" ref="K11:O15" dt2D="1" dtr="1" r1="B6" r2="B7" ca="1"/>
        <v>3792873.2076867139</v>
      </c>
      <c r="L11" s="77">
        <v>3589554.9923606771</v>
      </c>
      <c r="M11" s="78">
        <v>3398467.8928991938</v>
      </c>
      <c r="N11" s="77">
        <v>3219002.0393222957</v>
      </c>
      <c r="O11" s="77">
        <v>3050565.8316494091</v>
      </c>
    </row>
    <row r="12" spans="1:15" x14ac:dyDescent="0.3">
      <c r="A12" s="70" t="s">
        <v>128</v>
      </c>
      <c r="B12" s="65"/>
      <c r="C12" s="71">
        <v>11500</v>
      </c>
      <c r="D12" s="75"/>
      <c r="E12" s="75"/>
      <c r="F12" s="75"/>
      <c r="G12" s="75"/>
      <c r="J12" s="73">
        <v>0.1</v>
      </c>
      <c r="K12" s="77">
        <v>4009050.6788566783</v>
      </c>
      <c r="L12" s="77">
        <v>3792873.2076867139</v>
      </c>
      <c r="M12" s="78">
        <v>3589554.9923606762</v>
      </c>
      <c r="N12" s="77">
        <v>3398467.8928991938</v>
      </c>
      <c r="O12" s="77">
        <v>3219002.0393222957</v>
      </c>
    </row>
    <row r="13" spans="1:15" x14ac:dyDescent="0.3">
      <c r="A13" s="23" t="s">
        <v>129</v>
      </c>
      <c r="B13" s="79">
        <v>0</v>
      </c>
      <c r="C13" s="75">
        <f>C12</f>
        <v>11500</v>
      </c>
      <c r="D13" s="75">
        <f>C13*(1+$B13)</f>
        <v>11500</v>
      </c>
      <c r="E13" s="75">
        <f t="shared" ref="E13:G13" si="7">D13*(1+$B13)</f>
        <v>11500</v>
      </c>
      <c r="F13" s="75">
        <f t="shared" si="7"/>
        <v>11500</v>
      </c>
      <c r="G13" s="75">
        <f t="shared" si="7"/>
        <v>11500</v>
      </c>
      <c r="J13" s="74">
        <v>0.15</v>
      </c>
      <c r="K13" s="78">
        <v>4238733.8158493396</v>
      </c>
      <c r="L13" s="78">
        <v>4009050.6788566783</v>
      </c>
      <c r="M13" s="80">
        <v>3792873.2076867139</v>
      </c>
      <c r="N13" s="78">
        <v>3589554.9923606762</v>
      </c>
      <c r="O13" s="78">
        <v>3398467.8928991938</v>
      </c>
    </row>
    <row r="14" spans="1:15" x14ac:dyDescent="0.3">
      <c r="A14" s="70" t="s">
        <v>130</v>
      </c>
      <c r="B14" s="79">
        <v>0.52956519999999996</v>
      </c>
      <c r="C14" s="75">
        <f>C13*$B14</f>
        <v>6089.9997999999996</v>
      </c>
      <c r="D14" s="75">
        <f t="shared" ref="D14:G14" si="8">D13*$B14</f>
        <v>6089.9997999999996</v>
      </c>
      <c r="E14" s="75">
        <f t="shared" si="8"/>
        <v>6089.9997999999996</v>
      </c>
      <c r="F14" s="75">
        <f t="shared" si="8"/>
        <v>6089.9997999999996</v>
      </c>
      <c r="G14" s="75">
        <f t="shared" si="8"/>
        <v>6089.9997999999996</v>
      </c>
      <c r="J14" s="73">
        <v>0.2</v>
      </c>
      <c r="K14" s="77">
        <v>4482587.298642871</v>
      </c>
      <c r="L14" s="77">
        <v>4238733.8158493396</v>
      </c>
      <c r="M14" s="78">
        <v>4009050.6788566783</v>
      </c>
      <c r="N14" s="77">
        <v>3792873.2076867139</v>
      </c>
      <c r="O14" s="77">
        <v>3589554.9923606771</v>
      </c>
    </row>
    <row r="15" spans="1:15" x14ac:dyDescent="0.3">
      <c r="A15" s="64" t="s">
        <v>131</v>
      </c>
      <c r="B15" s="66"/>
      <c r="C15" s="84">
        <f>C10/C14</f>
        <v>0.197044341446448</v>
      </c>
      <c r="D15" s="84">
        <f t="shared" ref="D15:G15" si="9">D10/D14</f>
        <v>0.14971201345295723</v>
      </c>
      <c r="E15" s="84">
        <f t="shared" si="9"/>
        <v>0.11386963053469577</v>
      </c>
      <c r="F15" s="84">
        <f t="shared" si="9"/>
        <v>8.604973461933986E-2</v>
      </c>
      <c r="G15" s="84">
        <f t="shared" si="9"/>
        <v>6.4907607568655656E-2</v>
      </c>
      <c r="J15" s="73">
        <v>0.25</v>
      </c>
      <c r="K15" s="77">
        <v>4741294.0772148427</v>
      </c>
      <c r="L15" s="77">
        <v>4482587.298642871</v>
      </c>
      <c r="M15" s="78">
        <v>4238733.8158493396</v>
      </c>
      <c r="N15" s="77">
        <v>4009050.6788566783</v>
      </c>
      <c r="O15" s="76">
        <v>3792873.2076867139</v>
      </c>
    </row>
    <row r="17" spans="1:15" x14ac:dyDescent="0.3">
      <c r="A17" s="64" t="s">
        <v>132</v>
      </c>
      <c r="B17" s="66"/>
      <c r="C17" s="85">
        <f>C13*C9</f>
        <v>230000</v>
      </c>
      <c r="D17" s="85">
        <f t="shared" ref="D17:G17" si="10">D13*D9</f>
        <v>923723.80952380958</v>
      </c>
      <c r="E17" s="85">
        <f t="shared" si="10"/>
        <v>2383059.8985776128</v>
      </c>
      <c r="F17" s="85">
        <f t="shared" si="10"/>
        <v>4577536.8645810056</v>
      </c>
      <c r="G17" s="85">
        <f t="shared" si="10"/>
        <v>7486813.1054763077</v>
      </c>
      <c r="J17" s="67" t="s">
        <v>142</v>
      </c>
      <c r="K17" s="68"/>
      <c r="L17" s="68"/>
      <c r="M17" s="83"/>
      <c r="N17" s="68"/>
      <c r="O17" s="69" t="s">
        <v>143</v>
      </c>
    </row>
    <row r="18" spans="1:15" x14ac:dyDescent="0.3">
      <c r="A18" s="64" t="s">
        <v>133</v>
      </c>
      <c r="B18" s="66"/>
      <c r="C18" s="85">
        <f>C9*C14</f>
        <v>121799.99599999998</v>
      </c>
      <c r="D18" s="85">
        <f t="shared" ref="D18:G18" si="11">D9*D14</f>
        <v>489171.9839352381</v>
      </c>
      <c r="E18" s="85">
        <f t="shared" si="11"/>
        <v>1261985.5918022334</v>
      </c>
      <c r="F18" s="85">
        <f t="shared" si="11"/>
        <v>2424104.2251992128</v>
      </c>
      <c r="G18" s="85">
        <f t="shared" si="11"/>
        <v>3964755.6795641817</v>
      </c>
      <c r="J18" s="72">
        <f>G15</f>
        <v>6.4907607568655656E-2</v>
      </c>
      <c r="K18" s="73">
        <v>0.05</v>
      </c>
      <c r="L18" s="73">
        <v>0.1</v>
      </c>
      <c r="M18" s="74">
        <v>0.15</v>
      </c>
      <c r="N18" s="73">
        <v>0.2</v>
      </c>
      <c r="O18" s="73">
        <v>0.25</v>
      </c>
    </row>
    <row r="19" spans="1:15" x14ac:dyDescent="0.3">
      <c r="A19" s="23" t="s">
        <v>134</v>
      </c>
      <c r="J19" s="73">
        <v>0.05</v>
      </c>
      <c r="K19" s="86">
        <f t="dataTable" ref="K19:O23" dt2D="1" dtr="1" r1="B6" r2="B7"/>
        <v>6.9267078136849861E-2</v>
      </c>
      <c r="L19" s="87">
        <v>7.5145770787490379E-2</v>
      </c>
      <c r="M19" s="88">
        <v>8.1533518946500641E-2</v>
      </c>
      <c r="N19" s="87">
        <v>8.8464538540023466E-2</v>
      </c>
      <c r="O19" s="87">
        <v>9.5972269500605001E-2</v>
      </c>
    </row>
    <row r="20" spans="1:15" x14ac:dyDescent="0.3">
      <c r="J20" s="73">
        <v>0.1</v>
      </c>
      <c r="K20" s="87">
        <v>6.3863181687744061E-2</v>
      </c>
      <c r="L20" s="87">
        <v>6.9267078136849861E-2</v>
      </c>
      <c r="M20" s="88">
        <v>7.5145770787490393E-2</v>
      </c>
      <c r="N20" s="87">
        <v>8.1533518946500641E-2</v>
      </c>
      <c r="O20" s="87">
        <v>8.8464538540023466E-2</v>
      </c>
    </row>
    <row r="21" spans="1:15" x14ac:dyDescent="0.3">
      <c r="J21" s="74">
        <v>0.15</v>
      </c>
      <c r="K21" s="88">
        <v>5.8900362353487126E-2</v>
      </c>
      <c r="L21" s="88">
        <v>6.3863181687744061E-2</v>
      </c>
      <c r="M21" s="89">
        <v>6.9267078136849861E-2</v>
      </c>
      <c r="N21" s="88">
        <v>7.5145770787490393E-2</v>
      </c>
      <c r="O21" s="88">
        <v>8.1533518946500641E-2</v>
      </c>
    </row>
    <row r="22" spans="1:15" x14ac:dyDescent="0.3">
      <c r="J22" s="73">
        <v>0.2</v>
      </c>
      <c r="K22" s="87">
        <v>5.4345890074890268E-2</v>
      </c>
      <c r="L22" s="87">
        <v>5.8900362353487126E-2</v>
      </c>
      <c r="M22" s="88">
        <v>6.3863181687744061E-2</v>
      </c>
      <c r="N22" s="87">
        <v>6.9267078136849861E-2</v>
      </c>
      <c r="O22" s="87">
        <v>7.5145770787490379E-2</v>
      </c>
    </row>
    <row r="23" spans="1:15" x14ac:dyDescent="0.3">
      <c r="J23" s="73">
        <v>0.25</v>
      </c>
      <c r="K23" s="87">
        <v>5.0168354529337801E-2</v>
      </c>
      <c r="L23" s="87">
        <v>5.4345890074890268E-2</v>
      </c>
      <c r="M23" s="88">
        <v>5.8900362353487126E-2</v>
      </c>
      <c r="N23" s="87">
        <v>6.3863181687744061E-2</v>
      </c>
      <c r="O23" s="86">
        <v>6.9267078136849861E-2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4"/>
  <sheetViews>
    <sheetView showGridLines="0" zoomScale="120" zoomScaleNormal="120" workbookViewId="0">
      <selection activeCell="M13" sqref="M13"/>
    </sheetView>
  </sheetViews>
  <sheetFormatPr defaultColWidth="8.88671875" defaultRowHeight="12" x14ac:dyDescent="0.25"/>
  <cols>
    <col min="1" max="1" width="40" style="33" bestFit="1" customWidth="1"/>
    <col min="2" max="2" width="10.88671875" style="33" customWidth="1"/>
    <col min="3" max="3" width="1.6640625" style="33" customWidth="1"/>
    <col min="4" max="4" width="2.88671875" style="33" customWidth="1"/>
    <col min="5" max="5" width="8.109375" style="33" customWidth="1"/>
    <col min="6" max="7" width="9.33203125" style="33" customWidth="1"/>
    <col min="8" max="10" width="10" style="33" bestFit="1" customWidth="1"/>
    <col min="11" max="257" width="8.88671875" style="33"/>
    <col min="258" max="258" width="22" style="33" customWidth="1"/>
    <col min="259" max="259" width="9.88671875" style="33" customWidth="1"/>
    <col min="260" max="260" width="2.109375" style="33" customWidth="1"/>
    <col min="261" max="261" width="9.109375" style="33" customWidth="1"/>
    <col min="262" max="266" width="9.6640625" style="33" customWidth="1"/>
    <col min="267" max="513" width="8.88671875" style="33"/>
    <col min="514" max="514" width="22" style="33" customWidth="1"/>
    <col min="515" max="515" width="9.88671875" style="33" customWidth="1"/>
    <col min="516" max="516" width="2.109375" style="33" customWidth="1"/>
    <col min="517" max="517" width="9.109375" style="33" customWidth="1"/>
    <col min="518" max="522" width="9.6640625" style="33" customWidth="1"/>
    <col min="523" max="769" width="8.88671875" style="33"/>
    <col min="770" max="770" width="22" style="33" customWidth="1"/>
    <col min="771" max="771" width="9.88671875" style="33" customWidth="1"/>
    <col min="772" max="772" width="2.109375" style="33" customWidth="1"/>
    <col min="773" max="773" width="9.109375" style="33" customWidth="1"/>
    <col min="774" max="778" width="9.6640625" style="33" customWidth="1"/>
    <col min="779" max="1025" width="8.88671875" style="33"/>
    <col min="1026" max="1026" width="22" style="33" customWidth="1"/>
    <col min="1027" max="1027" width="9.88671875" style="33" customWidth="1"/>
    <col min="1028" max="1028" width="2.109375" style="33" customWidth="1"/>
    <col min="1029" max="1029" width="9.109375" style="33" customWidth="1"/>
    <col min="1030" max="1034" width="9.6640625" style="33" customWidth="1"/>
    <col min="1035" max="1281" width="8.88671875" style="33"/>
    <col min="1282" max="1282" width="22" style="33" customWidth="1"/>
    <col min="1283" max="1283" width="9.88671875" style="33" customWidth="1"/>
    <col min="1284" max="1284" width="2.109375" style="33" customWidth="1"/>
    <col min="1285" max="1285" width="9.109375" style="33" customWidth="1"/>
    <col min="1286" max="1290" width="9.6640625" style="33" customWidth="1"/>
    <col min="1291" max="1537" width="8.88671875" style="33"/>
    <col min="1538" max="1538" width="22" style="33" customWidth="1"/>
    <col min="1539" max="1539" width="9.88671875" style="33" customWidth="1"/>
    <col min="1540" max="1540" width="2.109375" style="33" customWidth="1"/>
    <col min="1541" max="1541" width="9.109375" style="33" customWidth="1"/>
    <col min="1542" max="1546" width="9.6640625" style="33" customWidth="1"/>
    <col min="1547" max="1793" width="8.88671875" style="33"/>
    <col min="1794" max="1794" width="22" style="33" customWidth="1"/>
    <col min="1795" max="1795" width="9.88671875" style="33" customWidth="1"/>
    <col min="1796" max="1796" width="2.109375" style="33" customWidth="1"/>
    <col min="1797" max="1797" width="9.109375" style="33" customWidth="1"/>
    <col min="1798" max="1802" width="9.6640625" style="33" customWidth="1"/>
    <col min="1803" max="2049" width="8.88671875" style="33"/>
    <col min="2050" max="2050" width="22" style="33" customWidth="1"/>
    <col min="2051" max="2051" width="9.88671875" style="33" customWidth="1"/>
    <col min="2052" max="2052" width="2.109375" style="33" customWidth="1"/>
    <col min="2053" max="2053" width="9.109375" style="33" customWidth="1"/>
    <col min="2054" max="2058" width="9.6640625" style="33" customWidth="1"/>
    <col min="2059" max="2305" width="8.88671875" style="33"/>
    <col min="2306" max="2306" width="22" style="33" customWidth="1"/>
    <col min="2307" max="2307" width="9.88671875" style="33" customWidth="1"/>
    <col min="2308" max="2308" width="2.109375" style="33" customWidth="1"/>
    <col min="2309" max="2309" width="9.109375" style="33" customWidth="1"/>
    <col min="2310" max="2314" width="9.6640625" style="33" customWidth="1"/>
    <col min="2315" max="2561" width="8.88671875" style="33"/>
    <col min="2562" max="2562" width="22" style="33" customWidth="1"/>
    <col min="2563" max="2563" width="9.88671875" style="33" customWidth="1"/>
    <col min="2564" max="2564" width="2.109375" style="33" customWidth="1"/>
    <col min="2565" max="2565" width="9.109375" style="33" customWidth="1"/>
    <col min="2566" max="2570" width="9.6640625" style="33" customWidth="1"/>
    <col min="2571" max="2817" width="8.88671875" style="33"/>
    <col min="2818" max="2818" width="22" style="33" customWidth="1"/>
    <col min="2819" max="2819" width="9.88671875" style="33" customWidth="1"/>
    <col min="2820" max="2820" width="2.109375" style="33" customWidth="1"/>
    <col min="2821" max="2821" width="9.109375" style="33" customWidth="1"/>
    <col min="2822" max="2826" width="9.6640625" style="33" customWidth="1"/>
    <col min="2827" max="3073" width="8.88671875" style="33"/>
    <col min="3074" max="3074" width="22" style="33" customWidth="1"/>
    <col min="3075" max="3075" width="9.88671875" style="33" customWidth="1"/>
    <col min="3076" max="3076" width="2.109375" style="33" customWidth="1"/>
    <col min="3077" max="3077" width="9.109375" style="33" customWidth="1"/>
    <col min="3078" max="3082" width="9.6640625" style="33" customWidth="1"/>
    <col min="3083" max="3329" width="8.88671875" style="33"/>
    <col min="3330" max="3330" width="22" style="33" customWidth="1"/>
    <col min="3331" max="3331" width="9.88671875" style="33" customWidth="1"/>
    <col min="3332" max="3332" width="2.109375" style="33" customWidth="1"/>
    <col min="3333" max="3333" width="9.109375" style="33" customWidth="1"/>
    <col min="3334" max="3338" width="9.6640625" style="33" customWidth="1"/>
    <col min="3339" max="3585" width="8.88671875" style="33"/>
    <col min="3586" max="3586" width="22" style="33" customWidth="1"/>
    <col min="3587" max="3587" width="9.88671875" style="33" customWidth="1"/>
    <col min="3588" max="3588" width="2.109375" style="33" customWidth="1"/>
    <col min="3589" max="3589" width="9.109375" style="33" customWidth="1"/>
    <col min="3590" max="3594" width="9.6640625" style="33" customWidth="1"/>
    <col min="3595" max="3841" width="8.88671875" style="33"/>
    <col min="3842" max="3842" width="22" style="33" customWidth="1"/>
    <col min="3843" max="3843" width="9.88671875" style="33" customWidth="1"/>
    <col min="3844" max="3844" width="2.109375" style="33" customWidth="1"/>
    <col min="3845" max="3845" width="9.109375" style="33" customWidth="1"/>
    <col min="3846" max="3850" width="9.6640625" style="33" customWidth="1"/>
    <col min="3851" max="4097" width="8.88671875" style="33"/>
    <col min="4098" max="4098" width="22" style="33" customWidth="1"/>
    <col min="4099" max="4099" width="9.88671875" style="33" customWidth="1"/>
    <col min="4100" max="4100" width="2.109375" style="33" customWidth="1"/>
    <col min="4101" max="4101" width="9.109375" style="33" customWidth="1"/>
    <col min="4102" max="4106" width="9.6640625" style="33" customWidth="1"/>
    <col min="4107" max="4353" width="8.88671875" style="33"/>
    <col min="4354" max="4354" width="22" style="33" customWidth="1"/>
    <col min="4355" max="4355" width="9.88671875" style="33" customWidth="1"/>
    <col min="4356" max="4356" width="2.109375" style="33" customWidth="1"/>
    <col min="4357" max="4357" width="9.109375" style="33" customWidth="1"/>
    <col min="4358" max="4362" width="9.6640625" style="33" customWidth="1"/>
    <col min="4363" max="4609" width="8.88671875" style="33"/>
    <col min="4610" max="4610" width="22" style="33" customWidth="1"/>
    <col min="4611" max="4611" width="9.88671875" style="33" customWidth="1"/>
    <col min="4612" max="4612" width="2.109375" style="33" customWidth="1"/>
    <col min="4613" max="4613" width="9.109375" style="33" customWidth="1"/>
    <col min="4614" max="4618" width="9.6640625" style="33" customWidth="1"/>
    <col min="4619" max="4865" width="8.88671875" style="33"/>
    <col min="4866" max="4866" width="22" style="33" customWidth="1"/>
    <col min="4867" max="4867" width="9.88671875" style="33" customWidth="1"/>
    <col min="4868" max="4868" width="2.109375" style="33" customWidth="1"/>
    <col min="4869" max="4869" width="9.109375" style="33" customWidth="1"/>
    <col min="4870" max="4874" width="9.6640625" style="33" customWidth="1"/>
    <col min="4875" max="5121" width="8.88671875" style="33"/>
    <col min="5122" max="5122" width="22" style="33" customWidth="1"/>
    <col min="5123" max="5123" width="9.88671875" style="33" customWidth="1"/>
    <col min="5124" max="5124" width="2.109375" style="33" customWidth="1"/>
    <col min="5125" max="5125" width="9.109375" style="33" customWidth="1"/>
    <col min="5126" max="5130" width="9.6640625" style="33" customWidth="1"/>
    <col min="5131" max="5377" width="8.88671875" style="33"/>
    <col min="5378" max="5378" width="22" style="33" customWidth="1"/>
    <col min="5379" max="5379" width="9.88671875" style="33" customWidth="1"/>
    <col min="5380" max="5380" width="2.109375" style="33" customWidth="1"/>
    <col min="5381" max="5381" width="9.109375" style="33" customWidth="1"/>
    <col min="5382" max="5386" width="9.6640625" style="33" customWidth="1"/>
    <col min="5387" max="5633" width="8.88671875" style="33"/>
    <col min="5634" max="5634" width="22" style="33" customWidth="1"/>
    <col min="5635" max="5635" width="9.88671875" style="33" customWidth="1"/>
    <col min="5636" max="5636" width="2.109375" style="33" customWidth="1"/>
    <col min="5637" max="5637" width="9.109375" style="33" customWidth="1"/>
    <col min="5638" max="5642" width="9.6640625" style="33" customWidth="1"/>
    <col min="5643" max="5889" width="8.88671875" style="33"/>
    <col min="5890" max="5890" width="22" style="33" customWidth="1"/>
    <col min="5891" max="5891" width="9.88671875" style="33" customWidth="1"/>
    <col min="5892" max="5892" width="2.109375" style="33" customWidth="1"/>
    <col min="5893" max="5893" width="9.109375" style="33" customWidth="1"/>
    <col min="5894" max="5898" width="9.6640625" style="33" customWidth="1"/>
    <col min="5899" max="6145" width="8.88671875" style="33"/>
    <col min="6146" max="6146" width="22" style="33" customWidth="1"/>
    <col min="6147" max="6147" width="9.88671875" style="33" customWidth="1"/>
    <col min="6148" max="6148" width="2.109375" style="33" customWidth="1"/>
    <col min="6149" max="6149" width="9.109375" style="33" customWidth="1"/>
    <col min="6150" max="6154" width="9.6640625" style="33" customWidth="1"/>
    <col min="6155" max="6401" width="8.88671875" style="33"/>
    <col min="6402" max="6402" width="22" style="33" customWidth="1"/>
    <col min="6403" max="6403" width="9.88671875" style="33" customWidth="1"/>
    <col min="6404" max="6404" width="2.109375" style="33" customWidth="1"/>
    <col min="6405" max="6405" width="9.109375" style="33" customWidth="1"/>
    <col min="6406" max="6410" width="9.6640625" style="33" customWidth="1"/>
    <col min="6411" max="6657" width="8.88671875" style="33"/>
    <col min="6658" max="6658" width="22" style="33" customWidth="1"/>
    <col min="6659" max="6659" width="9.88671875" style="33" customWidth="1"/>
    <col min="6660" max="6660" width="2.109375" style="33" customWidth="1"/>
    <col min="6661" max="6661" width="9.109375" style="33" customWidth="1"/>
    <col min="6662" max="6666" width="9.6640625" style="33" customWidth="1"/>
    <col min="6667" max="6913" width="8.88671875" style="33"/>
    <col min="6914" max="6914" width="22" style="33" customWidth="1"/>
    <col min="6915" max="6915" width="9.88671875" style="33" customWidth="1"/>
    <col min="6916" max="6916" width="2.109375" style="33" customWidth="1"/>
    <col min="6917" max="6917" width="9.109375" style="33" customWidth="1"/>
    <col min="6918" max="6922" width="9.6640625" style="33" customWidth="1"/>
    <col min="6923" max="7169" width="8.88671875" style="33"/>
    <col min="7170" max="7170" width="22" style="33" customWidth="1"/>
    <col min="7171" max="7171" width="9.88671875" style="33" customWidth="1"/>
    <col min="7172" max="7172" width="2.109375" style="33" customWidth="1"/>
    <col min="7173" max="7173" width="9.109375" style="33" customWidth="1"/>
    <col min="7174" max="7178" width="9.6640625" style="33" customWidth="1"/>
    <col min="7179" max="7425" width="8.88671875" style="33"/>
    <col min="7426" max="7426" width="22" style="33" customWidth="1"/>
    <col min="7427" max="7427" width="9.88671875" style="33" customWidth="1"/>
    <col min="7428" max="7428" width="2.109375" style="33" customWidth="1"/>
    <col min="7429" max="7429" width="9.109375" style="33" customWidth="1"/>
    <col min="7430" max="7434" width="9.6640625" style="33" customWidth="1"/>
    <col min="7435" max="7681" width="8.88671875" style="33"/>
    <col min="7682" max="7682" width="22" style="33" customWidth="1"/>
    <col min="7683" max="7683" width="9.88671875" style="33" customWidth="1"/>
    <col min="7684" max="7684" width="2.109375" style="33" customWidth="1"/>
    <col min="7685" max="7685" width="9.109375" style="33" customWidth="1"/>
    <col min="7686" max="7690" width="9.6640625" style="33" customWidth="1"/>
    <col min="7691" max="7937" width="8.88671875" style="33"/>
    <col min="7938" max="7938" width="22" style="33" customWidth="1"/>
    <col min="7939" max="7939" width="9.88671875" style="33" customWidth="1"/>
    <col min="7940" max="7940" width="2.109375" style="33" customWidth="1"/>
    <col min="7941" max="7941" width="9.109375" style="33" customWidth="1"/>
    <col min="7942" max="7946" width="9.6640625" style="33" customWidth="1"/>
    <col min="7947" max="8193" width="8.88671875" style="33"/>
    <col min="8194" max="8194" width="22" style="33" customWidth="1"/>
    <col min="8195" max="8195" width="9.88671875" style="33" customWidth="1"/>
    <col min="8196" max="8196" width="2.109375" style="33" customWidth="1"/>
    <col min="8197" max="8197" width="9.109375" style="33" customWidth="1"/>
    <col min="8198" max="8202" width="9.6640625" style="33" customWidth="1"/>
    <col min="8203" max="8449" width="8.88671875" style="33"/>
    <col min="8450" max="8450" width="22" style="33" customWidth="1"/>
    <col min="8451" max="8451" width="9.88671875" style="33" customWidth="1"/>
    <col min="8452" max="8452" width="2.109375" style="33" customWidth="1"/>
    <col min="8453" max="8453" width="9.109375" style="33" customWidth="1"/>
    <col min="8454" max="8458" width="9.6640625" style="33" customWidth="1"/>
    <col min="8459" max="8705" width="8.88671875" style="33"/>
    <col min="8706" max="8706" width="22" style="33" customWidth="1"/>
    <col min="8707" max="8707" width="9.88671875" style="33" customWidth="1"/>
    <col min="8708" max="8708" width="2.109375" style="33" customWidth="1"/>
    <col min="8709" max="8709" width="9.109375" style="33" customWidth="1"/>
    <col min="8710" max="8714" width="9.6640625" style="33" customWidth="1"/>
    <col min="8715" max="8961" width="8.88671875" style="33"/>
    <col min="8962" max="8962" width="22" style="33" customWidth="1"/>
    <col min="8963" max="8963" width="9.88671875" style="33" customWidth="1"/>
    <col min="8964" max="8964" width="2.109375" style="33" customWidth="1"/>
    <col min="8965" max="8965" width="9.109375" style="33" customWidth="1"/>
    <col min="8966" max="8970" width="9.6640625" style="33" customWidth="1"/>
    <col min="8971" max="9217" width="8.88671875" style="33"/>
    <col min="9218" max="9218" width="22" style="33" customWidth="1"/>
    <col min="9219" max="9219" width="9.88671875" style="33" customWidth="1"/>
    <col min="9220" max="9220" width="2.109375" style="33" customWidth="1"/>
    <col min="9221" max="9221" width="9.109375" style="33" customWidth="1"/>
    <col min="9222" max="9226" width="9.6640625" style="33" customWidth="1"/>
    <col min="9227" max="9473" width="8.88671875" style="33"/>
    <col min="9474" max="9474" width="22" style="33" customWidth="1"/>
    <col min="9475" max="9475" width="9.88671875" style="33" customWidth="1"/>
    <col min="9476" max="9476" width="2.109375" style="33" customWidth="1"/>
    <col min="9477" max="9477" width="9.109375" style="33" customWidth="1"/>
    <col min="9478" max="9482" width="9.6640625" style="33" customWidth="1"/>
    <col min="9483" max="9729" width="8.88671875" style="33"/>
    <col min="9730" max="9730" width="22" style="33" customWidth="1"/>
    <col min="9731" max="9731" width="9.88671875" style="33" customWidth="1"/>
    <col min="9732" max="9732" width="2.109375" style="33" customWidth="1"/>
    <col min="9733" max="9733" width="9.109375" style="33" customWidth="1"/>
    <col min="9734" max="9738" width="9.6640625" style="33" customWidth="1"/>
    <col min="9739" max="9985" width="8.88671875" style="33"/>
    <col min="9986" max="9986" width="22" style="33" customWidth="1"/>
    <col min="9987" max="9987" width="9.88671875" style="33" customWidth="1"/>
    <col min="9988" max="9988" width="2.109375" style="33" customWidth="1"/>
    <col min="9989" max="9989" width="9.109375" style="33" customWidth="1"/>
    <col min="9990" max="9994" width="9.6640625" style="33" customWidth="1"/>
    <col min="9995" max="10241" width="8.88671875" style="33"/>
    <col min="10242" max="10242" width="22" style="33" customWidth="1"/>
    <col min="10243" max="10243" width="9.88671875" style="33" customWidth="1"/>
    <col min="10244" max="10244" width="2.109375" style="33" customWidth="1"/>
    <col min="10245" max="10245" width="9.109375" style="33" customWidth="1"/>
    <col min="10246" max="10250" width="9.6640625" style="33" customWidth="1"/>
    <col min="10251" max="10497" width="8.88671875" style="33"/>
    <col min="10498" max="10498" width="22" style="33" customWidth="1"/>
    <col min="10499" max="10499" width="9.88671875" style="33" customWidth="1"/>
    <col min="10500" max="10500" width="2.109375" style="33" customWidth="1"/>
    <col min="10501" max="10501" width="9.109375" style="33" customWidth="1"/>
    <col min="10502" max="10506" width="9.6640625" style="33" customWidth="1"/>
    <col min="10507" max="10753" width="8.88671875" style="33"/>
    <col min="10754" max="10754" width="22" style="33" customWidth="1"/>
    <col min="10755" max="10755" width="9.88671875" style="33" customWidth="1"/>
    <col min="10756" max="10756" width="2.109375" style="33" customWidth="1"/>
    <col min="10757" max="10757" width="9.109375" style="33" customWidth="1"/>
    <col min="10758" max="10762" width="9.6640625" style="33" customWidth="1"/>
    <col min="10763" max="11009" width="8.88671875" style="33"/>
    <col min="11010" max="11010" width="22" style="33" customWidth="1"/>
    <col min="11011" max="11011" width="9.88671875" style="33" customWidth="1"/>
    <col min="11012" max="11012" width="2.109375" style="33" customWidth="1"/>
    <col min="11013" max="11013" width="9.109375" style="33" customWidth="1"/>
    <col min="11014" max="11018" width="9.6640625" style="33" customWidth="1"/>
    <col min="11019" max="11265" width="8.88671875" style="33"/>
    <col min="11266" max="11266" width="22" style="33" customWidth="1"/>
    <col min="11267" max="11267" width="9.88671875" style="33" customWidth="1"/>
    <col min="11268" max="11268" width="2.109375" style="33" customWidth="1"/>
    <col min="11269" max="11269" width="9.109375" style="33" customWidth="1"/>
    <col min="11270" max="11274" width="9.6640625" style="33" customWidth="1"/>
    <col min="11275" max="11521" width="8.88671875" style="33"/>
    <col min="11522" max="11522" width="22" style="33" customWidth="1"/>
    <col min="11523" max="11523" width="9.88671875" style="33" customWidth="1"/>
    <col min="11524" max="11524" width="2.109375" style="33" customWidth="1"/>
    <col min="11525" max="11525" width="9.109375" style="33" customWidth="1"/>
    <col min="11526" max="11530" width="9.6640625" style="33" customWidth="1"/>
    <col min="11531" max="11777" width="8.88671875" style="33"/>
    <col min="11778" max="11778" width="22" style="33" customWidth="1"/>
    <col min="11779" max="11779" width="9.88671875" style="33" customWidth="1"/>
    <col min="11780" max="11780" width="2.109375" style="33" customWidth="1"/>
    <col min="11781" max="11781" width="9.109375" style="33" customWidth="1"/>
    <col min="11782" max="11786" width="9.6640625" style="33" customWidth="1"/>
    <col min="11787" max="12033" width="8.88671875" style="33"/>
    <col min="12034" max="12034" width="22" style="33" customWidth="1"/>
    <col min="12035" max="12035" width="9.88671875" style="33" customWidth="1"/>
    <col min="12036" max="12036" width="2.109375" style="33" customWidth="1"/>
    <col min="12037" max="12037" width="9.109375" style="33" customWidth="1"/>
    <col min="12038" max="12042" width="9.6640625" style="33" customWidth="1"/>
    <col min="12043" max="12289" width="8.88671875" style="33"/>
    <col min="12290" max="12290" width="22" style="33" customWidth="1"/>
    <col min="12291" max="12291" width="9.88671875" style="33" customWidth="1"/>
    <col min="12292" max="12292" width="2.109375" style="33" customWidth="1"/>
    <col min="12293" max="12293" width="9.109375" style="33" customWidth="1"/>
    <col min="12294" max="12298" width="9.6640625" style="33" customWidth="1"/>
    <col min="12299" max="12545" width="8.88671875" style="33"/>
    <col min="12546" max="12546" width="22" style="33" customWidth="1"/>
    <col min="12547" max="12547" width="9.88671875" style="33" customWidth="1"/>
    <col min="12548" max="12548" width="2.109375" style="33" customWidth="1"/>
    <col min="12549" max="12549" width="9.109375" style="33" customWidth="1"/>
    <col min="12550" max="12554" width="9.6640625" style="33" customWidth="1"/>
    <col min="12555" max="12801" width="8.88671875" style="33"/>
    <col min="12802" max="12802" width="22" style="33" customWidth="1"/>
    <col min="12803" max="12803" width="9.88671875" style="33" customWidth="1"/>
    <col min="12804" max="12804" width="2.109375" style="33" customWidth="1"/>
    <col min="12805" max="12805" width="9.109375" style="33" customWidth="1"/>
    <col min="12806" max="12810" width="9.6640625" style="33" customWidth="1"/>
    <col min="12811" max="13057" width="8.88671875" style="33"/>
    <col min="13058" max="13058" width="22" style="33" customWidth="1"/>
    <col min="13059" max="13059" width="9.88671875" style="33" customWidth="1"/>
    <col min="13060" max="13060" width="2.109375" style="33" customWidth="1"/>
    <col min="13061" max="13061" width="9.109375" style="33" customWidth="1"/>
    <col min="13062" max="13066" width="9.6640625" style="33" customWidth="1"/>
    <col min="13067" max="13313" width="8.88671875" style="33"/>
    <col min="13314" max="13314" width="22" style="33" customWidth="1"/>
    <col min="13315" max="13315" width="9.88671875" style="33" customWidth="1"/>
    <col min="13316" max="13316" width="2.109375" style="33" customWidth="1"/>
    <col min="13317" max="13317" width="9.109375" style="33" customWidth="1"/>
    <col min="13318" max="13322" width="9.6640625" style="33" customWidth="1"/>
    <col min="13323" max="13569" width="8.88671875" style="33"/>
    <col min="13570" max="13570" width="22" style="33" customWidth="1"/>
    <col min="13571" max="13571" width="9.88671875" style="33" customWidth="1"/>
    <col min="13572" max="13572" width="2.109375" style="33" customWidth="1"/>
    <col min="13573" max="13573" width="9.109375" style="33" customWidth="1"/>
    <col min="13574" max="13578" width="9.6640625" style="33" customWidth="1"/>
    <col min="13579" max="13825" width="8.88671875" style="33"/>
    <col min="13826" max="13826" width="22" style="33" customWidth="1"/>
    <col min="13827" max="13827" width="9.88671875" style="33" customWidth="1"/>
    <col min="13828" max="13828" width="2.109375" style="33" customWidth="1"/>
    <col min="13829" max="13829" width="9.109375" style="33" customWidth="1"/>
    <col min="13830" max="13834" width="9.6640625" style="33" customWidth="1"/>
    <col min="13835" max="14081" width="8.88671875" style="33"/>
    <col min="14082" max="14082" width="22" style="33" customWidth="1"/>
    <col min="14083" max="14083" width="9.88671875" style="33" customWidth="1"/>
    <col min="14084" max="14084" width="2.109375" style="33" customWidth="1"/>
    <col min="14085" max="14085" width="9.109375" style="33" customWidth="1"/>
    <col min="14086" max="14090" width="9.6640625" style="33" customWidth="1"/>
    <col min="14091" max="14337" width="8.88671875" style="33"/>
    <col min="14338" max="14338" width="22" style="33" customWidth="1"/>
    <col min="14339" max="14339" width="9.88671875" style="33" customWidth="1"/>
    <col min="14340" max="14340" width="2.109375" style="33" customWidth="1"/>
    <col min="14341" max="14341" width="9.109375" style="33" customWidth="1"/>
    <col min="14342" max="14346" width="9.6640625" style="33" customWidth="1"/>
    <col min="14347" max="14593" width="8.88671875" style="33"/>
    <col min="14594" max="14594" width="22" style="33" customWidth="1"/>
    <col min="14595" max="14595" width="9.88671875" style="33" customWidth="1"/>
    <col min="14596" max="14596" width="2.109375" style="33" customWidth="1"/>
    <col min="14597" max="14597" width="9.109375" style="33" customWidth="1"/>
    <col min="14598" max="14602" width="9.6640625" style="33" customWidth="1"/>
    <col min="14603" max="14849" width="8.88671875" style="33"/>
    <col min="14850" max="14850" width="22" style="33" customWidth="1"/>
    <col min="14851" max="14851" width="9.88671875" style="33" customWidth="1"/>
    <col min="14852" max="14852" width="2.109375" style="33" customWidth="1"/>
    <col min="14853" max="14853" width="9.109375" style="33" customWidth="1"/>
    <col min="14854" max="14858" width="9.6640625" style="33" customWidth="1"/>
    <col min="14859" max="15105" width="8.88671875" style="33"/>
    <col min="15106" max="15106" width="22" style="33" customWidth="1"/>
    <col min="15107" max="15107" width="9.88671875" style="33" customWidth="1"/>
    <col min="15108" max="15108" width="2.109375" style="33" customWidth="1"/>
    <col min="15109" max="15109" width="9.109375" style="33" customWidth="1"/>
    <col min="15110" max="15114" width="9.6640625" style="33" customWidth="1"/>
    <col min="15115" max="15361" width="8.88671875" style="33"/>
    <col min="15362" max="15362" width="22" style="33" customWidth="1"/>
    <col min="15363" max="15363" width="9.88671875" style="33" customWidth="1"/>
    <col min="15364" max="15364" width="2.109375" style="33" customWidth="1"/>
    <col min="15365" max="15365" width="9.109375" style="33" customWidth="1"/>
    <col min="15366" max="15370" width="9.6640625" style="33" customWidth="1"/>
    <col min="15371" max="15617" width="8.88671875" style="33"/>
    <col min="15618" max="15618" width="22" style="33" customWidth="1"/>
    <col min="15619" max="15619" width="9.88671875" style="33" customWidth="1"/>
    <col min="15620" max="15620" width="2.109375" style="33" customWidth="1"/>
    <col min="15621" max="15621" width="9.109375" style="33" customWidth="1"/>
    <col min="15622" max="15626" width="9.6640625" style="33" customWidth="1"/>
    <col min="15627" max="15873" width="8.88671875" style="33"/>
    <col min="15874" max="15874" width="22" style="33" customWidth="1"/>
    <col min="15875" max="15875" width="9.88671875" style="33" customWidth="1"/>
    <col min="15876" max="15876" width="2.109375" style="33" customWidth="1"/>
    <col min="15877" max="15877" width="9.109375" style="33" customWidth="1"/>
    <col min="15878" max="15882" width="9.6640625" style="33" customWidth="1"/>
    <col min="15883" max="16129" width="8.88671875" style="33"/>
    <col min="16130" max="16130" width="22" style="33" customWidth="1"/>
    <col min="16131" max="16131" width="9.88671875" style="33" customWidth="1"/>
    <col min="16132" max="16132" width="2.109375" style="33" customWidth="1"/>
    <col min="16133" max="16133" width="9.109375" style="33" customWidth="1"/>
    <col min="16134" max="16138" width="9.6640625" style="33" customWidth="1"/>
    <col min="16139" max="16384" width="8.88671875" style="33"/>
  </cols>
  <sheetData>
    <row r="2" spans="1:10" x14ac:dyDescent="0.25">
      <c r="A2" s="31" t="s">
        <v>144</v>
      </c>
      <c r="B2" s="32">
        <v>568</v>
      </c>
    </row>
    <row r="3" spans="1:10" x14ac:dyDescent="0.25">
      <c r="A3" s="31" t="s">
        <v>145</v>
      </c>
      <c r="B3" s="32">
        <v>1</v>
      </c>
    </row>
    <row r="4" spans="1:10" x14ac:dyDescent="0.25">
      <c r="A4" s="31" t="s">
        <v>146</v>
      </c>
      <c r="B4" s="34">
        <f>B2*B3</f>
        <v>568</v>
      </c>
      <c r="F4" s="33" t="s">
        <v>159</v>
      </c>
    </row>
    <row r="5" spans="1:10" x14ac:dyDescent="0.25">
      <c r="A5" s="31" t="s">
        <v>147</v>
      </c>
      <c r="B5" s="35">
        <v>3.5211267609999999E-2</v>
      </c>
    </row>
    <row r="6" spans="1:10" x14ac:dyDescent="0.25">
      <c r="A6" s="31" t="s">
        <v>148</v>
      </c>
      <c r="B6" s="34">
        <f>B4*B5</f>
        <v>20.00000000248</v>
      </c>
      <c r="E6" s="36" t="s">
        <v>158</v>
      </c>
    </row>
    <row r="7" spans="1:10" ht="15" customHeight="1" thickBot="1" x14ac:dyDescent="0.3">
      <c r="A7" s="31" t="s">
        <v>149</v>
      </c>
      <c r="B7" s="32">
        <v>11500</v>
      </c>
      <c r="F7" s="165" t="s">
        <v>160</v>
      </c>
      <c r="G7" s="166"/>
      <c r="H7" s="166"/>
      <c r="I7" s="166"/>
      <c r="J7" s="167"/>
    </row>
    <row r="8" spans="1:10" ht="12.6" thickBot="1" x14ac:dyDescent="0.3">
      <c r="A8" s="37" t="s">
        <v>150</v>
      </c>
      <c r="B8" s="38">
        <f>B6*B7</f>
        <v>230000.00002852001</v>
      </c>
      <c r="E8" s="39">
        <f>B13</f>
        <v>26279.950015103197</v>
      </c>
      <c r="F8" s="40">
        <v>10559.32</v>
      </c>
      <c r="G8" s="41">
        <v>11027.32</v>
      </c>
      <c r="H8" s="42">
        <v>11495.28</v>
      </c>
      <c r="I8" s="41">
        <v>12431.32</v>
      </c>
      <c r="J8" s="43">
        <v>13367.32</v>
      </c>
    </row>
    <row r="9" spans="1:10" x14ac:dyDescent="0.25">
      <c r="A9" s="31" t="s">
        <v>151</v>
      </c>
      <c r="B9" s="44">
        <v>0.47043499999999999</v>
      </c>
      <c r="D9" s="164" t="s">
        <v>157</v>
      </c>
      <c r="E9" s="45">
        <v>2.64E-2</v>
      </c>
      <c r="F9" s="46">
        <f t="dataTable" ref="F9:J13" dt2D="1" dtr="1" r1="B7" r2="B5"/>
        <v>-11669.146425219849</v>
      </c>
      <c r="G9" s="47">
        <v>-7952.7897400358488</v>
      </c>
      <c r="H9" s="48">
        <v>-4236.750692175352</v>
      </c>
      <c r="I9" s="47">
        <v>3196.2803155161673</v>
      </c>
      <c r="J9" s="49">
        <v>10628.993685884168</v>
      </c>
    </row>
    <row r="10" spans="1:10" x14ac:dyDescent="0.25">
      <c r="A10" s="31" t="s">
        <v>152</v>
      </c>
      <c r="B10" s="34">
        <f>B8*B9</f>
        <v>108200.05001341681</v>
      </c>
      <c r="D10" s="161"/>
      <c r="E10" s="50">
        <v>3.5200000000000002E-2</v>
      </c>
      <c r="F10" s="51">
        <v>16281.138099706892</v>
      </c>
      <c r="G10" s="52">
        <v>21236.280346618878</v>
      </c>
      <c r="H10" s="53">
        <v>26190.999077099521</v>
      </c>
      <c r="I10" s="52">
        <v>36101.70708735488</v>
      </c>
      <c r="J10" s="54">
        <v>46011.991581178852</v>
      </c>
    </row>
    <row r="11" spans="1:10" x14ac:dyDescent="0.25">
      <c r="A11" s="37" t="s">
        <v>153</v>
      </c>
      <c r="B11" s="38">
        <f>B8-B10</f>
        <v>121799.9500151032</v>
      </c>
      <c r="D11" s="161"/>
      <c r="E11" s="55">
        <v>0.1056</v>
      </c>
      <c r="F11" s="56">
        <v>239883.4142991206</v>
      </c>
      <c r="G11" s="53">
        <v>254748.8410398566</v>
      </c>
      <c r="H11" s="57">
        <v>269612.99723129859</v>
      </c>
      <c r="I11" s="53">
        <v>299345.12126206467</v>
      </c>
      <c r="J11" s="58">
        <v>329075.97474353667</v>
      </c>
    </row>
    <row r="12" spans="1:10" x14ac:dyDescent="0.25">
      <c r="A12" s="31" t="s">
        <v>154</v>
      </c>
      <c r="B12" s="32">
        <v>95520</v>
      </c>
      <c r="D12" s="161"/>
      <c r="E12" s="50">
        <v>0.2235</v>
      </c>
      <c r="F12" s="51">
        <v>614353.70355921844</v>
      </c>
      <c r="G12" s="52">
        <v>645816.04140537838</v>
      </c>
      <c r="H12" s="53">
        <v>677275.69016283378</v>
      </c>
      <c r="I12" s="52">
        <v>740203.05494385841</v>
      </c>
      <c r="J12" s="54">
        <v>803127.7306361784</v>
      </c>
    </row>
    <row r="13" spans="1:10" ht="12.6" thickBot="1" x14ac:dyDescent="0.3">
      <c r="A13" s="37" t="s">
        <v>155</v>
      </c>
      <c r="B13" s="38">
        <f>B11-B12</f>
        <v>26279.950015103197</v>
      </c>
      <c r="D13" s="161"/>
      <c r="E13" s="59">
        <v>0.7</v>
      </c>
      <c r="F13" s="60">
        <v>2127798.0872100797</v>
      </c>
      <c r="G13" s="61">
        <v>2226337.8478020793</v>
      </c>
      <c r="H13" s="62">
        <v>2324869.1861923197</v>
      </c>
      <c r="I13" s="61">
        <v>2521957.1295780796</v>
      </c>
      <c r="J13" s="63">
        <v>2719036.6507620797</v>
      </c>
    </row>
    <row r="14" spans="1:10" x14ac:dyDescent="0.25">
      <c r="A14" s="33" t="s">
        <v>156</v>
      </c>
    </row>
  </sheetData>
  <mergeCells count="2">
    <mergeCell ref="F7:J7"/>
    <mergeCell ref="D9:D13"/>
  </mergeCells>
  <pageMargins left="0.75" right="0.75" top="1" bottom="1" header="0.5" footer="0.5"/>
  <pageSetup paperSize="9" orientation="portrait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workbookViewId="0">
      <selection activeCell="T24" sqref="T24"/>
    </sheetView>
  </sheetViews>
  <sheetFormatPr defaultColWidth="8.88671875" defaultRowHeight="14.4" x14ac:dyDescent="0.3"/>
  <cols>
    <col min="1" max="1" width="31.88671875" style="23" customWidth="1"/>
    <col min="2" max="2" width="10.33203125" style="1" customWidth="1"/>
    <col min="3" max="3" width="4.33203125" style="1" customWidth="1"/>
    <col min="4" max="4" width="3.109375" style="23" customWidth="1"/>
    <col min="5" max="5" width="4.33203125" style="23" customWidth="1"/>
    <col min="6" max="10" width="8.6640625" style="23" customWidth="1"/>
    <col min="11" max="16384" width="8.88671875" style="23"/>
  </cols>
  <sheetData>
    <row r="1" spans="1:17" x14ac:dyDescent="0.3">
      <c r="A1" s="23" t="s">
        <v>185</v>
      </c>
      <c r="C1" s="4"/>
    </row>
    <row r="2" spans="1:17" x14ac:dyDescent="0.3">
      <c r="A2" s="24" t="s">
        <v>161</v>
      </c>
      <c r="B2" s="10">
        <v>18</v>
      </c>
      <c r="C2" s="4"/>
    </row>
    <row r="3" spans="1:17" x14ac:dyDescent="0.3">
      <c r="A3" s="24" t="s">
        <v>162</v>
      </c>
      <c r="B3" s="10">
        <v>30</v>
      </c>
      <c r="C3" s="4"/>
      <c r="E3" s="23" t="s">
        <v>179</v>
      </c>
      <c r="F3" s="168" t="s">
        <v>163</v>
      </c>
      <c r="G3" s="169"/>
      <c r="H3" s="169"/>
      <c r="I3" s="169"/>
      <c r="J3" s="170"/>
    </row>
    <row r="4" spans="1:17" x14ac:dyDescent="0.3">
      <c r="A4" s="24" t="s">
        <v>163</v>
      </c>
      <c r="B4" s="10">
        <v>30</v>
      </c>
      <c r="C4" s="5"/>
      <c r="E4" s="7" t="e">
        <f>B19</f>
        <v>#REF!</v>
      </c>
      <c r="F4" s="25"/>
      <c r="G4" s="25"/>
      <c r="H4" s="26"/>
      <c r="I4" s="25"/>
      <c r="J4" s="25"/>
    </row>
    <row r="5" spans="1:17" x14ac:dyDescent="0.3">
      <c r="A5" s="24" t="s">
        <v>164</v>
      </c>
      <c r="B5" s="11">
        <v>0.47043499999999999</v>
      </c>
      <c r="C5" s="4"/>
      <c r="D5" s="162" t="s">
        <v>2</v>
      </c>
      <c r="E5" s="25">
        <v>90</v>
      </c>
      <c r="F5" s="8" t="e">
        <f t="dataTable" ref="F5:J9" dt2D="1" dtr="1" r1="B4" r2="B3" ca="1"/>
        <v>#REF!</v>
      </c>
      <c r="G5" s="3" t="e">
        <v>#REF!</v>
      </c>
      <c r="H5" s="16" t="e">
        <v>#REF!</v>
      </c>
      <c r="I5" s="3" t="e">
        <v>#REF!</v>
      </c>
      <c r="J5" s="3" t="e">
        <v>#REF!</v>
      </c>
    </row>
    <row r="6" spans="1:17" x14ac:dyDescent="0.3">
      <c r="A6" s="24" t="s">
        <v>165</v>
      </c>
      <c r="B6" s="11">
        <v>0.22</v>
      </c>
      <c r="C6" s="4"/>
      <c r="D6" s="162"/>
      <c r="E6" s="25">
        <v>75</v>
      </c>
      <c r="F6" s="3" t="e">
        <v>#REF!</v>
      </c>
      <c r="G6" s="3" t="e">
        <v>#REF!</v>
      </c>
      <c r="H6" s="16" t="e">
        <v>#REF!</v>
      </c>
      <c r="I6" s="3" t="e">
        <v>#REF!</v>
      </c>
      <c r="J6" s="3" t="e">
        <v>#REF!</v>
      </c>
      <c r="O6" s="23" t="s">
        <v>180</v>
      </c>
    </row>
    <row r="7" spans="1:17" x14ac:dyDescent="0.3">
      <c r="A7" s="4"/>
      <c r="B7" s="4"/>
      <c r="C7" s="4"/>
      <c r="D7" s="162"/>
      <c r="E7" s="26">
        <v>60</v>
      </c>
      <c r="F7" s="16" t="e">
        <v>#REF!</v>
      </c>
      <c r="G7" s="16" t="e">
        <v>#REF!</v>
      </c>
      <c r="H7" s="17" t="e">
        <v>#REF!</v>
      </c>
      <c r="I7" s="16" t="e">
        <v>#REF!</v>
      </c>
      <c r="J7" s="16" t="e">
        <v>#REF!</v>
      </c>
      <c r="O7" s="23" t="s">
        <v>181</v>
      </c>
    </row>
    <row r="8" spans="1:17" x14ac:dyDescent="0.3">
      <c r="A8" s="24" t="s">
        <v>166</v>
      </c>
      <c r="B8" s="10">
        <f>'data tables'!B8</f>
        <v>230000.00002852001</v>
      </c>
      <c r="C8" s="4"/>
      <c r="D8" s="162"/>
      <c r="E8" s="25">
        <v>45</v>
      </c>
      <c r="F8" s="3" t="e">
        <v>#REF!</v>
      </c>
      <c r="G8" s="3" t="e">
        <v>#REF!</v>
      </c>
      <c r="H8" s="16" t="e">
        <v>#REF!</v>
      </c>
      <c r="I8" s="3" t="e">
        <v>#REF!</v>
      </c>
      <c r="J8" s="3" t="e">
        <v>#REF!</v>
      </c>
      <c r="O8" s="23" t="s">
        <v>182</v>
      </c>
    </row>
    <row r="9" spans="1:17" x14ac:dyDescent="0.3">
      <c r="A9" s="24" t="s">
        <v>167</v>
      </c>
      <c r="B9" s="12">
        <f>B8*B5</f>
        <v>108200.05001341681</v>
      </c>
      <c r="C9" s="6"/>
      <c r="D9" s="162"/>
      <c r="E9" s="25">
        <v>30</v>
      </c>
      <c r="F9" s="3" t="e">
        <v>#REF!</v>
      </c>
      <c r="G9" s="3" t="e">
        <v>#REF!</v>
      </c>
      <c r="H9" s="16" t="e">
        <v>#REF!</v>
      </c>
      <c r="I9" s="3" t="e">
        <v>#REF!</v>
      </c>
      <c r="J9" s="8" t="e">
        <v>#REF!</v>
      </c>
      <c r="O9" s="23" t="s">
        <v>183</v>
      </c>
    </row>
    <row r="10" spans="1:17" x14ac:dyDescent="0.3">
      <c r="A10" s="24" t="s">
        <v>168</v>
      </c>
      <c r="B10" s="10">
        <v>95520</v>
      </c>
      <c r="C10" s="6"/>
      <c r="D10" s="27"/>
      <c r="E10" s="28"/>
      <c r="F10" s="4"/>
      <c r="G10" s="4"/>
      <c r="H10" s="4"/>
      <c r="I10" s="4"/>
      <c r="J10" s="4"/>
      <c r="P10" s="23" t="s">
        <v>186</v>
      </c>
    </row>
    <row r="11" spans="1:17" x14ac:dyDescent="0.3">
      <c r="A11" s="15" t="s">
        <v>169</v>
      </c>
      <c r="B11" s="13">
        <f>B8-B9-B10</f>
        <v>26279.950015103197</v>
      </c>
      <c r="C11" s="4"/>
      <c r="Q11" s="23" t="s">
        <v>188</v>
      </c>
    </row>
    <row r="12" spans="1:17" x14ac:dyDescent="0.3">
      <c r="B12" s="23"/>
      <c r="C12" s="23"/>
      <c r="E12" s="23" t="s">
        <v>6</v>
      </c>
      <c r="F12" s="168" t="s">
        <v>163</v>
      </c>
      <c r="G12" s="169"/>
      <c r="H12" s="169"/>
      <c r="I12" s="169"/>
      <c r="J12" s="170"/>
      <c r="Q12" s="29" t="s">
        <v>170</v>
      </c>
    </row>
    <row r="13" spans="1:17" x14ac:dyDescent="0.3">
      <c r="A13" s="24" t="s">
        <v>170</v>
      </c>
      <c r="B13" s="12">
        <f>((B8/360)*B3)*(1+B6)</f>
        <v>23383.333336232867</v>
      </c>
      <c r="C13" s="4"/>
      <c r="E13" s="7" t="e">
        <f>B25</f>
        <v>#REF!</v>
      </c>
      <c r="F13" s="25">
        <v>30</v>
      </c>
      <c r="G13" s="25">
        <v>45</v>
      </c>
      <c r="H13" s="26">
        <v>60</v>
      </c>
      <c r="I13" s="25">
        <v>75</v>
      </c>
      <c r="J13" s="25">
        <v>90</v>
      </c>
      <c r="Q13" s="29" t="s">
        <v>171</v>
      </c>
    </row>
    <row r="14" spans="1:17" x14ac:dyDescent="0.3">
      <c r="A14" s="24" t="s">
        <v>171</v>
      </c>
      <c r="B14" s="12">
        <f>B9/360*B2</f>
        <v>5410.0025006708411</v>
      </c>
      <c r="C14" s="4"/>
      <c r="D14" s="162" t="s">
        <v>2</v>
      </c>
      <c r="E14" s="25">
        <v>90</v>
      </c>
      <c r="F14" s="9" t="e">
        <f t="dataTable" ref="F14:J18" dt2D="1" dtr="1" r1="B4" r2="B3"/>
        <v>#REF!</v>
      </c>
      <c r="G14" s="2" t="e">
        <v>#REF!</v>
      </c>
      <c r="H14" s="18" t="e">
        <v>#REF!</v>
      </c>
      <c r="I14" s="2" t="e">
        <v>#REF!</v>
      </c>
      <c r="J14" s="2" t="e">
        <v>#REF!</v>
      </c>
      <c r="Q14" s="23" t="s">
        <v>189</v>
      </c>
    </row>
    <row r="15" spans="1:17" x14ac:dyDescent="0.3">
      <c r="A15" s="24" t="s">
        <v>172</v>
      </c>
      <c r="B15" s="12">
        <f>B9/360*B4*(1+B6)</f>
        <v>11000.338418030709</v>
      </c>
      <c r="C15" s="4"/>
      <c r="D15" s="162"/>
      <c r="E15" s="25">
        <v>75</v>
      </c>
      <c r="F15" s="2" t="e">
        <v>#REF!</v>
      </c>
      <c r="G15" s="2" t="e">
        <v>#REF!</v>
      </c>
      <c r="H15" s="18" t="e">
        <v>#REF!</v>
      </c>
      <c r="I15" s="2" t="e">
        <v>#REF!</v>
      </c>
      <c r="J15" s="2" t="e">
        <v>#REF!</v>
      </c>
    </row>
    <row r="16" spans="1:17" x14ac:dyDescent="0.3">
      <c r="A16" s="159" t="s">
        <v>173</v>
      </c>
      <c r="B16" s="160" t="e">
        <f>#REF!</f>
        <v>#REF!</v>
      </c>
      <c r="C16" s="4"/>
      <c r="D16" s="162"/>
      <c r="E16" s="26">
        <v>60</v>
      </c>
      <c r="F16" s="18" t="e">
        <v>#REF!</v>
      </c>
      <c r="G16" s="18" t="e">
        <v>#REF!</v>
      </c>
      <c r="H16" s="19" t="e">
        <v>#REF!</v>
      </c>
      <c r="I16" s="18" t="e">
        <v>#REF!</v>
      </c>
      <c r="J16" s="18" t="e">
        <v>#REF!</v>
      </c>
    </row>
    <row r="17" spans="1:17" x14ac:dyDescent="0.3">
      <c r="A17" s="159" t="s">
        <v>174</v>
      </c>
      <c r="B17" s="160" t="e">
        <f>#REF!</f>
        <v>#REF!</v>
      </c>
      <c r="C17" s="4"/>
      <c r="D17" s="162"/>
      <c r="E17" s="25">
        <v>45</v>
      </c>
      <c r="F17" s="2" t="e">
        <v>#REF!</v>
      </c>
      <c r="G17" s="2" t="e">
        <v>#REF!</v>
      </c>
      <c r="H17" s="18" t="e">
        <v>#REF!</v>
      </c>
      <c r="I17" s="2" t="e">
        <v>#REF!</v>
      </c>
      <c r="J17" s="2" t="e">
        <v>#REF!</v>
      </c>
    </row>
    <row r="18" spans="1:17" x14ac:dyDescent="0.3">
      <c r="A18" s="159" t="s">
        <v>175</v>
      </c>
      <c r="B18" s="160" t="e">
        <f>#REF!</f>
        <v>#REF!</v>
      </c>
      <c r="C18" s="4"/>
      <c r="D18" s="162"/>
      <c r="E18" s="25">
        <v>30</v>
      </c>
      <c r="F18" s="2" t="e">
        <v>#REF!</v>
      </c>
      <c r="G18" s="2" t="e">
        <v>#REF!</v>
      </c>
      <c r="H18" s="18" t="e">
        <v>#REF!</v>
      </c>
      <c r="I18" s="2" t="e">
        <v>#REF!</v>
      </c>
      <c r="J18" s="9" t="e">
        <v>#REF!</v>
      </c>
      <c r="Q18" s="30" t="s">
        <v>190</v>
      </c>
    </row>
    <row r="19" spans="1:17" x14ac:dyDescent="0.3">
      <c r="A19" s="15" t="s">
        <v>184</v>
      </c>
      <c r="B19" s="13" t="e">
        <f>B13+B14-B15-B16-B17-B18</f>
        <v>#REF!</v>
      </c>
      <c r="C19" s="4"/>
      <c r="P19" s="23" t="s">
        <v>187</v>
      </c>
    </row>
    <row r="20" spans="1:17" x14ac:dyDescent="0.3">
      <c r="A20" s="24" t="s">
        <v>176</v>
      </c>
      <c r="B20" s="10">
        <v>66200</v>
      </c>
      <c r="C20" s="6"/>
      <c r="Q20" s="29" t="s">
        <v>191</v>
      </c>
    </row>
    <row r="21" spans="1:17" x14ac:dyDescent="0.3">
      <c r="A21" s="15" t="s">
        <v>177</v>
      </c>
      <c r="B21" s="13" t="e">
        <f>B19+B20</f>
        <v>#REF!</v>
      </c>
      <c r="C21" s="4"/>
      <c r="Q21" s="23" t="s">
        <v>192</v>
      </c>
    </row>
    <row r="22" spans="1:17" x14ac:dyDescent="0.3">
      <c r="B22" s="23"/>
      <c r="C22" s="23"/>
      <c r="Q22" s="23" t="s">
        <v>193</v>
      </c>
    </row>
    <row r="23" spans="1:17" x14ac:dyDescent="0.3">
      <c r="A23" s="15" t="s">
        <v>178</v>
      </c>
      <c r="B23" s="13" t="e">
        <f>B21-B11</f>
        <v>#REF!</v>
      </c>
      <c r="Q23" s="23" t="s">
        <v>194</v>
      </c>
    </row>
    <row r="24" spans="1:17" x14ac:dyDescent="0.3">
      <c r="Q24" s="23" t="s">
        <v>74</v>
      </c>
    </row>
    <row r="25" spans="1:17" x14ac:dyDescent="0.3">
      <c r="A25" s="15" t="s">
        <v>6</v>
      </c>
      <c r="B25" s="14" t="e">
        <f>B11/B21</f>
        <v>#REF!</v>
      </c>
      <c r="Q25" s="23" t="s">
        <v>195</v>
      </c>
    </row>
    <row r="27" spans="1:17" x14ac:dyDescent="0.3">
      <c r="B27" s="23"/>
    </row>
    <row r="28" spans="1:17" x14ac:dyDescent="0.3">
      <c r="B28" s="23"/>
    </row>
    <row r="29" spans="1:17" x14ac:dyDescent="0.3">
      <c r="B29" s="23"/>
    </row>
    <row r="38" spans="2:2" x14ac:dyDescent="0.3">
      <c r="B38" s="23"/>
    </row>
  </sheetData>
  <mergeCells count="4">
    <mergeCell ref="F3:J3"/>
    <mergeCell ref="D5:D9"/>
    <mergeCell ref="D14:D18"/>
    <mergeCell ref="F12:J12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40DE-7581-4B8C-8D38-4B016FCAE520}">
  <dimension ref="B1:Y86"/>
  <sheetViews>
    <sheetView workbookViewId="0">
      <selection activeCell="G11" sqref="G11"/>
    </sheetView>
  </sheetViews>
  <sheetFormatPr defaultColWidth="9.109375" defaultRowHeight="14.4" x14ac:dyDescent="0.3"/>
  <cols>
    <col min="1" max="1" width="8.5546875" customWidth="1"/>
    <col min="2" max="2" width="1.88671875" style="178" bestFit="1" customWidth="1"/>
    <col min="3" max="3" width="41.109375" customWidth="1"/>
    <col min="4" max="4" width="12.6640625" style="96" bestFit="1" customWidth="1"/>
    <col min="5" max="5" width="13.109375" style="178" customWidth="1"/>
    <col min="6" max="7" width="11.109375" customWidth="1"/>
    <col min="8" max="8" width="11.109375" style="178" customWidth="1"/>
    <col min="9" max="12" width="11.109375" customWidth="1"/>
    <col min="14" max="17" width="13.44140625" bestFit="1" customWidth="1"/>
    <col min="18" max="18" width="23.6640625" bestFit="1" customWidth="1"/>
    <col min="23" max="23" width="11.5546875" customWidth="1"/>
    <col min="24" max="24" width="11.88671875" bestFit="1" customWidth="1"/>
  </cols>
  <sheetData>
    <row r="1" spans="3:25" customFormat="1" x14ac:dyDescent="0.3">
      <c r="C1" s="91" t="s">
        <v>7</v>
      </c>
      <c r="D1" s="92" t="s">
        <v>8</v>
      </c>
      <c r="E1" s="92" t="s">
        <v>9</v>
      </c>
      <c r="M1" s="173" t="s">
        <v>10</v>
      </c>
      <c r="R1" s="174" t="s">
        <v>98</v>
      </c>
      <c r="U1" s="100" t="s">
        <v>100</v>
      </c>
      <c r="V1" s="100"/>
      <c r="W1" s="100"/>
      <c r="X1" s="100" t="s">
        <v>8</v>
      </c>
      <c r="Y1" s="100" t="s">
        <v>9</v>
      </c>
    </row>
    <row r="2" spans="3:25" customFormat="1" x14ac:dyDescent="0.3">
      <c r="C2" s="175" t="s">
        <v>10</v>
      </c>
      <c r="D2" s="93">
        <v>20</v>
      </c>
      <c r="E2" s="93">
        <v>80</v>
      </c>
      <c r="M2" s="72">
        <v>211539.83103087891</v>
      </c>
      <c r="N2" s="156">
        <v>40000</v>
      </c>
      <c r="O2" s="156">
        <v>50000</v>
      </c>
      <c r="P2" s="156">
        <v>60000</v>
      </c>
      <c r="Q2" s="156">
        <v>65000</v>
      </c>
      <c r="R2" s="156">
        <v>70000</v>
      </c>
      <c r="U2" t="s">
        <v>101</v>
      </c>
      <c r="X2">
        <v>40000</v>
      </c>
      <c r="Y2">
        <v>40000</v>
      </c>
    </row>
    <row r="3" spans="3:25" customFormat="1" x14ac:dyDescent="0.3">
      <c r="C3" s="175" t="s">
        <v>0</v>
      </c>
      <c r="D3" s="93">
        <v>11500</v>
      </c>
      <c r="E3" s="93">
        <v>11500</v>
      </c>
      <c r="M3" s="73">
        <v>0.36</v>
      </c>
      <c r="N3" s="157">
        <v>154834474.61227563</v>
      </c>
      <c r="O3" s="77">
        <v>193562091.57270798</v>
      </c>
      <c r="P3" s="78">
        <v>232289708.53314558</v>
      </c>
      <c r="Q3" s="77">
        <v>251653517.01336259</v>
      </c>
      <c r="R3" s="77">
        <v>271017325.49358135</v>
      </c>
      <c r="U3" t="s">
        <v>102</v>
      </c>
      <c r="X3">
        <v>300000</v>
      </c>
      <c r="Y3">
        <v>400000</v>
      </c>
    </row>
    <row r="4" spans="3:25" customFormat="1" x14ac:dyDescent="0.3">
      <c r="C4" s="175" t="s">
        <v>75</v>
      </c>
      <c r="D4" s="94">
        <v>0.47043499999999999</v>
      </c>
      <c r="E4" s="94">
        <v>0.398478</v>
      </c>
      <c r="M4" s="73">
        <v>0.38</v>
      </c>
      <c r="N4" s="77">
        <v>149042106.19128084</v>
      </c>
      <c r="O4" s="77">
        <v>186321631.0463936</v>
      </c>
      <c r="P4" s="78">
        <v>223601155.90156803</v>
      </c>
      <c r="Q4" s="77">
        <v>242240918.32915354</v>
      </c>
      <c r="R4" s="77">
        <v>260880680.75674072</v>
      </c>
    </row>
    <row r="5" spans="3:25" customFormat="1" x14ac:dyDescent="0.3">
      <c r="C5" s="175" t="s">
        <v>11</v>
      </c>
      <c r="D5" s="94">
        <v>0</v>
      </c>
      <c r="E5" s="94">
        <v>0</v>
      </c>
      <c r="M5" s="74">
        <v>0.4</v>
      </c>
      <c r="N5" s="78">
        <v>143249737.77022731</v>
      </c>
      <c r="O5" s="78">
        <v>179081170.52007926</v>
      </c>
      <c r="P5" s="80">
        <v>214912603.26999047</v>
      </c>
      <c r="Q5" s="78">
        <v>232828319.64494452</v>
      </c>
      <c r="R5" s="78">
        <v>250744036.01990008</v>
      </c>
      <c r="U5" s="100" t="s">
        <v>106</v>
      </c>
    </row>
    <row r="6" spans="3:25" customFormat="1" x14ac:dyDescent="0.3">
      <c r="C6" s="175" t="s">
        <v>12</v>
      </c>
      <c r="D6" s="93">
        <v>115000</v>
      </c>
      <c r="E6" s="93">
        <v>306666.6667</v>
      </c>
      <c r="M6" s="73">
        <v>0.42</v>
      </c>
      <c r="N6" s="77">
        <v>137457369.34917375</v>
      </c>
      <c r="O6" s="77">
        <v>171840709.99376488</v>
      </c>
      <c r="P6" s="78">
        <v>206224050.63841295</v>
      </c>
      <c r="Q6" s="77">
        <v>223415720.96073547</v>
      </c>
      <c r="R6" s="77">
        <v>240607391.28305948</v>
      </c>
      <c r="U6" t="s">
        <v>103</v>
      </c>
      <c r="X6" s="176">
        <v>-6.5093424619424534</v>
      </c>
      <c r="Y6" s="176">
        <v>-7.0946562742639729</v>
      </c>
    </row>
    <row r="7" spans="3:25" customFormat="1" x14ac:dyDescent="0.3">
      <c r="C7" s="175" t="s">
        <v>13</v>
      </c>
      <c r="D7" s="93">
        <v>28333.333330000001</v>
      </c>
      <c r="E7" s="93">
        <v>30222.22222</v>
      </c>
      <c r="M7" s="73">
        <v>0.45</v>
      </c>
      <c r="N7" s="77">
        <v>128768816.7175945</v>
      </c>
      <c r="O7" s="77">
        <v>160980019.20429334</v>
      </c>
      <c r="P7" s="78">
        <v>193191221.69104666</v>
      </c>
      <c r="Q7" s="77">
        <v>209296822.9344219</v>
      </c>
      <c r="R7" s="157">
        <v>225402424.17779854</v>
      </c>
      <c r="U7" t="s">
        <v>104</v>
      </c>
      <c r="X7" s="176">
        <v>-0.44767683696594424</v>
      </c>
      <c r="Y7" s="176">
        <v>-1.508151932241266</v>
      </c>
    </row>
    <row r="8" spans="3:25" customFormat="1" x14ac:dyDescent="0.3">
      <c r="C8" s="175" t="s">
        <v>14</v>
      </c>
      <c r="D8" s="93"/>
      <c r="E8" s="93"/>
      <c r="X8" s="176"/>
      <c r="Y8" s="176"/>
    </row>
    <row r="9" spans="3:25" customFormat="1" x14ac:dyDescent="0.3">
      <c r="C9" s="175" t="s">
        <v>13</v>
      </c>
      <c r="D9" s="93"/>
      <c r="E9" s="93"/>
      <c r="M9" s="173" t="s">
        <v>10</v>
      </c>
      <c r="R9" s="174" t="s">
        <v>99</v>
      </c>
      <c r="U9" s="100" t="s">
        <v>108</v>
      </c>
      <c r="X9" s="176"/>
      <c r="Y9" s="176"/>
    </row>
    <row r="10" spans="3:25" customFormat="1" x14ac:dyDescent="0.3">
      <c r="C10" s="175" t="s">
        <v>15</v>
      </c>
      <c r="D10" s="95">
        <v>5.5555555555555601E-2</v>
      </c>
      <c r="E10" s="95">
        <v>5.5555555555555601E-2</v>
      </c>
      <c r="G10" t="s">
        <v>76</v>
      </c>
      <c r="M10" s="72">
        <v>-263586.85018615704</v>
      </c>
      <c r="N10" s="156">
        <v>40000</v>
      </c>
      <c r="O10" s="156">
        <v>50000</v>
      </c>
      <c r="P10" s="156">
        <v>60000</v>
      </c>
      <c r="Q10" s="156">
        <v>65000</v>
      </c>
      <c r="R10" s="156">
        <v>70000</v>
      </c>
      <c r="U10" t="s">
        <v>105</v>
      </c>
      <c r="X10" s="177">
        <v>-0.25340363554724493</v>
      </c>
      <c r="Y10" s="177">
        <v>-0.19208213130789814</v>
      </c>
    </row>
    <row r="11" spans="3:25" customFormat="1" x14ac:dyDescent="0.3">
      <c r="C11" s="175" t="s">
        <v>16</v>
      </c>
      <c r="D11" s="93">
        <v>11520</v>
      </c>
      <c r="E11" s="93">
        <v>12960</v>
      </c>
      <c r="M11" s="73">
        <v>0.36</v>
      </c>
      <c r="N11" s="157">
        <v>-232552380.48125908</v>
      </c>
      <c r="O11" s="77">
        <v>-290732205.04458457</v>
      </c>
      <c r="P11" s="78">
        <v>-348912029.60816205</v>
      </c>
      <c r="Q11" s="77">
        <v>-378001941.88999051</v>
      </c>
      <c r="R11" s="77">
        <v>-407091854.17177927</v>
      </c>
      <c r="U11" t="s">
        <v>107</v>
      </c>
      <c r="X11" s="177">
        <v>-0.47679876047963443</v>
      </c>
      <c r="Y11" s="177">
        <v>-0.71039776419093392</v>
      </c>
    </row>
    <row r="12" spans="3:25" customFormat="1" x14ac:dyDescent="0.3">
      <c r="C12" s="175" t="s">
        <v>17</v>
      </c>
      <c r="D12" s="93">
        <v>24000</v>
      </c>
      <c r="E12" s="93">
        <v>55000</v>
      </c>
      <c r="M12" s="73">
        <v>0.38</v>
      </c>
      <c r="N12" s="77">
        <v>-223473433.11357585</v>
      </c>
      <c r="O12" s="77">
        <v>-279383520.83408326</v>
      </c>
      <c r="P12" s="78">
        <v>-335293608.55555546</v>
      </c>
      <c r="Q12" s="77">
        <v>-363248652.41632986</v>
      </c>
      <c r="R12" s="77">
        <v>-391203696.27706593</v>
      </c>
      <c r="X12" s="176"/>
      <c r="Y12" s="176"/>
    </row>
    <row r="13" spans="3:25" customFormat="1" x14ac:dyDescent="0.3">
      <c r="C13" s="175" t="s">
        <v>18</v>
      </c>
      <c r="D13" s="93">
        <v>66200</v>
      </c>
      <c r="E13" s="93">
        <v>198600</v>
      </c>
      <c r="M13" s="74">
        <v>0.4</v>
      </c>
      <c r="N13" s="78">
        <v>-214394485.74514309</v>
      </c>
      <c r="O13" s="78">
        <v>-268034836.62358192</v>
      </c>
      <c r="P13" s="80">
        <v>-321675187.50294888</v>
      </c>
      <c r="Q13" s="78">
        <v>-348495362.94266921</v>
      </c>
      <c r="R13" s="78">
        <v>-375315538.38235271</v>
      </c>
      <c r="U13" s="100" t="s">
        <v>109</v>
      </c>
      <c r="X13" s="176"/>
      <c r="Y13" s="176"/>
    </row>
    <row r="14" spans="3:25" customFormat="1" x14ac:dyDescent="0.3">
      <c r="C14" s="175" t="s">
        <v>19</v>
      </c>
      <c r="D14" s="93">
        <v>5</v>
      </c>
      <c r="E14" s="93">
        <v>5</v>
      </c>
      <c r="M14" s="73">
        <v>0.42</v>
      </c>
      <c r="N14" s="77">
        <v>-205315538.3767103</v>
      </c>
      <c r="O14" s="77">
        <v>-256686152.41308063</v>
      </c>
      <c r="P14" s="78">
        <v>-308056766.4503423</v>
      </c>
      <c r="Q14" s="77">
        <v>-333742073.46900862</v>
      </c>
      <c r="R14" s="77">
        <v>-359427380.48763943</v>
      </c>
      <c r="U14" t="s">
        <v>113</v>
      </c>
      <c r="X14" s="176">
        <v>8.6769540542289608E-2</v>
      </c>
      <c r="Y14" s="176">
        <v>0.57012488633454805</v>
      </c>
    </row>
    <row r="15" spans="3:25" customFormat="1" x14ac:dyDescent="0.3">
      <c r="C15" s="175" t="s">
        <v>20</v>
      </c>
      <c r="D15" s="93">
        <v>1</v>
      </c>
      <c r="E15" s="93">
        <v>1</v>
      </c>
      <c r="M15" s="73">
        <v>0.45</v>
      </c>
      <c r="N15" s="77">
        <v>-191697117.3240748</v>
      </c>
      <c r="O15" s="77">
        <v>-239663126.0973286</v>
      </c>
      <c r="P15" s="78">
        <v>-287629134.87143242</v>
      </c>
      <c r="Q15" s="77">
        <v>-311612139.25851768</v>
      </c>
      <c r="R15" s="157">
        <v>-335595143.64556962</v>
      </c>
      <c r="U15" t="s">
        <v>110</v>
      </c>
      <c r="X15" s="176">
        <v>0.16176875301068663</v>
      </c>
      <c r="Y15" s="176">
        <v>1.1234466615252292</v>
      </c>
    </row>
    <row r="16" spans="3:25" customFormat="1" x14ac:dyDescent="0.3">
      <c r="C16" s="175" t="s">
        <v>21</v>
      </c>
      <c r="D16" s="93">
        <v>1</v>
      </c>
      <c r="E16" s="93">
        <v>1</v>
      </c>
      <c r="U16" t="s">
        <v>111</v>
      </c>
      <c r="X16" s="176">
        <v>0.23084036075784778</v>
      </c>
      <c r="Y16" s="176">
        <v>3.1341354455810682</v>
      </c>
    </row>
    <row r="17" spans="2:25" x14ac:dyDescent="0.3">
      <c r="C17" s="175" t="s">
        <v>22</v>
      </c>
      <c r="D17" s="93">
        <v>0.6</v>
      </c>
      <c r="E17" s="93">
        <v>0.25</v>
      </c>
      <c r="M17" s="173" t="s">
        <v>4</v>
      </c>
      <c r="R17" s="174" t="s">
        <v>99</v>
      </c>
      <c r="X17" s="176"/>
      <c r="Y17" s="176"/>
    </row>
    <row r="18" spans="2:25" x14ac:dyDescent="0.3">
      <c r="C18" s="175" t="s">
        <v>23</v>
      </c>
      <c r="D18" s="94">
        <v>0.1</v>
      </c>
      <c r="E18" s="94">
        <v>0.1</v>
      </c>
      <c r="G18" t="s">
        <v>82</v>
      </c>
      <c r="M18" s="72">
        <v>-263586.85018615704</v>
      </c>
      <c r="N18" s="156">
        <v>800000</v>
      </c>
      <c r="O18" s="156">
        <v>900000</v>
      </c>
      <c r="P18" s="156">
        <v>1000000</v>
      </c>
      <c r="Q18" s="156">
        <v>1100000</v>
      </c>
      <c r="R18" s="156">
        <v>1200000</v>
      </c>
      <c r="U18" s="100" t="s">
        <v>112</v>
      </c>
      <c r="X18" s="176"/>
      <c r="Y18" s="176"/>
    </row>
    <row r="19" spans="2:25" x14ac:dyDescent="0.3">
      <c r="C19" s="179" t="s">
        <v>24</v>
      </c>
      <c r="D19" s="94">
        <v>0.4</v>
      </c>
      <c r="E19" s="94">
        <v>0.4</v>
      </c>
      <c r="I19" s="176"/>
      <c r="M19" s="154">
        <v>2</v>
      </c>
      <c r="N19" s="157">
        <v>647342.72291950078</v>
      </c>
      <c r="O19" s="77">
        <v>767032.47386103589</v>
      </c>
      <c r="P19" s="78">
        <v>886722.22455355665</v>
      </c>
      <c r="Q19" s="77">
        <v>1006411.9752460775</v>
      </c>
      <c r="R19" s="77">
        <v>1126101.7259385982</v>
      </c>
      <c r="U19" t="s">
        <v>114</v>
      </c>
      <c r="X19" s="158">
        <v>0.75</v>
      </c>
      <c r="Y19" s="176"/>
    </row>
    <row r="20" spans="2:25" x14ac:dyDescent="0.3">
      <c r="C20" s="175" t="s">
        <v>25</v>
      </c>
      <c r="D20" s="94">
        <v>0.22</v>
      </c>
      <c r="E20" s="94">
        <v>0.22</v>
      </c>
      <c r="M20" s="154">
        <v>2.5</v>
      </c>
      <c r="N20" s="77">
        <v>696570.79425938067</v>
      </c>
      <c r="O20" s="77">
        <v>816260.54403647454</v>
      </c>
      <c r="P20" s="78">
        <v>935950.2947289953</v>
      </c>
      <c r="Q20" s="77">
        <v>1055640.0454215161</v>
      </c>
      <c r="R20" s="77">
        <v>1175329.7961140368</v>
      </c>
      <c r="U20" t="s">
        <v>115</v>
      </c>
      <c r="X20" s="158">
        <v>-22.043675126228138</v>
      </c>
      <c r="Y20" s="176"/>
    </row>
    <row r="21" spans="2:25" x14ac:dyDescent="0.3">
      <c r="C21" s="179" t="s">
        <v>80</v>
      </c>
      <c r="D21" s="94">
        <v>1</v>
      </c>
      <c r="E21" s="94"/>
      <c r="M21" s="155">
        <v>3</v>
      </c>
      <c r="N21" s="78">
        <v>745798.8644348192</v>
      </c>
      <c r="O21" s="78">
        <v>865488.61421191297</v>
      </c>
      <c r="P21" s="80">
        <v>985178.36490443372</v>
      </c>
      <c r="Q21" s="78">
        <v>1104868.1155969547</v>
      </c>
      <c r="R21" s="78">
        <v>1224557.8662894752</v>
      </c>
      <c r="U21" t="s">
        <v>116</v>
      </c>
      <c r="X21" s="158">
        <v>0.87558041426403865</v>
      </c>
      <c r="Y21" s="176"/>
    </row>
    <row r="22" spans="2:25" x14ac:dyDescent="0.3">
      <c r="M22" s="154">
        <v>3.5</v>
      </c>
      <c r="N22" s="77">
        <v>795026.93461025786</v>
      </c>
      <c r="O22" s="77">
        <v>914716.68438735162</v>
      </c>
      <c r="P22" s="78">
        <v>1034406.4350798726</v>
      </c>
      <c r="Q22" s="77">
        <v>1154096.1857723934</v>
      </c>
      <c r="R22" s="77">
        <v>1273785.9364649139</v>
      </c>
      <c r="X22" s="176"/>
      <c r="Y22" s="176"/>
    </row>
    <row r="23" spans="2:25" x14ac:dyDescent="0.3">
      <c r="B23" s="97"/>
      <c r="C23" s="98" t="s">
        <v>26</v>
      </c>
      <c r="D23" s="99" t="s">
        <v>8</v>
      </c>
      <c r="E23" s="99" t="s">
        <v>9</v>
      </c>
      <c r="H23"/>
      <c r="M23" s="154">
        <v>4</v>
      </c>
      <c r="N23" s="77">
        <v>844255.00478569651</v>
      </c>
      <c r="O23" s="77">
        <v>963944.75456279027</v>
      </c>
      <c r="P23" s="78">
        <v>1083634.5052553113</v>
      </c>
      <c r="Q23" s="77">
        <v>1203324.255947832</v>
      </c>
      <c r="R23" s="157">
        <v>1323014.0066403525</v>
      </c>
      <c r="X23" s="176"/>
      <c r="Y23" s="176"/>
    </row>
    <row r="24" spans="2:25" x14ac:dyDescent="0.3">
      <c r="B24" s="180" t="s">
        <v>27</v>
      </c>
      <c r="C24" s="100" t="s">
        <v>28</v>
      </c>
      <c r="D24" s="96">
        <v>230000</v>
      </c>
      <c r="E24" s="96">
        <v>920000</v>
      </c>
      <c r="H24"/>
    </row>
    <row r="25" spans="2:25" x14ac:dyDescent="0.3">
      <c r="B25" s="180" t="s">
        <v>29</v>
      </c>
      <c r="C25" t="s">
        <v>30</v>
      </c>
      <c r="D25" s="96">
        <v>108200.05</v>
      </c>
      <c r="E25" s="96">
        <v>366599.76</v>
      </c>
      <c r="H25"/>
    </row>
    <row r="26" spans="2:25" x14ac:dyDescent="0.3">
      <c r="B26" s="181" t="s">
        <v>29</v>
      </c>
      <c r="C26" s="182" t="s">
        <v>11</v>
      </c>
      <c r="D26" s="101">
        <v>0</v>
      </c>
      <c r="E26" s="101">
        <v>0</v>
      </c>
      <c r="H26"/>
    </row>
    <row r="27" spans="2:25" x14ac:dyDescent="0.3">
      <c r="B27" s="180" t="s">
        <v>31</v>
      </c>
      <c r="C27" s="100" t="s">
        <v>1</v>
      </c>
      <c r="D27" s="102">
        <v>121799.95</v>
      </c>
      <c r="E27" s="102">
        <v>553400.24</v>
      </c>
      <c r="H27"/>
    </row>
    <row r="28" spans="2:25" x14ac:dyDescent="0.3">
      <c r="B28" s="180" t="s">
        <v>29</v>
      </c>
      <c r="C28" t="s">
        <v>32</v>
      </c>
      <c r="D28" s="96">
        <v>56666.666660000003</v>
      </c>
      <c r="E28" s="96">
        <v>90666.666650144922</v>
      </c>
      <c r="H28"/>
    </row>
    <row r="29" spans="2:25" x14ac:dyDescent="0.3">
      <c r="B29" s="181" t="s">
        <v>29</v>
      </c>
      <c r="C29" s="182" t="s">
        <v>33</v>
      </c>
      <c r="D29" s="101">
        <v>3148.1481477777807</v>
      </c>
      <c r="E29" s="101">
        <v>5037.0370361191663</v>
      </c>
      <c r="H29"/>
    </row>
    <row r="30" spans="2:25" x14ac:dyDescent="0.3">
      <c r="B30" s="180" t="s">
        <v>31</v>
      </c>
      <c r="C30" s="100" t="s">
        <v>34</v>
      </c>
      <c r="D30" s="102">
        <v>61985.135192222217</v>
      </c>
      <c r="E30" s="102">
        <v>457696.53631373594</v>
      </c>
      <c r="H30"/>
    </row>
    <row r="31" spans="2:25" x14ac:dyDescent="0.3">
      <c r="B31" s="180" t="s">
        <v>29</v>
      </c>
      <c r="C31" t="s">
        <v>16</v>
      </c>
      <c r="D31" s="96">
        <v>11520</v>
      </c>
      <c r="E31" s="96">
        <v>12960</v>
      </c>
      <c r="H31"/>
    </row>
    <row r="32" spans="2:25" x14ac:dyDescent="0.3">
      <c r="B32" s="180" t="s">
        <v>29</v>
      </c>
      <c r="C32" t="s">
        <v>35</v>
      </c>
      <c r="D32" s="96">
        <v>0</v>
      </c>
      <c r="E32" s="96">
        <v>0</v>
      </c>
      <c r="H32"/>
    </row>
    <row r="33" spans="2:8" x14ac:dyDescent="0.3">
      <c r="B33" s="180" t="s">
        <v>29</v>
      </c>
      <c r="C33" t="s">
        <v>36</v>
      </c>
      <c r="D33" s="96">
        <v>0</v>
      </c>
      <c r="E33" s="96">
        <v>0</v>
      </c>
      <c r="H33"/>
    </row>
    <row r="34" spans="2:8" x14ac:dyDescent="0.3">
      <c r="B34" s="181" t="s">
        <v>29</v>
      </c>
      <c r="C34" s="182" t="s">
        <v>37</v>
      </c>
      <c r="D34" s="101">
        <v>24000</v>
      </c>
      <c r="E34" s="101">
        <v>55000</v>
      </c>
      <c r="H34"/>
    </row>
    <row r="35" spans="2:8" x14ac:dyDescent="0.3">
      <c r="B35" s="180" t="s">
        <v>31</v>
      </c>
      <c r="C35" s="100" t="s">
        <v>38</v>
      </c>
      <c r="D35" s="102">
        <v>26465.135192222217</v>
      </c>
      <c r="E35" s="102">
        <v>389736.53631373594</v>
      </c>
      <c r="H35"/>
    </row>
    <row r="36" spans="2:8" x14ac:dyDescent="0.3">
      <c r="B36" s="181" t="s">
        <v>29</v>
      </c>
      <c r="C36" s="182" t="s">
        <v>77</v>
      </c>
      <c r="D36" s="101">
        <v>13240</v>
      </c>
      <c r="E36" s="101">
        <v>52960</v>
      </c>
      <c r="H36"/>
    </row>
    <row r="37" spans="2:8" x14ac:dyDescent="0.3">
      <c r="B37" s="180" t="s">
        <v>31</v>
      </c>
      <c r="C37" s="100" t="s">
        <v>78</v>
      </c>
      <c r="D37" s="102">
        <v>13225.135192222217</v>
      </c>
      <c r="E37" s="102">
        <v>336776.53631373594</v>
      </c>
      <c r="H37"/>
    </row>
    <row r="38" spans="2:8" x14ac:dyDescent="0.3">
      <c r="B38" s="181" t="s">
        <v>29</v>
      </c>
      <c r="C38" s="182" t="s">
        <v>79</v>
      </c>
      <c r="D38" s="103">
        <v>-2610.5062284210526</v>
      </c>
      <c r="E38" s="103">
        <v>-15789.848737728906</v>
      </c>
      <c r="H38"/>
    </row>
    <row r="39" spans="2:8" x14ac:dyDescent="0.3">
      <c r="B39" s="180" t="s">
        <v>31</v>
      </c>
      <c r="C39" s="100" t="s">
        <v>39</v>
      </c>
      <c r="D39" s="102">
        <v>15835.641420643269</v>
      </c>
      <c r="E39" s="102">
        <v>352566.38505146484</v>
      </c>
      <c r="H39"/>
    </row>
    <row r="40" spans="2:8" x14ac:dyDescent="0.3">
      <c r="B40" s="180" t="s">
        <v>29</v>
      </c>
      <c r="C40" t="s">
        <v>40</v>
      </c>
      <c r="D40" s="96">
        <v>6334.2565682573077</v>
      </c>
      <c r="E40" s="96">
        <v>141026.55402058593</v>
      </c>
      <c r="H40"/>
    </row>
    <row r="41" spans="2:8" ht="15" thickBot="1" x14ac:dyDescent="0.35">
      <c r="B41" s="183" t="s">
        <v>31</v>
      </c>
      <c r="C41" s="104" t="s">
        <v>41</v>
      </c>
      <c r="D41" s="105">
        <v>9501.3848523859615</v>
      </c>
      <c r="E41" s="105">
        <v>211539.83103087891</v>
      </c>
      <c r="H41"/>
    </row>
    <row r="42" spans="2:8" ht="15" thickTop="1" x14ac:dyDescent="0.3">
      <c r="G42" s="96"/>
      <c r="H42" s="96"/>
    </row>
    <row r="43" spans="2:8" x14ac:dyDescent="0.3">
      <c r="B43" s="106"/>
      <c r="C43" s="107" t="s">
        <v>117</v>
      </c>
      <c r="D43" s="108"/>
      <c r="E43" s="108"/>
      <c r="G43" s="96"/>
      <c r="H43" s="96"/>
    </row>
    <row r="44" spans="2:8" ht="14.25" customHeight="1" x14ac:dyDescent="0.3">
      <c r="B44" s="106"/>
      <c r="C44" s="107" t="s">
        <v>42</v>
      </c>
      <c r="D44" s="108" t="s">
        <v>8</v>
      </c>
      <c r="E44" s="108" t="s">
        <v>9</v>
      </c>
      <c r="H44"/>
    </row>
    <row r="45" spans="2:8" ht="14.25" customHeight="1" x14ac:dyDescent="0.3">
      <c r="B45" s="180" t="s">
        <v>27</v>
      </c>
      <c r="C45" s="100" t="s">
        <v>43</v>
      </c>
      <c r="D45" s="109">
        <v>28793.335833333334</v>
      </c>
      <c r="E45" s="109">
        <v>101170.82833333334</v>
      </c>
      <c r="H45"/>
    </row>
    <row r="46" spans="2:8" ht="14.25" customHeight="1" x14ac:dyDescent="0.3">
      <c r="B46" s="180"/>
      <c r="C46" s="184" t="s">
        <v>44</v>
      </c>
      <c r="D46" s="110">
        <v>23383.333333333336</v>
      </c>
      <c r="E46" s="110">
        <v>93533.333333333343</v>
      </c>
      <c r="H46"/>
    </row>
    <row r="47" spans="2:8" ht="14.25" customHeight="1" x14ac:dyDescent="0.3">
      <c r="B47" s="180"/>
      <c r="C47" s="184" t="s">
        <v>45</v>
      </c>
      <c r="D47" s="110">
        <v>0</v>
      </c>
      <c r="E47" s="110">
        <v>0</v>
      </c>
      <c r="H47"/>
    </row>
    <row r="48" spans="2:8" ht="14.25" customHeight="1" x14ac:dyDescent="0.3">
      <c r="B48" s="180"/>
      <c r="C48" s="184" t="s">
        <v>46</v>
      </c>
      <c r="D48" s="110">
        <v>5410.0024999999996</v>
      </c>
      <c r="E48" s="110">
        <v>7637.4949999999999</v>
      </c>
      <c r="H48"/>
    </row>
    <row r="49" spans="2:8" ht="14.25" customHeight="1" x14ac:dyDescent="0.3">
      <c r="B49"/>
      <c r="D49" s="110"/>
      <c r="E49" s="110"/>
      <c r="H49"/>
    </row>
    <row r="50" spans="2:8" ht="14.25" customHeight="1" x14ac:dyDescent="0.3">
      <c r="B50" s="180" t="s">
        <v>27</v>
      </c>
      <c r="C50" s="100" t="s">
        <v>47</v>
      </c>
      <c r="D50" s="109">
        <v>52960</v>
      </c>
      <c r="E50" s="109">
        <v>198600</v>
      </c>
      <c r="H50"/>
    </row>
    <row r="51" spans="2:8" ht="14.25" customHeight="1" x14ac:dyDescent="0.3">
      <c r="B51" s="180"/>
      <c r="C51" s="184" t="s">
        <v>48</v>
      </c>
      <c r="D51" s="110">
        <v>66200</v>
      </c>
      <c r="E51" s="110">
        <v>264800</v>
      </c>
      <c r="H51"/>
    </row>
    <row r="52" spans="2:8" ht="14.25" customHeight="1" x14ac:dyDescent="0.3">
      <c r="B52" s="180"/>
      <c r="C52" s="184" t="s">
        <v>49</v>
      </c>
      <c r="D52" s="110">
        <v>13240</v>
      </c>
      <c r="E52" s="110">
        <v>66200</v>
      </c>
      <c r="H52"/>
    </row>
    <row r="53" spans="2:8" ht="15" thickBot="1" x14ac:dyDescent="0.35">
      <c r="B53" s="183" t="s">
        <v>31</v>
      </c>
      <c r="C53" s="104" t="s">
        <v>50</v>
      </c>
      <c r="D53" s="111">
        <v>81753.335833333331</v>
      </c>
      <c r="E53" s="111">
        <v>299770.82833333337</v>
      </c>
    </row>
    <row r="54" spans="2:8" ht="15" thickTop="1" x14ac:dyDescent="0.3">
      <c r="B54" s="180"/>
      <c r="C54" s="100"/>
      <c r="D54" s="112"/>
      <c r="E54" s="112"/>
    </row>
    <row r="55" spans="2:8" x14ac:dyDescent="0.3">
      <c r="B55" s="113"/>
      <c r="C55" s="114" t="s">
        <v>51</v>
      </c>
      <c r="D55" s="115" t="s">
        <v>8</v>
      </c>
      <c r="E55" s="115" t="s">
        <v>9</v>
      </c>
    </row>
    <row r="56" spans="2:8" x14ac:dyDescent="0.3">
      <c r="B56" s="180"/>
      <c r="C56" s="184" t="s">
        <v>52</v>
      </c>
      <c r="D56" s="96">
        <v>31618.410999999996</v>
      </c>
      <c r="E56" s="96">
        <v>95603.147200000007</v>
      </c>
    </row>
    <row r="57" spans="2:8" x14ac:dyDescent="0.3">
      <c r="C57" s="184" t="s">
        <v>53</v>
      </c>
      <c r="D57" s="96">
        <v>14564</v>
      </c>
      <c r="E57" s="96">
        <v>43692</v>
      </c>
    </row>
    <row r="58" spans="2:8" x14ac:dyDescent="0.3">
      <c r="B58" s="180"/>
      <c r="C58" s="184" t="s">
        <v>54</v>
      </c>
      <c r="D58" s="96">
        <v>-50600</v>
      </c>
      <c r="E58" s="96">
        <v>-202400</v>
      </c>
    </row>
    <row r="59" spans="2:8" x14ac:dyDescent="0.3">
      <c r="B59" s="180"/>
      <c r="C59" s="184" t="s">
        <v>55</v>
      </c>
      <c r="D59" s="96">
        <v>-4417.5890000000072</v>
      </c>
      <c r="E59" s="96">
        <v>-63104.852799999993</v>
      </c>
    </row>
    <row r="60" spans="2:8" x14ac:dyDescent="0.3">
      <c r="B60" s="180"/>
      <c r="C60" s="184" t="s">
        <v>56</v>
      </c>
      <c r="D60" s="96">
        <v>0</v>
      </c>
      <c r="E60" s="96">
        <v>0</v>
      </c>
    </row>
    <row r="61" spans="2:8" ht="15" thickBot="1" x14ac:dyDescent="0.35">
      <c r="B61" s="183"/>
      <c r="C61" s="104" t="s">
        <v>57</v>
      </c>
      <c r="D61" s="105">
        <v>-368.13241666666727</v>
      </c>
      <c r="E61" s="105">
        <v>-5258.7377333333325</v>
      </c>
    </row>
    <row r="62" spans="2:8" ht="15" thickTop="1" x14ac:dyDescent="0.3"/>
    <row r="63" spans="2:8" x14ac:dyDescent="0.3">
      <c r="B63" s="106"/>
      <c r="C63" s="107" t="s">
        <v>58</v>
      </c>
      <c r="D63" s="108" t="s">
        <v>8</v>
      </c>
      <c r="E63" s="108" t="s">
        <v>9</v>
      </c>
    </row>
    <row r="64" spans="2:8" x14ac:dyDescent="0.3">
      <c r="B64" s="180" t="s">
        <v>27</v>
      </c>
      <c r="C64" s="100" t="s">
        <v>59</v>
      </c>
      <c r="D64" s="109">
        <v>24462.075549368423</v>
      </c>
      <c r="E64" s="109">
        <v>192316.46263622557</v>
      </c>
    </row>
    <row r="65" spans="2:13" x14ac:dyDescent="0.3">
      <c r="B65" s="180"/>
      <c r="C65" s="184" t="s">
        <v>60</v>
      </c>
      <c r="D65" s="110">
        <v>14611.538416666664</v>
      </c>
      <c r="E65" s="110">
        <v>44180.242266666661</v>
      </c>
    </row>
    <row r="66" spans="2:13" x14ac:dyDescent="0.3">
      <c r="C66" s="184" t="s">
        <v>61</v>
      </c>
      <c r="D66" s="110">
        <v>6334.2565682573077</v>
      </c>
      <c r="E66" s="110">
        <v>134692.29745232861</v>
      </c>
    </row>
    <row r="67" spans="2:13" x14ac:dyDescent="0.3">
      <c r="B67" s="180"/>
      <c r="C67" s="184" t="s">
        <v>62</v>
      </c>
      <c r="D67" s="110">
        <v>3148.1481477777807</v>
      </c>
      <c r="E67" s="110">
        <v>8185.1851838969469</v>
      </c>
    </row>
    <row r="68" spans="2:13" x14ac:dyDescent="0.3">
      <c r="B68" s="180"/>
      <c r="C68" s="184" t="s">
        <v>63</v>
      </c>
      <c r="D68" s="110">
        <v>368.13241666666727</v>
      </c>
      <c r="E68" s="110">
        <v>5258.7377333333325</v>
      </c>
    </row>
    <row r="69" spans="2:13" x14ac:dyDescent="0.3">
      <c r="B69" s="180"/>
      <c r="D69" s="110"/>
    </row>
    <row r="70" spans="2:13" x14ac:dyDescent="0.3">
      <c r="B70" s="180" t="s">
        <v>27</v>
      </c>
      <c r="C70" s="100" t="s">
        <v>64</v>
      </c>
      <c r="D70" s="109">
        <v>-52210.124568421044</v>
      </c>
      <c r="E70" s="109">
        <v>-263586.85018615704</v>
      </c>
    </row>
    <row r="71" spans="2:13" x14ac:dyDescent="0.3">
      <c r="C71" s="184" t="s">
        <v>65</v>
      </c>
      <c r="D71" s="110">
        <v>-152210.12456842104</v>
      </c>
      <c r="E71" s="110">
        <v>-663586.85018615704</v>
      </c>
      <c r="M71" t="s">
        <v>81</v>
      </c>
    </row>
    <row r="72" spans="2:13" x14ac:dyDescent="0.3">
      <c r="B72" s="180"/>
      <c r="C72" s="184" t="s">
        <v>66</v>
      </c>
      <c r="D72" s="110">
        <v>100000</v>
      </c>
      <c r="E72" s="110">
        <v>400000</v>
      </c>
      <c r="G72" s="117">
        <v>2</v>
      </c>
    </row>
    <row r="73" spans="2:13" x14ac:dyDescent="0.3">
      <c r="D73" s="110"/>
    </row>
    <row r="74" spans="2:13" x14ac:dyDescent="0.3">
      <c r="B74" s="180" t="s">
        <v>27</v>
      </c>
      <c r="C74" s="100" t="s">
        <v>67</v>
      </c>
      <c r="D74" s="109">
        <v>109501.38485238596</v>
      </c>
      <c r="E74" s="109">
        <v>371041.2158832649</v>
      </c>
    </row>
    <row r="75" spans="2:13" x14ac:dyDescent="0.3">
      <c r="B75" s="180"/>
      <c r="C75" s="184" t="s">
        <v>68</v>
      </c>
      <c r="D75" s="110">
        <v>100000</v>
      </c>
      <c r="E75" s="110">
        <v>150000</v>
      </c>
      <c r="G75" s="117">
        <v>1</v>
      </c>
    </row>
    <row r="76" spans="2:13" x14ac:dyDescent="0.3">
      <c r="B76" s="180"/>
      <c r="C76" s="184" t="s">
        <v>69</v>
      </c>
      <c r="D76" s="110"/>
      <c r="E76" s="110">
        <v>9501.3848523859615</v>
      </c>
    </row>
    <row r="77" spans="2:13" x14ac:dyDescent="0.3">
      <c r="B77" s="180"/>
      <c r="C77" s="184" t="s">
        <v>70</v>
      </c>
      <c r="D77" s="110">
        <v>9501.3848523859615</v>
      </c>
      <c r="E77" s="110">
        <v>211539.83103087891</v>
      </c>
      <c r="F77" s="96"/>
      <c r="G77" s="96"/>
    </row>
    <row r="78" spans="2:13" ht="15" thickBot="1" x14ac:dyDescent="0.35">
      <c r="B78" s="183" t="s">
        <v>31</v>
      </c>
      <c r="C78" s="104" t="s">
        <v>71</v>
      </c>
      <c r="D78" s="105">
        <v>81753.335833333345</v>
      </c>
      <c r="E78" s="105">
        <v>299770.82833333343</v>
      </c>
    </row>
    <row r="79" spans="2:13" ht="15" thickTop="1" x14ac:dyDescent="0.3"/>
    <row r="80" spans="2:13" x14ac:dyDescent="0.3">
      <c r="B80" s="180" t="s">
        <v>27</v>
      </c>
      <c r="C80" t="s">
        <v>43</v>
      </c>
      <c r="D80" s="185">
        <v>28793.335833333334</v>
      </c>
      <c r="E80" s="185">
        <v>101170.82833333334</v>
      </c>
    </row>
    <row r="81" spans="2:8" x14ac:dyDescent="0.3">
      <c r="B81" s="180" t="s">
        <v>29</v>
      </c>
      <c r="C81" t="s">
        <v>59</v>
      </c>
      <c r="D81" s="185">
        <v>-24462.075549368423</v>
      </c>
      <c r="E81" s="185">
        <v>-192316.46263622557</v>
      </c>
    </row>
    <row r="82" spans="2:8" x14ac:dyDescent="0.3">
      <c r="B82" s="118" t="s">
        <v>31</v>
      </c>
      <c r="C82" s="100" t="s">
        <v>3</v>
      </c>
      <c r="D82" s="119">
        <v>4331.2602839649117</v>
      </c>
      <c r="E82" s="119">
        <v>-91145.634302892227</v>
      </c>
      <c r="H82"/>
    </row>
    <row r="83" spans="2:8" x14ac:dyDescent="0.3">
      <c r="B83" s="180" t="s">
        <v>27</v>
      </c>
      <c r="C83" t="s">
        <v>47</v>
      </c>
      <c r="D83" s="185">
        <v>52960</v>
      </c>
      <c r="E83" s="185">
        <v>198600</v>
      </c>
      <c r="H83"/>
    </row>
    <row r="84" spans="2:8" x14ac:dyDescent="0.3">
      <c r="B84" s="118" t="s">
        <v>31</v>
      </c>
      <c r="C84" s="100" t="s">
        <v>72</v>
      </c>
      <c r="D84" s="119">
        <v>57291.260283964912</v>
      </c>
      <c r="E84" s="119">
        <v>107454.36569710777</v>
      </c>
      <c r="H84"/>
    </row>
    <row r="85" spans="2:8" x14ac:dyDescent="0.3">
      <c r="B85" s="180" t="s">
        <v>29</v>
      </c>
      <c r="C85" t="s">
        <v>73</v>
      </c>
      <c r="D85" s="185">
        <v>9501.3848523859615</v>
      </c>
      <c r="E85" s="185">
        <v>221041.21588326487</v>
      </c>
      <c r="H85"/>
    </row>
    <row r="86" spans="2:8" x14ac:dyDescent="0.3">
      <c r="B86" s="120" t="s">
        <v>31</v>
      </c>
      <c r="C86" s="100" t="s">
        <v>5</v>
      </c>
      <c r="D86" s="119">
        <v>47789.875431578948</v>
      </c>
      <c r="E86" s="119">
        <v>-113586.8501861571</v>
      </c>
      <c r="H8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37"/>
  <sheetViews>
    <sheetView topLeftCell="A25" zoomScale="90" zoomScaleNormal="90" workbookViewId="0">
      <selection activeCell="O13" sqref="O13"/>
    </sheetView>
  </sheetViews>
  <sheetFormatPr defaultColWidth="8.88671875" defaultRowHeight="14.4" x14ac:dyDescent="0.3"/>
  <cols>
    <col min="1" max="1" width="19.6640625" style="23" bestFit="1" customWidth="1"/>
    <col min="2" max="16384" width="8.88671875" style="23"/>
  </cols>
  <sheetData>
    <row r="2" spans="1:7" x14ac:dyDescent="0.3">
      <c r="A2" s="163" t="s">
        <v>196</v>
      </c>
      <c r="B2" s="163"/>
      <c r="D2" s="30"/>
      <c r="E2" s="171"/>
      <c r="F2" s="30"/>
      <c r="G2" s="30"/>
    </row>
    <row r="3" spans="1:7" x14ac:dyDescent="0.3">
      <c r="A3" s="122"/>
    </row>
    <row r="4" spans="1:7" x14ac:dyDescent="0.3">
      <c r="A4" s="123" t="s">
        <v>197</v>
      </c>
      <c r="B4" s="124">
        <v>20</v>
      </c>
      <c r="D4" s="121" t="s">
        <v>206</v>
      </c>
    </row>
    <row r="5" spans="1:7" x14ac:dyDescent="0.3">
      <c r="A5" s="125" t="s">
        <v>198</v>
      </c>
      <c r="B5" s="124">
        <v>12000</v>
      </c>
      <c r="C5" s="116"/>
      <c r="D5" s="23" t="s">
        <v>83</v>
      </c>
    </row>
    <row r="6" spans="1:7" x14ac:dyDescent="0.3">
      <c r="A6" s="123" t="s">
        <v>199</v>
      </c>
      <c r="B6" s="124">
        <v>5410</v>
      </c>
      <c r="C6" s="116"/>
      <c r="D6" s="23" t="s">
        <v>83</v>
      </c>
    </row>
    <row r="7" spans="1:7" x14ac:dyDescent="0.3">
      <c r="A7" s="123" t="s">
        <v>200</v>
      </c>
      <c r="B7" s="124">
        <v>95520</v>
      </c>
      <c r="D7" s="23" t="s">
        <v>83</v>
      </c>
    </row>
    <row r="8" spans="1:7" x14ac:dyDescent="0.3">
      <c r="A8" s="123"/>
      <c r="B8" s="126"/>
    </row>
    <row r="9" spans="1:7" x14ac:dyDescent="0.3">
      <c r="A9" s="125" t="s">
        <v>201</v>
      </c>
      <c r="B9" s="126">
        <f>B6*B4</f>
        <v>108200</v>
      </c>
      <c r="D9" s="121" t="s">
        <v>83</v>
      </c>
      <c r="E9" s="127" t="s">
        <v>84</v>
      </c>
    </row>
    <row r="10" spans="1:7" x14ac:dyDescent="0.3">
      <c r="A10" s="125" t="s">
        <v>202</v>
      </c>
      <c r="B10" s="126">
        <f>B7+B9</f>
        <v>203720</v>
      </c>
      <c r="D10" s="23" t="s">
        <v>83</v>
      </c>
      <c r="E10" s="127" t="s">
        <v>85</v>
      </c>
    </row>
    <row r="11" spans="1:7" x14ac:dyDescent="0.3">
      <c r="A11" s="125" t="s">
        <v>203</v>
      </c>
      <c r="B11" s="126">
        <f>B5*B4</f>
        <v>240000</v>
      </c>
      <c r="D11" s="23" t="s">
        <v>83</v>
      </c>
      <c r="E11" s="128" t="s">
        <v>86</v>
      </c>
    </row>
    <row r="12" spans="1:7" x14ac:dyDescent="0.3">
      <c r="A12" s="129" t="s">
        <v>204</v>
      </c>
      <c r="B12" s="130">
        <f>B4*B5-B10</f>
        <v>36280</v>
      </c>
      <c r="D12" s="23" t="s">
        <v>83</v>
      </c>
      <c r="E12" s="127" t="s">
        <v>87</v>
      </c>
    </row>
    <row r="13" spans="1:7" x14ac:dyDescent="0.3">
      <c r="A13" s="131" t="s">
        <v>205</v>
      </c>
      <c r="B13" s="132">
        <f>B7/(B5-B6)</f>
        <v>14.494688922610015</v>
      </c>
      <c r="C13" s="133"/>
      <c r="D13" s="172" t="s">
        <v>206</v>
      </c>
      <c r="E13" s="127" t="s">
        <v>88</v>
      </c>
    </row>
    <row r="14" spans="1:7" x14ac:dyDescent="0.3">
      <c r="A14" s="123"/>
      <c r="C14" s="126"/>
    </row>
    <row r="15" spans="1:7" x14ac:dyDescent="0.3">
      <c r="A15" s="123"/>
      <c r="B15" s="134"/>
    </row>
    <row r="16" spans="1:7" x14ac:dyDescent="0.3">
      <c r="A16" s="120" t="s">
        <v>89</v>
      </c>
      <c r="B16" s="135" t="s">
        <v>90</v>
      </c>
      <c r="C16" s="120" t="s">
        <v>91</v>
      </c>
      <c r="D16" s="120" t="s">
        <v>92</v>
      </c>
      <c r="E16" s="120" t="s">
        <v>93</v>
      </c>
      <c r="F16" s="120" t="s">
        <v>94</v>
      </c>
    </row>
    <row r="17" spans="1:6" x14ac:dyDescent="0.3">
      <c r="A17" s="90">
        <v>0</v>
      </c>
      <c r="B17" s="136">
        <f>$B$6*A17</f>
        <v>0</v>
      </c>
      <c r="C17" s="137">
        <f>$B$7</f>
        <v>95520</v>
      </c>
      <c r="D17" s="136">
        <f>B17+C17</f>
        <v>95520</v>
      </c>
      <c r="E17" s="120">
        <f>$B$5*A17</f>
        <v>0</v>
      </c>
      <c r="F17" s="135">
        <f>E17-D17</f>
        <v>-95520</v>
      </c>
    </row>
    <row r="18" spans="1:6" x14ac:dyDescent="0.3">
      <c r="A18" s="90">
        <f>A17+1</f>
        <v>1</v>
      </c>
      <c r="B18" s="136">
        <f>$B$6*A18</f>
        <v>5410</v>
      </c>
      <c r="C18" s="137">
        <f t="shared" ref="C18:C37" si="0">$B$7</f>
        <v>95520</v>
      </c>
      <c r="D18" s="136">
        <f t="shared" ref="D18:D37" si="1">B18+C18</f>
        <v>100930</v>
      </c>
      <c r="E18" s="120">
        <f>$B$5*A18</f>
        <v>12000</v>
      </c>
      <c r="F18" s="135">
        <f>E18-D18</f>
        <v>-88930</v>
      </c>
    </row>
    <row r="19" spans="1:6" x14ac:dyDescent="0.3">
      <c r="A19" s="90">
        <f t="shared" ref="A19:A37" si="2">A18+1</f>
        <v>2</v>
      </c>
      <c r="B19" s="136">
        <f t="shared" ref="B19:B37" si="3">$B$6*A19</f>
        <v>10820</v>
      </c>
      <c r="C19" s="137">
        <f t="shared" si="0"/>
        <v>95520</v>
      </c>
      <c r="D19" s="136">
        <f t="shared" si="1"/>
        <v>106340</v>
      </c>
      <c r="E19" s="120">
        <f>$B$5*A19</f>
        <v>24000</v>
      </c>
      <c r="F19" s="135">
        <f t="shared" ref="F19:F37" si="4">E19-D19</f>
        <v>-82340</v>
      </c>
    </row>
    <row r="20" spans="1:6" x14ac:dyDescent="0.3">
      <c r="A20" s="90">
        <f t="shared" si="2"/>
        <v>3</v>
      </c>
      <c r="B20" s="136">
        <f t="shared" si="3"/>
        <v>16230</v>
      </c>
      <c r="C20" s="137">
        <f t="shared" si="0"/>
        <v>95520</v>
      </c>
      <c r="D20" s="136">
        <f t="shared" si="1"/>
        <v>111750</v>
      </c>
      <c r="E20" s="120">
        <f t="shared" ref="E20:E37" si="5">$B$5*A20</f>
        <v>36000</v>
      </c>
      <c r="F20" s="135">
        <f t="shared" si="4"/>
        <v>-75750</v>
      </c>
    </row>
    <row r="21" spans="1:6" x14ac:dyDescent="0.3">
      <c r="A21" s="90">
        <f t="shared" si="2"/>
        <v>4</v>
      </c>
      <c r="B21" s="136">
        <f t="shared" si="3"/>
        <v>21640</v>
      </c>
      <c r="C21" s="137">
        <f t="shared" si="0"/>
        <v>95520</v>
      </c>
      <c r="D21" s="136">
        <f t="shared" si="1"/>
        <v>117160</v>
      </c>
      <c r="E21" s="120">
        <f t="shared" si="5"/>
        <v>48000</v>
      </c>
      <c r="F21" s="135">
        <f>E21-D21</f>
        <v>-69160</v>
      </c>
    </row>
    <row r="22" spans="1:6" x14ac:dyDescent="0.3">
      <c r="A22" s="90">
        <f t="shared" si="2"/>
        <v>5</v>
      </c>
      <c r="B22" s="136">
        <f t="shared" si="3"/>
        <v>27050</v>
      </c>
      <c r="C22" s="137">
        <f t="shared" si="0"/>
        <v>95520</v>
      </c>
      <c r="D22" s="136">
        <f t="shared" si="1"/>
        <v>122570</v>
      </c>
      <c r="E22" s="120">
        <f t="shared" si="5"/>
        <v>60000</v>
      </c>
      <c r="F22" s="135">
        <f t="shared" si="4"/>
        <v>-62570</v>
      </c>
    </row>
    <row r="23" spans="1:6" x14ac:dyDescent="0.3">
      <c r="A23" s="90">
        <f t="shared" si="2"/>
        <v>6</v>
      </c>
      <c r="B23" s="136">
        <f t="shared" si="3"/>
        <v>32460</v>
      </c>
      <c r="C23" s="137">
        <f t="shared" si="0"/>
        <v>95520</v>
      </c>
      <c r="D23" s="136">
        <f t="shared" si="1"/>
        <v>127980</v>
      </c>
      <c r="E23" s="120">
        <f t="shared" si="5"/>
        <v>72000</v>
      </c>
      <c r="F23" s="135">
        <f t="shared" si="4"/>
        <v>-55980</v>
      </c>
    </row>
    <row r="24" spans="1:6" x14ac:dyDescent="0.3">
      <c r="A24" s="90">
        <f t="shared" si="2"/>
        <v>7</v>
      </c>
      <c r="B24" s="136">
        <f t="shared" si="3"/>
        <v>37870</v>
      </c>
      <c r="C24" s="137">
        <f t="shared" si="0"/>
        <v>95520</v>
      </c>
      <c r="D24" s="136">
        <f t="shared" si="1"/>
        <v>133390</v>
      </c>
      <c r="E24" s="120">
        <f t="shared" si="5"/>
        <v>84000</v>
      </c>
      <c r="F24" s="135">
        <f t="shared" si="4"/>
        <v>-49390</v>
      </c>
    </row>
    <row r="25" spans="1:6" x14ac:dyDescent="0.3">
      <c r="A25" s="90">
        <f t="shared" si="2"/>
        <v>8</v>
      </c>
      <c r="B25" s="136">
        <f t="shared" si="3"/>
        <v>43280</v>
      </c>
      <c r="C25" s="137">
        <f t="shared" si="0"/>
        <v>95520</v>
      </c>
      <c r="D25" s="136">
        <f t="shared" si="1"/>
        <v>138800</v>
      </c>
      <c r="E25" s="120">
        <f t="shared" si="5"/>
        <v>96000</v>
      </c>
      <c r="F25" s="135">
        <f t="shared" si="4"/>
        <v>-42800</v>
      </c>
    </row>
    <row r="26" spans="1:6" x14ac:dyDescent="0.3">
      <c r="A26" s="90">
        <f t="shared" si="2"/>
        <v>9</v>
      </c>
      <c r="B26" s="136">
        <f t="shared" si="3"/>
        <v>48690</v>
      </c>
      <c r="C26" s="137">
        <f t="shared" si="0"/>
        <v>95520</v>
      </c>
      <c r="D26" s="136">
        <f t="shared" si="1"/>
        <v>144210</v>
      </c>
      <c r="E26" s="120">
        <f t="shared" si="5"/>
        <v>108000</v>
      </c>
      <c r="F26" s="135">
        <f t="shared" si="4"/>
        <v>-36210</v>
      </c>
    </row>
    <row r="27" spans="1:6" x14ac:dyDescent="0.3">
      <c r="A27" s="90">
        <f t="shared" si="2"/>
        <v>10</v>
      </c>
      <c r="B27" s="136">
        <f t="shared" si="3"/>
        <v>54100</v>
      </c>
      <c r="C27" s="137">
        <f t="shared" si="0"/>
        <v>95520</v>
      </c>
      <c r="D27" s="136">
        <f t="shared" si="1"/>
        <v>149620</v>
      </c>
      <c r="E27" s="120">
        <f t="shared" si="5"/>
        <v>120000</v>
      </c>
      <c r="F27" s="135">
        <f t="shared" si="4"/>
        <v>-29620</v>
      </c>
    </row>
    <row r="28" spans="1:6" x14ac:dyDescent="0.3">
      <c r="A28" s="90">
        <f t="shared" si="2"/>
        <v>11</v>
      </c>
      <c r="B28" s="136">
        <f t="shared" si="3"/>
        <v>59510</v>
      </c>
      <c r="C28" s="137">
        <f t="shared" si="0"/>
        <v>95520</v>
      </c>
      <c r="D28" s="136">
        <f t="shared" si="1"/>
        <v>155030</v>
      </c>
      <c r="E28" s="120">
        <f t="shared" si="5"/>
        <v>132000</v>
      </c>
      <c r="F28" s="135">
        <f t="shared" si="4"/>
        <v>-23030</v>
      </c>
    </row>
    <row r="29" spans="1:6" x14ac:dyDescent="0.3">
      <c r="A29" s="90">
        <f t="shared" si="2"/>
        <v>12</v>
      </c>
      <c r="B29" s="136">
        <f t="shared" si="3"/>
        <v>64920</v>
      </c>
      <c r="C29" s="137">
        <f t="shared" si="0"/>
        <v>95520</v>
      </c>
      <c r="D29" s="136">
        <f t="shared" si="1"/>
        <v>160440</v>
      </c>
      <c r="E29" s="120">
        <f t="shared" si="5"/>
        <v>144000</v>
      </c>
      <c r="F29" s="135">
        <f t="shared" si="4"/>
        <v>-16440</v>
      </c>
    </row>
    <row r="30" spans="1:6" x14ac:dyDescent="0.3">
      <c r="A30" s="90">
        <f t="shared" si="2"/>
        <v>13</v>
      </c>
      <c r="B30" s="136">
        <f t="shared" si="3"/>
        <v>70330</v>
      </c>
      <c r="C30" s="137">
        <f t="shared" si="0"/>
        <v>95520</v>
      </c>
      <c r="D30" s="136">
        <f t="shared" si="1"/>
        <v>165850</v>
      </c>
      <c r="E30" s="120">
        <f t="shared" si="5"/>
        <v>156000</v>
      </c>
      <c r="F30" s="135">
        <f t="shared" si="4"/>
        <v>-9850</v>
      </c>
    </row>
    <row r="31" spans="1:6" x14ac:dyDescent="0.3">
      <c r="A31" s="90">
        <f t="shared" si="2"/>
        <v>14</v>
      </c>
      <c r="B31" s="136">
        <f t="shared" si="3"/>
        <v>75740</v>
      </c>
      <c r="C31" s="137">
        <f t="shared" si="0"/>
        <v>95520</v>
      </c>
      <c r="D31" s="136">
        <f t="shared" si="1"/>
        <v>171260</v>
      </c>
      <c r="E31" s="120">
        <f t="shared" si="5"/>
        <v>168000</v>
      </c>
      <c r="F31" s="135">
        <f t="shared" si="4"/>
        <v>-3260</v>
      </c>
    </row>
    <row r="32" spans="1:6" x14ac:dyDescent="0.3">
      <c r="A32" s="90">
        <f t="shared" si="2"/>
        <v>15</v>
      </c>
      <c r="B32" s="136">
        <f t="shared" si="3"/>
        <v>81150</v>
      </c>
      <c r="C32" s="137">
        <f t="shared" si="0"/>
        <v>95520</v>
      </c>
      <c r="D32" s="136">
        <f t="shared" si="1"/>
        <v>176670</v>
      </c>
      <c r="E32" s="120">
        <f t="shared" si="5"/>
        <v>180000</v>
      </c>
      <c r="F32" s="135">
        <f t="shared" si="4"/>
        <v>3330</v>
      </c>
    </row>
    <row r="33" spans="1:6" x14ac:dyDescent="0.3">
      <c r="A33" s="90">
        <f t="shared" si="2"/>
        <v>16</v>
      </c>
      <c r="B33" s="136">
        <f t="shared" si="3"/>
        <v>86560</v>
      </c>
      <c r="C33" s="137">
        <f t="shared" si="0"/>
        <v>95520</v>
      </c>
      <c r="D33" s="136">
        <f t="shared" si="1"/>
        <v>182080</v>
      </c>
      <c r="E33" s="120">
        <f t="shared" si="5"/>
        <v>192000</v>
      </c>
      <c r="F33" s="135">
        <f t="shared" si="4"/>
        <v>9920</v>
      </c>
    </row>
    <row r="34" spans="1:6" x14ac:dyDescent="0.3">
      <c r="A34" s="90">
        <f t="shared" si="2"/>
        <v>17</v>
      </c>
      <c r="B34" s="136">
        <f t="shared" si="3"/>
        <v>91970</v>
      </c>
      <c r="C34" s="137">
        <f t="shared" si="0"/>
        <v>95520</v>
      </c>
      <c r="D34" s="136">
        <f t="shared" si="1"/>
        <v>187490</v>
      </c>
      <c r="E34" s="120">
        <f t="shared" si="5"/>
        <v>204000</v>
      </c>
      <c r="F34" s="135">
        <f t="shared" si="4"/>
        <v>16510</v>
      </c>
    </row>
    <row r="35" spans="1:6" x14ac:dyDescent="0.3">
      <c r="A35" s="90">
        <f t="shared" si="2"/>
        <v>18</v>
      </c>
      <c r="B35" s="136">
        <f t="shared" si="3"/>
        <v>97380</v>
      </c>
      <c r="C35" s="137">
        <f t="shared" si="0"/>
        <v>95520</v>
      </c>
      <c r="D35" s="136">
        <f t="shared" si="1"/>
        <v>192900</v>
      </c>
      <c r="E35" s="120">
        <f t="shared" si="5"/>
        <v>216000</v>
      </c>
      <c r="F35" s="135">
        <f t="shared" si="4"/>
        <v>23100</v>
      </c>
    </row>
    <row r="36" spans="1:6" x14ac:dyDescent="0.3">
      <c r="A36" s="90">
        <f t="shared" si="2"/>
        <v>19</v>
      </c>
      <c r="B36" s="136">
        <f t="shared" si="3"/>
        <v>102790</v>
      </c>
      <c r="C36" s="137">
        <f t="shared" si="0"/>
        <v>95520</v>
      </c>
      <c r="D36" s="136">
        <f t="shared" si="1"/>
        <v>198310</v>
      </c>
      <c r="E36" s="120">
        <f t="shared" si="5"/>
        <v>228000</v>
      </c>
      <c r="F36" s="135">
        <f t="shared" si="4"/>
        <v>29690</v>
      </c>
    </row>
    <row r="37" spans="1:6" x14ac:dyDescent="0.3">
      <c r="A37" s="90">
        <f t="shared" si="2"/>
        <v>20</v>
      </c>
      <c r="B37" s="136">
        <f t="shared" si="3"/>
        <v>108200</v>
      </c>
      <c r="C37" s="137">
        <f t="shared" si="0"/>
        <v>95520</v>
      </c>
      <c r="D37" s="136">
        <f t="shared" si="1"/>
        <v>203720</v>
      </c>
      <c r="E37" s="120">
        <f t="shared" si="5"/>
        <v>240000</v>
      </c>
      <c r="F37" s="135">
        <f t="shared" si="4"/>
        <v>36280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>
      <selection activeCell="C10" sqref="C10"/>
    </sheetView>
  </sheetViews>
  <sheetFormatPr defaultColWidth="8.88671875" defaultRowHeight="14.4" x14ac:dyDescent="0.3"/>
  <cols>
    <col min="1" max="1" width="26.21875" bestFit="1" customWidth="1"/>
    <col min="2" max="2" width="2.109375" customWidth="1"/>
    <col min="3" max="3" width="10.44140625" customWidth="1"/>
    <col min="4" max="4" width="13.33203125" bestFit="1" customWidth="1"/>
    <col min="6" max="7" width="10.5546875" bestFit="1" customWidth="1"/>
  </cols>
  <sheetData>
    <row r="1" spans="1:12" ht="15" thickBot="1" x14ac:dyDescent="0.35">
      <c r="I1" s="186"/>
      <c r="J1" s="186"/>
      <c r="L1" s="186"/>
    </row>
    <row r="2" spans="1:12" ht="15" thickBot="1" x14ac:dyDescent="0.35">
      <c r="A2" s="198" t="s">
        <v>207</v>
      </c>
      <c r="B2" s="199"/>
      <c r="C2" s="187"/>
      <c r="D2" s="188"/>
      <c r="E2" s="138"/>
      <c r="F2" s="188"/>
      <c r="G2" s="189"/>
    </row>
    <row r="3" spans="1:12" ht="15" thickBot="1" x14ac:dyDescent="0.35">
      <c r="A3" s="200"/>
      <c r="B3" s="201"/>
      <c r="C3" s="139">
        <v>2019</v>
      </c>
      <c r="D3" s="140">
        <f>C3+1</f>
        <v>2020</v>
      </c>
      <c r="E3" s="140">
        <f>D3+1</f>
        <v>2021</v>
      </c>
      <c r="F3" s="140">
        <f>E3+1</f>
        <v>2022</v>
      </c>
      <c r="G3" s="141">
        <f>F3+1</f>
        <v>2023</v>
      </c>
      <c r="I3" s="190"/>
      <c r="K3" s="191"/>
    </row>
    <row r="4" spans="1:12" x14ac:dyDescent="0.3">
      <c r="A4" s="202" t="s">
        <v>95</v>
      </c>
      <c r="B4" s="203"/>
      <c r="C4" s="142">
        <f>'Bilancio Previsionale (italian)'!D37</f>
        <v>13225.135192222217</v>
      </c>
      <c r="D4" s="143">
        <f>'Bilancio Previsionale (italian)'!E37</f>
        <v>336776.53631373594</v>
      </c>
      <c r="E4" s="143">
        <f>D4+(D4-C4)</f>
        <v>660327.93743524968</v>
      </c>
      <c r="F4" s="143">
        <f t="shared" ref="F4:G9" si="0">E4+(E4-D4)</f>
        <v>983879.33855676348</v>
      </c>
      <c r="G4" s="143">
        <f t="shared" si="0"/>
        <v>1307430.7396782772</v>
      </c>
      <c r="J4" s="192"/>
      <c r="K4" s="193"/>
      <c r="L4" s="193"/>
    </row>
    <row r="5" spans="1:12" x14ac:dyDescent="0.3">
      <c r="A5" s="204" t="s">
        <v>208</v>
      </c>
      <c r="B5" s="205"/>
      <c r="C5" s="144">
        <f>'Bilancio Previsionale (italian)'!D36</f>
        <v>13240</v>
      </c>
      <c r="D5" s="145">
        <f>'Bilancio Previsionale (italian)'!E36</f>
        <v>52960</v>
      </c>
      <c r="E5" s="145">
        <f>D5+(D5-C5)</f>
        <v>92680</v>
      </c>
      <c r="F5" s="145">
        <f t="shared" si="0"/>
        <v>132400</v>
      </c>
      <c r="G5" s="145">
        <f t="shared" si="0"/>
        <v>172120</v>
      </c>
      <c r="J5" s="178"/>
      <c r="K5" s="193"/>
      <c r="L5" s="193"/>
    </row>
    <row r="6" spans="1:12" x14ac:dyDescent="0.3">
      <c r="A6" s="204" t="s">
        <v>209</v>
      </c>
      <c r="B6" s="205"/>
      <c r="C6" s="146">
        <f>'Bilancio Previsionale (italian)'!D29+'Bilancio Previsionale (italian)'!D33</f>
        <v>3148.1481477777807</v>
      </c>
      <c r="D6" s="147">
        <f>'Bilancio Previsionale (italian)'!E29+'Bilancio Previsionale (italian)'!E33</f>
        <v>5037.0370361191663</v>
      </c>
      <c r="E6" s="145">
        <f t="shared" ref="E6:E9" si="1">D6+(D6-C6)</f>
        <v>6925.9259244605519</v>
      </c>
      <c r="F6" s="145">
        <f t="shared" si="0"/>
        <v>8814.8148128019384</v>
      </c>
      <c r="G6" s="145">
        <f t="shared" si="0"/>
        <v>10703.703701143324</v>
      </c>
      <c r="J6" s="194"/>
      <c r="K6" s="193"/>
      <c r="L6" s="193"/>
    </row>
    <row r="7" spans="1:12" x14ac:dyDescent="0.3">
      <c r="A7" s="204" t="s">
        <v>210</v>
      </c>
      <c r="B7" s="205"/>
      <c r="C7" s="146">
        <f>'Bilancio Previsionale (italian)'!D66+'Bilancio Previsionale (italian)'!D67-0</f>
        <v>9482.4047160350892</v>
      </c>
      <c r="D7" s="147">
        <f ca="1">'[1]Bilancio Previsionale'!E66+'[1]Calcolo VAN'!E67-'[1]Calcolo VAN'!C7</f>
        <v>125209.89273629352</v>
      </c>
      <c r="E7" s="145">
        <f t="shared" ca="1" si="1"/>
        <v>240937.38075655195</v>
      </c>
      <c r="F7" s="145">
        <f t="shared" ca="1" si="0"/>
        <v>356664.86877681036</v>
      </c>
      <c r="G7" s="145">
        <f t="shared" ca="1" si="0"/>
        <v>472392.35679706873</v>
      </c>
      <c r="I7" s="148"/>
      <c r="K7" s="193"/>
      <c r="L7" s="193"/>
    </row>
    <row r="8" spans="1:12" x14ac:dyDescent="0.3">
      <c r="A8" s="204" t="s">
        <v>211</v>
      </c>
      <c r="B8" s="205"/>
      <c r="C8" s="144">
        <f ca="1">'[1]Bilancio Previsionale'!D38</f>
        <v>-2610.5062284210526</v>
      </c>
      <c r="D8" s="145">
        <f ca="1">'[1]Bilancio Previsionale'!E38</f>
        <v>-15789.848737728906</v>
      </c>
      <c r="E8" s="145">
        <f t="shared" ca="1" si="1"/>
        <v>-28969.191247036761</v>
      </c>
      <c r="F8" s="145">
        <f t="shared" ca="1" si="0"/>
        <v>-42148.533756344616</v>
      </c>
      <c r="G8" s="145">
        <f t="shared" ca="1" si="0"/>
        <v>-55327.87626565247</v>
      </c>
      <c r="I8" s="148"/>
      <c r="K8" s="193"/>
      <c r="L8" s="193"/>
    </row>
    <row r="9" spans="1:12" ht="15" thickBot="1" x14ac:dyDescent="0.35">
      <c r="A9" s="206" t="s">
        <v>195</v>
      </c>
      <c r="B9" s="207"/>
      <c r="C9" s="149">
        <f ca="1">-'[1]Bilancio Previsionale'!D40</f>
        <v>-6334.2565682573077</v>
      </c>
      <c r="D9" s="150">
        <f ca="1">-'[1]Bilancio Previsionale'!E40</f>
        <v>-141026.55402058593</v>
      </c>
      <c r="E9" s="145">
        <f t="shared" ca="1" si="1"/>
        <v>-275718.85147291457</v>
      </c>
      <c r="F9" s="145">
        <f t="shared" ca="1" si="0"/>
        <v>-410411.14892524318</v>
      </c>
      <c r="G9" s="145">
        <f t="shared" ca="1" si="0"/>
        <v>-545103.44637757179</v>
      </c>
      <c r="K9" s="193"/>
      <c r="L9" s="20"/>
    </row>
    <row r="10" spans="1:12" ht="15" thickBot="1" x14ac:dyDescent="0.35">
      <c r="A10" s="208" t="s">
        <v>212</v>
      </c>
      <c r="B10" s="209"/>
      <c r="C10" s="153">
        <f ca="1">SUM(C4:C9)</f>
        <v>30150.925259356725</v>
      </c>
      <c r="D10" s="151">
        <f ca="1">SUM(D4:D9)</f>
        <v>363167.06332783378</v>
      </c>
      <c r="E10" s="151">
        <f ca="1">SUM(E4:E9)</f>
        <v>696183.20139631082</v>
      </c>
      <c r="F10" s="151">
        <f ca="1">SUM(F4:F9)</f>
        <v>1029199.3394647881</v>
      </c>
      <c r="G10" s="152">
        <f ca="1">SUM(G4:G9)</f>
        <v>1362215.477533265</v>
      </c>
    </row>
    <row r="11" spans="1:12" x14ac:dyDescent="0.3">
      <c r="C11" s="195" t="s">
        <v>96</v>
      </c>
      <c r="D11" s="21">
        <v>0.08</v>
      </c>
    </row>
    <row r="12" spans="1:12" ht="15" thickBot="1" x14ac:dyDescent="0.35">
      <c r="C12" s="196" t="s">
        <v>97</v>
      </c>
      <c r="D12" s="22">
        <f ca="1">NPV(D11,C10:G10)</f>
        <v>2575520.6196927307</v>
      </c>
    </row>
    <row r="13" spans="1:12" x14ac:dyDescent="0.3">
      <c r="C13" s="178"/>
      <c r="I13" s="197"/>
    </row>
    <row r="16" spans="1:12" x14ac:dyDescent="0.3">
      <c r="A16" s="186"/>
    </row>
    <row r="17" spans="1:3" x14ac:dyDescent="0.3">
      <c r="B17" s="194"/>
      <c r="C17" s="186"/>
    </row>
    <row r="18" spans="1:3" x14ac:dyDescent="0.3">
      <c r="A18" s="190"/>
    </row>
  </sheetData>
  <mergeCells count="8">
    <mergeCell ref="A2:B3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8B0F75C5BA034CB00A90C571BFFE07" ma:contentTypeVersion="2" ma:contentTypeDescription="Creare un nuovo documento." ma:contentTypeScope="" ma:versionID="e11231b28476eb7fb617d388ad854499">
  <xsd:schema xmlns:xsd="http://www.w3.org/2001/XMLSchema" xmlns:xs="http://www.w3.org/2001/XMLSchema" xmlns:p="http://schemas.microsoft.com/office/2006/metadata/properties" xmlns:ns2="864539b5-9331-46fe-b067-fac41a255b26" targetNamespace="http://schemas.microsoft.com/office/2006/metadata/properties" ma:root="true" ma:fieldsID="6e0790b6ca10c5590d564ffb3c77963f" ns2:_="">
    <xsd:import namespace="864539b5-9331-46fe-b067-fac41a255b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539b5-9331-46fe-b067-fac41a255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FB84D2-52FA-49E3-B08E-4AC7AC836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539b5-9331-46fe-b067-fac41a255b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02A99D-37D4-4A8B-9E04-D058794A77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30BE4B-574A-4DC7-BA4F-BA76CABA1EDF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864539b5-9331-46fe-b067-fac41a255b2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Customer Dynamics</vt:lpstr>
      <vt:lpstr>data tables</vt:lpstr>
      <vt:lpstr>Operating NWT</vt:lpstr>
      <vt:lpstr>Bilancio Previsionale (italian)</vt:lpstr>
      <vt:lpstr>BEP</vt:lpstr>
      <vt:lpstr>NPV</vt:lpstr>
      <vt:lpstr>VAI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Cerchione</dc:creator>
  <cp:keywords/>
  <dc:description/>
  <cp:lastModifiedBy>ROBERTO DI MARINO (EXTERNAL)</cp:lastModifiedBy>
  <cp:revision/>
  <dcterms:created xsi:type="dcterms:W3CDTF">2010-08-24T13:59:29Z</dcterms:created>
  <dcterms:modified xsi:type="dcterms:W3CDTF">2025-05-08T16:07:26Z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0x010100CD8B0F75C5BA034CB00A90C571BFFE07</vt:lpwstr>
  </property>
  <property fmtid="{D5CDD505-2E9C-101B-9397-08002B2CF9AE}" pid="3" name="MSIP_Label_4cde0bb8-21e0-4ae3-9906-7ac25165b779_Enabled">
    <vt:lpwstr>true</vt:lpwstr>
  </property>
  <property fmtid="{D5CDD505-2E9C-101B-9397-08002B2CF9AE}" pid="4" name="MSIP_Label_4cde0bb8-21e0-4ae3-9906-7ac25165b779_SetDate">
    <vt:lpwstr>2025-05-08T16:07:13Z</vt:lpwstr>
  </property>
  <property fmtid="{D5CDD505-2E9C-101B-9397-08002B2CF9AE}" pid="5" name="MSIP_Label_4cde0bb8-21e0-4ae3-9906-7ac25165b779_Method">
    <vt:lpwstr>Privileged</vt:lpwstr>
  </property>
  <property fmtid="{D5CDD505-2E9C-101B-9397-08002B2CF9AE}" pid="6" name="MSIP_Label_4cde0bb8-21e0-4ae3-9906-7ac25165b779_Name">
    <vt:lpwstr>C1 - Public</vt:lpwstr>
  </property>
  <property fmtid="{D5CDD505-2E9C-101B-9397-08002B2CF9AE}" pid="7" name="MSIP_Label_4cde0bb8-21e0-4ae3-9906-7ac25165b779_SiteId">
    <vt:lpwstr>d852d5cd-724c-4128-8812-ffa5db3f8507</vt:lpwstr>
  </property>
  <property fmtid="{D5CDD505-2E9C-101B-9397-08002B2CF9AE}" pid="8" name="MSIP_Label_4cde0bb8-21e0-4ae3-9906-7ac25165b779_ActionId">
    <vt:lpwstr>1dc9cc68-54ce-436f-b73d-240da4508a2a</vt:lpwstr>
  </property>
  <property fmtid="{D5CDD505-2E9C-101B-9397-08002B2CF9AE}" pid="9" name="MSIP_Label_4cde0bb8-21e0-4ae3-9906-7ac25165b779_ContentBits">
    <vt:lpwstr>0</vt:lpwstr>
  </property>
</Properties>
</file>