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showInkAnnotation="0" updateLinks="never"/>
  <xr:revisionPtr revIDLastSave="0" documentId="13_ncr:1_{8DEF9BD7-F834-4BA8-87D1-869F87C98097}" xr6:coauthVersionLast="47" xr6:coauthVersionMax="47" xr10:uidLastSave="{00000000-0000-0000-0000-000000000000}"/>
  <bookViews>
    <workbookView xWindow="28680" yWindow="-120" windowWidth="25440" windowHeight="15270" activeTab="2" xr2:uid="{00000000-000D-0000-FFFF-FFFF00000000}"/>
  </bookViews>
  <sheets>
    <sheet name="Notes" sheetId="19" r:id="rId1"/>
    <sheet name="Definitions and assumptions" sheetId="20" r:id="rId2"/>
    <sheet name="Projects" sheetId="22" r:id="rId3"/>
    <sheet name="Lists" sheetId="16" r:id="rId4"/>
    <sheet name="Countries" sheetId="17" r:id="rId5"/>
    <sheet name="References" sheetId="7" r:id="rId6"/>
  </sheets>
  <definedNames>
    <definedName name="_xlnm._FilterDatabase" localSheetId="5" hidden="1">References!$A$2:$B$2</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79" i="22" l="1"/>
  <c r="AB1820" i="22"/>
  <c r="AC1820" i="22" s="1"/>
  <c r="AB1662" i="22"/>
  <c r="AC1662" i="22" s="1"/>
  <c r="AB1631" i="22"/>
  <c r="AC1631" i="22" s="1"/>
  <c r="AB1630" i="22"/>
  <c r="AC1630" i="22" s="1"/>
  <c r="AB1627" i="22"/>
  <c r="AC1627" i="22" s="1"/>
  <c r="AB1617" i="22"/>
  <c r="AC1617" i="22" s="1"/>
  <c r="AB1616" i="22"/>
  <c r="AC1616" i="22" s="1"/>
  <c r="AB1413" i="22"/>
  <c r="AB1078" i="22"/>
  <c r="AC1078" i="22" s="1"/>
  <c r="AB1063" i="22"/>
  <c r="AC1063" i="22" s="1"/>
  <c r="AB912" i="22"/>
  <c r="AA912" i="22" s="1"/>
  <c r="AB490" i="22"/>
  <c r="AB391" i="22"/>
  <c r="AB236" i="22"/>
  <c r="AC236" i="22" s="1"/>
  <c r="AB158" i="22"/>
  <c r="AB351" i="22"/>
  <c r="AC351" i="22" s="1"/>
  <c r="AB56" i="22"/>
  <c r="AC56" i="22" s="1"/>
  <c r="AB980" i="22"/>
  <c r="AC980" i="22" s="1"/>
  <c r="AB1661" i="22"/>
  <c r="AC1661" i="22" s="1"/>
  <c r="AB1613" i="22"/>
  <c r="AC1613" i="22" s="1"/>
  <c r="AB1233" i="22"/>
  <c r="AB1232" i="22"/>
  <c r="AB506" i="22"/>
  <c r="AB466" i="22"/>
  <c r="AB461" i="22"/>
  <c r="AB448" i="22"/>
  <c r="AB447" i="22"/>
  <c r="AB440" i="22"/>
  <c r="AC440" i="22" s="1"/>
  <c r="AB430" i="22"/>
  <c r="AC430" i="22" s="1"/>
  <c r="AB432" i="22"/>
  <c r="AC432" i="22" s="1"/>
  <c r="AB405" i="22"/>
  <c r="AC405" i="22" s="1"/>
  <c r="AB404" i="22"/>
  <c r="AC404" i="22" s="1"/>
  <c r="AB398" i="22"/>
  <c r="AC398" i="22" s="1"/>
  <c r="AB396" i="22"/>
  <c r="AC396" i="22" s="1"/>
  <c r="AB390" i="22"/>
  <c r="AC390" i="22" s="1"/>
  <c r="AB293" i="22"/>
  <c r="AC293" i="22" s="1"/>
  <c r="AB285" i="22"/>
  <c r="AC285" i="22" s="1"/>
  <c r="AB271" i="22"/>
  <c r="AC271" i="22" s="1"/>
  <c r="AB250" i="22"/>
  <c r="AC250" i="22" s="1"/>
  <c r="AB210" i="22"/>
  <c r="AC210" i="22" s="1"/>
  <c r="AA132" i="22"/>
  <c r="AA124" i="22"/>
  <c r="AB114" i="22"/>
  <c r="AC114" i="22" s="1"/>
  <c r="AB70" i="22"/>
  <c r="AB60" i="22"/>
  <c r="AC60" i="22" s="1"/>
  <c r="AB39" i="22"/>
  <c r="AC39" i="22" s="1"/>
  <c r="AB18" i="22"/>
  <c r="AC18" i="22" s="1"/>
  <c r="AB17" i="22"/>
  <c r="AB518" i="22"/>
  <c r="AB1278" i="22"/>
  <c r="AB1225" i="22"/>
  <c r="AB881" i="22"/>
  <c r="AB527" i="22"/>
  <c r="AB519" i="22" l="1"/>
  <c r="AC519" i="22" s="1"/>
  <c r="AB515" i="22"/>
  <c r="AC515" i="22" s="1"/>
  <c r="AB510" i="22"/>
  <c r="AC510" i="22" s="1"/>
  <c r="AB493" i="22"/>
  <c r="AC493" i="22" s="1"/>
  <c r="AB473" i="22"/>
  <c r="AC473" i="22" s="1"/>
  <c r="AB433" i="22"/>
  <c r="AB378" i="22"/>
  <c r="AC378" i="22" s="1"/>
  <c r="AA375" i="22"/>
  <c r="AC375" i="22"/>
  <c r="AB358" i="22"/>
  <c r="AC358" i="22" s="1"/>
  <c r="AB337" i="22"/>
  <c r="AC337" i="22" s="1"/>
  <c r="AB336" i="22"/>
  <c r="AC336" i="22" s="1"/>
  <c r="AB335" i="22"/>
  <c r="AC335" i="22" s="1"/>
  <c r="AB300" i="22"/>
  <c r="AC300" i="22" s="1"/>
  <c r="AB252" i="22"/>
  <c r="AC252" i="22" s="1"/>
  <c r="AB251" i="22"/>
  <c r="AC251" i="22" s="1"/>
  <c r="AB241" i="22"/>
  <c r="AC241" i="22" s="1"/>
  <c r="AB232" i="22"/>
  <c r="AC232" i="22" s="1"/>
  <c r="AB225" i="22"/>
  <c r="AC225" i="22" s="1"/>
  <c r="AB201" i="22"/>
  <c r="AC201" i="22" s="1"/>
  <c r="AB197" i="22"/>
  <c r="AC197" i="22" s="1"/>
  <c r="AB196" i="22"/>
  <c r="AC196" i="22" s="1"/>
  <c r="AB190" i="22"/>
  <c r="AC190" i="22" s="1"/>
  <c r="AB182" i="22"/>
  <c r="AC182" i="22" s="1"/>
  <c r="AB178" i="22"/>
  <c r="AC178" i="22" s="1"/>
  <c r="AB155" i="22"/>
  <c r="AC155" i="22" s="1"/>
  <c r="AB151" i="22"/>
  <c r="AC151" i="22" s="1"/>
  <c r="AB142" i="22"/>
  <c r="AC142" i="22" s="1"/>
  <c r="AB133" i="22"/>
  <c r="AC133" i="22" s="1"/>
  <c r="AB131" i="22"/>
  <c r="AC131" i="22" s="1"/>
  <c r="AB130" i="22"/>
  <c r="AC130" i="22" s="1"/>
  <c r="AB128" i="22"/>
  <c r="AC128" i="22" s="1"/>
  <c r="AB126" i="22"/>
  <c r="AC126" i="22" s="1"/>
  <c r="AB123" i="22"/>
  <c r="AC123" i="22" s="1"/>
  <c r="AB122" i="22"/>
  <c r="AC122" i="22" s="1"/>
  <c r="AB121" i="22"/>
  <c r="AC121" i="22" s="1"/>
  <c r="AB113" i="22"/>
  <c r="AC113" i="22" s="1"/>
  <c r="AB111" i="22"/>
  <c r="AC111" i="22" s="1"/>
  <c r="AB110" i="22"/>
  <c r="AC110" i="22" s="1"/>
  <c r="AB69" i="22"/>
  <c r="AC69" i="22" s="1"/>
  <c r="AB66" i="22"/>
  <c r="AC66" i="22" s="1"/>
  <c r="AB45" i="22"/>
  <c r="AC45" i="22" s="1"/>
  <c r="AB41" i="22"/>
  <c r="AC41" i="22" s="1"/>
  <c r="AB22" i="22"/>
  <c r="AB752" i="22" l="1"/>
  <c r="AC752" i="22" s="1"/>
  <c r="AC1821" i="22"/>
  <c r="AC238" i="22"/>
  <c r="AC221" i="22"/>
  <c r="AC1321" i="22"/>
  <c r="AB1321" i="22" s="1"/>
  <c r="AA1321" i="22" s="1"/>
  <c r="AC1529" i="22"/>
  <c r="AC1526" i="22"/>
  <c r="AB1526" i="22" s="1"/>
  <c r="AC1164" i="22"/>
  <c r="AB1164" i="22" s="1"/>
  <c r="AC1163" i="22"/>
  <c r="AB1163" i="22" s="1"/>
  <c r="AC1162" i="22"/>
  <c r="AB1162" i="22" s="1"/>
  <c r="AC1016" i="22"/>
  <c r="AB1016" i="22" s="1"/>
  <c r="AC986" i="22"/>
  <c r="AB986" i="22" s="1"/>
  <c r="AC918" i="22"/>
  <c r="AC615" i="22"/>
  <c r="AB615" i="22" s="1"/>
  <c r="AC614" i="22"/>
  <c r="AC88" i="22"/>
  <c r="AC1940" i="22"/>
  <c r="AC1939" i="22"/>
  <c r="AB1939" i="22" s="1"/>
  <c r="AE1939" i="22" s="1"/>
  <c r="AC1824" i="22"/>
  <c r="AC1770" i="22"/>
  <c r="AC1768" i="22"/>
  <c r="AB1768" i="22" s="1"/>
  <c r="AC1741" i="22"/>
  <c r="AC1441" i="22"/>
  <c r="AB1441" i="22" s="1"/>
  <c r="AE1441" i="22" s="1"/>
  <c r="AC1440" i="22"/>
  <c r="AB1440" i="22" s="1"/>
  <c r="AE1440" i="22" s="1"/>
  <c r="AC995" i="22"/>
  <c r="AC735" i="22"/>
  <c r="AC517" i="22"/>
  <c r="AC508" i="22"/>
  <c r="AC452" i="22"/>
  <c r="AC414" i="22"/>
  <c r="AC408" i="22"/>
  <c r="AC407" i="22"/>
  <c r="AC397" i="22"/>
  <c r="AC383" i="22"/>
  <c r="AC382" i="22"/>
  <c r="AC366" i="22"/>
  <c r="AC363" i="22"/>
  <c r="AC362" i="22"/>
  <c r="AC357" i="22"/>
  <c r="AC354" i="22"/>
  <c r="AC353" i="22"/>
  <c r="AC349" i="22"/>
  <c r="AC347" i="22"/>
  <c r="AC346" i="22"/>
  <c r="AC344" i="22"/>
  <c r="AC339" i="22"/>
  <c r="AC333" i="22"/>
  <c r="AC332" i="22"/>
  <c r="AC331" i="22"/>
  <c r="AC325" i="22"/>
  <c r="AC319" i="22"/>
  <c r="AC314" i="22"/>
  <c r="AC309" i="22"/>
  <c r="AC301" i="22"/>
  <c r="AC292" i="22"/>
  <c r="AC245" i="22"/>
  <c r="AB245" i="22" s="1"/>
  <c r="AC234" i="22"/>
  <c r="AC233" i="22"/>
  <c r="AB233" i="22" s="1"/>
  <c r="AC230" i="22"/>
  <c r="AC226" i="22"/>
  <c r="AB226" i="22" s="1"/>
  <c r="AC219" i="22"/>
  <c r="AC213" i="22"/>
  <c r="AC200" i="22"/>
  <c r="AC195" i="22"/>
  <c r="AC194" i="22"/>
  <c r="AC192" i="22"/>
  <c r="AC189" i="22"/>
  <c r="AC188" i="22"/>
  <c r="AC185" i="22"/>
  <c r="AC180" i="22"/>
  <c r="AC177" i="22"/>
  <c r="AC174" i="22"/>
  <c r="AC173" i="22"/>
  <c r="AC171" i="22"/>
  <c r="AC170" i="22"/>
  <c r="AC164" i="22"/>
  <c r="AC162" i="22"/>
  <c r="AC161" i="22"/>
  <c r="AC156" i="22"/>
  <c r="AC153" i="22"/>
  <c r="AC152" i="22"/>
  <c r="AC150" i="22"/>
  <c r="AC149" i="22"/>
  <c r="AC148" i="22"/>
  <c r="AC146" i="22"/>
  <c r="AC143" i="22"/>
  <c r="AC137" i="22"/>
  <c r="AC132" i="22"/>
  <c r="AC124" i="22"/>
  <c r="AC118" i="22"/>
  <c r="AC116" i="22"/>
  <c r="AC112" i="22"/>
  <c r="AC108" i="22"/>
  <c r="AC107" i="22"/>
  <c r="AC106" i="22"/>
  <c r="AC97" i="22"/>
  <c r="AC96" i="22"/>
  <c r="AC95" i="22"/>
  <c r="AC94" i="22"/>
  <c r="AC93" i="22"/>
  <c r="AC92" i="22"/>
  <c r="AC86" i="22"/>
  <c r="AC85" i="22"/>
  <c r="AC84" i="22"/>
  <c r="AC83" i="22"/>
  <c r="AC81" i="22"/>
  <c r="AC80" i="22"/>
  <c r="AC78" i="22"/>
  <c r="AC77" i="22"/>
  <c r="AC70" i="22"/>
  <c r="AC65" i="22"/>
  <c r="AC63" i="22"/>
  <c r="AC59" i="22"/>
  <c r="AC53" i="22"/>
  <c r="AC49" i="22"/>
  <c r="AC48" i="22"/>
  <c r="AC42" i="22"/>
  <c r="AC34" i="22"/>
  <c r="AC33" i="22"/>
  <c r="AC32" i="22"/>
  <c r="AC30" i="22"/>
  <c r="AC29" i="22"/>
  <c r="AA2003" i="22"/>
  <c r="AA2002" i="22"/>
  <c r="AA2001" i="22"/>
  <c r="AA2000" i="22"/>
  <c r="AA1999" i="22"/>
  <c r="AE1998" i="22"/>
  <c r="AC1998" i="22"/>
  <c r="AB1998" i="22" s="1"/>
  <c r="AA1998" i="22"/>
  <c r="I1998" i="22"/>
  <c r="J1998" i="22" s="1"/>
  <c r="AC1997" i="22"/>
  <c r="AB1997" i="22" s="1"/>
  <c r="AB1996" i="22"/>
  <c r="AE1996" i="22" s="1"/>
  <c r="AB1995" i="22"/>
  <c r="AE1995" i="22" s="1"/>
  <c r="AB1994" i="22"/>
  <c r="AE1994" i="22" s="1"/>
  <c r="AB1993" i="22"/>
  <c r="AE1993" i="22" s="1"/>
  <c r="AB1992" i="22"/>
  <c r="AE1992" i="22" s="1"/>
  <c r="AB1991" i="22"/>
  <c r="AC1990" i="22"/>
  <c r="AB1990" i="22" s="1"/>
  <c r="AA1990" i="22" s="1"/>
  <c r="AC1989" i="22"/>
  <c r="AB1989" i="22" s="1"/>
  <c r="AA1989" i="22" s="1"/>
  <c r="AC1988" i="22"/>
  <c r="AB1988" i="22" s="1"/>
  <c r="AC1987" i="22"/>
  <c r="AB1987" i="22" s="1"/>
  <c r="AC1986" i="22"/>
  <c r="AB1986" i="22" s="1"/>
  <c r="AA1986" i="22" s="1"/>
  <c r="AC1985" i="22"/>
  <c r="AB1984" i="22"/>
  <c r="AC1984" i="22" s="1"/>
  <c r="AA1983" i="22"/>
  <c r="AB1983" i="22" s="1"/>
  <c r="AC1982" i="22"/>
  <c r="AB1982" i="22" s="1"/>
  <c r="AE1982" i="22" s="1"/>
  <c r="AC1981" i="22"/>
  <c r="AB1981" i="22" s="1"/>
  <c r="AB1980" i="22"/>
  <c r="AC1980" i="22" s="1"/>
  <c r="AB1979" i="22"/>
  <c r="AC1979" i="22" s="1"/>
  <c r="AA1978" i="22"/>
  <c r="AB1978" i="22" s="1"/>
  <c r="AC1978" i="22" s="1"/>
  <c r="AA1977" i="22"/>
  <c r="AB1977" i="22" s="1"/>
  <c r="AC1977" i="22" s="1"/>
  <c r="AA1976" i="22"/>
  <c r="AB1976" i="22" s="1"/>
  <c r="AC1976" i="22" s="1"/>
  <c r="AA1975" i="22"/>
  <c r="AB1975" i="22" s="1"/>
  <c r="AC1975" i="22" s="1"/>
  <c r="AE1974" i="22"/>
  <c r="AA1974" i="22"/>
  <c r="AC1973" i="22"/>
  <c r="AB1973" i="22" s="1"/>
  <c r="AA1973" i="22" s="1"/>
  <c r="AB1972" i="22"/>
  <c r="AC1972" i="22" s="1"/>
  <c r="AB1971" i="22"/>
  <c r="AC1971" i="22" s="1"/>
  <c r="AB1970" i="22"/>
  <c r="AA1969" i="22"/>
  <c r="AB1969" i="22" s="1"/>
  <c r="AC1969" i="22" s="1"/>
  <c r="AB1968" i="22"/>
  <c r="AC1968" i="22" s="1"/>
  <c r="AC1967" i="22"/>
  <c r="AB1967" i="22" s="1"/>
  <c r="AB1966" i="22"/>
  <c r="AC1965" i="22"/>
  <c r="AB1965" i="22" s="1"/>
  <c r="AE1965" i="22" s="1"/>
  <c r="AB1964" i="22"/>
  <c r="AC1963" i="22"/>
  <c r="AB1963" i="22" s="1"/>
  <c r="AB1962" i="22"/>
  <c r="AB1961" i="22"/>
  <c r="AC1961" i="22" s="1"/>
  <c r="AB1960" i="22"/>
  <c r="AB1959" i="22"/>
  <c r="AB1958" i="22"/>
  <c r="AB1957" i="22"/>
  <c r="AB1956" i="22"/>
  <c r="AB1955" i="22"/>
  <c r="AE1954" i="22"/>
  <c r="AA1954" i="22"/>
  <c r="AB1953" i="22"/>
  <c r="AC1953" i="22" s="1"/>
  <c r="AC1952" i="22"/>
  <c r="AB1952" i="22" s="1"/>
  <c r="AB1951" i="22"/>
  <c r="AC1951" i="22" s="1"/>
  <c r="AB1950" i="22"/>
  <c r="AB1949" i="22"/>
  <c r="AC1948" i="22"/>
  <c r="AB1948" i="22" s="1"/>
  <c r="AA1948" i="22" s="1"/>
  <c r="AC1947" i="22"/>
  <c r="AB1947" i="22" s="1"/>
  <c r="AA1947" i="22" s="1"/>
  <c r="AB1946" i="22"/>
  <c r="AE1946" i="22" s="1"/>
  <c r="AB1945" i="22"/>
  <c r="AB1944" i="22"/>
  <c r="AE1944" i="22" s="1"/>
  <c r="AB1943" i="22"/>
  <c r="AC1943" i="22" s="1"/>
  <c r="AB1942" i="22"/>
  <c r="AC1942" i="22" s="1"/>
  <c r="J1942" i="22"/>
  <c r="AB1941" i="22"/>
  <c r="AB1940" i="22"/>
  <c r="AE1940" i="22" s="1"/>
  <c r="AA1940" i="22"/>
  <c r="AA1939" i="22"/>
  <c r="AC1938" i="22"/>
  <c r="AB1938" i="22" s="1"/>
  <c r="AC1937" i="22"/>
  <c r="AB1937" i="22" s="1"/>
  <c r="AE1937" i="22" s="1"/>
  <c r="AC1936" i="22"/>
  <c r="AB1936" i="22" s="1"/>
  <c r="AC1935" i="22"/>
  <c r="AB1935" i="22" s="1"/>
  <c r="AE1935" i="22" s="1"/>
  <c r="AA1935" i="22"/>
  <c r="AC1934" i="22"/>
  <c r="AB1934" i="22" s="1"/>
  <c r="AC1933" i="22"/>
  <c r="AB1933" i="22" s="1"/>
  <c r="AC1932" i="22"/>
  <c r="AB1932" i="22" s="1"/>
  <c r="AC1931" i="22"/>
  <c r="AB1931" i="22" s="1"/>
  <c r="AC1930" i="22"/>
  <c r="AB1930" i="22" s="1"/>
  <c r="AE1930" i="22" s="1"/>
  <c r="AA1930" i="22"/>
  <c r="AC1929" i="22"/>
  <c r="AB1929" i="22" s="1"/>
  <c r="AE1929" i="22" s="1"/>
  <c r="AC1928" i="22"/>
  <c r="AB1928" i="22" s="1"/>
  <c r="AC1927" i="22"/>
  <c r="AB1927" i="22" s="1"/>
  <c r="AC1926" i="22"/>
  <c r="AB1926" i="22" s="1"/>
  <c r="AC1925" i="22"/>
  <c r="AB1925" i="22" s="1"/>
  <c r="AE1925" i="22" s="1"/>
  <c r="AC1924" i="22"/>
  <c r="AB1924" i="22" s="1"/>
  <c r="AE1924" i="22" s="1"/>
  <c r="AA1924" i="22"/>
  <c r="AC1923" i="22"/>
  <c r="AB1923" i="22" s="1"/>
  <c r="AA1923" i="22" s="1"/>
  <c r="AC1922" i="22"/>
  <c r="AB1922" i="22" s="1"/>
  <c r="AA1922" i="22" s="1"/>
  <c r="AC1921" i="22"/>
  <c r="AB1921" i="22" s="1"/>
  <c r="AC1920" i="22"/>
  <c r="AB1920" i="22" s="1"/>
  <c r="AC1919" i="22"/>
  <c r="AB1919" i="22" s="1"/>
  <c r="AC1918" i="22"/>
  <c r="AB1918" i="22" s="1"/>
  <c r="AA1918" i="22" s="1"/>
  <c r="AC1917" i="22"/>
  <c r="AB1917" i="22" s="1"/>
  <c r="AC1916" i="22"/>
  <c r="AB1916" i="22" s="1"/>
  <c r="AC1915" i="22"/>
  <c r="AB1915" i="22" s="1"/>
  <c r="AA1915" i="22" s="1"/>
  <c r="AC1914" i="22"/>
  <c r="AB1914" i="22" s="1"/>
  <c r="AA1914" i="22" s="1"/>
  <c r="AC1913" i="22"/>
  <c r="AB1913" i="22" s="1"/>
  <c r="AC1912" i="22"/>
  <c r="AB1912" i="22" s="1"/>
  <c r="AC1911" i="22"/>
  <c r="AB1911" i="22" s="1"/>
  <c r="AE1911" i="22" s="1"/>
  <c r="AA1911" i="22"/>
  <c r="AC1910" i="22"/>
  <c r="AB1910" i="22" s="1"/>
  <c r="AC1909" i="22"/>
  <c r="AB1909" i="22" s="1"/>
  <c r="AC1908" i="22"/>
  <c r="AB1908" i="22" s="1"/>
  <c r="AC1907" i="22"/>
  <c r="AB1907" i="22" s="1"/>
  <c r="AC1906" i="22"/>
  <c r="AB1906" i="22" s="1"/>
  <c r="AA1906" i="22" s="1"/>
  <c r="AC1905" i="22"/>
  <c r="AB1905" i="22" s="1"/>
  <c r="AC1904" i="22"/>
  <c r="AB1904" i="22" s="1"/>
  <c r="AC1903" i="22"/>
  <c r="AB1903" i="22" s="1"/>
  <c r="AC1902" i="22"/>
  <c r="AB1902" i="22" s="1"/>
  <c r="AC1901" i="22"/>
  <c r="AB1901" i="22" s="1"/>
  <c r="AE1901" i="22" s="1"/>
  <c r="AA1901" i="22"/>
  <c r="AC1900" i="22"/>
  <c r="AB1900" i="22" s="1"/>
  <c r="AA1900" i="22" s="1"/>
  <c r="AC1899" i="22"/>
  <c r="AB1899" i="22" s="1"/>
  <c r="AA1899" i="22" s="1"/>
  <c r="AB1898" i="22"/>
  <c r="AB1897" i="22"/>
  <c r="AB1896" i="22"/>
  <c r="AC1896" i="22" s="1"/>
  <c r="AE1895" i="22"/>
  <c r="AA1895" i="22"/>
  <c r="AB1894" i="22"/>
  <c r="AE1894" i="22" s="1"/>
  <c r="AA1894" i="22"/>
  <c r="AB1893" i="22"/>
  <c r="AE1893" i="22" s="1"/>
  <c r="AB1892" i="22"/>
  <c r="AE1892" i="22" s="1"/>
  <c r="AB1891" i="22"/>
  <c r="AE1891" i="22" s="1"/>
  <c r="AB1890" i="22"/>
  <c r="AE1890" i="22" s="1"/>
  <c r="AB1889" i="22"/>
  <c r="AE1889" i="22" s="1"/>
  <c r="AB1888" i="22"/>
  <c r="AE1888" i="22" s="1"/>
  <c r="AB1887" i="22"/>
  <c r="AE1887" i="22" s="1"/>
  <c r="AB1886" i="22"/>
  <c r="AE1886" i="22" s="1"/>
  <c r="AB1885" i="22"/>
  <c r="AE1885" i="22" s="1"/>
  <c r="AB1884" i="22"/>
  <c r="AE1884" i="22" s="1"/>
  <c r="AB1883" i="22"/>
  <c r="AE1883" i="22" s="1"/>
  <c r="AB1882" i="22"/>
  <c r="AE1882" i="22" s="1"/>
  <c r="AB1881" i="22"/>
  <c r="AE1881" i="22" s="1"/>
  <c r="AB1880" i="22"/>
  <c r="AE1880" i="22" s="1"/>
  <c r="AB1879" i="22"/>
  <c r="AE1879" i="22" s="1"/>
  <c r="AB1878" i="22"/>
  <c r="AE1878" i="22" s="1"/>
  <c r="AB1877" i="22"/>
  <c r="AE1877" i="22" s="1"/>
  <c r="AB1876" i="22"/>
  <c r="AE1876" i="22" s="1"/>
  <c r="AB1875" i="22"/>
  <c r="AE1875" i="22" s="1"/>
  <c r="AB1874" i="22"/>
  <c r="AE1874" i="22" s="1"/>
  <c r="AB1873" i="22"/>
  <c r="AE1873" i="22" s="1"/>
  <c r="AC1872" i="22"/>
  <c r="AB1872" i="22" s="1"/>
  <c r="AC1871" i="22"/>
  <c r="AB1871" i="22"/>
  <c r="AB1870" i="22"/>
  <c r="AE1870" i="22" s="1"/>
  <c r="AE1869" i="22"/>
  <c r="AA1869" i="22"/>
  <c r="AB1868" i="22"/>
  <c r="AC1868" i="22" s="1"/>
  <c r="AB1867" i="22"/>
  <c r="AC1867" i="22" s="1"/>
  <c r="AB1866" i="22"/>
  <c r="AC1866" i="22" s="1"/>
  <c r="AC1865" i="22"/>
  <c r="AB1865" i="22"/>
  <c r="AA1865" i="22" s="1"/>
  <c r="AB1864" i="22"/>
  <c r="AE1864" i="22" s="1"/>
  <c r="AB1863" i="22"/>
  <c r="AC1863" i="22" s="1"/>
  <c r="AB1862" i="22"/>
  <c r="AC1862" i="22" s="1"/>
  <c r="AA1861" i="22"/>
  <c r="AB1861" i="22" s="1"/>
  <c r="AC1861" i="22" s="1"/>
  <c r="AB1860" i="22"/>
  <c r="AC1860" i="22" s="1"/>
  <c r="AB1859" i="22"/>
  <c r="AC1859" i="22" s="1"/>
  <c r="J1859" i="22"/>
  <c r="AE1858" i="22"/>
  <c r="AB1857" i="22"/>
  <c r="AE1857" i="22" s="1"/>
  <c r="AB1856" i="22"/>
  <c r="AC1855" i="22"/>
  <c r="AB1855" i="22" s="1"/>
  <c r="AE1855" i="22" s="1"/>
  <c r="AB1854" i="22"/>
  <c r="AE1854" i="22" s="1"/>
  <c r="AE1853" i="22"/>
  <c r="AA1853" i="22"/>
  <c r="AE1852" i="22"/>
  <c r="AA1852" i="22"/>
  <c r="AB1851" i="22"/>
  <c r="AB1850" i="22"/>
  <c r="AC1849" i="22"/>
  <c r="AB1848" i="22"/>
  <c r="AE1848" i="22" s="1"/>
  <c r="AB1847" i="22"/>
  <c r="AE1847" i="22" s="1"/>
  <c r="AB1846" i="22"/>
  <c r="AE1846" i="22" s="1"/>
  <c r="AA1845" i="22"/>
  <c r="AB1845" i="22" s="1"/>
  <c r="AE1845" i="22" s="1"/>
  <c r="AB1844" i="22"/>
  <c r="AA1843" i="22"/>
  <c r="AB1843" i="22" s="1"/>
  <c r="AC1843" i="22" s="1"/>
  <c r="AB1842" i="22"/>
  <c r="AB1841" i="22"/>
  <c r="AB1840" i="22"/>
  <c r="AB1839" i="22"/>
  <c r="AB1838" i="22"/>
  <c r="AB1837" i="22"/>
  <c r="AB1836" i="22"/>
  <c r="AB1835" i="22"/>
  <c r="AB1834" i="22"/>
  <c r="AB1833" i="22"/>
  <c r="AB1832" i="22"/>
  <c r="AB1831" i="22"/>
  <c r="AB1830" i="22"/>
  <c r="AB1829" i="22"/>
  <c r="AB1828" i="22"/>
  <c r="AA1827" i="22"/>
  <c r="AB1827" i="22" s="1"/>
  <c r="AB1826" i="22"/>
  <c r="AE1826" i="22" s="1"/>
  <c r="AB1825" i="22"/>
  <c r="AC1825" i="22" s="1"/>
  <c r="AE1824" i="22"/>
  <c r="AA1824" i="22"/>
  <c r="AB1823" i="22"/>
  <c r="AC1823" i="22" s="1"/>
  <c r="AB1822" i="22"/>
  <c r="AE1822" i="22" s="1"/>
  <c r="AE1821" i="22"/>
  <c r="AA1821" i="22"/>
  <c r="AE1820" i="22"/>
  <c r="AB1819" i="22"/>
  <c r="AE1819" i="22" s="1"/>
  <c r="AB1818" i="22"/>
  <c r="AB1817" i="22"/>
  <c r="AB1816" i="22"/>
  <c r="AE1816" i="22" s="1"/>
  <c r="AB1815" i="22"/>
  <c r="AE1815" i="22" s="1"/>
  <c r="AB1814" i="22"/>
  <c r="AC1813" i="22"/>
  <c r="AB1813" i="22" s="1"/>
  <c r="AC1812" i="22"/>
  <c r="AB1812" i="22" s="1"/>
  <c r="AA1812" i="22" s="1"/>
  <c r="AB1811" i="22"/>
  <c r="AE1811" i="22" s="1"/>
  <c r="AE1810" i="22"/>
  <c r="AA1810" i="22"/>
  <c r="AE1809" i="22"/>
  <c r="AA1809" i="22"/>
  <c r="AB1808" i="22"/>
  <c r="AC1807" i="22"/>
  <c r="AB1807" i="22" s="1"/>
  <c r="AC1806" i="22"/>
  <c r="AB1806" i="22" s="1"/>
  <c r="AA1805" i="22"/>
  <c r="AB1805" i="22" s="1"/>
  <c r="AC1804" i="22"/>
  <c r="AB1804" i="22" s="1"/>
  <c r="AC1803" i="22"/>
  <c r="AB1803" i="22" s="1"/>
  <c r="AB1802" i="22"/>
  <c r="AB1801" i="22"/>
  <c r="AB1800" i="22"/>
  <c r="AB1799" i="22"/>
  <c r="AE1798" i="22"/>
  <c r="AC1798" i="22"/>
  <c r="AA1798" i="22"/>
  <c r="AB1797" i="22"/>
  <c r="AE1796" i="22"/>
  <c r="AC1796" i="22"/>
  <c r="AA1796" i="22"/>
  <c r="AB1795" i="22"/>
  <c r="AE1794" i="22"/>
  <c r="AA1794" i="22"/>
  <c r="AE1793" i="22"/>
  <c r="AC1793" i="22"/>
  <c r="AA1793" i="22"/>
  <c r="AB1792" i="22"/>
  <c r="AE1792" i="22" s="1"/>
  <c r="AB1791" i="22"/>
  <c r="AE1791" i="22" s="1"/>
  <c r="AB1790" i="22"/>
  <c r="AB1789" i="22"/>
  <c r="AB1788" i="22"/>
  <c r="AE1788" i="22" s="1"/>
  <c r="AE1787" i="22"/>
  <c r="AA1787" i="22"/>
  <c r="AE1786" i="22"/>
  <c r="AA1786" i="22"/>
  <c r="J1786" i="22"/>
  <c r="AC1785" i="22"/>
  <c r="AB1785" i="22" s="1"/>
  <c r="AE1784" i="22"/>
  <c r="AA1784" i="22"/>
  <c r="AB1783" i="22"/>
  <c r="AC1782" i="22"/>
  <c r="AB1782" i="22" s="1"/>
  <c r="AC1781" i="22"/>
  <c r="AB1781" i="22" s="1"/>
  <c r="AA1780" i="22"/>
  <c r="AB1780" i="22" s="1"/>
  <c r="AE1780" i="22" s="1"/>
  <c r="AA1779" i="22"/>
  <c r="AB1779" i="22" s="1"/>
  <c r="AC1779" i="22" s="1"/>
  <c r="AB1778" i="22"/>
  <c r="AE1778" i="22" s="1"/>
  <c r="AB1777" i="22"/>
  <c r="AE1777" i="22" s="1"/>
  <c r="AB1776" i="22"/>
  <c r="AC1776" i="22" s="1"/>
  <c r="AB1775" i="22"/>
  <c r="AE1775" i="22" s="1"/>
  <c r="AB1774" i="22"/>
  <c r="AE1774" i="22" s="1"/>
  <c r="AB1773" i="22"/>
  <c r="AE1773" i="22" s="1"/>
  <c r="AB1772" i="22"/>
  <c r="AC1772" i="22" s="1"/>
  <c r="AB1771" i="22"/>
  <c r="AE1771" i="22" s="1"/>
  <c r="AE1770" i="22"/>
  <c r="AB1770" i="22"/>
  <c r="AA1770" i="22"/>
  <c r="AE1769" i="22"/>
  <c r="AA1769" i="22"/>
  <c r="AE1768" i="22"/>
  <c r="AA1768" i="22"/>
  <c r="AE1767" i="22"/>
  <c r="AC1767" i="22"/>
  <c r="AA1767" i="22"/>
  <c r="AB1766" i="22"/>
  <c r="AC1766" i="22" s="1"/>
  <c r="AB1765" i="22"/>
  <c r="AC1765" i="22" s="1"/>
  <c r="AE1764" i="22"/>
  <c r="AA1764" i="22"/>
  <c r="AB1763" i="22"/>
  <c r="AC1763" i="22" s="1"/>
  <c r="AB1762" i="22"/>
  <c r="AE1762" i="22" s="1"/>
  <c r="AB1761" i="22"/>
  <c r="AE1761" i="22" s="1"/>
  <c r="AB1760" i="22"/>
  <c r="AE1760" i="22" s="1"/>
  <c r="AB1759" i="22"/>
  <c r="AC1759" i="22" s="1"/>
  <c r="AB1758" i="22"/>
  <c r="AE1758" i="22" s="1"/>
  <c r="AB1757" i="22"/>
  <c r="AE1757" i="22" s="1"/>
  <c r="AB1756" i="22"/>
  <c r="AE1756" i="22" s="1"/>
  <c r="AB1755" i="22"/>
  <c r="AC1755" i="22" s="1"/>
  <c r="AB1754" i="22"/>
  <c r="AE1754" i="22" s="1"/>
  <c r="AB1753" i="22"/>
  <c r="AE1753" i="22" s="1"/>
  <c r="AB1752" i="22"/>
  <c r="AC1752" i="22" s="1"/>
  <c r="AB1751" i="22"/>
  <c r="AC1751" i="22" s="1"/>
  <c r="AC1750" i="22"/>
  <c r="AB1750" i="22" s="1"/>
  <c r="AE1750" i="22" s="1"/>
  <c r="AB1749" i="22"/>
  <c r="AC1749" i="22" s="1"/>
  <c r="AB1748" i="22"/>
  <c r="AC1748" i="22" s="1"/>
  <c r="AB1747" i="22"/>
  <c r="AC1747" i="22" s="1"/>
  <c r="AB1746" i="22"/>
  <c r="AC1746" i="22" s="1"/>
  <c r="AB1745" i="22"/>
  <c r="AC1745" i="22" s="1"/>
  <c r="AB1744" i="22"/>
  <c r="AC1744" i="22" s="1"/>
  <c r="AE1743" i="22"/>
  <c r="AA1743" i="22"/>
  <c r="AB1742" i="22"/>
  <c r="AC1742" i="22" s="1"/>
  <c r="J1742" i="22"/>
  <c r="AE1741" i="22"/>
  <c r="AA1741" i="22"/>
  <c r="AB1740" i="22"/>
  <c r="AC1740" i="22" s="1"/>
  <c r="AC1739" i="22"/>
  <c r="AB1739" i="22" s="1"/>
  <c r="AB1738" i="22"/>
  <c r="AB1737" i="22"/>
  <c r="AC1737" i="22" s="1"/>
  <c r="AB1736" i="22"/>
  <c r="AC1736" i="22" s="1"/>
  <c r="AB1735" i="22"/>
  <c r="AC1734" i="22"/>
  <c r="AB1734" i="22" s="1"/>
  <c r="AA1734" i="22" s="1"/>
  <c r="AB1733" i="22"/>
  <c r="AE1733" i="22" s="1"/>
  <c r="AB1732" i="22"/>
  <c r="AE1732" i="22" s="1"/>
  <c r="AB1731" i="22"/>
  <c r="AE1730" i="22"/>
  <c r="AA1730" i="22"/>
  <c r="AB1729" i="22"/>
  <c r="AC1729" i="22" s="1"/>
  <c r="AB1728" i="22"/>
  <c r="AC1728" i="22" s="1"/>
  <c r="AB1727" i="22"/>
  <c r="AB1726" i="22"/>
  <c r="AE1725" i="22"/>
  <c r="AA1725" i="22"/>
  <c r="AC1724" i="22"/>
  <c r="AB1724" i="22" s="1"/>
  <c r="AE1724" i="22" s="1"/>
  <c r="AA1724" i="22"/>
  <c r="AE1723" i="22"/>
  <c r="AA1723" i="22"/>
  <c r="AE1722" i="22"/>
  <c r="AA1722" i="22"/>
  <c r="AC1721" i="22"/>
  <c r="AB1721" i="22" s="1"/>
  <c r="AE1720" i="22"/>
  <c r="AA1720" i="22"/>
  <c r="AB1719" i="22"/>
  <c r="AE1718" i="22"/>
  <c r="AA1718" i="22"/>
  <c r="AE1717" i="22"/>
  <c r="AA1717" i="22"/>
  <c r="AE1716" i="22"/>
  <c r="AA1716" i="22"/>
  <c r="AE1715" i="22"/>
  <c r="AA1715" i="22"/>
  <c r="AE1714" i="22"/>
  <c r="AA1714" i="22"/>
  <c r="AB1713" i="22"/>
  <c r="AE1713" i="22" s="1"/>
  <c r="AE1712" i="22"/>
  <c r="AA1712" i="22"/>
  <c r="AB1711" i="22"/>
  <c r="AB1710" i="22"/>
  <c r="AC1710" i="22" s="1"/>
  <c r="AC1709" i="22"/>
  <c r="AB1709" i="22" s="1"/>
  <c r="AB1708" i="22"/>
  <c r="AC1707" i="22"/>
  <c r="AB1707" i="22" s="1"/>
  <c r="AE1707" i="22" s="1"/>
  <c r="AC1706" i="22"/>
  <c r="AB1706" i="22" s="1"/>
  <c r="AE1706" i="22" s="1"/>
  <c r="AA1706" i="22"/>
  <c r="AC1705" i="22"/>
  <c r="AB1705" i="22" s="1"/>
  <c r="AB1704" i="22"/>
  <c r="AB1703" i="22"/>
  <c r="AB1702" i="22"/>
  <c r="AB1701" i="22"/>
  <c r="AC1701" i="22" s="1"/>
  <c r="AC1700" i="22"/>
  <c r="AB1700" i="22" s="1"/>
  <c r="AC1699" i="22"/>
  <c r="AB1699" i="22" s="1"/>
  <c r="AE1699" i="22" s="1"/>
  <c r="AE1698" i="22"/>
  <c r="AA1698" i="22"/>
  <c r="AB1697" i="22"/>
  <c r="AE1697" i="22" s="1"/>
  <c r="AB1696" i="22"/>
  <c r="AE1696" i="22" s="1"/>
  <c r="AB1695" i="22"/>
  <c r="AB1694" i="22"/>
  <c r="AC1693" i="22"/>
  <c r="AB1693" i="22" s="1"/>
  <c r="AE1693" i="22" s="1"/>
  <c r="AA1693" i="22"/>
  <c r="AB1692" i="22"/>
  <c r="AB1691" i="22"/>
  <c r="AE1690" i="22"/>
  <c r="AA1690" i="22"/>
  <c r="AC1689" i="22"/>
  <c r="AB1689" i="22" s="1"/>
  <c r="AE1689" i="22" s="1"/>
  <c r="AA1689" i="22"/>
  <c r="AB1688" i="22"/>
  <c r="AC1687" i="22"/>
  <c r="AB1687" i="22" s="1"/>
  <c r="AE1687" i="22" s="1"/>
  <c r="AA1687" i="22"/>
  <c r="AC1686" i="22"/>
  <c r="AB1686" i="22" s="1"/>
  <c r="AB1685" i="22"/>
  <c r="AB1684" i="22"/>
  <c r="AC1684" i="22" s="1"/>
  <c r="AC1683" i="22"/>
  <c r="AB1683" i="22" s="1"/>
  <c r="AB1682" i="22"/>
  <c r="AC1682" i="22" s="1"/>
  <c r="AB1681" i="22"/>
  <c r="AE1681" i="22" s="1"/>
  <c r="AB1680" i="22"/>
  <c r="AC1680" i="22" s="1"/>
  <c r="AB1679" i="22"/>
  <c r="AE1679" i="22" s="1"/>
  <c r="AC1678" i="22"/>
  <c r="AB1678" i="22" s="1"/>
  <c r="AC1677" i="22"/>
  <c r="AB1677" i="22" s="1"/>
  <c r="AB1676" i="22"/>
  <c r="AE1676" i="22" s="1"/>
  <c r="AD1675" i="22"/>
  <c r="AE1675" i="22" s="1"/>
  <c r="AC1675" i="22"/>
  <c r="AB1675" i="22" s="1"/>
  <c r="AA1675" i="22"/>
  <c r="I1675" i="22"/>
  <c r="J1675" i="22" s="1"/>
  <c r="AB1674" i="22"/>
  <c r="AE1674" i="22" s="1"/>
  <c r="AA1674" i="22"/>
  <c r="AC1673" i="22"/>
  <c r="AB1673" i="22" s="1"/>
  <c r="AE1673" i="22" s="1"/>
  <c r="AA1673" i="22"/>
  <c r="AC1672" i="22"/>
  <c r="AB1672" i="22" s="1"/>
  <c r="AA1672" i="22" s="1"/>
  <c r="AE1671" i="22"/>
  <c r="AB1671" i="22"/>
  <c r="AA1671" i="22"/>
  <c r="AB1670" i="22"/>
  <c r="AC1670" i="22" s="1"/>
  <c r="AC1669" i="22"/>
  <c r="AB1669" i="22" s="1"/>
  <c r="AE1669" i="22" s="1"/>
  <c r="AE1668" i="22"/>
  <c r="AA1668" i="22"/>
  <c r="AB1667" i="22"/>
  <c r="AC1667" i="22" s="1"/>
  <c r="AB1666" i="22"/>
  <c r="AE1666" i="22" s="1"/>
  <c r="AC1665" i="22"/>
  <c r="AB1665" i="22" s="1"/>
  <c r="AE1665" i="22" s="1"/>
  <c r="AC1664" i="22"/>
  <c r="AB1664" i="22" s="1"/>
  <c r="AE1664" i="22" s="1"/>
  <c r="AA1664" i="22"/>
  <c r="AC1663" i="22"/>
  <c r="AB1663" i="22" s="1"/>
  <c r="AE1662" i="22"/>
  <c r="AE1661" i="22"/>
  <c r="AB1660" i="22"/>
  <c r="AC1659" i="22"/>
  <c r="AB1659" i="22" s="1"/>
  <c r="AC1658" i="22"/>
  <c r="AB1658" i="22" s="1"/>
  <c r="AB1657" i="22"/>
  <c r="AC1657" i="22" s="1"/>
  <c r="AB1656" i="22"/>
  <c r="AC1656" i="22" s="1"/>
  <c r="AE1655" i="22"/>
  <c r="AA1655" i="22"/>
  <c r="AE1654" i="22"/>
  <c r="AC1654" i="22"/>
  <c r="AB1654" i="22" s="1"/>
  <c r="AA1654" i="22"/>
  <c r="AB1653" i="22"/>
  <c r="AB1652" i="22"/>
  <c r="AC1652" i="22" s="1"/>
  <c r="AC1651" i="22"/>
  <c r="AB1651" i="22" s="1"/>
  <c r="AA1651" i="22" s="1"/>
  <c r="AC1650" i="22"/>
  <c r="AB1650" i="22" s="1"/>
  <c r="AB1649" i="22"/>
  <c r="AC1649" i="22" s="1"/>
  <c r="AB1648" i="22"/>
  <c r="AB1647" i="22"/>
  <c r="AB1646" i="22"/>
  <c r="AB1645" i="22"/>
  <c r="AC1644" i="22"/>
  <c r="AB1644" i="22" s="1"/>
  <c r="AB1643" i="22"/>
  <c r="AE1643" i="22" s="1"/>
  <c r="AB1642" i="22"/>
  <c r="AE1642" i="22" s="1"/>
  <c r="AC1641" i="22"/>
  <c r="AB1641" i="22" s="1"/>
  <c r="AE1641" i="22" s="1"/>
  <c r="AC1640" i="22"/>
  <c r="AB1640" i="22" s="1"/>
  <c r="AB1639" i="22"/>
  <c r="AE1639" i="22" s="1"/>
  <c r="AC1638" i="22"/>
  <c r="AB1638" i="22" s="1"/>
  <c r="AB1637" i="22"/>
  <c r="AB1636" i="22"/>
  <c r="AC1636" i="22" s="1"/>
  <c r="AA1635" i="22"/>
  <c r="AB1635" i="22" s="1"/>
  <c r="AC1635" i="22" s="1"/>
  <c r="AB1634" i="22"/>
  <c r="AE1634" i="22" s="1"/>
  <c r="AB1633" i="22"/>
  <c r="AC1633" i="22" s="1"/>
  <c r="AE1632" i="22"/>
  <c r="AB1632" i="22"/>
  <c r="AA1632" i="22"/>
  <c r="I1632" i="22"/>
  <c r="J1632" i="22" s="1"/>
  <c r="J1631" i="22"/>
  <c r="J1630" i="22"/>
  <c r="AC1629" i="22"/>
  <c r="AB1629" i="22" s="1"/>
  <c r="AE1628" i="22"/>
  <c r="AA1628" i="22"/>
  <c r="AB1626" i="22"/>
  <c r="AB1625" i="22"/>
  <c r="AA1624" i="22"/>
  <c r="AB1624" i="22" s="1"/>
  <c r="AB1623" i="22"/>
  <c r="AB1622" i="22"/>
  <c r="AA1621" i="22"/>
  <c r="AB1621" i="22" s="1"/>
  <c r="AC1621" i="22" s="1"/>
  <c r="AB1620" i="22"/>
  <c r="AC1620" i="22" s="1"/>
  <c r="AB1619" i="22"/>
  <c r="AE1619" i="22" s="1"/>
  <c r="AA1618" i="22"/>
  <c r="AB1618" i="22" s="1"/>
  <c r="AC1618" i="22" s="1"/>
  <c r="AE1615" i="22"/>
  <c r="AC1615" i="22"/>
  <c r="AB1615" i="22" s="1"/>
  <c r="AA1615" i="22"/>
  <c r="AE1614" i="22"/>
  <c r="AA1614" i="22"/>
  <c r="AE1612" i="22"/>
  <c r="AA1612" i="22"/>
  <c r="AC1611" i="22"/>
  <c r="AB1611" i="22" s="1"/>
  <c r="AC1610" i="22"/>
  <c r="AB1610" i="22" s="1"/>
  <c r="AC1609" i="22"/>
  <c r="AB1609" i="22" s="1"/>
  <c r="AB1608" i="22"/>
  <c r="AB1607" i="22"/>
  <c r="AB1606" i="22"/>
  <c r="AB1605" i="22"/>
  <c r="AB1604" i="22"/>
  <c r="AB1603" i="22"/>
  <c r="AB1602" i="22"/>
  <c r="AB1601" i="22"/>
  <c r="AB1600" i="22"/>
  <c r="AB1599" i="22"/>
  <c r="AC1598" i="22"/>
  <c r="AB1598" i="22" s="1"/>
  <c r="AB1597" i="22"/>
  <c r="AC1596" i="22"/>
  <c r="AB1596" i="22" s="1"/>
  <c r="AE1595" i="22"/>
  <c r="AA1595" i="22"/>
  <c r="AE1594" i="22"/>
  <c r="AA1594" i="22"/>
  <c r="AE1593" i="22"/>
  <c r="AA1593" i="22"/>
  <c r="AC1592" i="22"/>
  <c r="AB1592" i="22" s="1"/>
  <c r="AC1591" i="22"/>
  <c r="AB1591" i="22" s="1"/>
  <c r="AC1590" i="22"/>
  <c r="AB1590" i="22" s="1"/>
  <c r="AC1589" i="22"/>
  <c r="AB1589" i="22" s="1"/>
  <c r="AA1589" i="22" s="1"/>
  <c r="AB1588" i="22"/>
  <c r="AE1587" i="22"/>
  <c r="AC1587" i="22"/>
  <c r="AB1587" i="22" s="1"/>
  <c r="AA1587" i="22"/>
  <c r="AC1586" i="22"/>
  <c r="AB1586" i="22" s="1"/>
  <c r="AB1585" i="22"/>
  <c r="AC1585" i="22" s="1"/>
  <c r="AC1584" i="22"/>
  <c r="AB1584" i="22" s="1"/>
  <c r="AC1583" i="22"/>
  <c r="AB1583" i="22" s="1"/>
  <c r="AC1582" i="22"/>
  <c r="AB1582" i="22" s="1"/>
  <c r="AC1581" i="22"/>
  <c r="AB1581" i="22" s="1"/>
  <c r="AC1580" i="22"/>
  <c r="AB1580" i="22" s="1"/>
  <c r="AC1579" i="22"/>
  <c r="AB1579" i="22" s="1"/>
  <c r="AB1578" i="22"/>
  <c r="AC1578" i="22" s="1"/>
  <c r="AB1577" i="22"/>
  <c r="AC1577" i="22" s="1"/>
  <c r="AB1576" i="22"/>
  <c r="AC1576" i="22" s="1"/>
  <c r="AB1575" i="22"/>
  <c r="AC1575" i="22" s="1"/>
  <c r="AB1574" i="22"/>
  <c r="AC1573" i="22"/>
  <c r="AB1573" i="22" s="1"/>
  <c r="AE1573" i="22" s="1"/>
  <c r="AB1572" i="22"/>
  <c r="AB1571" i="22"/>
  <c r="AB1570" i="22"/>
  <c r="AB1569" i="22"/>
  <c r="AE1568" i="22"/>
  <c r="AA1568" i="22"/>
  <c r="J1568" i="22"/>
  <c r="AB1567" i="22"/>
  <c r="AB1566" i="22"/>
  <c r="AB1565" i="22"/>
  <c r="AE1564" i="22"/>
  <c r="AA1564" i="22"/>
  <c r="AB1563" i="22"/>
  <c r="AE1563" i="22" s="1"/>
  <c r="AB1562" i="22"/>
  <c r="AC1561" i="22"/>
  <c r="AB1561" i="22" s="1"/>
  <c r="AB1560" i="22"/>
  <c r="AB1559" i="22"/>
  <c r="AC1559" i="22" s="1"/>
  <c r="AB1558" i="22"/>
  <c r="AE1557" i="22"/>
  <c r="AE1556" i="22"/>
  <c r="AB1555" i="22"/>
  <c r="AC1555" i="22" s="1"/>
  <c r="AB1554" i="22"/>
  <c r="AC1554" i="22" s="1"/>
  <c r="AB1553" i="22"/>
  <c r="AC1553" i="22" s="1"/>
  <c r="AC1552" i="22"/>
  <c r="AB1552" i="22" s="1"/>
  <c r="AE1551" i="22"/>
  <c r="AA1551" i="22"/>
  <c r="AE1550" i="22"/>
  <c r="AA1550" i="22"/>
  <c r="AE1549" i="22"/>
  <c r="AA1549" i="22"/>
  <c r="AE1548" i="22"/>
  <c r="AA1548" i="22"/>
  <c r="AE1547" i="22"/>
  <c r="AA1547" i="22"/>
  <c r="AE1546" i="22"/>
  <c r="AA1546" i="22"/>
  <c r="AE1545" i="22"/>
  <c r="AA1545" i="22"/>
  <c r="AE1544" i="22"/>
  <c r="AA1544" i="22"/>
  <c r="AE1543" i="22"/>
  <c r="AC1543" i="22"/>
  <c r="AB1543" i="22" s="1"/>
  <c r="AA1543" i="22"/>
  <c r="AE1542" i="22"/>
  <c r="AC1542" i="22"/>
  <c r="AB1542" i="22" s="1"/>
  <c r="AA1542" i="22"/>
  <c r="AE1541" i="22"/>
  <c r="AC1541" i="22"/>
  <c r="AB1541" i="22" s="1"/>
  <c r="AA1541" i="22"/>
  <c r="AE1540" i="22"/>
  <c r="AA1540" i="22"/>
  <c r="AE1539" i="22"/>
  <c r="AC1539" i="22"/>
  <c r="AB1539" i="22" s="1"/>
  <c r="AA1539" i="22"/>
  <c r="AE1538" i="22"/>
  <c r="AA1538" i="22"/>
  <c r="AE1537" i="22"/>
  <c r="AC1537" i="22"/>
  <c r="AB1537" i="22" s="1"/>
  <c r="AA1537" i="22"/>
  <c r="AE1536" i="22"/>
  <c r="AC1536" i="22"/>
  <c r="AB1536" i="22" s="1"/>
  <c r="AA1536" i="22"/>
  <c r="AE1535" i="22"/>
  <c r="AA1535" i="22"/>
  <c r="AE1534" i="22"/>
  <c r="AC1534" i="22"/>
  <c r="AA1534" i="22"/>
  <c r="AE1533" i="22"/>
  <c r="AA1533" i="22"/>
  <c r="AE1532" i="22"/>
  <c r="AA1532" i="22"/>
  <c r="AE1531" i="22"/>
  <c r="AA1531" i="22"/>
  <c r="AE1530" i="22"/>
  <c r="AA1530" i="22"/>
  <c r="AE1529" i="22"/>
  <c r="AB1529" i="22"/>
  <c r="AA1529" i="22"/>
  <c r="AE1528" i="22"/>
  <c r="AA1528" i="22"/>
  <c r="AE1527" i="22"/>
  <c r="AA1527" i="22"/>
  <c r="AE1526" i="22"/>
  <c r="AA1526" i="22"/>
  <c r="AE1525" i="22"/>
  <c r="AA1525" i="22"/>
  <c r="AE1524" i="22"/>
  <c r="AA1524" i="22"/>
  <c r="AB1523" i="22"/>
  <c r="AC1523" i="22" s="1"/>
  <c r="AB1522" i="22"/>
  <c r="AB1521" i="22"/>
  <c r="AB1520" i="22"/>
  <c r="AC1520" i="22" s="1"/>
  <c r="AB1519" i="22"/>
  <c r="AC1519" i="22" s="1"/>
  <c r="AB1518" i="22"/>
  <c r="AC1518" i="22" s="1"/>
  <c r="AE1517" i="22"/>
  <c r="AA1517" i="22"/>
  <c r="AB1516" i="22"/>
  <c r="AE1516" i="22" s="1"/>
  <c r="AB1515" i="22"/>
  <c r="AB1514" i="22"/>
  <c r="AE1514" i="22" s="1"/>
  <c r="AE1513" i="22"/>
  <c r="AC1513" i="22"/>
  <c r="AB1513" i="22" s="1"/>
  <c r="AA1512" i="22"/>
  <c r="AB1512" i="22" s="1"/>
  <c r="AE1512" i="22" s="1"/>
  <c r="AC1511" i="22"/>
  <c r="AB1511" i="22" s="1"/>
  <c r="AA1510" i="22"/>
  <c r="AB1510" i="22" s="1"/>
  <c r="AB1509" i="22"/>
  <c r="AB1508" i="22"/>
  <c r="AC1507" i="22"/>
  <c r="AB1507" i="22" s="1"/>
  <c r="AB1506" i="22"/>
  <c r="AE1506" i="22" s="1"/>
  <c r="AB1505" i="22"/>
  <c r="AE1505" i="22" s="1"/>
  <c r="AB1504" i="22"/>
  <c r="AC1503" i="22"/>
  <c r="AB1503" i="22" s="1"/>
  <c r="AE1502" i="22"/>
  <c r="AB1501" i="22"/>
  <c r="AB1500" i="22"/>
  <c r="AC1500" i="22" s="1"/>
  <c r="AE1499" i="22"/>
  <c r="AC1499" i="22"/>
  <c r="AB1499" i="22"/>
  <c r="AA1499" i="22"/>
  <c r="AE1498" i="22"/>
  <c r="AC1498" i="22"/>
  <c r="AB1498" i="22" s="1"/>
  <c r="AA1498" i="22"/>
  <c r="AA1497" i="22"/>
  <c r="AB1497" i="22" s="1"/>
  <c r="AB1496" i="22"/>
  <c r="AC1496" i="22" s="1"/>
  <c r="AB1495" i="22"/>
  <c r="AC1494" i="22"/>
  <c r="AB1494" i="22" s="1"/>
  <c r="AB1493" i="22"/>
  <c r="AB1492" i="22"/>
  <c r="AA1492" i="22" s="1"/>
  <c r="AC1491" i="22"/>
  <c r="AB1491" i="22" s="1"/>
  <c r="AC1490" i="22"/>
  <c r="AB1490" i="22" s="1"/>
  <c r="AB1489" i="22"/>
  <c r="AB1488" i="22"/>
  <c r="AE1488" i="22" s="1"/>
  <c r="AB1487" i="22"/>
  <c r="AE1487" i="22" s="1"/>
  <c r="AB1486" i="22"/>
  <c r="AE1486" i="22" s="1"/>
  <c r="AB1485" i="22"/>
  <c r="AB1484" i="22"/>
  <c r="AE1484" i="22" s="1"/>
  <c r="AB1483" i="22"/>
  <c r="AE1483" i="22" s="1"/>
  <c r="AB1482" i="22"/>
  <c r="AE1482" i="22" s="1"/>
  <c r="AB1481" i="22"/>
  <c r="AB1480" i="22"/>
  <c r="AE1480" i="22" s="1"/>
  <c r="AB1479" i="22"/>
  <c r="AE1479" i="22" s="1"/>
  <c r="AB1478" i="22"/>
  <c r="AE1478" i="22" s="1"/>
  <c r="AB1477" i="22"/>
  <c r="AE1477" i="22" s="1"/>
  <c r="AB1476" i="22"/>
  <c r="AE1476" i="22" s="1"/>
  <c r="AB1475" i="22"/>
  <c r="AE1475" i="22" s="1"/>
  <c r="AC1474" i="22"/>
  <c r="AB1474" i="22" s="1"/>
  <c r="AE1474" i="22" s="1"/>
  <c r="AA1474" i="22"/>
  <c r="AE1473" i="22"/>
  <c r="AA1473" i="22"/>
  <c r="AC1472" i="22"/>
  <c r="AB1472" i="22" s="1"/>
  <c r="AB1471" i="22"/>
  <c r="AC1471" i="22" s="1"/>
  <c r="AB1470" i="22"/>
  <c r="AB1469" i="22"/>
  <c r="AC1469" i="22" s="1"/>
  <c r="AB1468" i="22"/>
  <c r="AC1468" i="22" s="1"/>
  <c r="AB1467" i="22"/>
  <c r="AC1467" i="22" s="1"/>
  <c r="AB1466" i="22"/>
  <c r="AB1465" i="22"/>
  <c r="AE1465" i="22" s="1"/>
  <c r="AA1465" i="22"/>
  <c r="AB1464" i="22"/>
  <c r="AE1464" i="22" s="1"/>
  <c r="AC1463" i="22"/>
  <c r="AB1463" i="22" s="1"/>
  <c r="AC1462" i="22"/>
  <c r="AB1462" i="22" s="1"/>
  <c r="AB1461" i="22"/>
  <c r="AB1460" i="22"/>
  <c r="AE1460" i="22" s="1"/>
  <c r="AB1459" i="22"/>
  <c r="AE1459" i="22" s="1"/>
  <c r="AB1458" i="22"/>
  <c r="AE1458" i="22" s="1"/>
  <c r="AB1457" i="22"/>
  <c r="AA1456" i="22"/>
  <c r="AB1456" i="22" s="1"/>
  <c r="AE1456" i="22" s="1"/>
  <c r="AC1455" i="22"/>
  <c r="AB1455" i="22" s="1"/>
  <c r="AA1455" i="22" s="1"/>
  <c r="AC1454" i="22"/>
  <c r="AB1454" i="22" s="1"/>
  <c r="AE1453" i="22"/>
  <c r="AA1453" i="22"/>
  <c r="I1453" i="22"/>
  <c r="AC1452" i="22"/>
  <c r="AB1452" i="22" s="1"/>
  <c r="AE1451" i="22"/>
  <c r="AB1450" i="22"/>
  <c r="AB1449" i="22"/>
  <c r="AB1448" i="22"/>
  <c r="AC1447" i="22"/>
  <c r="AB1447" i="22" s="1"/>
  <c r="AE1446" i="22"/>
  <c r="AA1446" i="22"/>
  <c r="AE1445" i="22"/>
  <c r="AA1445" i="22"/>
  <c r="AE1444" i="22"/>
  <c r="AA1444" i="22"/>
  <c r="AB1443" i="22"/>
  <c r="AE1443" i="22" s="1"/>
  <c r="AB1442" i="22"/>
  <c r="AE1442" i="22" s="1"/>
  <c r="AA1440" i="22"/>
  <c r="AC1439" i="22"/>
  <c r="AB1439" i="22" s="1"/>
  <c r="AE1439" i="22" s="1"/>
  <c r="AA1439" i="22"/>
  <c r="AB1438" i="22"/>
  <c r="AA1437" i="22"/>
  <c r="AB1437" i="22" s="1"/>
  <c r="AB1436" i="22"/>
  <c r="AE1436" i="22" s="1"/>
  <c r="AB1435" i="22"/>
  <c r="AA1435" i="22" s="1"/>
  <c r="AB1434" i="22"/>
  <c r="AB1433" i="22"/>
  <c r="AE1433" i="22" s="1"/>
  <c r="AA1432" i="22"/>
  <c r="AB1431" i="22"/>
  <c r="AB1430" i="22"/>
  <c r="AA1430" i="22" s="1"/>
  <c r="AB1429" i="22"/>
  <c r="AA1429" i="22" s="1"/>
  <c r="AB1428" i="22"/>
  <c r="AB1427" i="22"/>
  <c r="AB1426" i="22"/>
  <c r="AA1426" i="22" s="1"/>
  <c r="AB1425" i="22"/>
  <c r="AA1425" i="22" s="1"/>
  <c r="AB1424" i="22"/>
  <c r="AA1424" i="22" s="1"/>
  <c r="AB1423" i="22"/>
  <c r="AC1422" i="22"/>
  <c r="AB1422" i="22" s="1"/>
  <c r="AA1422" i="22" s="1"/>
  <c r="AC1421" i="22"/>
  <c r="AB1421" i="22" s="1"/>
  <c r="AE1421" i="22" s="1"/>
  <c r="AC1420" i="22"/>
  <c r="AB1420" i="22" s="1"/>
  <c r="AC1419" i="22"/>
  <c r="AB1419" i="22" s="1"/>
  <c r="AC1418" i="22"/>
  <c r="AB1418" i="22" s="1"/>
  <c r="AB1417" i="22"/>
  <c r="AE1417" i="22" s="1"/>
  <c r="AE1416" i="22"/>
  <c r="AA1416" i="22"/>
  <c r="AE1415" i="22"/>
  <c r="AA1415" i="22"/>
  <c r="AE1414" i="22"/>
  <c r="AA1414" i="22"/>
  <c r="AC1413" i="22"/>
  <c r="AB1412" i="22"/>
  <c r="AB1411" i="22"/>
  <c r="AB1410" i="22"/>
  <c r="AC1409" i="22"/>
  <c r="AB1409" i="22" s="1"/>
  <c r="AE1409" i="22" s="1"/>
  <c r="AA1409" i="22"/>
  <c r="AB1407" i="22"/>
  <c r="AE1407" i="22" s="1"/>
  <c r="AA1406" i="22"/>
  <c r="AB1406" i="22" s="1"/>
  <c r="AC1406" i="22" s="1"/>
  <c r="AC1405" i="22"/>
  <c r="AB1405" i="22" s="1"/>
  <c r="AA1405" i="22" s="1"/>
  <c r="AB1404" i="22"/>
  <c r="AB1403" i="22"/>
  <c r="AE1403" i="22" s="1"/>
  <c r="AB1402" i="22"/>
  <c r="AB1401" i="22"/>
  <c r="J1401" i="22"/>
  <c r="AE1400" i="22"/>
  <c r="AC1400" i="22"/>
  <c r="AB1400" i="22" s="1"/>
  <c r="AA1400" i="22"/>
  <c r="I1400" i="22"/>
  <c r="J1400" i="22" s="1"/>
  <c r="AB1399" i="22"/>
  <c r="AB1398" i="22"/>
  <c r="AC1398" i="22" s="1"/>
  <c r="AB1397" i="22"/>
  <c r="AB1396" i="22"/>
  <c r="AA1395" i="22"/>
  <c r="AB1395" i="22" s="1"/>
  <c r="AB1394" i="22"/>
  <c r="AE1394" i="22" s="1"/>
  <c r="AC1393" i="22"/>
  <c r="AB1393" i="22" s="1"/>
  <c r="AC1391" i="22"/>
  <c r="AC1390" i="22"/>
  <c r="AB1388" i="22"/>
  <c r="AB1387" i="22"/>
  <c r="AC1387" i="22" s="1"/>
  <c r="J1387" i="22"/>
  <c r="AB1386" i="22"/>
  <c r="AE1386" i="22" s="1"/>
  <c r="J1386" i="22"/>
  <c r="AB1385" i="22"/>
  <c r="J1385" i="22"/>
  <c r="AB1384" i="22"/>
  <c r="J1384" i="22"/>
  <c r="AE1383" i="22"/>
  <c r="AB1382" i="22"/>
  <c r="AE1382" i="22" s="1"/>
  <c r="AA1382" i="22"/>
  <c r="AE1381" i="22"/>
  <c r="AC1381" i="22"/>
  <c r="AB1381" i="22"/>
  <c r="AA1381" i="22"/>
  <c r="I1381" i="22"/>
  <c r="J1381" i="22" s="1"/>
  <c r="AC1380" i="22"/>
  <c r="AB1380" i="22" s="1"/>
  <c r="AE1380" i="22" s="1"/>
  <c r="AA1380" i="22"/>
  <c r="AC1379" i="22"/>
  <c r="AB1379" i="22" s="1"/>
  <c r="AC1378" i="22"/>
  <c r="AB1378" i="22" s="1"/>
  <c r="AE1377" i="22"/>
  <c r="AB1377" i="22"/>
  <c r="AA1377" i="22"/>
  <c r="AE1376" i="22"/>
  <c r="AB1376" i="22"/>
  <c r="AA1376" i="22"/>
  <c r="AC1375" i="22"/>
  <c r="AB1375" i="22" s="1"/>
  <c r="AC1374" i="22"/>
  <c r="AB1374" i="22" s="1"/>
  <c r="AE1374" i="22" s="1"/>
  <c r="AC1373" i="22"/>
  <c r="AB1373" i="22" s="1"/>
  <c r="AE1372" i="22"/>
  <c r="AC1372" i="22"/>
  <c r="AB1372" i="22" s="1"/>
  <c r="AA1372" i="22"/>
  <c r="AB1371" i="22"/>
  <c r="AE1371" i="22" s="1"/>
  <c r="AE1370" i="22"/>
  <c r="AA1370" i="22"/>
  <c r="AB1369" i="22"/>
  <c r="AE1369" i="22" s="1"/>
  <c r="AC1368" i="22"/>
  <c r="AB1368" i="22" s="1"/>
  <c r="AB1367" i="22"/>
  <c r="AC1367" i="22" s="1"/>
  <c r="AE1366" i="22"/>
  <c r="AA1366" i="22"/>
  <c r="AB1365" i="22"/>
  <c r="AE1365" i="22" s="1"/>
  <c r="AB1364" i="22"/>
  <c r="AB1363" i="22"/>
  <c r="AC1363" i="22" s="1"/>
  <c r="AB1362" i="22"/>
  <c r="AE1362" i="22" s="1"/>
  <c r="AB1361" i="22"/>
  <c r="AE1361" i="22" s="1"/>
  <c r="AC1360" i="22"/>
  <c r="AB1360" i="22" s="1"/>
  <c r="AC1359" i="22"/>
  <c r="AB1359" i="22" s="1"/>
  <c r="AB1358" i="22"/>
  <c r="AB1357" i="22"/>
  <c r="AC1357" i="22" s="1"/>
  <c r="AB1356" i="22"/>
  <c r="AE1356" i="22" s="1"/>
  <c r="AB1355" i="22"/>
  <c r="AE1355" i="22" s="1"/>
  <c r="J1355" i="22"/>
  <c r="AB1354" i="22"/>
  <c r="AB1353" i="22"/>
  <c r="AB1352" i="22"/>
  <c r="AC1351" i="22"/>
  <c r="AB1351" i="22" s="1"/>
  <c r="AB1350" i="22"/>
  <c r="AE1350" i="22" s="1"/>
  <c r="AE1349" i="22"/>
  <c r="AA1349" i="22"/>
  <c r="AE1348" i="22"/>
  <c r="AA1348" i="22"/>
  <c r="AC1347" i="22"/>
  <c r="AB1347" i="22" s="1"/>
  <c r="AB1346" i="22"/>
  <c r="AB1345" i="22"/>
  <c r="AC1345" i="22" s="1"/>
  <c r="AB1344" i="22"/>
  <c r="AC1344" i="22" s="1"/>
  <c r="AB1343" i="22"/>
  <c r="AC1343" i="22" s="1"/>
  <c r="AB1342" i="22"/>
  <c r="AC1342" i="22" s="1"/>
  <c r="AE1341" i="22"/>
  <c r="AA1341" i="22"/>
  <c r="AB1340" i="22"/>
  <c r="AC1340" i="22" s="1"/>
  <c r="AE1339" i="22"/>
  <c r="AC1338" i="22"/>
  <c r="AB1338" i="22" s="1"/>
  <c r="AB1337" i="22"/>
  <c r="AC1337" i="22" s="1"/>
  <c r="AE1336" i="22"/>
  <c r="AA1336" i="22"/>
  <c r="AB1335" i="22"/>
  <c r="AC1335" i="22" s="1"/>
  <c r="AB1334" i="22"/>
  <c r="AC1334" i="22" s="1"/>
  <c r="AE1333" i="22"/>
  <c r="AB1332" i="22"/>
  <c r="AE1332" i="22" s="1"/>
  <c r="AB1331" i="22"/>
  <c r="AE1331" i="22" s="1"/>
  <c r="AB1330" i="22"/>
  <c r="AC1330" i="22" s="1"/>
  <c r="AE1329" i="22"/>
  <c r="AE1328" i="22"/>
  <c r="AA1328" i="22"/>
  <c r="AE1327" i="22"/>
  <c r="AA1327" i="22"/>
  <c r="AB1326" i="22"/>
  <c r="AC1326" i="22" s="1"/>
  <c r="AB1325" i="22"/>
  <c r="AA1325" i="22" s="1"/>
  <c r="AB1324" i="22"/>
  <c r="AE1324" i="22" s="1"/>
  <c r="AB1323" i="22"/>
  <c r="AE1323" i="22" s="1"/>
  <c r="AE1322" i="22"/>
  <c r="AA1322" i="22"/>
  <c r="AE1320" i="22"/>
  <c r="AA1320" i="22"/>
  <c r="AB1319" i="22"/>
  <c r="AE1319" i="22" s="1"/>
  <c r="AE1318" i="22"/>
  <c r="AA1318" i="22"/>
  <c r="AE1317" i="22"/>
  <c r="AA1317" i="22"/>
  <c r="AE1316" i="22"/>
  <c r="AA1316" i="22"/>
  <c r="AB1315" i="22"/>
  <c r="AE1315" i="22" s="1"/>
  <c r="AB1314" i="22"/>
  <c r="AC1314" i="22" s="1"/>
  <c r="AE1313" i="22"/>
  <c r="AE1312" i="22"/>
  <c r="AE1311" i="22"/>
  <c r="AE1310" i="22"/>
  <c r="AE1309" i="22"/>
  <c r="AE1308" i="22"/>
  <c r="AB1307" i="22"/>
  <c r="AC1307" i="22" s="1"/>
  <c r="AC1306" i="22"/>
  <c r="AB1306" i="22" s="1"/>
  <c r="AC1305" i="22"/>
  <c r="AB1305" i="22" s="1"/>
  <c r="AE1305" i="22" s="1"/>
  <c r="AC1304" i="22"/>
  <c r="AB1304" i="22" s="1"/>
  <c r="AB1303" i="22"/>
  <c r="AE1303" i="22" s="1"/>
  <c r="AB1302" i="22"/>
  <c r="AB1301" i="22"/>
  <c r="AB1300" i="22"/>
  <c r="AE1300" i="22" s="1"/>
  <c r="AC1299" i="22"/>
  <c r="AB1299" i="22" s="1"/>
  <c r="AA1298" i="22"/>
  <c r="AB1298" i="22" s="1"/>
  <c r="AB1297" i="22"/>
  <c r="AB1296" i="22"/>
  <c r="AC1295" i="22"/>
  <c r="AB1295" i="22" s="1"/>
  <c r="AC1294" i="22"/>
  <c r="AB1294" i="22" s="1"/>
  <c r="AC1293" i="22"/>
  <c r="AB1293" i="22" s="1"/>
  <c r="AA1293" i="22" s="1"/>
  <c r="AC1292" i="22"/>
  <c r="AB1292" i="22" s="1"/>
  <c r="AB1291" i="22"/>
  <c r="AC1290" i="22"/>
  <c r="AB1290" i="22" s="1"/>
  <c r="AE1290" i="22" s="1"/>
  <c r="AE1289" i="22"/>
  <c r="AA1289" i="22"/>
  <c r="AC1288" i="22"/>
  <c r="AB1288" i="22" s="1"/>
  <c r="AC1287" i="22"/>
  <c r="AB1287" i="22" s="1"/>
  <c r="AB1286" i="22"/>
  <c r="AE1286" i="22" s="1"/>
  <c r="AB1285" i="22"/>
  <c r="AE1285" i="22" s="1"/>
  <c r="AA1284" i="22"/>
  <c r="AB1284" i="22" s="1"/>
  <c r="AB1283" i="22"/>
  <c r="AE1283" i="22" s="1"/>
  <c r="AC1282" i="22"/>
  <c r="AB1282" i="22" s="1"/>
  <c r="AB1281" i="22"/>
  <c r="AC1281" i="22" s="1"/>
  <c r="AB1280" i="22"/>
  <c r="AC1280" i="22" s="1"/>
  <c r="AB1279" i="22"/>
  <c r="AC1279" i="22" s="1"/>
  <c r="AC1278" i="22"/>
  <c r="AB1277" i="22"/>
  <c r="AC1277" i="22" s="1"/>
  <c r="AB1276" i="22"/>
  <c r="AA1276" i="22" s="1"/>
  <c r="AC1275" i="22"/>
  <c r="AB1275" i="22" s="1"/>
  <c r="AE1275" i="22" s="1"/>
  <c r="AE1274" i="22"/>
  <c r="AC1274" i="22"/>
  <c r="AB1274" i="22" s="1"/>
  <c r="AA1274" i="22"/>
  <c r="AE1273" i="22"/>
  <c r="AC1273" i="22"/>
  <c r="AB1273" i="22" s="1"/>
  <c r="AA1273" i="22"/>
  <c r="AE1272" i="22"/>
  <c r="AC1272" i="22"/>
  <c r="AA1272" i="22"/>
  <c r="AC1271" i="22"/>
  <c r="AB1271" i="22" s="1"/>
  <c r="AB1269" i="22"/>
  <c r="AB1268" i="22"/>
  <c r="AE1268" i="22" s="1"/>
  <c r="AB1267" i="22"/>
  <c r="AE1267" i="22" s="1"/>
  <c r="AA1267" i="22"/>
  <c r="AB1266" i="22"/>
  <c r="AB1265" i="22"/>
  <c r="AE1265" i="22" s="1"/>
  <c r="AB1264" i="22"/>
  <c r="AE1264" i="22" s="1"/>
  <c r="AB1263" i="22"/>
  <c r="AE1263" i="22" s="1"/>
  <c r="AB1262" i="22"/>
  <c r="AB1408" i="22" s="1"/>
  <c r="AC1408" i="22" s="1"/>
  <c r="AB1261" i="22"/>
  <c r="AB1260" i="22"/>
  <c r="AC1260" i="22" s="1"/>
  <c r="AA1259" i="22"/>
  <c r="AB1259" i="22" s="1"/>
  <c r="AC1259" i="22" s="1"/>
  <c r="AA1258" i="22"/>
  <c r="AB1258" i="22" s="1"/>
  <c r="AB1257" i="22"/>
  <c r="AB1256" i="22"/>
  <c r="AB1255" i="22"/>
  <c r="AB1254" i="22"/>
  <c r="AB1253" i="22"/>
  <c r="AB1252" i="22"/>
  <c r="AB1251" i="22"/>
  <c r="AA1250" i="22"/>
  <c r="AB1250" i="22" s="1"/>
  <c r="AB1249" i="22"/>
  <c r="AE1249" i="22" s="1"/>
  <c r="AB1248" i="22"/>
  <c r="AB1247" i="22"/>
  <c r="AB1246" i="22"/>
  <c r="AE1246" i="22" s="1"/>
  <c r="AB1245" i="22"/>
  <c r="AE1245" i="22" s="1"/>
  <c r="AB1244" i="22"/>
  <c r="AB1243" i="22"/>
  <c r="AE1243" i="22" s="1"/>
  <c r="AB1242" i="22"/>
  <c r="AE1242" i="22" s="1"/>
  <c r="AB1241" i="22"/>
  <c r="AE1241" i="22" s="1"/>
  <c r="AB1240" i="22"/>
  <c r="AB1239" i="22"/>
  <c r="AE1239" i="22" s="1"/>
  <c r="AB1238" i="22"/>
  <c r="AE1238" i="22" s="1"/>
  <c r="AB1237" i="22"/>
  <c r="AE1237" i="22" s="1"/>
  <c r="AA1237" i="22"/>
  <c r="AB1236" i="22"/>
  <c r="AB1235" i="22"/>
  <c r="AE1235" i="22" s="1"/>
  <c r="AA1234" i="22"/>
  <c r="AB1234" i="22" s="1"/>
  <c r="AE1233" i="22"/>
  <c r="AE1232" i="22"/>
  <c r="AE1231" i="22"/>
  <c r="AC1231" i="22"/>
  <c r="AB1231" i="22" s="1"/>
  <c r="AA1231" i="22"/>
  <c r="AC1230" i="22"/>
  <c r="AB1230" i="22" s="1"/>
  <c r="AE1230" i="22" s="1"/>
  <c r="AC1229" i="22"/>
  <c r="AB1229" i="22" s="1"/>
  <c r="AC1228" i="22"/>
  <c r="AB1228" i="22" s="1"/>
  <c r="AC1227" i="22"/>
  <c r="AB1227" i="22" s="1"/>
  <c r="AA1227" i="22" s="1"/>
  <c r="AC1226" i="22"/>
  <c r="AB1226" i="22" s="1"/>
  <c r="AC1225" i="22"/>
  <c r="AB1224" i="22"/>
  <c r="AB1223" i="22"/>
  <c r="AC1221" i="22"/>
  <c r="AB1221" i="22" s="1"/>
  <c r="AC1220" i="22"/>
  <c r="AB1220" i="22" s="1"/>
  <c r="AB1219" i="22"/>
  <c r="AE1219" i="22" s="1"/>
  <c r="AC1218" i="22"/>
  <c r="AB1218" i="22" s="1"/>
  <c r="AB1217" i="22"/>
  <c r="AB1216" i="22"/>
  <c r="AB1215" i="22"/>
  <c r="AB1214" i="22"/>
  <c r="AB1213" i="22"/>
  <c r="AE1213" i="22" s="1"/>
  <c r="AA1213" i="22"/>
  <c r="AC1212" i="22"/>
  <c r="AB1212" i="22" s="1"/>
  <c r="AB1211" i="22"/>
  <c r="AE1211" i="22" s="1"/>
  <c r="AA1211" i="22"/>
  <c r="AB1210" i="22"/>
  <c r="AE1210" i="22" s="1"/>
  <c r="AE1209" i="22"/>
  <c r="AB1208" i="22"/>
  <c r="AB1207" i="22"/>
  <c r="AC1207" i="22" s="1"/>
  <c r="AB1206" i="22"/>
  <c r="AC1206" i="22" s="1"/>
  <c r="AE1205" i="22"/>
  <c r="AA1205" i="22"/>
  <c r="AB1204" i="22"/>
  <c r="AE1204" i="22" s="1"/>
  <c r="AC1203" i="22"/>
  <c r="AB1203" i="22" s="1"/>
  <c r="AC1202" i="22"/>
  <c r="AB1202" i="22" s="1"/>
  <c r="AE1202" i="22" s="1"/>
  <c r="AE1201" i="22"/>
  <c r="AA1201" i="22"/>
  <c r="AB1200" i="22"/>
  <c r="AC1200" i="22" s="1"/>
  <c r="AE1199" i="22"/>
  <c r="AE1198" i="22"/>
  <c r="AC1198" i="22"/>
  <c r="AB1198" i="22" s="1"/>
  <c r="AA1198" i="22"/>
  <c r="AE1197" i="22"/>
  <c r="AA1196" i="22"/>
  <c r="AB1196" i="22" s="1"/>
  <c r="AB1195" i="22"/>
  <c r="AB1194" i="22"/>
  <c r="AE1194" i="22" s="1"/>
  <c r="AA1194" i="22"/>
  <c r="AB1193" i="22"/>
  <c r="AE1193" i="22" s="1"/>
  <c r="AA1193" i="22"/>
  <c r="AB1192" i="22"/>
  <c r="AE1192" i="22" s="1"/>
  <c r="AB1191" i="22"/>
  <c r="AB1189" i="22"/>
  <c r="AE1189" i="22" s="1"/>
  <c r="AB1188" i="22"/>
  <c r="AE1188" i="22" s="1"/>
  <c r="AB1187" i="22"/>
  <c r="AE1187" i="22" s="1"/>
  <c r="AB1186" i="22"/>
  <c r="AA1186" i="22" s="1"/>
  <c r="AB1185" i="22"/>
  <c r="AE1185" i="22" s="1"/>
  <c r="AA1185" i="22"/>
  <c r="AB1184" i="22"/>
  <c r="AE1184" i="22" s="1"/>
  <c r="AB1183" i="22"/>
  <c r="AE1183" i="22" s="1"/>
  <c r="AB1182" i="22"/>
  <c r="AE1182" i="22" s="1"/>
  <c r="AB1181" i="22"/>
  <c r="AE1180" i="22"/>
  <c r="AB1179" i="22"/>
  <c r="AE1179" i="22" s="1"/>
  <c r="AA1179" i="22"/>
  <c r="AB1178" i="22"/>
  <c r="AE1178" i="22" s="1"/>
  <c r="AA1178" i="22"/>
  <c r="AE1177" i="22"/>
  <c r="AB1176" i="22"/>
  <c r="AC1175" i="22"/>
  <c r="AB1175" i="22" s="1"/>
  <c r="AB1174" i="22"/>
  <c r="AE1174" i="22" s="1"/>
  <c r="AB1173" i="22"/>
  <c r="AE1173" i="22" s="1"/>
  <c r="AB1172" i="22"/>
  <c r="AE1172" i="22" s="1"/>
  <c r="AB1171" i="22"/>
  <c r="AE1171" i="22" s="1"/>
  <c r="AB1170" i="22"/>
  <c r="AE1170" i="22" s="1"/>
  <c r="AE1169" i="22"/>
  <c r="AE1168" i="22"/>
  <c r="AB1167" i="22"/>
  <c r="AE1167" i="22" s="1"/>
  <c r="AB1166" i="22"/>
  <c r="AE1166" i="22" s="1"/>
  <c r="AE1165" i="22"/>
  <c r="AC1165" i="22"/>
  <c r="AE1164" i="22"/>
  <c r="AA1164" i="22"/>
  <c r="AE1163" i="22"/>
  <c r="AA1163" i="22"/>
  <c r="AE1162" i="22"/>
  <c r="AA1162" i="22"/>
  <c r="AB1161" i="22"/>
  <c r="AC1161" i="22" s="1"/>
  <c r="AB1160" i="22"/>
  <c r="AC1160" i="22" s="1"/>
  <c r="AB1159" i="22"/>
  <c r="AC1159" i="22" s="1"/>
  <c r="AB1158" i="22"/>
  <c r="AE1157" i="22"/>
  <c r="AA1157" i="22"/>
  <c r="AE1156" i="22"/>
  <c r="AA1156" i="22"/>
  <c r="AB1155" i="22"/>
  <c r="AE1155" i="22" s="1"/>
  <c r="AA1154" i="22"/>
  <c r="AB1154" i="22" s="1"/>
  <c r="AB1153" i="22"/>
  <c r="AB1152" i="22"/>
  <c r="AB1151" i="22"/>
  <c r="AB1150" i="22"/>
  <c r="AB1149" i="22"/>
  <c r="AA1148" i="22"/>
  <c r="AB1148" i="22" s="1"/>
  <c r="AB1147" i="22"/>
  <c r="AE1147" i="22" s="1"/>
  <c r="AA1146" i="22"/>
  <c r="AB1146" i="22" s="1"/>
  <c r="AE1146" i="22" s="1"/>
  <c r="AB1145" i="22"/>
  <c r="AC1145" i="22" s="1"/>
  <c r="AE1144" i="22"/>
  <c r="AB1143" i="22"/>
  <c r="AE1143" i="22" s="1"/>
  <c r="AA1143" i="22"/>
  <c r="AA1142" i="22"/>
  <c r="AB1142" i="22" s="1"/>
  <c r="AA1141" i="22"/>
  <c r="AB1141" i="22" s="1"/>
  <c r="AC1141" i="22" s="1"/>
  <c r="AB1140" i="22"/>
  <c r="AE1140" i="22" s="1"/>
  <c r="AB1139" i="22"/>
  <c r="AE1139" i="22" s="1"/>
  <c r="AA1139" i="22"/>
  <c r="AB1138" i="22"/>
  <c r="AE1138" i="22" s="1"/>
  <c r="AB1137" i="22"/>
  <c r="AE1137" i="22" s="1"/>
  <c r="AB1136" i="22"/>
  <c r="AE1136" i="22" s="1"/>
  <c r="AA1135" i="22"/>
  <c r="AB1134" i="22"/>
  <c r="AE1134" i="22" s="1"/>
  <c r="AB1133" i="22"/>
  <c r="AE1133" i="22" s="1"/>
  <c r="AC1132" i="22"/>
  <c r="AB1132" i="22" s="1"/>
  <c r="AE1132" i="22" s="1"/>
  <c r="AB1131" i="22"/>
  <c r="AB1130" i="22"/>
  <c r="AC1129" i="22"/>
  <c r="AB1129" i="22" s="1"/>
  <c r="AA1129" i="22" s="1"/>
  <c r="AB1128" i="22"/>
  <c r="AC1128" i="22" s="1"/>
  <c r="AB1127" i="22"/>
  <c r="AB1126" i="22"/>
  <c r="AB1125" i="22"/>
  <c r="AC1125" i="22" s="1"/>
  <c r="AB1124" i="22"/>
  <c r="AC1124" i="22" s="1"/>
  <c r="AC1123" i="22"/>
  <c r="AB1123" i="22" s="1"/>
  <c r="AB1122" i="22"/>
  <c r="AE1122" i="22" s="1"/>
  <c r="AB1121" i="22"/>
  <c r="AE1121" i="22" s="1"/>
  <c r="AE1120" i="22"/>
  <c r="AB1120" i="22"/>
  <c r="AC1120" i="22" s="1"/>
  <c r="AA1120" i="22"/>
  <c r="AE1119" i="22"/>
  <c r="AE1118" i="22"/>
  <c r="AE1117" i="22"/>
  <c r="AB1116" i="22"/>
  <c r="AE1116" i="22" s="1"/>
  <c r="AB1115" i="22"/>
  <c r="AE1115" i="22" s="1"/>
  <c r="AA1115" i="22"/>
  <c r="AE1114" i="22"/>
  <c r="AB1113" i="22"/>
  <c r="AB1112" i="22"/>
  <c r="AA1111" i="22"/>
  <c r="AB1110" i="22"/>
  <c r="AC1110" i="22" s="1"/>
  <c r="AC1109" i="22"/>
  <c r="AB1109" i="22" s="1"/>
  <c r="AB1108" i="22"/>
  <c r="AA1108" i="22" s="1"/>
  <c r="AB1107" i="22"/>
  <c r="AE1107" i="22" s="1"/>
  <c r="AB1106" i="22"/>
  <c r="AB1105" i="22"/>
  <c r="AE1105" i="22" s="1"/>
  <c r="AC1104" i="22"/>
  <c r="AB1104" i="22" s="1"/>
  <c r="AB1103" i="22"/>
  <c r="AE1103" i="22" s="1"/>
  <c r="AB1102" i="22"/>
  <c r="AE1102" i="22" s="1"/>
  <c r="AC1101" i="22"/>
  <c r="AB1101" i="22" s="1"/>
  <c r="AB1100" i="22"/>
  <c r="AB1099" i="22"/>
  <c r="AB1098" i="22"/>
  <c r="AB1097" i="22"/>
  <c r="AE1097" i="22" s="1"/>
  <c r="AB1096" i="22"/>
  <c r="AC1096" i="22" s="1"/>
  <c r="AB1095" i="22"/>
  <c r="AE1095" i="22" s="1"/>
  <c r="AB1094" i="22"/>
  <c r="AC1094" i="22" s="1"/>
  <c r="AB1093" i="22"/>
  <c r="AC1093" i="22" s="1"/>
  <c r="AB1092" i="22"/>
  <c r="AC1092" i="22" s="1"/>
  <c r="AB1091" i="22"/>
  <c r="AC1091" i="22" s="1"/>
  <c r="AB1090" i="22"/>
  <c r="AC1090" i="22" s="1"/>
  <c r="AE1089" i="22"/>
  <c r="AC1088" i="22"/>
  <c r="AB1088" i="22" s="1"/>
  <c r="AB1087" i="22"/>
  <c r="AA1087" i="22" s="1"/>
  <c r="AC1086" i="22"/>
  <c r="AB1086" i="22" s="1"/>
  <c r="AE1086" i="22" s="1"/>
  <c r="AE1085" i="22"/>
  <c r="AE1084" i="22"/>
  <c r="AA1084" i="22"/>
  <c r="I1084" i="22"/>
  <c r="J1084" i="22" s="1"/>
  <c r="AE1083" i="22"/>
  <c r="AB1082" i="22"/>
  <c r="AC1082" i="22" s="1"/>
  <c r="AC1081" i="22"/>
  <c r="AB1081" i="22" s="1"/>
  <c r="AC1080" i="22"/>
  <c r="AB1080" i="22" s="1"/>
  <c r="AA1080" i="22" s="1"/>
  <c r="AB1079" i="22"/>
  <c r="AE1079" i="22" s="1"/>
  <c r="AE1078" i="22"/>
  <c r="AC1077" i="22"/>
  <c r="AB1077" i="22" s="1"/>
  <c r="AE1077" i="22" s="1"/>
  <c r="AA1076" i="22"/>
  <c r="AB1076" i="22" s="1"/>
  <c r="AB1075" i="22"/>
  <c r="AC1074" i="22"/>
  <c r="AB1074" i="22" s="1"/>
  <c r="AB1073" i="22"/>
  <c r="AE1073" i="22" s="1"/>
  <c r="AB1072" i="22"/>
  <c r="AB1071" i="22"/>
  <c r="AE1071" i="22" s="1"/>
  <c r="AB1070" i="22"/>
  <c r="AE1070" i="22" s="1"/>
  <c r="AB1069" i="22"/>
  <c r="AB1068" i="22"/>
  <c r="AA1067" i="22"/>
  <c r="AB1067" i="22" s="1"/>
  <c r="AC1067" i="22" s="1"/>
  <c r="AB1066" i="22"/>
  <c r="AE1066" i="22" s="1"/>
  <c r="AB1065" i="22"/>
  <c r="AE1065" i="22" s="1"/>
  <c r="AE1064" i="22"/>
  <c r="AE1062" i="22"/>
  <c r="AB1061" i="22"/>
  <c r="AC1061" i="22" s="1"/>
  <c r="AB1060" i="22"/>
  <c r="AC1060" i="22" s="1"/>
  <c r="AC1059" i="22"/>
  <c r="AB1059" i="22" s="1"/>
  <c r="AA1059" i="22" s="1"/>
  <c r="AE1058" i="22"/>
  <c r="AA1058" i="22"/>
  <c r="AB1057" i="22"/>
  <c r="AC1057" i="22" s="1"/>
  <c r="AE1056" i="22"/>
  <c r="AB1055" i="22"/>
  <c r="AE1055" i="22" s="1"/>
  <c r="AB1054" i="22"/>
  <c r="AB1053" i="22"/>
  <c r="AB1052" i="22"/>
  <c r="AB1051" i="22"/>
  <c r="AA1050" i="22"/>
  <c r="AB1049" i="22"/>
  <c r="AC1049" i="22" s="1"/>
  <c r="AB1048" i="22"/>
  <c r="AC1048" i="22" s="1"/>
  <c r="AB1047" i="22"/>
  <c r="AC1047" i="22" s="1"/>
  <c r="AB1046" i="22"/>
  <c r="AC1046" i="22" s="1"/>
  <c r="AE1045" i="22"/>
  <c r="AE1044" i="22"/>
  <c r="AB1043" i="22"/>
  <c r="AE1043" i="22" s="1"/>
  <c r="AA1043" i="22"/>
  <c r="AB1042" i="22"/>
  <c r="AE1042" i="22" s="1"/>
  <c r="AB1041" i="22"/>
  <c r="AB1040" i="22"/>
  <c r="AC1040" i="22" s="1"/>
  <c r="AB1039" i="22"/>
  <c r="AC1039" i="22" s="1"/>
  <c r="AB1038" i="22"/>
  <c r="AE1037" i="22"/>
  <c r="AC1037" i="22"/>
  <c r="AB1037" i="22" s="1"/>
  <c r="AA1037" i="22"/>
  <c r="AC1036" i="22"/>
  <c r="AB1036" i="22" s="1"/>
  <c r="AA1036" i="22" s="1"/>
  <c r="AC1035" i="22"/>
  <c r="AB1035" i="22" s="1"/>
  <c r="AE1035" i="22" s="1"/>
  <c r="AC1034" i="22"/>
  <c r="AB1034" i="22" s="1"/>
  <c r="AB1033" i="22"/>
  <c r="AC1033" i="22" s="1"/>
  <c r="AE1032" i="22"/>
  <c r="AB1031" i="22"/>
  <c r="AE1031" i="22" s="1"/>
  <c r="AB1030" i="22"/>
  <c r="AE1030" i="22" s="1"/>
  <c r="AB1029" i="22"/>
  <c r="AC1029" i="22" s="1"/>
  <c r="AB1028" i="22"/>
  <c r="AC1028" i="22" s="1"/>
  <c r="AB1027" i="22"/>
  <c r="AC1027" i="22" s="1"/>
  <c r="AB1026" i="22"/>
  <c r="AC1025" i="22"/>
  <c r="AB1025" i="22" s="1"/>
  <c r="AE1025" i="22" s="1"/>
  <c r="AC1024" i="22"/>
  <c r="AB1024" i="22" s="1"/>
  <c r="AB1023" i="22"/>
  <c r="AE1023" i="22" s="1"/>
  <c r="AB1022" i="22"/>
  <c r="AE1021" i="22"/>
  <c r="AA1021" i="22"/>
  <c r="I1021" i="22"/>
  <c r="J1021" i="22" s="1"/>
  <c r="AE1020" i="22"/>
  <c r="AB1020" i="22"/>
  <c r="AC1020" i="22" s="1"/>
  <c r="AA1020" i="22"/>
  <c r="AB1019" i="22"/>
  <c r="AE1019" i="22" s="1"/>
  <c r="AA1019" i="22"/>
  <c r="AC1018" i="22"/>
  <c r="AB1018" i="22" s="1"/>
  <c r="AB1017" i="22"/>
  <c r="AE1016" i="22"/>
  <c r="AA1016" i="22"/>
  <c r="AB1015" i="22"/>
  <c r="AE1014" i="22"/>
  <c r="AE1013" i="22"/>
  <c r="AC1012" i="22"/>
  <c r="AB1012" i="22" s="1"/>
  <c r="AB1011" i="22"/>
  <c r="AB1010" i="22"/>
  <c r="AE1010" i="22" s="1"/>
  <c r="AA1010" i="22"/>
  <c r="AB1009" i="22"/>
  <c r="AC1009" i="22" s="1"/>
  <c r="AB1008" i="22"/>
  <c r="AB1007" i="22"/>
  <c r="AC1007" i="22" s="1"/>
  <c r="AE1006" i="22"/>
  <c r="AA1006" i="22"/>
  <c r="AB1005" i="22"/>
  <c r="AA1004" i="22"/>
  <c r="AB1004" i="22" s="1"/>
  <c r="AA1003" i="22"/>
  <c r="AB1003" i="22" s="1"/>
  <c r="AB1002" i="22"/>
  <c r="AE1001" i="22"/>
  <c r="AC1001" i="22"/>
  <c r="AB1001" i="22" s="1"/>
  <c r="AA1001" i="22"/>
  <c r="AC1000" i="22"/>
  <c r="AB1000" i="22" s="1"/>
  <c r="AC999" i="22"/>
  <c r="AB999" i="22" s="1"/>
  <c r="AE998" i="22"/>
  <c r="AA998" i="22"/>
  <c r="AE997" i="22"/>
  <c r="AA997" i="22"/>
  <c r="AE996" i="22"/>
  <c r="AA996" i="22"/>
  <c r="AE995" i="22"/>
  <c r="AA995" i="22"/>
  <c r="AE994" i="22"/>
  <c r="AB994" i="22"/>
  <c r="AA994" i="22"/>
  <c r="AE993" i="22"/>
  <c r="AE992" i="22"/>
  <c r="AC992" i="22"/>
  <c r="AB992" i="22" s="1"/>
  <c r="AA992" i="22"/>
  <c r="AE991" i="22"/>
  <c r="AB990" i="22"/>
  <c r="AE990" i="22" s="1"/>
  <c r="AB989" i="22"/>
  <c r="AE988" i="22"/>
  <c r="AC988" i="22"/>
  <c r="AB988" i="22" s="1"/>
  <c r="AB987" i="22"/>
  <c r="AE986" i="22"/>
  <c r="AB985" i="22"/>
  <c r="AC984" i="22"/>
  <c r="AB984" i="22" s="1"/>
  <c r="AA984" i="22" s="1"/>
  <c r="AB983" i="22"/>
  <c r="AE982" i="22"/>
  <c r="AD981" i="22"/>
  <c r="AE981" i="22" s="1"/>
  <c r="AC981" i="22"/>
  <c r="AB981" i="22" s="1"/>
  <c r="AE980" i="22"/>
  <c r="AB979" i="22"/>
  <c r="AE979" i="22" s="1"/>
  <c r="AB978" i="22"/>
  <c r="AC978" i="22" s="1"/>
  <c r="AE977" i="22"/>
  <c r="AB976" i="22"/>
  <c r="AE975" i="22"/>
  <c r="AC974" i="22"/>
  <c r="AB974" i="22" s="1"/>
  <c r="AE974" i="22" s="1"/>
  <c r="AB973" i="22"/>
  <c r="AC973" i="22" s="1"/>
  <c r="AB972" i="22"/>
  <c r="AA972" i="22" s="1"/>
  <c r="AB971" i="22"/>
  <c r="AA971" i="22" s="1"/>
  <c r="AA970" i="22"/>
  <c r="AB970" i="22" s="1"/>
  <c r="AC970" i="22" s="1"/>
  <c r="AB969" i="22"/>
  <c r="AE969" i="22" s="1"/>
  <c r="AB968" i="22"/>
  <c r="AC968" i="22" s="1"/>
  <c r="AE967" i="22"/>
  <c r="AB966" i="22"/>
  <c r="AE966" i="22" s="1"/>
  <c r="AC965" i="22"/>
  <c r="AB965" i="22" s="1"/>
  <c r="AE965" i="22" s="1"/>
  <c r="AB964" i="22"/>
  <c r="AC964" i="22" s="1"/>
  <c r="AB963" i="22"/>
  <c r="AC963" i="22" s="1"/>
  <c r="AB962" i="22"/>
  <c r="AC962" i="22" s="1"/>
  <c r="AB961" i="22"/>
  <c r="AC961" i="22" s="1"/>
  <c r="AC960" i="22"/>
  <c r="AB960" i="22" s="1"/>
  <c r="AB959" i="22"/>
  <c r="AE959" i="22" s="1"/>
  <c r="AA957" i="22"/>
  <c r="AA958" i="22" s="1"/>
  <c r="AB956" i="22"/>
  <c r="AC956" i="22" s="1"/>
  <c r="AB955" i="22"/>
  <c r="AC955" i="22" s="1"/>
  <c r="AB954" i="22"/>
  <c r="AC954" i="22" s="1"/>
  <c r="AE953" i="22"/>
  <c r="AC952" i="22"/>
  <c r="AB952" i="22" s="1"/>
  <c r="AE952" i="22" s="1"/>
  <c r="AB951" i="22"/>
  <c r="AE951" i="22" s="1"/>
  <c r="AC950" i="22"/>
  <c r="AB950" i="22" s="1"/>
  <c r="AC949" i="22"/>
  <c r="AB949" i="22" s="1"/>
  <c r="AA949" i="22" s="1"/>
  <c r="AE948" i="22"/>
  <c r="AB947" i="22"/>
  <c r="AC947" i="22" s="1"/>
  <c r="AE946" i="22"/>
  <c r="AB945" i="22"/>
  <c r="AE945" i="22" s="1"/>
  <c r="AB944" i="22"/>
  <c r="AC944" i="22" s="1"/>
  <c r="AB943" i="22"/>
  <c r="AE943" i="22" s="1"/>
  <c r="AB942" i="22"/>
  <c r="AE942" i="22" s="1"/>
  <c r="AB941" i="22"/>
  <c r="AB940" i="22"/>
  <c r="AE940" i="22" s="1"/>
  <c r="AB939" i="22"/>
  <c r="AE939" i="22" s="1"/>
  <c r="AB938" i="22"/>
  <c r="AE938" i="22" s="1"/>
  <c r="AB937" i="22"/>
  <c r="AE937" i="22" s="1"/>
  <c r="AB936" i="22"/>
  <c r="AE936" i="22" s="1"/>
  <c r="AE935" i="22"/>
  <c r="AE934" i="22"/>
  <c r="AE933" i="22"/>
  <c r="AE932" i="22"/>
  <c r="AB931" i="22"/>
  <c r="AE931" i="22" s="1"/>
  <c r="AB930" i="22"/>
  <c r="AE930" i="22" s="1"/>
  <c r="AC929" i="22"/>
  <c r="AB929" i="22" s="1"/>
  <c r="AA929" i="22" s="1"/>
  <c r="AB928" i="22"/>
  <c r="AB927" i="22"/>
  <c r="AB926" i="22"/>
  <c r="AA925" i="22"/>
  <c r="AB924" i="22"/>
  <c r="AE924" i="22" s="1"/>
  <c r="AA923" i="22"/>
  <c r="AB922" i="22"/>
  <c r="AC922" i="22" s="1"/>
  <c r="AB921" i="22"/>
  <c r="AE920" i="22"/>
  <c r="AB920" i="22"/>
  <c r="AC920" i="22" s="1"/>
  <c r="AE919" i="22"/>
  <c r="AE918" i="22"/>
  <c r="AB918" i="22"/>
  <c r="AE917" i="22"/>
  <c r="AC917" i="22"/>
  <c r="AB916" i="22"/>
  <c r="AC916" i="22" s="1"/>
  <c r="J916" i="22"/>
  <c r="AB915" i="22"/>
  <c r="AC915" i="22" s="1"/>
  <c r="J915" i="22"/>
  <c r="AB914" i="22"/>
  <c r="AC914" i="22" s="1"/>
  <c r="AB913" i="22"/>
  <c r="AE911" i="22"/>
  <c r="AB910" i="22"/>
  <c r="AB909" i="22"/>
  <c r="AC909" i="22" s="1"/>
  <c r="AB908" i="22"/>
  <c r="AC908" i="22" s="1"/>
  <c r="AB907" i="22"/>
  <c r="AC907" i="22" s="1"/>
  <c r="AB906" i="22"/>
  <c r="AC906" i="22" s="1"/>
  <c r="AE905" i="22"/>
  <c r="AC905" i="22"/>
  <c r="AB905" i="22" s="1"/>
  <c r="AB904" i="22"/>
  <c r="AE903" i="22"/>
  <c r="AB903" i="22"/>
  <c r="AB902" i="22"/>
  <c r="AE902" i="22" s="1"/>
  <c r="AB901" i="22"/>
  <c r="AE901" i="22" s="1"/>
  <c r="AE900" i="22"/>
  <c r="AE899" i="22"/>
  <c r="AC899" i="22"/>
  <c r="AB899" i="22" s="1"/>
  <c r="AC898" i="22"/>
  <c r="AB898" i="22" s="1"/>
  <c r="AB897" i="22"/>
  <c r="AE897" i="22" s="1"/>
  <c r="AB896" i="22"/>
  <c r="AC896" i="22" s="1"/>
  <c r="AE895" i="22"/>
  <c r="AC894" i="22"/>
  <c r="AB894" i="22" s="1"/>
  <c r="AE894" i="22" s="1"/>
  <c r="AA894" i="22"/>
  <c r="AB893" i="22"/>
  <c r="AC893" i="22" s="1"/>
  <c r="AB892" i="22"/>
  <c r="AE891" i="22"/>
  <c r="AE890" i="22"/>
  <c r="AC889" i="22"/>
  <c r="AB889" i="22" s="1"/>
  <c r="AB888" i="22"/>
  <c r="AB887" i="22"/>
  <c r="AB886" i="22"/>
  <c r="AB885" i="22"/>
  <c r="AB884" i="22"/>
  <c r="AB883" i="22"/>
  <c r="AE883" i="22" s="1"/>
  <c r="AB882" i="22"/>
  <c r="AE882" i="22" s="1"/>
  <c r="AC881" i="22"/>
  <c r="AB880" i="22"/>
  <c r="AB879" i="22"/>
  <c r="AE878" i="22"/>
  <c r="AB878" i="22"/>
  <c r="AB877" i="22"/>
  <c r="AC877" i="22" s="1"/>
  <c r="AE876" i="22"/>
  <c r="AB875" i="22"/>
  <c r="AE875" i="22" s="1"/>
  <c r="AB874" i="22"/>
  <c r="AC873" i="22"/>
  <c r="AB873" i="22" s="1"/>
  <c r="AB872" i="22"/>
  <c r="AB871" i="22"/>
  <c r="AC870" i="22"/>
  <c r="AB870" i="22" s="1"/>
  <c r="AB869" i="22"/>
  <c r="AE869" i="22" s="1"/>
  <c r="AE868" i="22"/>
  <c r="AC866" i="22"/>
  <c r="AB866" i="22"/>
  <c r="AE866" i="22" s="1"/>
  <c r="AB865" i="22"/>
  <c r="AB864" i="22"/>
  <c r="AB863" i="22"/>
  <c r="AB862" i="22"/>
  <c r="AB861" i="22"/>
  <c r="AB860" i="22"/>
  <c r="AC860" i="22" s="1"/>
  <c r="AB859" i="22"/>
  <c r="AC859" i="22" s="1"/>
  <c r="AB858" i="22"/>
  <c r="AB857" i="22"/>
  <c r="AB856" i="22"/>
  <c r="AB855" i="22"/>
  <c r="AE854" i="22"/>
  <c r="AC853" i="22"/>
  <c r="AB853" i="22" s="1"/>
  <c r="AA853" i="22" s="1"/>
  <c r="AB852" i="22"/>
  <c r="AE852" i="22" s="1"/>
  <c r="AB851" i="22"/>
  <c r="AE851" i="22" s="1"/>
  <c r="AB850" i="22"/>
  <c r="AE850" i="22" s="1"/>
  <c r="AB849" i="22"/>
  <c r="AE849" i="22" s="1"/>
  <c r="AB848" i="22"/>
  <c r="AE848" i="22" s="1"/>
  <c r="AE847" i="22"/>
  <c r="AB846" i="22"/>
  <c r="AC845" i="22"/>
  <c r="AB845" i="22" s="1"/>
  <c r="AE845" i="22" s="1"/>
  <c r="AB844" i="22"/>
  <c r="AC843" i="22"/>
  <c r="AB843" i="22" s="1"/>
  <c r="AE842" i="22"/>
  <c r="AE841" i="22"/>
  <c r="AE840" i="22"/>
  <c r="AB839" i="22"/>
  <c r="AB838" i="22"/>
  <c r="AC837" i="22"/>
  <c r="AB837" i="22" s="1"/>
  <c r="AE837" i="22" s="1"/>
  <c r="AA837" i="22"/>
  <c r="AB836" i="22"/>
  <c r="AB835" i="22"/>
  <c r="AB834" i="22"/>
  <c r="AE834" i="22" s="1"/>
  <c r="AB833" i="22"/>
  <c r="AE833" i="22" s="1"/>
  <c r="AB832" i="22"/>
  <c r="AB831" i="22"/>
  <c r="AE831" i="22" s="1"/>
  <c r="AB830" i="22"/>
  <c r="AE830" i="22" s="1"/>
  <c r="AC829" i="22"/>
  <c r="AB829" i="22" s="1"/>
  <c r="AE828" i="22"/>
  <c r="AC828" i="22"/>
  <c r="AB828" i="22" s="1"/>
  <c r="AE827" i="22"/>
  <c r="AE826" i="22"/>
  <c r="AE825" i="22"/>
  <c r="AB824" i="22"/>
  <c r="AE823" i="22"/>
  <c r="AE822" i="22"/>
  <c r="AB821" i="22"/>
  <c r="AC820" i="22"/>
  <c r="AB820" i="22" s="1"/>
  <c r="AE819" i="22"/>
  <c r="AE818" i="22"/>
  <c r="AE817" i="22"/>
  <c r="AE816" i="22"/>
  <c r="AE815" i="22"/>
  <c r="AE814" i="22"/>
  <c r="AB813" i="22"/>
  <c r="AE813" i="22" s="1"/>
  <c r="AE812" i="22"/>
  <c r="AE811" i="22"/>
  <c r="AC810" i="22"/>
  <c r="AB810" i="22" s="1"/>
  <c r="AB809" i="22"/>
  <c r="AE809" i="22" s="1"/>
  <c r="AE808" i="22"/>
  <c r="AC808" i="22"/>
  <c r="AB808" i="22" s="1"/>
  <c r="AE807" i="22"/>
  <c r="AC807" i="22"/>
  <c r="AB807" i="22" s="1"/>
  <c r="AB806" i="22"/>
  <c r="AE806" i="22" s="1"/>
  <c r="AB805" i="22"/>
  <c r="AE805" i="22" s="1"/>
  <c r="AB804" i="22"/>
  <c r="AE804" i="22" s="1"/>
  <c r="AB803" i="22"/>
  <c r="AE803" i="22" s="1"/>
  <c r="AE802" i="22"/>
  <c r="AE801" i="22"/>
  <c r="AB800" i="22"/>
  <c r="AE800" i="22" s="1"/>
  <c r="AB799" i="22"/>
  <c r="AE799" i="22" s="1"/>
  <c r="AB798" i="22"/>
  <c r="AE798" i="22" s="1"/>
  <c r="AB797" i="22"/>
  <c r="AC797" i="22" s="1"/>
  <c r="AA796" i="22"/>
  <c r="AB796" i="22" s="1"/>
  <c r="AC796" i="22" s="1"/>
  <c r="AA795" i="22"/>
  <c r="AB795" i="22" s="1"/>
  <c r="AC795" i="22" s="1"/>
  <c r="AB794" i="22"/>
  <c r="AB793" i="22"/>
  <c r="AB792" i="22"/>
  <c r="AB790" i="22"/>
  <c r="AC790" i="22" s="1"/>
  <c r="AB789" i="22"/>
  <c r="AB788" i="22"/>
  <c r="AC787" i="22"/>
  <c r="AB787" i="22" s="1"/>
  <c r="AB786" i="22"/>
  <c r="AE786" i="22" s="1"/>
  <c r="AB785" i="22"/>
  <c r="AE785" i="22" s="1"/>
  <c r="AE784" i="22"/>
  <c r="AC784" i="22"/>
  <c r="AB784" i="22" s="1"/>
  <c r="I784" i="22"/>
  <c r="J784" i="22" s="1"/>
  <c r="AE783" i="22"/>
  <c r="AE782" i="22"/>
  <c r="AC781" i="22"/>
  <c r="AB781" i="22" s="1"/>
  <c r="AE781" i="22" s="1"/>
  <c r="AB780" i="22"/>
  <c r="AB779" i="22"/>
  <c r="AB778" i="22"/>
  <c r="AB777" i="22"/>
  <c r="AB776" i="22"/>
  <c r="AB775" i="22"/>
  <c r="AB774" i="22"/>
  <c r="AB773" i="22"/>
  <c r="AB772" i="22"/>
  <c r="AB771" i="22"/>
  <c r="AB770" i="22"/>
  <c r="AB769" i="22"/>
  <c r="AE769" i="22" s="1"/>
  <c r="AB768" i="22"/>
  <c r="AC768" i="22" s="1"/>
  <c r="AB767" i="22"/>
  <c r="AC767" i="22" s="1"/>
  <c r="AB766" i="22"/>
  <c r="AB765" i="22"/>
  <c r="AC765" i="22" s="1"/>
  <c r="AB764" i="22"/>
  <c r="AC764" i="22" s="1"/>
  <c r="AB763" i="22"/>
  <c r="AC763" i="22" s="1"/>
  <c r="AB762" i="22"/>
  <c r="AB761" i="22"/>
  <c r="AC761" i="22" s="1"/>
  <c r="AB760" i="22"/>
  <c r="AC760" i="22" s="1"/>
  <c r="AB759" i="22"/>
  <c r="AC759" i="22" s="1"/>
  <c r="AB758" i="22"/>
  <c r="AB757" i="22"/>
  <c r="AC757" i="22" s="1"/>
  <c r="AB756" i="22"/>
  <c r="AC756" i="22" s="1"/>
  <c r="AB755" i="22"/>
  <c r="AB754" i="22"/>
  <c r="AE753" i="22"/>
  <c r="AE751" i="22"/>
  <c r="AB750" i="22"/>
  <c r="AE749" i="22"/>
  <c r="AE748" i="22"/>
  <c r="AB748" i="22"/>
  <c r="AE747" i="22"/>
  <c r="AC746" i="22"/>
  <c r="AB746" i="22" s="1"/>
  <c r="AE746" i="22" s="1"/>
  <c r="AB745" i="22"/>
  <c r="AC745" i="22" s="1"/>
  <c r="AC744" i="22"/>
  <c r="AB744" i="22" s="1"/>
  <c r="AA743" i="22"/>
  <c r="AB743" i="22" s="1"/>
  <c r="AE743" i="22" s="1"/>
  <c r="AB742" i="22"/>
  <c r="AC742" i="22" s="1"/>
  <c r="AB741" i="22"/>
  <c r="AC741" i="22" s="1"/>
  <c r="AE740" i="22"/>
  <c r="I740" i="22"/>
  <c r="J740" i="22" s="1"/>
  <c r="AB739" i="22"/>
  <c r="AC739" i="22" s="1"/>
  <c r="AC738" i="22"/>
  <c r="AB738" i="22" s="1"/>
  <c r="AA738" i="22" s="1"/>
  <c r="AE737" i="22"/>
  <c r="AB737" i="22"/>
  <c r="AA737" i="22"/>
  <c r="AB736" i="22"/>
  <c r="AB735" i="22"/>
  <c r="AE735" i="22" s="1"/>
  <c r="AA735" i="22"/>
  <c r="AB734" i="22"/>
  <c r="AE734" i="22" s="1"/>
  <c r="AB733" i="22"/>
  <c r="AC733" i="22" s="1"/>
  <c r="AC732" i="22"/>
  <c r="AB732" i="22" s="1"/>
  <c r="AB731" i="22"/>
  <c r="AB730" i="22"/>
  <c r="AB729" i="22"/>
  <c r="AE728" i="22"/>
  <c r="AC727" i="22"/>
  <c r="AB727" i="22" s="1"/>
  <c r="AA727" i="22" s="1"/>
  <c r="AC726" i="22"/>
  <c r="AB726" i="22" s="1"/>
  <c r="AB725" i="22"/>
  <c r="AB724" i="22"/>
  <c r="AB723" i="22"/>
  <c r="AB722" i="22"/>
  <c r="AB721" i="22"/>
  <c r="AB720" i="22"/>
  <c r="AB719" i="22"/>
  <c r="AE718" i="22"/>
  <c r="AB718" i="22"/>
  <c r="AA718" i="22"/>
  <c r="AE717" i="22"/>
  <c r="AE716" i="22"/>
  <c r="AC715" i="22"/>
  <c r="AB715" i="22" s="1"/>
  <c r="AE715" i="22" s="1"/>
  <c r="AA715" i="22"/>
  <c r="AB714" i="22"/>
  <c r="AE714" i="22" s="1"/>
  <c r="AE713" i="22"/>
  <c r="AB713" i="22"/>
  <c r="AA713" i="22"/>
  <c r="AE712" i="22"/>
  <c r="AB711" i="22"/>
  <c r="AB710" i="22"/>
  <c r="AC710" i="22" s="1"/>
  <c r="AB709" i="22"/>
  <c r="AC709" i="22" s="1"/>
  <c r="AB708" i="22"/>
  <c r="AC708" i="22" s="1"/>
  <c r="AB707" i="22"/>
  <c r="AE706" i="22"/>
  <c r="AB705" i="22"/>
  <c r="AE705" i="22" s="1"/>
  <c r="AB704" i="22"/>
  <c r="AB703" i="22"/>
  <c r="AE703" i="22" s="1"/>
  <c r="AB702" i="22"/>
  <c r="AE702" i="22" s="1"/>
  <c r="AB701" i="22"/>
  <c r="AE701" i="22" s="1"/>
  <c r="AE700" i="22"/>
  <c r="AC700" i="22"/>
  <c r="AA700" i="22"/>
  <c r="AB699" i="22"/>
  <c r="AE699" i="22" s="1"/>
  <c r="AA699" i="22"/>
  <c r="AB698" i="22"/>
  <c r="AB697" i="22"/>
  <c r="AE697" i="22" s="1"/>
  <c r="AC696" i="22"/>
  <c r="AB696" i="22" s="1"/>
  <c r="AA696" i="22" s="1"/>
  <c r="AC695" i="22"/>
  <c r="AB695" i="22" s="1"/>
  <c r="AA695" i="22" s="1"/>
  <c r="AB694" i="22"/>
  <c r="AE694" i="22" s="1"/>
  <c r="AC693" i="22"/>
  <c r="AB693" i="22" s="1"/>
  <c r="AE693" i="22" s="1"/>
  <c r="AC692" i="22"/>
  <c r="AB692" i="22" s="1"/>
  <c r="J691" i="22"/>
  <c r="AC690" i="22"/>
  <c r="AB690" i="22" s="1"/>
  <c r="AE690" i="22" s="1"/>
  <c r="AC689" i="22"/>
  <c r="AB689" i="22" s="1"/>
  <c r="AB688" i="22"/>
  <c r="AB687" i="22"/>
  <c r="AB686" i="22"/>
  <c r="AB685" i="22"/>
  <c r="AE685" i="22" s="1"/>
  <c r="AB684" i="22"/>
  <c r="AB683" i="22"/>
  <c r="AE683" i="22" s="1"/>
  <c r="AB682" i="22"/>
  <c r="AE682" i="22" s="1"/>
  <c r="AE681" i="22"/>
  <c r="J681" i="22"/>
  <c r="AB680" i="22"/>
  <c r="AB679" i="22"/>
  <c r="AB678" i="22"/>
  <c r="AB676" i="22"/>
  <c r="AE676" i="22" s="1"/>
  <c r="AB675" i="22"/>
  <c r="AC674" i="22"/>
  <c r="AB674" i="22" s="1"/>
  <c r="AA674" i="22" s="1"/>
  <c r="AC673" i="22"/>
  <c r="AB673" i="22" s="1"/>
  <c r="AB672" i="22"/>
  <c r="AE672" i="22" s="1"/>
  <c r="AC671" i="22"/>
  <c r="AB671" i="22" s="1"/>
  <c r="AE671" i="22" s="1"/>
  <c r="AB670" i="22"/>
  <c r="AB669" i="22"/>
  <c r="AB668" i="22"/>
  <c r="AB667" i="22"/>
  <c r="AB666" i="22"/>
  <c r="AB665" i="22"/>
  <c r="AE664" i="22"/>
  <c r="AE663" i="22"/>
  <c r="AB662" i="22"/>
  <c r="AB661" i="22"/>
  <c r="AB660" i="22"/>
  <c r="AB659" i="22"/>
  <c r="AB658" i="22"/>
  <c r="AC658" i="22" s="1"/>
  <c r="AE657" i="22"/>
  <c r="AC657" i="22"/>
  <c r="AA657" i="22"/>
  <c r="AE656" i="22"/>
  <c r="J656" i="22"/>
  <c r="AB655" i="22"/>
  <c r="AC655" i="22" s="1"/>
  <c r="AB654" i="22"/>
  <c r="AB653" i="22"/>
  <c r="AC653" i="22" s="1"/>
  <c r="AB652" i="22"/>
  <c r="AC652" i="22" s="1"/>
  <c r="AC650" i="22"/>
  <c r="AB650" i="22" s="1"/>
  <c r="AB649" i="22"/>
  <c r="AB648" i="22"/>
  <c r="AB647" i="22"/>
  <c r="AE647" i="22" s="1"/>
  <c r="AB646" i="22"/>
  <c r="AB645" i="22"/>
  <c r="AE644" i="22"/>
  <c r="AC644" i="22"/>
  <c r="AA644" i="22"/>
  <c r="J644" i="22"/>
  <c r="AE643" i="22"/>
  <c r="AE642" i="22"/>
  <c r="AE641" i="22"/>
  <c r="AC640" i="22"/>
  <c r="AB640" i="22" s="1"/>
  <c r="AB639" i="22"/>
  <c r="AE639" i="22" s="1"/>
  <c r="AE638" i="22"/>
  <c r="AE637" i="22"/>
  <c r="AB636" i="22"/>
  <c r="AB635" i="22"/>
  <c r="AE635" i="22" s="1"/>
  <c r="AE634" i="22"/>
  <c r="AB633" i="22"/>
  <c r="AE633" i="22" s="1"/>
  <c r="AC632" i="22"/>
  <c r="AB632" i="22" s="1"/>
  <c r="AE632" i="22" s="1"/>
  <c r="AB631" i="22"/>
  <c r="AB630" i="22"/>
  <c r="AB629" i="22"/>
  <c r="AC629" i="22" s="1"/>
  <c r="AB628" i="22"/>
  <c r="AB627" i="22"/>
  <c r="AE627" i="22" s="1"/>
  <c r="AC626" i="22"/>
  <c r="AB626" i="22" s="1"/>
  <c r="AE625" i="22"/>
  <c r="AB624" i="22"/>
  <c r="AE623" i="22"/>
  <c r="AC623" i="22"/>
  <c r="AB623" i="22" s="1"/>
  <c r="AA623" i="22"/>
  <c r="AB622" i="22"/>
  <c r="AE622" i="22" s="1"/>
  <c r="AB621" i="22"/>
  <c r="AB620" i="22"/>
  <c r="AE620" i="22" s="1"/>
  <c r="AB619" i="22"/>
  <c r="AC619" i="22" s="1"/>
  <c r="AE618" i="22"/>
  <c r="AC618" i="22"/>
  <c r="AB618" i="22" s="1"/>
  <c r="AA618" i="22"/>
  <c r="AE617" i="22"/>
  <c r="AC617" i="22"/>
  <c r="AB617" i="22" s="1"/>
  <c r="AB616" i="22"/>
  <c r="AE616" i="22" s="1"/>
  <c r="AE615" i="22"/>
  <c r="AA615" i="22"/>
  <c r="AE614" i="22"/>
  <c r="AB614" i="22"/>
  <c r="AA614" i="22"/>
  <c r="AE613" i="22"/>
  <c r="AB612" i="22"/>
  <c r="AC612" i="22" s="1"/>
  <c r="AB611" i="22"/>
  <c r="AC611" i="22" s="1"/>
  <c r="AE610" i="22"/>
  <c r="AE609" i="22"/>
  <c r="J609" i="22"/>
  <c r="AE608" i="22"/>
  <c r="J608" i="22"/>
  <c r="AB607" i="22"/>
  <c r="AE606" i="22"/>
  <c r="J606" i="22"/>
  <c r="AB605" i="22"/>
  <c r="AE605" i="22" s="1"/>
  <c r="AB604" i="22"/>
  <c r="AE603" i="22"/>
  <c r="AE602" i="22"/>
  <c r="AB601" i="22"/>
  <c r="AE601" i="22" s="1"/>
  <c r="AB600" i="22"/>
  <c r="AE600" i="22" s="1"/>
  <c r="AE599" i="22"/>
  <c r="AB598" i="22"/>
  <c r="AB597" i="22"/>
  <c r="AE596" i="22"/>
  <c r="AC596" i="22"/>
  <c r="AA596" i="22"/>
  <c r="J596" i="22"/>
  <c r="AE595" i="22"/>
  <c r="AC595" i="22"/>
  <c r="AA595" i="22"/>
  <c r="J595" i="22"/>
  <c r="AC593" i="22"/>
  <c r="AB593" i="22" s="1"/>
  <c r="AA593" i="22" s="1"/>
  <c r="AB592" i="22"/>
  <c r="AE592" i="22" s="1"/>
  <c r="AB591" i="22"/>
  <c r="AC591" i="22" s="1"/>
  <c r="AE590" i="22"/>
  <c r="AB589" i="22"/>
  <c r="AE589" i="22" s="1"/>
  <c r="AE588" i="22"/>
  <c r="AE587" i="22"/>
  <c r="AA587" i="22"/>
  <c r="I587" i="22"/>
  <c r="J587" i="22" s="1"/>
  <c r="AE586" i="22"/>
  <c r="AA586" i="22"/>
  <c r="I586" i="22"/>
  <c r="J586" i="22" s="1"/>
  <c r="AE585" i="22"/>
  <c r="AA585" i="22"/>
  <c r="I585" i="22"/>
  <c r="J585" i="22" s="1"/>
  <c r="AE584" i="22"/>
  <c r="AA584" i="22"/>
  <c r="I584" i="22"/>
  <c r="J584" i="22" s="1"/>
  <c r="AB583" i="22"/>
  <c r="AE582" i="22"/>
  <c r="AB581" i="22"/>
  <c r="AB580" i="22"/>
  <c r="AE580" i="22" s="1"/>
  <c r="AB579" i="22"/>
  <c r="AE579" i="22" s="1"/>
  <c r="AE578" i="22"/>
  <c r="AB578" i="22"/>
  <c r="AA578" i="22"/>
  <c r="AB577" i="22"/>
  <c r="AE577" i="22" s="1"/>
  <c r="AB576" i="22"/>
  <c r="AE576" i="22" s="1"/>
  <c r="AB575" i="22"/>
  <c r="AE575" i="22" s="1"/>
  <c r="AB574" i="22"/>
  <c r="AE574" i="22" s="1"/>
  <c r="AB573" i="22"/>
  <c r="AB572" i="22"/>
  <c r="AB571" i="22"/>
  <c r="AE571" i="22" s="1"/>
  <c r="AB570" i="22"/>
  <c r="AE570" i="22" s="1"/>
  <c r="AB569" i="22"/>
  <c r="AE569" i="22" s="1"/>
  <c r="AB568" i="22"/>
  <c r="AE568" i="22" s="1"/>
  <c r="AB567" i="22"/>
  <c r="AE567" i="22" s="1"/>
  <c r="AB566" i="22"/>
  <c r="AE566" i="22" s="1"/>
  <c r="AB565" i="22"/>
  <c r="AB564" i="22"/>
  <c r="AE564" i="22" s="1"/>
  <c r="AC563" i="22"/>
  <c r="AB563" i="22" s="1"/>
  <c r="AE563" i="22" s="1"/>
  <c r="AA563" i="22"/>
  <c r="AB561" i="22"/>
  <c r="AE561" i="22" s="1"/>
  <c r="AE560" i="22"/>
  <c r="AC560" i="22"/>
  <c r="AB560" i="22" s="1"/>
  <c r="AB559" i="22"/>
  <c r="AE559" i="22" s="1"/>
  <c r="AB558" i="22"/>
  <c r="AE558" i="22" s="1"/>
  <c r="AB557" i="22"/>
  <c r="AC557" i="22" s="1"/>
  <c r="AB556" i="22"/>
  <c r="AC556" i="22" s="1"/>
  <c r="AB555" i="22"/>
  <c r="AB554" i="22"/>
  <c r="AB553" i="22"/>
  <c r="AC553" i="22" s="1"/>
  <c r="AB552" i="22"/>
  <c r="AC552" i="22" s="1"/>
  <c r="AB551" i="22"/>
  <c r="AB550" i="22"/>
  <c r="AC550" i="22" s="1"/>
  <c r="AB549" i="22"/>
  <c r="AC549" i="22" s="1"/>
  <c r="AB548" i="22"/>
  <c r="AC548" i="22" s="1"/>
  <c r="AB547" i="22"/>
  <c r="J547" i="22"/>
  <c r="AB546" i="22"/>
  <c r="AE545" i="22"/>
  <c r="AE544" i="22"/>
  <c r="AB544" i="22"/>
  <c r="AA544" i="22"/>
  <c r="AB543" i="22"/>
  <c r="AA543" i="22" s="1"/>
  <c r="AB542" i="22"/>
  <c r="AC542" i="22" s="1"/>
  <c r="AB541" i="22"/>
  <c r="AC541" i="22" s="1"/>
  <c r="AB540" i="22"/>
  <c r="AB539" i="22"/>
  <c r="AC539" i="22" s="1"/>
  <c r="AB538" i="22"/>
  <c r="AA538" i="22" s="1"/>
  <c r="AE537" i="22"/>
  <c r="AB536" i="22"/>
  <c r="AB535" i="22"/>
  <c r="AB534" i="22"/>
  <c r="AB533" i="22"/>
  <c r="AB532" i="22"/>
  <c r="AE532" i="22" s="1"/>
  <c r="AB531" i="22"/>
  <c r="AB530" i="22"/>
  <c r="AC530" i="22" s="1"/>
  <c r="AA529" i="22"/>
  <c r="AB529" i="22" s="1"/>
  <c r="AB528" i="22"/>
  <c r="AE528" i="22" s="1"/>
  <c r="AC527" i="22"/>
  <c r="AB526" i="22"/>
  <c r="AB525" i="22"/>
  <c r="AE525" i="22" s="1"/>
  <c r="AE524" i="22"/>
  <c r="AC524" i="22"/>
  <c r="AA524" i="22"/>
  <c r="AB523" i="22"/>
  <c r="J523" i="22"/>
  <c r="AB522" i="22"/>
  <c r="J522" i="22"/>
  <c r="AB521" i="22"/>
  <c r="AE521" i="22" s="1"/>
  <c r="AB520" i="22"/>
  <c r="AE520" i="22" s="1"/>
  <c r="AE519" i="22"/>
  <c r="AE518" i="22"/>
  <c r="AE517" i="22"/>
  <c r="AA517" i="22"/>
  <c r="AC516" i="22"/>
  <c r="AB516" i="22" s="1"/>
  <c r="AE516" i="22" s="1"/>
  <c r="AE515" i="22"/>
  <c r="AA514" i="22"/>
  <c r="AB514" i="22" s="1"/>
  <c r="AE514" i="22" s="1"/>
  <c r="AC513" i="22"/>
  <c r="AB513" i="22" s="1"/>
  <c r="AE513" i="22" s="1"/>
  <c r="AB512" i="22"/>
  <c r="AC512" i="22" s="1"/>
  <c r="AB511" i="22"/>
  <c r="AC511" i="22" s="1"/>
  <c r="AD509" i="22"/>
  <c r="AE509" i="22" s="1"/>
  <c r="AC509" i="22"/>
  <c r="AB509" i="22" s="1"/>
  <c r="AE508" i="22"/>
  <c r="AA508" i="22"/>
  <c r="AB507" i="22"/>
  <c r="AC507" i="22" s="1"/>
  <c r="AC506" i="22"/>
  <c r="AB505" i="22"/>
  <c r="AC505" i="22" s="1"/>
  <c r="AB504" i="22"/>
  <c r="AB503" i="22"/>
  <c r="AC503" i="22" s="1"/>
  <c r="AC502" i="22"/>
  <c r="AB502" i="22" s="1"/>
  <c r="AE502" i="22" s="1"/>
  <c r="AB501" i="22"/>
  <c r="AC501" i="22" s="1"/>
  <c r="AB500" i="22"/>
  <c r="AC500" i="22" s="1"/>
  <c r="AB499" i="22"/>
  <c r="AC499" i="22" s="1"/>
  <c r="AB498" i="22"/>
  <c r="AC498" i="22" s="1"/>
  <c r="AB497" i="22"/>
  <c r="AC497" i="22" s="1"/>
  <c r="AB496" i="22"/>
  <c r="AC496" i="22" s="1"/>
  <c r="AB495" i="22"/>
  <c r="AC495" i="22" s="1"/>
  <c r="AB494" i="22"/>
  <c r="AC494" i="22" s="1"/>
  <c r="AC492" i="22"/>
  <c r="AB492" i="22"/>
  <c r="AB491" i="22"/>
  <c r="AE491" i="22" s="1"/>
  <c r="AE490" i="22"/>
  <c r="AE489" i="22"/>
  <c r="AC488" i="22"/>
  <c r="AB488" i="22" s="1"/>
  <c r="AE488" i="22" s="1"/>
  <c r="AC487" i="22"/>
  <c r="AB487" i="22" s="1"/>
  <c r="AE487" i="22" s="1"/>
  <c r="AB486" i="22"/>
  <c r="AE486" i="22" s="1"/>
  <c r="AE485" i="22"/>
  <c r="AB484" i="22"/>
  <c r="AE484" i="22" s="1"/>
  <c r="AB483" i="22"/>
  <c r="AE483" i="22" s="1"/>
  <c r="AB482" i="22"/>
  <c r="AC482" i="22" s="1"/>
  <c r="AE481" i="22"/>
  <c r="AE480" i="22"/>
  <c r="AB479" i="22"/>
  <c r="AE478" i="22"/>
  <c r="AE477" i="22"/>
  <c r="AC477" i="22"/>
  <c r="AB477" i="22" s="1"/>
  <c r="AE476" i="22"/>
  <c r="AA475" i="22"/>
  <c r="AB475" i="22" s="1"/>
  <c r="AC475" i="22" s="1"/>
  <c r="AB474" i="22"/>
  <c r="AC474" i="22" s="1"/>
  <c r="AE472" i="22"/>
  <c r="AB471" i="22"/>
  <c r="AE471" i="22" s="1"/>
  <c r="AB470" i="22"/>
  <c r="AE470" i="22" s="1"/>
  <c r="AB469" i="22"/>
  <c r="AE469" i="22" s="1"/>
  <c r="AB468" i="22"/>
  <c r="AE468" i="22" s="1"/>
  <c r="AB467" i="22"/>
  <c r="AE467" i="22" s="1"/>
  <c r="AE466" i="22"/>
  <c r="AB465" i="22"/>
  <c r="AE465" i="22" s="1"/>
  <c r="AB464" i="22"/>
  <c r="AE464" i="22" s="1"/>
  <c r="AE463" i="22"/>
  <c r="AB462" i="22"/>
  <c r="AC462" i="22" s="1"/>
  <c r="AC461" i="22"/>
  <c r="AB460" i="22"/>
  <c r="AC460" i="22" s="1"/>
  <c r="AB459" i="22"/>
  <c r="AC459" i="22" s="1"/>
  <c r="AE458" i="22"/>
  <c r="AE457" i="22"/>
  <c r="AB457" i="22"/>
  <c r="AD456" i="22"/>
  <c r="AE456" i="22" s="1"/>
  <c r="AC456" i="22"/>
  <c r="AB456" i="22" s="1"/>
  <c r="AB455" i="22"/>
  <c r="AE455" i="22" s="1"/>
  <c r="AB454" i="22"/>
  <c r="AE454" i="22" s="1"/>
  <c r="AB453" i="22"/>
  <c r="AE453" i="22" s="1"/>
  <c r="AE452" i="22"/>
  <c r="AB451" i="22"/>
  <c r="AC451" i="22" s="1"/>
  <c r="AC450" i="22"/>
  <c r="AB450" i="22" s="1"/>
  <c r="AE450" i="22" s="1"/>
  <c r="AB449" i="22"/>
  <c r="AE449" i="22" s="1"/>
  <c r="AE448" i="22"/>
  <c r="AE447" i="22"/>
  <c r="AB446" i="22"/>
  <c r="AE446" i="22" s="1"/>
  <c r="AB445" i="22"/>
  <c r="AE445" i="22" s="1"/>
  <c r="AC444" i="22"/>
  <c r="AB444" i="22" s="1"/>
  <c r="AE444" i="22" s="1"/>
  <c r="AB443" i="22"/>
  <c r="AE443" i="22" s="1"/>
  <c r="AB442" i="22"/>
  <c r="AC442" i="22" s="1"/>
  <c r="AC441" i="22"/>
  <c r="AB441" i="22" s="1"/>
  <c r="AE441" i="22" s="1"/>
  <c r="AB439" i="22"/>
  <c r="AC439" i="22" s="1"/>
  <c r="AB438" i="22"/>
  <c r="AC438" i="22" s="1"/>
  <c r="AB437" i="22"/>
  <c r="AC437" i="22" s="1"/>
  <c r="AE436" i="22"/>
  <c r="AB435" i="22"/>
  <c r="AE435" i="22" s="1"/>
  <c r="AB434" i="22"/>
  <c r="AE434" i="22" s="1"/>
  <c r="AE433" i="22"/>
  <c r="AE432" i="22"/>
  <c r="AC431" i="22"/>
  <c r="AB431" i="22" s="1"/>
  <c r="AE431" i="22" s="1"/>
  <c r="AB429" i="22"/>
  <c r="AC429" i="22" s="1"/>
  <c r="AB428" i="22"/>
  <c r="AC428" i="22" s="1"/>
  <c r="AE427" i="22"/>
  <c r="AE426" i="22"/>
  <c r="AE425" i="22"/>
  <c r="AB424" i="22"/>
  <c r="AC424" i="22" s="1"/>
  <c r="AB423" i="22"/>
  <c r="AC423" i="22" s="1"/>
  <c r="AB422" i="22"/>
  <c r="AC422" i="22" s="1"/>
  <c r="AB421" i="22"/>
  <c r="AC421" i="22" s="1"/>
  <c r="AC420" i="22"/>
  <c r="AB420" i="22" s="1"/>
  <c r="AA420" i="22" s="1"/>
  <c r="AB419" i="22"/>
  <c r="AE419" i="22" s="1"/>
  <c r="AB418" i="22"/>
  <c r="AC418" i="22" s="1"/>
  <c r="AB417" i="22"/>
  <c r="AE417" i="22" s="1"/>
  <c r="AE416" i="22"/>
  <c r="AE415" i="22"/>
  <c r="AE414" i="22"/>
  <c r="AA414" i="22"/>
  <c r="AE413" i="22"/>
  <c r="AE412" i="22"/>
  <c r="AE411" i="22"/>
  <c r="AE410" i="22"/>
  <c r="AE409" i="22"/>
  <c r="AE408" i="22"/>
  <c r="AA408" i="22"/>
  <c r="AE407" i="22"/>
  <c r="AA407" i="22"/>
  <c r="AC406" i="22"/>
  <c r="AB406" i="22" s="1"/>
  <c r="AA406" i="22" s="1"/>
  <c r="AB403" i="22"/>
  <c r="AC403" i="22" s="1"/>
  <c r="AB402" i="22"/>
  <c r="AC402" i="22" s="1"/>
  <c r="AB401" i="22"/>
  <c r="AC401" i="22" s="1"/>
  <c r="AB400" i="22"/>
  <c r="AC400" i="22" s="1"/>
  <c r="AB399" i="22"/>
  <c r="AC399" i="22" s="1"/>
  <c r="AE398" i="22"/>
  <c r="AE397" i="22"/>
  <c r="AB395" i="22"/>
  <c r="AE395" i="22" s="1"/>
  <c r="AB394" i="22"/>
  <c r="AE394" i="22" s="1"/>
  <c r="AC393" i="22"/>
  <c r="AB393" i="22" s="1"/>
  <c r="AA393" i="22" s="1"/>
  <c r="AE392" i="22"/>
  <c r="AC392" i="22"/>
  <c r="AC1786" i="22" s="1"/>
  <c r="AB1786" i="22" s="1"/>
  <c r="AE391" i="22"/>
  <c r="AE390" i="22"/>
  <c r="AB389" i="22"/>
  <c r="AC389" i="22" s="1"/>
  <c r="AB388" i="22"/>
  <c r="AE388" i="22" s="1"/>
  <c r="AE387" i="22"/>
  <c r="AE386" i="22"/>
  <c r="AE385" i="22"/>
  <c r="AE384" i="22"/>
  <c r="AB384" i="22"/>
  <c r="AC384" i="22" s="1"/>
  <c r="AE383" i="22"/>
  <c r="AE382" i="22"/>
  <c r="AE381" i="22"/>
  <c r="AE380" i="22"/>
  <c r="AB379" i="22"/>
  <c r="AE379" i="22" s="1"/>
  <c r="AE378" i="22"/>
  <c r="AB377" i="22"/>
  <c r="AE377" i="22" s="1"/>
  <c r="AB376" i="22"/>
  <c r="AE376" i="22" s="1"/>
  <c r="AE374" i="22"/>
  <c r="AB373" i="22"/>
  <c r="AC373" i="22" s="1"/>
  <c r="AB372" i="22"/>
  <c r="AC372" i="22" s="1"/>
  <c r="AB371" i="22"/>
  <c r="AC371" i="22" s="1"/>
  <c r="AB370" i="22"/>
  <c r="AC370" i="22" s="1"/>
  <c r="AB369" i="22"/>
  <c r="AC369" i="22" s="1"/>
  <c r="AE368" i="22"/>
  <c r="AE367" i="22"/>
  <c r="AE366" i="22"/>
  <c r="AA366" i="22"/>
  <c r="AB365" i="22"/>
  <c r="AC365" i="22" s="1"/>
  <c r="AB364" i="22"/>
  <c r="AC364" i="22" s="1"/>
  <c r="AE363" i="22"/>
  <c r="AA363" i="22"/>
  <c r="AE362" i="22"/>
  <c r="AA362" i="22"/>
  <c r="AB361" i="22"/>
  <c r="AC361" i="22" s="1"/>
  <c r="AB360" i="22"/>
  <c r="AC360" i="22" s="1"/>
  <c r="AB359" i="22"/>
  <c r="AC359" i="22" s="1"/>
  <c r="AE358" i="22"/>
  <c r="AE357" i="22"/>
  <c r="AA357" i="22"/>
  <c r="AB356" i="22"/>
  <c r="AE356" i="22" s="1"/>
  <c r="AB355" i="22"/>
  <c r="AE355" i="22" s="1"/>
  <c r="AE354" i="22"/>
  <c r="AA354" i="22"/>
  <c r="AE353" i="22"/>
  <c r="AA353" i="22"/>
  <c r="AB352" i="22"/>
  <c r="AE352" i="22" s="1"/>
  <c r="AE351" i="22"/>
  <c r="AE350" i="22"/>
  <c r="AE349" i="22"/>
  <c r="AA349" i="22"/>
  <c r="AB348" i="22"/>
  <c r="AE348" i="22" s="1"/>
  <c r="AE347" i="22"/>
  <c r="AA347" i="22"/>
  <c r="AE346" i="22"/>
  <c r="AA346" i="22"/>
  <c r="AB345" i="22"/>
  <c r="AE345" i="22" s="1"/>
  <c r="AE344" i="22"/>
  <c r="AA344" i="22"/>
  <c r="AE343" i="22"/>
  <c r="AE342" i="22"/>
  <c r="AB341" i="22"/>
  <c r="AE341" i="22" s="1"/>
  <c r="AB340" i="22"/>
  <c r="AE340" i="22" s="1"/>
  <c r="AE339" i="22"/>
  <c r="AA339" i="22"/>
  <c r="AB338" i="22"/>
  <c r="AE338" i="22" s="1"/>
  <c r="AE337" i="22"/>
  <c r="AE336" i="22"/>
  <c r="AE335" i="22"/>
  <c r="AE334" i="22"/>
  <c r="AE333" i="22"/>
  <c r="AA333" i="22"/>
  <c r="AE332" i="22"/>
  <c r="AA332" i="22"/>
  <c r="AE331" i="22"/>
  <c r="AA331" i="22"/>
  <c r="AB330" i="22"/>
  <c r="AE330" i="22" s="1"/>
  <c r="AE329" i="22"/>
  <c r="AE328" i="22"/>
  <c r="AB327" i="22"/>
  <c r="AE327" i="22" s="1"/>
  <c r="AB326" i="22"/>
  <c r="AE326" i="22" s="1"/>
  <c r="AE325" i="22"/>
  <c r="AA325" i="22"/>
  <c r="AB324" i="22"/>
  <c r="AE324" i="22" s="1"/>
  <c r="AE323" i="22"/>
  <c r="AE322" i="22"/>
  <c r="AE321" i="22"/>
  <c r="AB320" i="22"/>
  <c r="AC320" i="22" s="1"/>
  <c r="AE319" i="22"/>
  <c r="AA319" i="22"/>
  <c r="AB318" i="22"/>
  <c r="AC318" i="22" s="1"/>
  <c r="AB317" i="22"/>
  <c r="AC317" i="22" s="1"/>
  <c r="AB316" i="22"/>
  <c r="AC316" i="22" s="1"/>
  <c r="AB315" i="22"/>
  <c r="AC315" i="22" s="1"/>
  <c r="AE314" i="22"/>
  <c r="AA314" i="22"/>
  <c r="AE313" i="22"/>
  <c r="AB312" i="22"/>
  <c r="AE312" i="22" s="1"/>
  <c r="AE311" i="22"/>
  <c r="AB310" i="22"/>
  <c r="AC310" i="22" s="1"/>
  <c r="AE309" i="22"/>
  <c r="AA309" i="22"/>
  <c r="AB308" i="22"/>
  <c r="AC308" i="22" s="1"/>
  <c r="AB307" i="22"/>
  <c r="AC307" i="22" s="1"/>
  <c r="AB306" i="22"/>
  <c r="AC306" i="22" s="1"/>
  <c r="AB305" i="22"/>
  <c r="AC305" i="22" s="1"/>
  <c r="AB304" i="22"/>
  <c r="AC304" i="22" s="1"/>
  <c r="AB303" i="22"/>
  <c r="AC303" i="22" s="1"/>
  <c r="AB302" i="22"/>
  <c r="AC302" i="22" s="1"/>
  <c r="AE301" i="22"/>
  <c r="AA301" i="22"/>
  <c r="AC299" i="22"/>
  <c r="AB299" i="22" s="1"/>
  <c r="AB298" i="22"/>
  <c r="AE298" i="22" s="1"/>
  <c r="AB297" i="22"/>
  <c r="AE297" i="22" s="1"/>
  <c r="AB296" i="22"/>
  <c r="AE296" i="22" s="1"/>
  <c r="AC295" i="22"/>
  <c r="AB295" i="22" s="1"/>
  <c r="AA295" i="22" s="1"/>
  <c r="AB294" i="22"/>
  <c r="AE294" i="22" s="1"/>
  <c r="AE293" i="22"/>
  <c r="AE292" i="22"/>
  <c r="AA292" i="22"/>
  <c r="AB291" i="22"/>
  <c r="AE291" i="22" s="1"/>
  <c r="AB290" i="22"/>
  <c r="AE290" i="22" s="1"/>
  <c r="AB289" i="22"/>
  <c r="AE289" i="22" s="1"/>
  <c r="AE288" i="22"/>
  <c r="AB287" i="22"/>
  <c r="AE287" i="22" s="1"/>
  <c r="AB286" i="22"/>
  <c r="AE286" i="22" s="1"/>
  <c r="AE285" i="22"/>
  <c r="AB284" i="22"/>
  <c r="AE284" i="22" s="1"/>
  <c r="AB283" i="22"/>
  <c r="AE283" i="22" s="1"/>
  <c r="AB282" i="22"/>
  <c r="AE282" i="22" s="1"/>
  <c r="AB281" i="22"/>
  <c r="AE281" i="22" s="1"/>
  <c r="AB280" i="22"/>
  <c r="AE280" i="22" s="1"/>
  <c r="AB279" i="22"/>
  <c r="AE279" i="22" s="1"/>
  <c r="AB278" i="22"/>
  <c r="AE278" i="22" s="1"/>
  <c r="AC277" i="22"/>
  <c r="AB277" i="22" s="1"/>
  <c r="AA276" i="22"/>
  <c r="AB276" i="22" s="1"/>
  <c r="AE276" i="22" s="1"/>
  <c r="AA275" i="22"/>
  <c r="AB275" i="22" s="1"/>
  <c r="AC275" i="22" s="1"/>
  <c r="AB274" i="22"/>
  <c r="AE274" i="22" s="1"/>
  <c r="AB273" i="22"/>
  <c r="AE273" i="22" s="1"/>
  <c r="AB272" i="22"/>
  <c r="AE272" i="22" s="1"/>
  <c r="AE271" i="22"/>
  <c r="AB270" i="22"/>
  <c r="AE270" i="22" s="1"/>
  <c r="AB269" i="22"/>
  <c r="AE269" i="22" s="1"/>
  <c r="AB268" i="22"/>
  <c r="AE268" i="22" s="1"/>
  <c r="AB267" i="22"/>
  <c r="AE267" i="22" s="1"/>
  <c r="AB266" i="22"/>
  <c r="AE266" i="22" s="1"/>
  <c r="AE265" i="22"/>
  <c r="AB264" i="22"/>
  <c r="AE264" i="22" s="1"/>
  <c r="AB263" i="22"/>
  <c r="AE263" i="22" s="1"/>
  <c r="AB262" i="22"/>
  <c r="AE262" i="22" s="1"/>
  <c r="AB261" i="22"/>
  <c r="AE261" i="22" s="1"/>
  <c r="AB260" i="22"/>
  <c r="AE260" i="22" s="1"/>
  <c r="AE259" i="22"/>
  <c r="AB258" i="22"/>
  <c r="AE258" i="22" s="1"/>
  <c r="AB257" i="22"/>
  <c r="AE257" i="22" s="1"/>
  <c r="AB256" i="22"/>
  <c r="AE256" i="22" s="1"/>
  <c r="AC255" i="22"/>
  <c r="AB255" i="22" s="1"/>
  <c r="AE255" i="22" s="1"/>
  <c r="AB254" i="22"/>
  <c r="AE254" i="22" s="1"/>
  <c r="AB253" i="22"/>
  <c r="AE253" i="22" s="1"/>
  <c r="AE252" i="22"/>
  <c r="AE251" i="22"/>
  <c r="AE250" i="22"/>
  <c r="AB249" i="22"/>
  <c r="AE249" i="22" s="1"/>
  <c r="AB248" i="22"/>
  <c r="AE248" i="22" s="1"/>
  <c r="AB247" i="22"/>
  <c r="AE247" i="22" s="1"/>
  <c r="AB246" i="22"/>
  <c r="AE246" i="22" s="1"/>
  <c r="AE245" i="22"/>
  <c r="AB244" i="22"/>
  <c r="AE244" i="22" s="1"/>
  <c r="AB243" i="22"/>
  <c r="AE243" i="22" s="1"/>
  <c r="AB242" i="22"/>
  <c r="AE242" i="22" s="1"/>
  <c r="AE241" i="22"/>
  <c r="AE240" i="22"/>
  <c r="AB239" i="22"/>
  <c r="AE239" i="22" s="1"/>
  <c r="AE238" i="22"/>
  <c r="AA238" i="22"/>
  <c r="AB237" i="22"/>
  <c r="AE237" i="22" s="1"/>
  <c r="AE236" i="22"/>
  <c r="AB235" i="22"/>
  <c r="AE235" i="22" s="1"/>
  <c r="AE234" i="22"/>
  <c r="AA234" i="22"/>
  <c r="AE233" i="22"/>
  <c r="AE232" i="22"/>
  <c r="AB231" i="22"/>
  <c r="AE231" i="22" s="1"/>
  <c r="AE230" i="22"/>
  <c r="AB229" i="22"/>
  <c r="AE229" i="22" s="1"/>
  <c r="AE228" i="22"/>
  <c r="AE227" i="22"/>
  <c r="AE225" i="22"/>
  <c r="AB224" i="22"/>
  <c r="AE224" i="22" s="1"/>
  <c r="AE223" i="22"/>
  <c r="AB222" i="22"/>
  <c r="AC222" i="22" s="1"/>
  <c r="AE221" i="22"/>
  <c r="AA221" i="22"/>
  <c r="AB220" i="22"/>
  <c r="AC220" i="22" s="1"/>
  <c r="AE219" i="22"/>
  <c r="AA219" i="22"/>
  <c r="AE218" i="22"/>
  <c r="AE217" i="22"/>
  <c r="AB216" i="22"/>
  <c r="AC216" i="22" s="1"/>
  <c r="AB215" i="22"/>
  <c r="AC215" i="22" s="1"/>
  <c r="AE214" i="22"/>
  <c r="AE213" i="22"/>
  <c r="AA213" i="22"/>
  <c r="AB212" i="22"/>
  <c r="AE212" i="22" s="1"/>
  <c r="AB211" i="22"/>
  <c r="AE211" i="22" s="1"/>
  <c r="AE210" i="22"/>
  <c r="AB209" i="22"/>
  <c r="AE209" i="22" s="1"/>
  <c r="AC208" i="22"/>
  <c r="AB208" i="22" s="1"/>
  <c r="AE208" i="22" s="1"/>
  <c r="AE207" i="22"/>
  <c r="AB206" i="22"/>
  <c r="AC206" i="22" s="1"/>
  <c r="AB205" i="22"/>
  <c r="AC205" i="22" s="1"/>
  <c r="AC204" i="22"/>
  <c r="AB204" i="22" s="1"/>
  <c r="AB203" i="22"/>
  <c r="AA203" i="22" s="1"/>
  <c r="AB202" i="22"/>
  <c r="AA202" i="22" s="1"/>
  <c r="AE201" i="22"/>
  <c r="AE200" i="22"/>
  <c r="AA200" i="22"/>
  <c r="AB199" i="22"/>
  <c r="AE199" i="22" s="1"/>
  <c r="AE198" i="22"/>
  <c r="AE197" i="22"/>
  <c r="AE196" i="22"/>
  <c r="AE195" i="22"/>
  <c r="AE194" i="22"/>
  <c r="AB193" i="22"/>
  <c r="AE193" i="22" s="1"/>
  <c r="AE192" i="22"/>
  <c r="AA192" i="22"/>
  <c r="AB191" i="22"/>
  <c r="AE191" i="22" s="1"/>
  <c r="AE190" i="22"/>
  <c r="AE189" i="22"/>
  <c r="AA189" i="22"/>
  <c r="AE188" i="22"/>
  <c r="AA188" i="22"/>
  <c r="AE187" i="22"/>
  <c r="AB186" i="22"/>
  <c r="AE186" i="22" s="1"/>
  <c r="AE185" i="22"/>
  <c r="AA185" i="22"/>
  <c r="AB184" i="22"/>
  <c r="AE184" i="22" s="1"/>
  <c r="AB183" i="22"/>
  <c r="AE183" i="22" s="1"/>
  <c r="AE182" i="22"/>
  <c r="AB181" i="22"/>
  <c r="AE181" i="22" s="1"/>
  <c r="AE180" i="22"/>
  <c r="AA180" i="22"/>
  <c r="AB179" i="22"/>
  <c r="AE179" i="22" s="1"/>
  <c r="AE178" i="22"/>
  <c r="AE177" i="22"/>
  <c r="AA177" i="22"/>
  <c r="AB176" i="22"/>
  <c r="AE176" i="22" s="1"/>
  <c r="AB175" i="22"/>
  <c r="AE175" i="22" s="1"/>
  <c r="AE174" i="22"/>
  <c r="AA174" i="22"/>
  <c r="AE173" i="22"/>
  <c r="AA173" i="22"/>
  <c r="AB172" i="22"/>
  <c r="AE172" i="22" s="1"/>
  <c r="AE171" i="22"/>
  <c r="AA171" i="22"/>
  <c r="AE170" i="22"/>
  <c r="AA170" i="22"/>
  <c r="AB169" i="22"/>
  <c r="AE169" i="22" s="1"/>
  <c r="AB168" i="22"/>
  <c r="AE168" i="22" s="1"/>
  <c r="AB167" i="22"/>
  <c r="AE167" i="22" s="1"/>
  <c r="AB166" i="22"/>
  <c r="AE166" i="22" s="1"/>
  <c r="AB165" i="22"/>
  <c r="AE165" i="22" s="1"/>
  <c r="AE164" i="22"/>
  <c r="AB163" i="22"/>
  <c r="AE163" i="22" s="1"/>
  <c r="AE162" i="22"/>
  <c r="AA162" i="22"/>
  <c r="AE161" i="22"/>
  <c r="AA161" i="22"/>
  <c r="AE160" i="22"/>
  <c r="AB159" i="22"/>
  <c r="AE159" i="22" s="1"/>
  <c r="AE158" i="22"/>
  <c r="AB157" i="22"/>
  <c r="AE157" i="22" s="1"/>
  <c r="AE156" i="22"/>
  <c r="AA156" i="22"/>
  <c r="AE155" i="22"/>
  <c r="AB154" i="22"/>
  <c r="AE154" i="22" s="1"/>
  <c r="AE153" i="22"/>
  <c r="AA153" i="22"/>
  <c r="AE152" i="22"/>
  <c r="AA152" i="22"/>
  <c r="AE151" i="22"/>
  <c r="AE150" i="22"/>
  <c r="AE149" i="22"/>
  <c r="AE148" i="22"/>
  <c r="AE147" i="22"/>
  <c r="AE146" i="22"/>
  <c r="AA146" i="22"/>
  <c r="AB145" i="22"/>
  <c r="AE145" i="22" s="1"/>
  <c r="AB144" i="22"/>
  <c r="AE144" i="22" s="1"/>
  <c r="AE143" i="22"/>
  <c r="AA143" i="22"/>
  <c r="AE142" i="22"/>
  <c r="AB141" i="22"/>
  <c r="AC141" i="22" s="1"/>
  <c r="AB140" i="22"/>
  <c r="AC140" i="22" s="1"/>
  <c r="AB139" i="22"/>
  <c r="AC139" i="22" s="1"/>
  <c r="AB138" i="22"/>
  <c r="AC138" i="22" s="1"/>
  <c r="AE137" i="22"/>
  <c r="AA137" i="22"/>
  <c r="AE136" i="22"/>
  <c r="AB135" i="22"/>
  <c r="AE135" i="22" s="1"/>
  <c r="AB134" i="22"/>
  <c r="AE134" i="22" s="1"/>
  <c r="AE133" i="22"/>
  <c r="AE132" i="22"/>
  <c r="AE131" i="22"/>
  <c r="AE130" i="22"/>
  <c r="AB129" i="22"/>
  <c r="AE129" i="22" s="1"/>
  <c r="AE128" i="22"/>
  <c r="AB127" i="22"/>
  <c r="AE127" i="22" s="1"/>
  <c r="AE126" i="22"/>
  <c r="AE125" i="22"/>
  <c r="AE124" i="22"/>
  <c r="AE123" i="22"/>
  <c r="AE122" i="22"/>
  <c r="AE121" i="22"/>
  <c r="AE120" i="22"/>
  <c r="AE119" i="22"/>
  <c r="AE118" i="22"/>
  <c r="AA118" i="22"/>
  <c r="AB117" i="22"/>
  <c r="AE117" i="22" s="1"/>
  <c r="AE116" i="22"/>
  <c r="AA116" i="22"/>
  <c r="AB115" i="22"/>
  <c r="AE115" i="22" s="1"/>
  <c r="AE114" i="22"/>
  <c r="AE113" i="22"/>
  <c r="AE112" i="22"/>
  <c r="AA112" i="22"/>
  <c r="AE111" i="22"/>
  <c r="AE110" i="22"/>
  <c r="AB109" i="22"/>
  <c r="AE109" i="22" s="1"/>
  <c r="AE108" i="22"/>
  <c r="AA108" i="22"/>
  <c r="AE107" i="22"/>
  <c r="AA107" i="22"/>
  <c r="AE106" i="22"/>
  <c r="AA106" i="22"/>
  <c r="AB105" i="22"/>
  <c r="AE105" i="22" s="1"/>
  <c r="AB104" i="22"/>
  <c r="AE104" i="22" s="1"/>
  <c r="AB103" i="22"/>
  <c r="AE103" i="22" s="1"/>
  <c r="AB102" i="22"/>
  <c r="AE102" i="22" s="1"/>
  <c r="AB101" i="22"/>
  <c r="AE101" i="22" s="1"/>
  <c r="AB100" i="22"/>
  <c r="AE100" i="22" s="1"/>
  <c r="AE99" i="22"/>
  <c r="AB98" i="22"/>
  <c r="AE98" i="22" s="1"/>
  <c r="AE97" i="22"/>
  <c r="AA97" i="22"/>
  <c r="AE96" i="22"/>
  <c r="AA96" i="22"/>
  <c r="AE95" i="22"/>
  <c r="AA95" i="22"/>
  <c r="AE94" i="22"/>
  <c r="AA94" i="22"/>
  <c r="AE93" i="22"/>
  <c r="AA93" i="22"/>
  <c r="AE92" i="22"/>
  <c r="AA92" i="22"/>
  <c r="AB91" i="22"/>
  <c r="AE91" i="22" s="1"/>
  <c r="AC90" i="22"/>
  <c r="AB90" i="22" s="1"/>
  <c r="AA90" i="22" s="1"/>
  <c r="AE89" i="22"/>
  <c r="AC89" i="22"/>
  <c r="AB89" i="22" s="1"/>
  <c r="AE88" i="22"/>
  <c r="AB88" i="22"/>
  <c r="AE87" i="22"/>
  <c r="AE86" i="22"/>
  <c r="AA86" i="22"/>
  <c r="AE85" i="22"/>
  <c r="AA85" i="22"/>
  <c r="AE84" i="22"/>
  <c r="AA84" i="22"/>
  <c r="AE83" i="22"/>
  <c r="AA83" i="22"/>
  <c r="AB82" i="22"/>
  <c r="AE82" i="22" s="1"/>
  <c r="AE81" i="22"/>
  <c r="AA81" i="22"/>
  <c r="AE80" i="22"/>
  <c r="AA80" i="22"/>
  <c r="AB79" i="22"/>
  <c r="AE79" i="22" s="1"/>
  <c r="AE78" i="22"/>
  <c r="AA78" i="22"/>
  <c r="AE77" i="22"/>
  <c r="AA77" i="22"/>
  <c r="AB76" i="22"/>
  <c r="AE76" i="22" s="1"/>
  <c r="AB75" i="22"/>
  <c r="AE75" i="22" s="1"/>
  <c r="AB74" i="22"/>
  <c r="AE74" i="22" s="1"/>
  <c r="AB73" i="22"/>
  <c r="AE73" i="22" s="1"/>
  <c r="AB72" i="22"/>
  <c r="AE72" i="22" s="1"/>
  <c r="AB71" i="22"/>
  <c r="AE71" i="22" s="1"/>
  <c r="AE70" i="22"/>
  <c r="AE69" i="22"/>
  <c r="AB68" i="22"/>
  <c r="AE68" i="22" s="1"/>
  <c r="AB67" i="22"/>
  <c r="AE67" i="22" s="1"/>
  <c r="AE66" i="22"/>
  <c r="AE65" i="22"/>
  <c r="AE64" i="22"/>
  <c r="AE63" i="22"/>
  <c r="AA63" i="22"/>
  <c r="AB62" i="22"/>
  <c r="AE62" i="22" s="1"/>
  <c r="AB61" i="22"/>
  <c r="AE61" i="22" s="1"/>
  <c r="AE60" i="22"/>
  <c r="AE59" i="22"/>
  <c r="AA59" i="22"/>
  <c r="AB58" i="22"/>
  <c r="AE58" i="22" s="1"/>
  <c r="AB57" i="22"/>
  <c r="AE57" i="22" s="1"/>
  <c r="AE56" i="22"/>
  <c r="AB55" i="22"/>
  <c r="AE55" i="22" s="1"/>
  <c r="AE54" i="22"/>
  <c r="AE53" i="22"/>
  <c r="AA53" i="22"/>
  <c r="AB52" i="22"/>
  <c r="AE52" i="22" s="1"/>
  <c r="AB51" i="22"/>
  <c r="AE51" i="22" s="1"/>
  <c r="AB50" i="22"/>
  <c r="AE50" i="22" s="1"/>
  <c r="AE49" i="22"/>
  <c r="AA49" i="22"/>
  <c r="AE48" i="22"/>
  <c r="AA48" i="22"/>
  <c r="AB47" i="22"/>
  <c r="AE47" i="22" s="1"/>
  <c r="AB46" i="22"/>
  <c r="AE46" i="22" s="1"/>
  <c r="AE45" i="22"/>
  <c r="AB44" i="22"/>
  <c r="AE44" i="22" s="1"/>
  <c r="AB43" i="22"/>
  <c r="AC43" i="22" s="1"/>
  <c r="AE42" i="22"/>
  <c r="AA42" i="22"/>
  <c r="AE41" i="22"/>
  <c r="AB40" i="22"/>
  <c r="AC40" i="22" s="1"/>
  <c r="AE39" i="22"/>
  <c r="AB38" i="22"/>
  <c r="AE38" i="22" s="1"/>
  <c r="AB37" i="22"/>
  <c r="AE37" i="22" s="1"/>
  <c r="AB36" i="22"/>
  <c r="AE36" i="22" s="1"/>
  <c r="AB35" i="22"/>
  <c r="AE35" i="22" s="1"/>
  <c r="AE34" i="22"/>
  <c r="AA34" i="22"/>
  <c r="AE33" i="22"/>
  <c r="AA33" i="22"/>
  <c r="AE32" i="22"/>
  <c r="AA32" i="22"/>
  <c r="AE31" i="22"/>
  <c r="AE30" i="22"/>
  <c r="AE29" i="22"/>
  <c r="AB28" i="22"/>
  <c r="AE28" i="22" s="1"/>
  <c r="AB27" i="22"/>
  <c r="AE27" i="22" s="1"/>
  <c r="AB26" i="22"/>
  <c r="AB25" i="22"/>
  <c r="AE25" i="22" s="1"/>
  <c r="AB24" i="22"/>
  <c r="AE24" i="22" s="1"/>
  <c r="AB23" i="22"/>
  <c r="AE22" i="22"/>
  <c r="AB21" i="22"/>
  <c r="AE21" i="22" s="1"/>
  <c r="AC20" i="22"/>
  <c r="AB20" i="22" s="1"/>
  <c r="AB19" i="22"/>
  <c r="AC19" i="22" s="1"/>
  <c r="AE18" i="22"/>
  <c r="AB16" i="22"/>
  <c r="AE16" i="22" s="1"/>
  <c r="AB15" i="22"/>
  <c r="AE15" i="22" s="1"/>
  <c r="AC14" i="22"/>
  <c r="AB14" i="22" s="1"/>
  <c r="AC13" i="22"/>
  <c r="AB13" i="22" s="1"/>
  <c r="AB12" i="22"/>
  <c r="AC12" i="22" s="1"/>
  <c r="AB11" i="22"/>
  <c r="AC11" i="22" s="1"/>
  <c r="AB10" i="22"/>
  <c r="AC10" i="22" s="1"/>
  <c r="AE8" i="22"/>
  <c r="AE7" i="22"/>
  <c r="AB6" i="22"/>
  <c r="AE6" i="22" s="1"/>
  <c r="AB5" i="22"/>
  <c r="AC5" i="22" s="1"/>
  <c r="AB4" i="22"/>
  <c r="AC4" i="22" s="1"/>
  <c r="AB3" i="22"/>
  <c r="AE2" i="22"/>
  <c r="AB2" i="22"/>
  <c r="AE1975" i="22" l="1"/>
  <c r="AE1976" i="22"/>
  <c r="AE1977" i="22"/>
  <c r="AE1738" i="22"/>
  <c r="AC1738" i="22"/>
  <c r="AA1738" i="22"/>
  <c r="AE1978" i="22"/>
  <c r="AC1262" i="22"/>
  <c r="AE1288" i="22"/>
  <c r="AA1288" i="22"/>
  <c r="AA1175" i="22"/>
  <c r="AE1608" i="22"/>
  <c r="AC1608" i="22"/>
  <c r="AA226" i="22"/>
  <c r="AA673" i="22"/>
  <c r="AB1432" i="22"/>
  <c r="AE1432" i="22" s="1"/>
  <c r="AB1050" i="22"/>
  <c r="AE1050" i="22" s="1"/>
  <c r="AB1111" i="22"/>
  <c r="AE1111" i="22" s="1"/>
  <c r="AE1613" i="22"/>
  <c r="AE1627" i="22"/>
  <c r="AB1985" i="22"/>
  <c r="AE1985" i="22" s="1"/>
  <c r="AB1849" i="22"/>
  <c r="AE1849" i="22" s="1"/>
  <c r="AB923" i="22"/>
  <c r="AE923" i="22" s="1"/>
  <c r="AE1616" i="22"/>
  <c r="AB925" i="22"/>
  <c r="AB958" i="22"/>
  <c r="AC958" i="22" s="1"/>
  <c r="AE1617" i="22"/>
  <c r="AE1630" i="22"/>
  <c r="AA1190" i="22"/>
  <c r="AB1190" i="22" s="1"/>
  <c r="AE1618" i="22"/>
  <c r="AE1631" i="22"/>
  <c r="AB957" i="22"/>
  <c r="AE957" i="22" s="1"/>
  <c r="AC244" i="22"/>
  <c r="AC239" i="22"/>
  <c r="AC246" i="22"/>
  <c r="AC237" i="22"/>
  <c r="AC242" i="22"/>
  <c r="AC243" i="22"/>
  <c r="AC166" i="22"/>
  <c r="AC446" i="22"/>
  <c r="AC355" i="22"/>
  <c r="AC466" i="22"/>
  <c r="AC257" i="22"/>
  <c r="AC340" i="22"/>
  <c r="AC38" i="22"/>
  <c r="AC51" i="22"/>
  <c r="AC191" i="22"/>
  <c r="AC268" i="22"/>
  <c r="AC395" i="22"/>
  <c r="AC471" i="22"/>
  <c r="AC115" i="22"/>
  <c r="AA1937" i="22"/>
  <c r="AC47" i="22"/>
  <c r="AC74" i="22"/>
  <c r="AC98" i="22"/>
  <c r="AC247" i="22"/>
  <c r="AC272" i="22"/>
  <c r="AC297" i="22"/>
  <c r="AC490" i="22"/>
  <c r="AC951" i="22"/>
  <c r="AC82" i="22"/>
  <c r="AC103" i="22"/>
  <c r="AC134" i="22"/>
  <c r="AC281" i="22"/>
  <c r="AC743" i="22"/>
  <c r="AC209" i="22"/>
  <c r="AC35" i="22"/>
  <c r="AC52" i="22"/>
  <c r="AC57" i="22"/>
  <c r="AC61" i="22"/>
  <c r="AC75" i="22"/>
  <c r="AC79" i="22"/>
  <c r="AC91" i="22"/>
  <c r="AC100" i="22"/>
  <c r="AC104" i="22"/>
  <c r="AC135" i="22"/>
  <c r="AC144" i="22"/>
  <c r="AC157" i="22"/>
  <c r="AC167" i="22"/>
  <c r="AC175" i="22"/>
  <c r="AC179" i="22"/>
  <c r="AC183" i="22"/>
  <c r="AC229" i="22"/>
  <c r="AC248" i="22"/>
  <c r="AC253" i="22"/>
  <c r="AC258" i="22"/>
  <c r="AC264" i="22"/>
  <c r="AC269" i="22"/>
  <c r="AC273" i="22"/>
  <c r="AC278" i="22"/>
  <c r="AC282" i="22"/>
  <c r="AC286" i="22"/>
  <c r="AC298" i="22"/>
  <c r="AC312" i="22"/>
  <c r="AC326" i="22"/>
  <c r="AC341" i="22"/>
  <c r="AC352" i="22"/>
  <c r="AC356" i="22"/>
  <c r="AC379" i="22"/>
  <c r="AC447" i="22"/>
  <c r="AC467" i="22"/>
  <c r="AC491" i="22"/>
  <c r="AC518" i="22"/>
  <c r="AC558" i="22"/>
  <c r="AC938" i="22"/>
  <c r="AC1756" i="22"/>
  <c r="AC1771" i="22"/>
  <c r="AC27" i="22"/>
  <c r="AC36" i="22"/>
  <c r="AC44" i="22"/>
  <c r="AC58" i="22"/>
  <c r="AC62" i="22"/>
  <c r="AC67" i="22"/>
  <c r="AC71" i="22"/>
  <c r="AC76" i="22"/>
  <c r="AC101" i="22"/>
  <c r="AC105" i="22"/>
  <c r="AC109" i="22"/>
  <c r="AC117" i="22"/>
  <c r="AC145" i="22"/>
  <c r="AC154" i="22"/>
  <c r="AC158" i="22"/>
  <c r="AC163" i="22"/>
  <c r="AC168" i="22"/>
  <c r="AC172" i="22"/>
  <c r="AC176" i="22"/>
  <c r="AC184" i="22"/>
  <c r="AC193" i="22"/>
  <c r="AC212" i="22"/>
  <c r="AC224" i="22"/>
  <c r="AC249" i="22"/>
  <c r="AC254" i="22"/>
  <c r="AC260" i="22"/>
  <c r="AC266" i="22"/>
  <c r="AC270" i="22"/>
  <c r="AC274" i="22"/>
  <c r="AC279" i="22"/>
  <c r="AC283" i="22"/>
  <c r="AC287" i="22"/>
  <c r="AC294" i="22"/>
  <c r="AC327" i="22"/>
  <c r="AC338" i="22"/>
  <c r="AC348" i="22"/>
  <c r="AC376" i="22"/>
  <c r="AC391" i="22"/>
  <c r="AC448" i="22"/>
  <c r="AC453" i="22"/>
  <c r="AC469" i="22"/>
  <c r="AC514" i="22"/>
  <c r="AC559" i="22"/>
  <c r="AC943" i="22"/>
  <c r="AC1232" i="22"/>
  <c r="AC1324" i="22"/>
  <c r="AC1369" i="22"/>
  <c r="AC1760" i="22"/>
  <c r="AC1775" i="22"/>
  <c r="AC186" i="22"/>
  <c r="AC262" i="22"/>
  <c r="AC276" i="22"/>
  <c r="AC1676" i="22"/>
  <c r="AC28" i="22"/>
  <c r="AC37" i="22"/>
  <c r="AC50" i="22"/>
  <c r="AC55" i="22"/>
  <c r="AC68" i="22"/>
  <c r="AC73" i="22"/>
  <c r="AC102" i="22"/>
  <c r="AC129" i="22"/>
  <c r="AC159" i="22"/>
  <c r="AC169" i="22"/>
  <c r="AC181" i="22"/>
  <c r="AC199" i="22"/>
  <c r="AC231" i="22"/>
  <c r="AC235" i="22"/>
  <c r="AC256" i="22"/>
  <c r="AC261" i="22"/>
  <c r="AC267" i="22"/>
  <c r="AC280" i="22"/>
  <c r="AC284" i="22"/>
  <c r="AC289" i="22"/>
  <c r="AC296" i="22"/>
  <c r="AC324" i="22"/>
  <c r="AC330" i="22"/>
  <c r="AC345" i="22"/>
  <c r="AC377" i="22"/>
  <c r="AC394" i="22"/>
  <c r="AC419" i="22"/>
  <c r="AC433" i="22"/>
  <c r="AC445" i="22"/>
  <c r="AC449" i="22"/>
  <c r="AC454" i="22"/>
  <c r="AC465" i="22"/>
  <c r="AC470" i="22"/>
  <c r="AC574" i="22"/>
  <c r="AC1233" i="22"/>
  <c r="AC1371" i="22"/>
  <c r="AC484" i="22"/>
  <c r="AC937" i="22"/>
  <c r="AC942" i="22"/>
  <c r="AC966" i="22"/>
  <c r="AC1031" i="22"/>
  <c r="AC1066" i="22"/>
  <c r="AC1323" i="22"/>
  <c r="AC1331" i="22"/>
  <c r="AC1681" i="22"/>
  <c r="AC1774" i="22"/>
  <c r="AC1857" i="22"/>
  <c r="AC1874" i="22"/>
  <c r="AC1878" i="22"/>
  <c r="AC1882" i="22"/>
  <c r="AC1886" i="22"/>
  <c r="AC1890" i="22"/>
  <c r="AC1875" i="22"/>
  <c r="AC1879" i="22"/>
  <c r="AC1883" i="22"/>
  <c r="AC1887" i="22"/>
  <c r="AC1332" i="22"/>
  <c r="AC72" i="22"/>
  <c r="AC211" i="22"/>
  <c r="AC601" i="22"/>
  <c r="AC939" i="22"/>
  <c r="AC969" i="22"/>
  <c r="AC979" i="22"/>
  <c r="AC1361" i="22"/>
  <c r="AC1666" i="22"/>
  <c r="AC1679" i="22"/>
  <c r="AC1753" i="22"/>
  <c r="AC1757" i="22"/>
  <c r="AC1761" i="22"/>
  <c r="AC1864" i="22"/>
  <c r="AC1870" i="22"/>
  <c r="AC1876" i="22"/>
  <c r="AC1880" i="22"/>
  <c r="AC1884" i="22"/>
  <c r="AC1888" i="22"/>
  <c r="AC435" i="22"/>
  <c r="AC483" i="22"/>
  <c r="AC936" i="22"/>
  <c r="AC940" i="22"/>
  <c r="AC945" i="22"/>
  <c r="AC959" i="22"/>
  <c r="AC1030" i="22"/>
  <c r="AC1065" i="22"/>
  <c r="AC1634" i="22"/>
  <c r="AC1754" i="22"/>
  <c r="AC1758" i="22"/>
  <c r="AC1762" i="22"/>
  <c r="AC1773" i="22"/>
  <c r="AC1816" i="22"/>
  <c r="AC1822" i="22"/>
  <c r="AC1826" i="22"/>
  <c r="AC1873" i="22"/>
  <c r="AC1877" i="22"/>
  <c r="AC1881" i="22"/>
  <c r="AC1885" i="22"/>
  <c r="AC1889" i="22"/>
  <c r="AC1996" i="22"/>
  <c r="AE17" i="22"/>
  <c r="AC17" i="22"/>
  <c r="AC809" i="22"/>
  <c r="AC21" i="22"/>
  <c r="AE26" i="22"/>
  <c r="AC26" i="22"/>
  <c r="AC22" i="22"/>
  <c r="AE23" i="22"/>
  <c r="AC23" i="22"/>
  <c r="AC15" i="22"/>
  <c r="AC24" i="22"/>
  <c r="AC25" i="22"/>
  <c r="AC6" i="22"/>
  <c r="AA532" i="22"/>
  <c r="AE1923" i="22"/>
  <c r="AA1925" i="22"/>
  <c r="AE12" i="22"/>
  <c r="AE767" i="22"/>
  <c r="AA1055" i="22"/>
  <c r="AE1953" i="22"/>
  <c r="AA690" i="22"/>
  <c r="AE956" i="22"/>
  <c r="AE1047" i="22"/>
  <c r="AE1057" i="22"/>
  <c r="AA1305" i="22"/>
  <c r="AE303" i="22"/>
  <c r="AC569" i="22"/>
  <c r="AE370" i="22"/>
  <c r="AE552" i="22"/>
  <c r="AA1403" i="22"/>
  <c r="AC1442" i="22"/>
  <c r="AA1707" i="22"/>
  <c r="AA513" i="22"/>
  <c r="AA965" i="22"/>
  <c r="AA1750" i="22"/>
  <c r="AE206" i="22"/>
  <c r="AC291" i="22"/>
  <c r="AC633" i="22"/>
  <c r="AC703" i="22"/>
  <c r="AE955" i="22"/>
  <c r="AE1046" i="22"/>
  <c r="AC1476" i="22"/>
  <c r="AE1575" i="22"/>
  <c r="AC1696" i="22"/>
  <c r="AE1979" i="22"/>
  <c r="AE141" i="22"/>
  <c r="AC290" i="22"/>
  <c r="AE541" i="22"/>
  <c r="AE922" i="22"/>
  <c r="AE954" i="22"/>
  <c r="AE1049" i="22"/>
  <c r="AE1061" i="22"/>
  <c r="AE1340" i="22"/>
  <c r="AE1405" i="22"/>
  <c r="AC1505" i="22"/>
  <c r="AC1512" i="22"/>
  <c r="AC1563" i="22"/>
  <c r="AE4" i="22"/>
  <c r="AE140" i="22"/>
  <c r="AA450" i="22"/>
  <c r="AC525" i="22"/>
  <c r="AE611" i="22"/>
  <c r="AA746" i="22"/>
  <c r="AE1048" i="22"/>
  <c r="AE1060" i="22"/>
  <c r="AC1184" i="22"/>
  <c r="J1453" i="22"/>
  <c r="AC1456" i="22"/>
  <c r="AE1523" i="22"/>
  <c r="AE1734" i="22"/>
  <c r="AC1358" i="22"/>
  <c r="AE1358" i="22"/>
  <c r="AA1987" i="22"/>
  <c r="AE1987" i="22"/>
  <c r="AE19" i="22"/>
  <c r="AE222" i="22"/>
  <c r="AE460" i="22"/>
  <c r="AE522" i="22"/>
  <c r="AC522" i="22"/>
  <c r="AE649" i="22"/>
  <c r="AC649" i="22"/>
  <c r="AE944" i="22"/>
  <c r="AE1592" i="22"/>
  <c r="AA1592" i="22"/>
  <c r="AE1597" i="22"/>
  <c r="AC1597" i="22"/>
  <c r="AA1709" i="22"/>
  <c r="AE1709" i="22"/>
  <c r="AC554" i="22"/>
  <c r="AE554" i="22"/>
  <c r="AE1003" i="22"/>
  <c r="AC1003" i="22"/>
  <c r="AC1176" i="22"/>
  <c r="AE1176" i="22"/>
  <c r="AE619" i="22"/>
  <c r="AE1069" i="22"/>
  <c r="AC1069" i="22"/>
  <c r="AE1302" i="22"/>
  <c r="AC1302" i="22"/>
  <c r="AC1574" i="22"/>
  <c r="AE1574" i="22"/>
  <c r="AA1610" i="22"/>
  <c r="AE1610" i="22"/>
  <c r="AE1804" i="22"/>
  <c r="AA1804" i="22"/>
  <c r="AE43" i="22"/>
  <c r="AE389" i="22"/>
  <c r="AE573" i="22"/>
  <c r="AC573" i="22"/>
  <c r="AE947" i="22"/>
  <c r="AE1330" i="22"/>
  <c r="AC1522" i="22"/>
  <c r="AE1522" i="22"/>
  <c r="AE361" i="22"/>
  <c r="AE418" i="22"/>
  <c r="AE687" i="22"/>
  <c r="AC687" i="22"/>
  <c r="AC755" i="22"/>
  <c r="AE755" i="22"/>
  <c r="AC921" i="22"/>
  <c r="AE921" i="22"/>
  <c r="AE1291" i="22"/>
  <c r="AA1291" i="22"/>
  <c r="AE1337" i="22"/>
  <c r="AA1428" i="22"/>
  <c r="AE1428" i="22"/>
  <c r="AE1485" i="22"/>
  <c r="AC1485" i="22"/>
  <c r="AE1562" i="22"/>
  <c r="AC1562" i="22"/>
  <c r="AE1582" i="22"/>
  <c r="AA1582" i="22"/>
  <c r="AE1964" i="22"/>
  <c r="AA1964" i="22"/>
  <c r="AC1970" i="22"/>
  <c r="AE1970" i="22"/>
  <c r="AE548" i="22"/>
  <c r="AE556" i="22"/>
  <c r="AE591" i="22"/>
  <c r="AC600" i="22"/>
  <c r="AE759" i="22"/>
  <c r="AE796" i="22"/>
  <c r="AC1073" i="22"/>
  <c r="AC1116" i="22"/>
  <c r="AE1159" i="22"/>
  <c r="AE1200" i="22"/>
  <c r="AC1204" i="22"/>
  <c r="AE1207" i="22"/>
  <c r="AE1259" i="22"/>
  <c r="AE1281" i="22"/>
  <c r="AE1357" i="22"/>
  <c r="AE1425" i="22"/>
  <c r="AE1430" i="22"/>
  <c r="AC1484" i="22"/>
  <c r="AE1519" i="22"/>
  <c r="AE1649" i="22"/>
  <c r="AE1656" i="22"/>
  <c r="AE1980" i="22"/>
  <c r="AC577" i="22"/>
  <c r="AE655" i="22"/>
  <c r="AE10" i="22"/>
  <c r="AE202" i="22"/>
  <c r="AE215" i="22"/>
  <c r="AE360" i="22"/>
  <c r="AE365" i="22"/>
  <c r="AE373" i="22"/>
  <c r="AC528" i="22"/>
  <c r="AE550" i="22"/>
  <c r="AC616" i="22"/>
  <c r="AE710" i="22"/>
  <c r="AE763" i="22"/>
  <c r="AE906" i="22"/>
  <c r="AE1039" i="22"/>
  <c r="AE1141" i="22"/>
  <c r="AC1235" i="22"/>
  <c r="AE1307" i="22"/>
  <c r="AC1356" i="22"/>
  <c r="AE1367" i="22"/>
  <c r="AE1424" i="22"/>
  <c r="AC1443" i="22"/>
  <c r="AC1459" i="22"/>
  <c r="AE1469" i="22"/>
  <c r="AC1477" i="22"/>
  <c r="AE1518" i="22"/>
  <c r="AE1578" i="22"/>
  <c r="AC1642" i="22"/>
  <c r="AE1728" i="22"/>
  <c r="AE1896" i="22"/>
  <c r="AC1946" i="22"/>
  <c r="AE1947" i="22"/>
  <c r="AE527" i="22"/>
  <c r="AC707" i="22"/>
  <c r="AE707" i="22"/>
  <c r="AC1038" i="22"/>
  <c r="AE1038" i="22"/>
  <c r="AE11" i="22"/>
  <c r="AE40" i="22"/>
  <c r="AE139" i="22"/>
  <c r="AE205" i="22"/>
  <c r="AE220" i="22"/>
  <c r="AE307" i="22"/>
  <c r="AE359" i="22"/>
  <c r="AE364" i="22"/>
  <c r="AE428" i="22"/>
  <c r="AE430" i="22"/>
  <c r="AE503" i="22"/>
  <c r="AE505" i="22"/>
  <c r="AE523" i="22"/>
  <c r="AC523" i="22"/>
  <c r="AC540" i="22"/>
  <c r="AE540" i="22"/>
  <c r="AC551" i="22"/>
  <c r="AE551" i="22"/>
  <c r="AC607" i="22"/>
  <c r="AE607" i="22"/>
  <c r="AE726" i="22"/>
  <c r="AA726" i="22"/>
  <c r="AC766" i="22"/>
  <c r="AE766" i="22"/>
  <c r="AE904" i="22"/>
  <c r="AC904" i="22"/>
  <c r="AC1008" i="22"/>
  <c r="AE1008" i="22"/>
  <c r="AE1022" i="22"/>
  <c r="AC1022" i="22"/>
  <c r="AE371" i="22"/>
  <c r="AE732" i="22"/>
  <c r="AA732" i="22"/>
  <c r="AC736" i="22"/>
  <c r="AE736" i="22"/>
  <c r="AE1234" i="22"/>
  <c r="AC1234" i="22"/>
  <c r="AE1577" i="22"/>
  <c r="AE138" i="22"/>
  <c r="AE216" i="22"/>
  <c r="AE462" i="22"/>
  <c r="AC468" i="22"/>
  <c r="AC486" i="22"/>
  <c r="AE572" i="22"/>
  <c r="AC572" i="22"/>
  <c r="AE686" i="22"/>
  <c r="AC686" i="22"/>
  <c r="AE698" i="22"/>
  <c r="AC698" i="22"/>
  <c r="AC754" i="22"/>
  <c r="AE754" i="22"/>
  <c r="AE844" i="22"/>
  <c r="AC844" i="22"/>
  <c r="AE888" i="22"/>
  <c r="AC888" i="22"/>
  <c r="AE1068" i="22"/>
  <c r="AC1068" i="22"/>
  <c r="AE583" i="22"/>
  <c r="AC583" i="22"/>
  <c r="AC762" i="22"/>
  <c r="AE762" i="22"/>
  <c r="AE1247" i="22"/>
  <c r="AC1247" i="22"/>
  <c r="AE1640" i="22"/>
  <c r="AA1640" i="22"/>
  <c r="AC1727" i="22"/>
  <c r="AE1727" i="22"/>
  <c r="AA127" i="22"/>
  <c r="AE275" i="22"/>
  <c r="AE369" i="22"/>
  <c r="AE372" i="22"/>
  <c r="AC388" i="22"/>
  <c r="AE429" i="22"/>
  <c r="AE459" i="22"/>
  <c r="AE504" i="22"/>
  <c r="AC504" i="22"/>
  <c r="AC547" i="22"/>
  <c r="AE547" i="22"/>
  <c r="AC555" i="22"/>
  <c r="AE555" i="22"/>
  <c r="AC758" i="22"/>
  <c r="AE758" i="22"/>
  <c r="AE835" i="22"/>
  <c r="AC835" i="22"/>
  <c r="AC1041" i="22"/>
  <c r="AE1041" i="22"/>
  <c r="AE1072" i="22"/>
  <c r="AC1072" i="22"/>
  <c r="AE914" i="22"/>
  <c r="AE941" i="22"/>
  <c r="AC941" i="22"/>
  <c r="AE1106" i="22"/>
  <c r="AC1106" i="22"/>
  <c r="AE1181" i="22"/>
  <c r="AC1181" i="22"/>
  <c r="AE1363" i="22"/>
  <c r="AE1489" i="22"/>
  <c r="AC1489" i="22"/>
  <c r="AE1670" i="22"/>
  <c r="AC1685" i="22"/>
  <c r="AE1685" i="22"/>
  <c r="AE1695" i="22"/>
  <c r="AC1695" i="22"/>
  <c r="AE1752" i="22"/>
  <c r="AC1851" i="22"/>
  <c r="AE1851" i="22"/>
  <c r="AE539" i="22"/>
  <c r="AC683" i="22"/>
  <c r="AC694" i="22"/>
  <c r="AE695" i="22"/>
  <c r="AE757" i="22"/>
  <c r="AE761" i="22"/>
  <c r="AE765" i="22"/>
  <c r="AC798" i="22"/>
  <c r="AC799" i="22"/>
  <c r="AC800" i="22"/>
  <c r="AC803" i="22"/>
  <c r="AC804" i="22"/>
  <c r="AC805" i="22"/>
  <c r="AC806" i="22"/>
  <c r="AC813" i="22"/>
  <c r="AC834" i="22"/>
  <c r="AC848" i="22"/>
  <c r="AC849" i="22"/>
  <c r="AC850" i="22"/>
  <c r="AC851" i="22"/>
  <c r="AC852" i="22"/>
  <c r="AC883" i="22"/>
  <c r="AC924" i="22"/>
  <c r="AE978" i="22"/>
  <c r="AE1015" i="22"/>
  <c r="AC1015" i="22"/>
  <c r="AE1067" i="22"/>
  <c r="AC1071" i="22"/>
  <c r="AE1082" i="22"/>
  <c r="AE1087" i="22"/>
  <c r="AE1125" i="22"/>
  <c r="AC1261" i="22"/>
  <c r="AE1261" i="22"/>
  <c r="AE1326" i="22"/>
  <c r="AE1434" i="22"/>
  <c r="AC1434" i="22"/>
  <c r="AE1463" i="22"/>
  <c r="AA1463" i="22"/>
  <c r="AC1521" i="22"/>
  <c r="AE1521" i="22"/>
  <c r="AE1629" i="22"/>
  <c r="AA1629" i="22"/>
  <c r="AE1680" i="22"/>
  <c r="AE1708" i="22"/>
  <c r="AC1708" i="22"/>
  <c r="AC1735" i="22"/>
  <c r="AE1735" i="22"/>
  <c r="AE1803" i="22"/>
  <c r="AA1803" i="22"/>
  <c r="AE401" i="22"/>
  <c r="AE423" i="22"/>
  <c r="AE461" i="22"/>
  <c r="AE538" i="22"/>
  <c r="AE542" i="22"/>
  <c r="AE549" i="22"/>
  <c r="AE553" i="22"/>
  <c r="AE557" i="22"/>
  <c r="AC568" i="22"/>
  <c r="AC576" i="22"/>
  <c r="AC589" i="22"/>
  <c r="AC605" i="22"/>
  <c r="AE612" i="22"/>
  <c r="AC639" i="22"/>
  <c r="AE652" i="22"/>
  <c r="AC676" i="22"/>
  <c r="AC701" i="22"/>
  <c r="AC714" i="22"/>
  <c r="AE756" i="22"/>
  <c r="AE760" i="22"/>
  <c r="AE764" i="22"/>
  <c r="AE768" i="22"/>
  <c r="AC786" i="22"/>
  <c r="AE797" i="22"/>
  <c r="AC831" i="22"/>
  <c r="AE909" i="22"/>
  <c r="AE1011" i="22"/>
  <c r="AC1011" i="22"/>
  <c r="AC1042" i="22"/>
  <c r="AC1070" i="22"/>
  <c r="AC1075" i="22"/>
  <c r="AE1075" i="22"/>
  <c r="AC1158" i="22"/>
  <c r="AE1158" i="22"/>
  <c r="AE1335" i="22"/>
  <c r="AC1388" i="22"/>
  <c r="AE1388" i="22"/>
  <c r="AA1418" i="22"/>
  <c r="AE1418" i="22"/>
  <c r="AE1481" i="22"/>
  <c r="AC1481" i="22"/>
  <c r="AE1497" i="22"/>
  <c r="AC1497" i="22"/>
  <c r="AE1667" i="22"/>
  <c r="AE1702" i="22"/>
  <c r="AA1702" i="22"/>
  <c r="AC1704" i="22"/>
  <c r="AE1704" i="22"/>
  <c r="AE1850" i="22"/>
  <c r="AC1850" i="22"/>
  <c r="AE1969" i="22"/>
  <c r="AC1992" i="22"/>
  <c r="AC1993" i="22"/>
  <c r="AC1994" i="22"/>
  <c r="AC1995" i="22"/>
  <c r="AC1146" i="22"/>
  <c r="AC1147" i="22"/>
  <c r="AE1186" i="22"/>
  <c r="AC1239" i="22"/>
  <c r="AC1246" i="22"/>
  <c r="AC1249" i="22"/>
  <c r="AC1285" i="22"/>
  <c r="AC1315" i="22"/>
  <c r="AE1426" i="22"/>
  <c r="AC1460" i="22"/>
  <c r="AE1467" i="22"/>
  <c r="AC1480" i="22"/>
  <c r="AC1488" i="22"/>
  <c r="AC1516" i="22"/>
  <c r="AE1520" i="22"/>
  <c r="AE1576" i="22"/>
  <c r="AC1643" i="22"/>
  <c r="AE1651" i="22"/>
  <c r="AA1669" i="22"/>
  <c r="AC1732" i="22"/>
  <c r="AC1815" i="22"/>
  <c r="AC1891" i="22"/>
  <c r="AC1892" i="22"/>
  <c r="AC1893" i="22"/>
  <c r="AE1972" i="22"/>
  <c r="AE971" i="22"/>
  <c r="AE1007" i="22"/>
  <c r="AE1040" i="22"/>
  <c r="AC1105" i="22"/>
  <c r="AE1108" i="22"/>
  <c r="AE1124" i="22"/>
  <c r="AC1138" i="22"/>
  <c r="AC1210" i="22"/>
  <c r="AC1243" i="22"/>
  <c r="AC1265" i="22"/>
  <c r="AC1268" i="22"/>
  <c r="AE1277" i="22"/>
  <c r="AC1303" i="22"/>
  <c r="AE1314" i="22"/>
  <c r="AC1319" i="22"/>
  <c r="AC1350" i="22"/>
  <c r="AC1713" i="22"/>
  <c r="AC1777" i="22"/>
  <c r="AE1865" i="22"/>
  <c r="AE1971" i="22"/>
  <c r="AE1989" i="22"/>
  <c r="AE604" i="22"/>
  <c r="AC604" i="22"/>
  <c r="AE628" i="22"/>
  <c r="AC628" i="22"/>
  <c r="AE645" i="22"/>
  <c r="AC645" i="22"/>
  <c r="AC654" i="22"/>
  <c r="AE654" i="22"/>
  <c r="AE304" i="22"/>
  <c r="AE317" i="22"/>
  <c r="AE406" i="22"/>
  <c r="AC434" i="22"/>
  <c r="AC561" i="22"/>
  <c r="AC564" i="22"/>
  <c r="AC567" i="22"/>
  <c r="AC571" i="22"/>
  <c r="AC575" i="22"/>
  <c r="AC580" i="22"/>
  <c r="AE597" i="22"/>
  <c r="AC597" i="22"/>
  <c r="AC622" i="22"/>
  <c r="AE636" i="22"/>
  <c r="AC636" i="22"/>
  <c r="AE675" i="22"/>
  <c r="AC675" i="22"/>
  <c r="AE203" i="22"/>
  <c r="AE316" i="22"/>
  <c r="AE405" i="22"/>
  <c r="AE424" i="22"/>
  <c r="AE440" i="22"/>
  <c r="AC520" i="22"/>
  <c r="AC521" i="22"/>
  <c r="AE543" i="22"/>
  <c r="AC566" i="22"/>
  <c r="AC570" i="22"/>
  <c r="AC579" i="22"/>
  <c r="AC592" i="22"/>
  <c r="AE621" i="22"/>
  <c r="AC621" i="22"/>
  <c r="AE646" i="22"/>
  <c r="AC646" i="22"/>
  <c r="AE648" i="22"/>
  <c r="AC648" i="22"/>
  <c r="AE958" i="22"/>
  <c r="AA1359" i="22"/>
  <c r="AE1359" i="22"/>
  <c r="AE5" i="22"/>
  <c r="AE308" i="22"/>
  <c r="AE402" i="22"/>
  <c r="AE439" i="22"/>
  <c r="AC455" i="22"/>
  <c r="AE598" i="22"/>
  <c r="AC598" i="22"/>
  <c r="AE704" i="22"/>
  <c r="AC704" i="22"/>
  <c r="AE846" i="22"/>
  <c r="AC846" i="22"/>
  <c r="AE896" i="22"/>
  <c r="AA1097" i="22"/>
  <c r="AA1230" i="22"/>
  <c r="AE1240" i="22"/>
  <c r="AC1240" i="22"/>
  <c r="AE1278" i="22"/>
  <c r="AE1292" i="22"/>
  <c r="AA1292" i="22"/>
  <c r="AA1421" i="22"/>
  <c r="AE1422" i="22"/>
  <c r="AA1431" i="22"/>
  <c r="AE1431" i="22"/>
  <c r="AC1470" i="22"/>
  <c r="AE1470" i="22"/>
  <c r="AE1515" i="22"/>
  <c r="AC1515" i="22"/>
  <c r="AE1588" i="22"/>
  <c r="AC1588" i="22"/>
  <c r="AE1635" i="22"/>
  <c r="AE1637" i="22"/>
  <c r="AC1637" i="22"/>
  <c r="AC1653" i="22"/>
  <c r="AE1653" i="22"/>
  <c r="AA1904" i="22"/>
  <c r="AE1904" i="22"/>
  <c r="AA1910" i="22"/>
  <c r="AE1910" i="22"/>
  <c r="AA1919" i="22"/>
  <c r="AE1919" i="22"/>
  <c r="AE1931" i="22"/>
  <c r="AA1931" i="22"/>
  <c r="AA1941" i="22"/>
  <c r="AE1941" i="22"/>
  <c r="AE1956" i="22"/>
  <c r="AC1956" i="22"/>
  <c r="AE1958" i="22"/>
  <c r="AC1958" i="22"/>
  <c r="AE1960" i="22"/>
  <c r="AC1960" i="22"/>
  <c r="AE1962" i="22"/>
  <c r="AC1962" i="22"/>
  <c r="AC682" i="22"/>
  <c r="AC685" i="22"/>
  <c r="AE688" i="22"/>
  <c r="AC688" i="22"/>
  <c r="AE739" i="22"/>
  <c r="AE929" i="22"/>
  <c r="AE989" i="22"/>
  <c r="AC989" i="22"/>
  <c r="AE1236" i="22"/>
  <c r="AC1236" i="22"/>
  <c r="AE1284" i="22"/>
  <c r="AC1284" i="22"/>
  <c r="AA1427" i="22"/>
  <c r="AE1427" i="22"/>
  <c r="AC1466" i="22"/>
  <c r="AE1466" i="22"/>
  <c r="AA1472" i="22"/>
  <c r="AE1472" i="22"/>
  <c r="AA1583" i="22"/>
  <c r="AE1583" i="22"/>
  <c r="AE1625" i="22"/>
  <c r="AC1625" i="22"/>
  <c r="AC1711" i="22"/>
  <c r="AE1711" i="22"/>
  <c r="AE1763" i="22"/>
  <c r="AA1902" i="22"/>
  <c r="AE1902" i="22"/>
  <c r="AE1927" i="22"/>
  <c r="AA1927" i="22"/>
  <c r="AE1945" i="22"/>
  <c r="AC1945" i="22"/>
  <c r="AE1950" i="22"/>
  <c r="AC1950" i="22"/>
  <c r="AA1952" i="22"/>
  <c r="AE1952" i="22"/>
  <c r="AE709" i="22"/>
  <c r="AE742" i="22"/>
  <c r="AC830" i="22"/>
  <c r="AC833" i="22"/>
  <c r="AE836" i="22"/>
  <c r="AC836" i="22"/>
  <c r="AC869" i="22"/>
  <c r="AC901" i="22"/>
  <c r="AC902" i="22"/>
  <c r="AE908" i="22"/>
  <c r="AC931" i="22"/>
  <c r="AE983" i="22"/>
  <c r="AC983" i="22"/>
  <c r="AA1104" i="22"/>
  <c r="AE1104" i="22"/>
  <c r="AC1107" i="22"/>
  <c r="AE1110" i="22"/>
  <c r="AE1128" i="22"/>
  <c r="AA1132" i="22"/>
  <c r="AC1137" i="22"/>
  <c r="AE1145" i="22"/>
  <c r="AE1161" i="22"/>
  <c r="AC1183" i="22"/>
  <c r="AC1187" i="22"/>
  <c r="AC1188" i="22"/>
  <c r="AC1189" i="22"/>
  <c r="AC1192" i="22"/>
  <c r="AE1195" i="22"/>
  <c r="AC1195" i="22"/>
  <c r="AE1206" i="22"/>
  <c r="AC1242" i="22"/>
  <c r="AC1245" i="22"/>
  <c r="AE1248" i="22"/>
  <c r="AC1248" i="22"/>
  <c r="AE1260" i="22"/>
  <c r="AC1264" i="22"/>
  <c r="AA1271" i="22"/>
  <c r="AE1271" i="22"/>
  <c r="AE1280" i="22"/>
  <c r="AC1283" i="22"/>
  <c r="AE1293" i="22"/>
  <c r="AE1301" i="22"/>
  <c r="AC1301" i="22"/>
  <c r="AE1321" i="22"/>
  <c r="AE1325" i="22"/>
  <c r="AE1334" i="22"/>
  <c r="AC1362" i="22"/>
  <c r="AC1365" i="22"/>
  <c r="AC1386" i="22"/>
  <c r="AE1387" i="22"/>
  <c r="AC1394" i="22"/>
  <c r="AC1407" i="22"/>
  <c r="AA1423" i="22"/>
  <c r="AE1423" i="22"/>
  <c r="AC1433" i="22"/>
  <c r="AC1436" i="22"/>
  <c r="AC1458" i="22"/>
  <c r="AE1461" i="22"/>
  <c r="AC1461" i="22"/>
  <c r="AC1475" i="22"/>
  <c r="AC1479" i="22"/>
  <c r="AC1483" i="22"/>
  <c r="AC1487" i="22"/>
  <c r="AE1492" i="22"/>
  <c r="AE1496" i="22"/>
  <c r="AE1504" i="22"/>
  <c r="AC1504" i="22"/>
  <c r="AE1620" i="22"/>
  <c r="AE1633" i="22"/>
  <c r="AA1683" i="22"/>
  <c r="AE1683" i="22"/>
  <c r="AE1684" i="22"/>
  <c r="AE1694" i="22"/>
  <c r="AC1694" i="22"/>
  <c r="AC1703" i="22"/>
  <c r="AE1703" i="22"/>
  <c r="AC1726" i="22"/>
  <c r="AE1726" i="22"/>
  <c r="AE1751" i="22"/>
  <c r="AA1806" i="22"/>
  <c r="AE1806" i="22"/>
  <c r="AE1808" i="22"/>
  <c r="AC1808" i="22"/>
  <c r="AE1817" i="22"/>
  <c r="AC1817" i="22"/>
  <c r="AA1908" i="22"/>
  <c r="AE1908" i="22"/>
  <c r="AE1957" i="22"/>
  <c r="AC1957" i="22"/>
  <c r="AE1959" i="22"/>
  <c r="AC1959" i="22"/>
  <c r="AE1961" i="22"/>
  <c r="AA1991" i="22"/>
  <c r="AE1991" i="22"/>
  <c r="AC620" i="22"/>
  <c r="AC627" i="22"/>
  <c r="AC635" i="22"/>
  <c r="AC647" i="22"/>
  <c r="AE653" i="22"/>
  <c r="AC672" i="22"/>
  <c r="AA693" i="22"/>
  <c r="AC697" i="22"/>
  <c r="AC702" i="22"/>
  <c r="AC705" i="22"/>
  <c r="AE708" i="22"/>
  <c r="AA711" i="22"/>
  <c r="AE711" i="22"/>
  <c r="AE733" i="22"/>
  <c r="AE741" i="22"/>
  <c r="AC785" i="22"/>
  <c r="AE832" i="22"/>
  <c r="AC832" i="22"/>
  <c r="AE871" i="22"/>
  <c r="AC871" i="22"/>
  <c r="AE877" i="22"/>
  <c r="AC897" i="22"/>
  <c r="AE907" i="22"/>
  <c r="AA910" i="22"/>
  <c r="AE910" i="22"/>
  <c r="AE916" i="22"/>
  <c r="AC930" i="22"/>
  <c r="AE968" i="22"/>
  <c r="AE972" i="22"/>
  <c r="AE1009" i="22"/>
  <c r="AC1023" i="22"/>
  <c r="AE1033" i="22"/>
  <c r="AA1035" i="22"/>
  <c r="AA1095" i="22"/>
  <c r="AC1136" i="22"/>
  <c r="AC1140" i="22"/>
  <c r="AE1160" i="22"/>
  <c r="AE1175" i="22"/>
  <c r="AC1182" i="22"/>
  <c r="AE1191" i="22"/>
  <c r="AC1191" i="22"/>
  <c r="AC1208" i="22"/>
  <c r="AE1208" i="22"/>
  <c r="AE1218" i="22"/>
  <c r="AA1218" i="22"/>
  <c r="AC1238" i="22"/>
  <c r="AC1241" i="22"/>
  <c r="AE1244" i="22"/>
  <c r="AC1244" i="22"/>
  <c r="AC1263" i="22"/>
  <c r="AE1266" i="22"/>
  <c r="AC1266" i="22"/>
  <c r="AE1276" i="22"/>
  <c r="AE1279" i="22"/>
  <c r="AA1282" i="22"/>
  <c r="AE1282" i="22"/>
  <c r="AC1286" i="22"/>
  <c r="AE1364" i="22"/>
  <c r="AC1364" i="22"/>
  <c r="AE1384" i="22"/>
  <c r="AC1384" i="22"/>
  <c r="AE1429" i="22"/>
  <c r="AE1457" i="22"/>
  <c r="AC1457" i="22"/>
  <c r="AE1468" i="22"/>
  <c r="AE1471" i="22"/>
  <c r="AC1478" i="22"/>
  <c r="AC1482" i="22"/>
  <c r="AC1486" i="22"/>
  <c r="AC1495" i="22"/>
  <c r="AE1495" i="22"/>
  <c r="AE1626" i="22"/>
  <c r="AC1626" i="22"/>
  <c r="AE1731" i="22"/>
  <c r="AC1731" i="22"/>
  <c r="AE1742" i="22"/>
  <c r="AE1755" i="22"/>
  <c r="AE1772" i="22"/>
  <c r="AE1789" i="22"/>
  <c r="AC1789" i="22"/>
  <c r="AE1844" i="22"/>
  <c r="AC1844" i="22"/>
  <c r="AA1872" i="22"/>
  <c r="AE1872" i="22"/>
  <c r="AE1585" i="22"/>
  <c r="AE1636" i="22"/>
  <c r="AE1682" i="22"/>
  <c r="AE1759" i="22"/>
  <c r="AE1776" i="22"/>
  <c r="AE1783" i="22"/>
  <c r="AC1783" i="22"/>
  <c r="AE1825" i="22"/>
  <c r="AE1863" i="22"/>
  <c r="AA1871" i="22"/>
  <c r="AE1871" i="22"/>
  <c r="AE1942" i="22"/>
  <c r="AE1949" i="22"/>
  <c r="AC1949" i="22"/>
  <c r="AE1951" i="22"/>
  <c r="AE1737" i="22"/>
  <c r="AC1780" i="22"/>
  <c r="AC1791" i="22"/>
  <c r="AC1811" i="22"/>
  <c r="AC1819" i="22"/>
  <c r="AC1845" i="22"/>
  <c r="AC1846" i="22"/>
  <c r="AC1847" i="22"/>
  <c r="AC1848" i="22"/>
  <c r="AE1867" i="22"/>
  <c r="AE1899" i="22"/>
  <c r="AE1906" i="22"/>
  <c r="AE1915" i="22"/>
  <c r="AA1929" i="22"/>
  <c r="AC1944" i="22"/>
  <c r="AE1990" i="22"/>
  <c r="AC1506" i="22"/>
  <c r="AC1514" i="22"/>
  <c r="AC1619" i="22"/>
  <c r="AC1639" i="22"/>
  <c r="AE1652" i="22"/>
  <c r="AE1657" i="22"/>
  <c r="AC1697" i="22"/>
  <c r="AE1701" i="22"/>
  <c r="AE1710" i="22"/>
  <c r="AE1729" i="22"/>
  <c r="AC1733" i="22"/>
  <c r="AE1736" i="22"/>
  <c r="AC1778" i="22"/>
  <c r="AE1779" i="22"/>
  <c r="AE1866" i="22"/>
  <c r="AE1973" i="22"/>
  <c r="AE420" i="22"/>
  <c r="AA14" i="22"/>
  <c r="AE14" i="22"/>
  <c r="AA20" i="22"/>
  <c r="AE20" i="22"/>
  <c r="AA873" i="22"/>
  <c r="AE873" i="22"/>
  <c r="AE1000" i="22"/>
  <c r="AA1000" i="22"/>
  <c r="AA692" i="22"/>
  <c r="AE692" i="22"/>
  <c r="AA13" i="22"/>
  <c r="AE13" i="22"/>
  <c r="AA204" i="22"/>
  <c r="AE204" i="22"/>
  <c r="AE277" i="22"/>
  <c r="AA277" i="22"/>
  <c r="AE299" i="22"/>
  <c r="AA299" i="22"/>
  <c r="AE393" i="22"/>
  <c r="AA689" i="22"/>
  <c r="AE689" i="22"/>
  <c r="AE722" i="22"/>
  <c r="AC722" i="22"/>
  <c r="AA744" i="22"/>
  <c r="AE744" i="22"/>
  <c r="AE795" i="22"/>
  <c r="AE838" i="22"/>
  <c r="AC838" i="22"/>
  <c r="AA870" i="22"/>
  <c r="AE870" i="22"/>
  <c r="AA889" i="22"/>
  <c r="AE889" i="22"/>
  <c r="AE912" i="22"/>
  <c r="AE927" i="22"/>
  <c r="AC927" i="22"/>
  <c r="AE961" i="22"/>
  <c r="AA999" i="22"/>
  <c r="AE999" i="22"/>
  <c r="AE1096" i="22"/>
  <c r="AA1295" i="22"/>
  <c r="AE1295" i="22"/>
  <c r="AE1299" i="22"/>
  <c r="AA1299" i="22"/>
  <c r="AA1351" i="22"/>
  <c r="AE1351" i="22"/>
  <c r="AA1375" i="22"/>
  <c r="AE1375" i="22"/>
  <c r="AA1586" i="22"/>
  <c r="AE1586" i="22"/>
  <c r="AC165" i="22"/>
  <c r="AC263" i="22"/>
  <c r="AE302" i="22"/>
  <c r="AE306" i="22"/>
  <c r="AE315" i="22"/>
  <c r="AE320" i="22"/>
  <c r="AE400" i="22"/>
  <c r="AE404" i="22"/>
  <c r="AC417" i="22"/>
  <c r="AE422" i="22"/>
  <c r="AE438" i="22"/>
  <c r="AE474" i="22"/>
  <c r="AA492" i="22"/>
  <c r="AE492" i="22"/>
  <c r="AE529" i="22"/>
  <c r="AC529" i="22"/>
  <c r="AE531" i="22"/>
  <c r="AC531" i="22"/>
  <c r="AE534" i="22"/>
  <c r="AC534" i="22"/>
  <c r="AE536" i="22"/>
  <c r="AC536" i="22"/>
  <c r="AE546" i="22"/>
  <c r="AC546" i="22"/>
  <c r="AE593" i="22"/>
  <c r="AE624" i="22"/>
  <c r="AC624" i="22"/>
  <c r="AA626" i="22"/>
  <c r="AE626" i="22"/>
  <c r="AA629" i="22"/>
  <c r="AE629" i="22"/>
  <c r="AE631" i="22"/>
  <c r="AC631" i="22"/>
  <c r="AA640" i="22"/>
  <c r="AE640" i="22"/>
  <c r="AE658" i="22"/>
  <c r="AE660" i="22"/>
  <c r="AC660" i="22"/>
  <c r="AE662" i="22"/>
  <c r="AC662" i="22"/>
  <c r="AE666" i="22"/>
  <c r="AC666" i="22"/>
  <c r="AE668" i="22"/>
  <c r="AC668" i="22"/>
  <c r="AE670" i="22"/>
  <c r="AC670" i="22"/>
  <c r="AE674" i="22"/>
  <c r="AA684" i="22"/>
  <c r="AE684" i="22"/>
  <c r="AE730" i="22"/>
  <c r="AC730" i="22"/>
  <c r="AE770" i="22"/>
  <c r="AC770" i="22"/>
  <c r="AE772" i="22"/>
  <c r="AC772" i="22"/>
  <c r="AE774" i="22"/>
  <c r="AC774" i="22"/>
  <c r="AE776" i="22"/>
  <c r="AC776" i="22"/>
  <c r="AE778" i="22"/>
  <c r="AC778" i="22"/>
  <c r="AE780" i="22"/>
  <c r="AC780" i="22"/>
  <c r="AA787" i="22"/>
  <c r="AE787" i="22"/>
  <c r="AE789" i="22"/>
  <c r="AC789" i="22"/>
  <c r="AA810" i="22"/>
  <c r="AE810" i="22"/>
  <c r="AA829" i="22"/>
  <c r="AE829" i="22"/>
  <c r="AE856" i="22"/>
  <c r="AC856" i="22"/>
  <c r="AE858" i="22"/>
  <c r="AC858" i="22"/>
  <c r="AE860" i="22"/>
  <c r="AE862" i="22"/>
  <c r="AC862" i="22"/>
  <c r="AE864" i="22"/>
  <c r="AC864" i="22"/>
  <c r="AA872" i="22"/>
  <c r="AE872" i="22"/>
  <c r="AE874" i="22"/>
  <c r="AC874" i="22"/>
  <c r="AA884" i="22"/>
  <c r="AE884" i="22"/>
  <c r="AA886" i="22"/>
  <c r="AE886" i="22"/>
  <c r="AA898" i="22"/>
  <c r="AE898" i="22"/>
  <c r="AA960" i="22"/>
  <c r="AE960" i="22"/>
  <c r="AE973" i="22"/>
  <c r="AC1002" i="22"/>
  <c r="AE1002" i="22"/>
  <c r="AE1005" i="22"/>
  <c r="AC1005" i="22"/>
  <c r="AA1012" i="22"/>
  <c r="AE1012" i="22"/>
  <c r="AA1018" i="22"/>
  <c r="AE1018" i="22"/>
  <c r="AA1024" i="22"/>
  <c r="AE1024" i="22"/>
  <c r="AE1052" i="22"/>
  <c r="AC1052" i="22"/>
  <c r="AE1054" i="22"/>
  <c r="AC1054" i="22"/>
  <c r="AE1148" i="22"/>
  <c r="AC1148" i="22"/>
  <c r="AE1150" i="22"/>
  <c r="AC1150" i="22"/>
  <c r="AE1152" i="22"/>
  <c r="AC1152" i="22"/>
  <c r="AE1154" i="22"/>
  <c r="AC1154" i="22"/>
  <c r="AA1229" i="22"/>
  <c r="AE1229" i="22"/>
  <c r="AA1287" i="22"/>
  <c r="AE1287" i="22"/>
  <c r="AE451" i="22"/>
  <c r="AE493" i="22"/>
  <c r="AE495" i="22"/>
  <c r="AE497" i="22"/>
  <c r="AE499" i="22"/>
  <c r="AE724" i="22"/>
  <c r="AC724" i="22"/>
  <c r="AE793" i="22"/>
  <c r="AC793" i="22"/>
  <c r="AE821" i="22"/>
  <c r="AC821" i="22"/>
  <c r="AE880" i="22"/>
  <c r="AC880" i="22"/>
  <c r="AE915" i="22"/>
  <c r="AE925" i="22"/>
  <c r="AC925" i="22"/>
  <c r="AA950" i="22"/>
  <c r="AE950" i="22"/>
  <c r="AA976" i="22"/>
  <c r="AE976" i="22"/>
  <c r="AE987" i="22"/>
  <c r="AC987" i="22"/>
  <c r="AE1076" i="22"/>
  <c r="AC1076" i="22"/>
  <c r="AA1088" i="22"/>
  <c r="AE1088" i="22"/>
  <c r="AA1203" i="22"/>
  <c r="AE1203" i="22"/>
  <c r="AE1297" i="22"/>
  <c r="AC1297" i="22"/>
  <c r="AA1306" i="22"/>
  <c r="AE1306" i="22"/>
  <c r="AA1644" i="22"/>
  <c r="AE1644" i="22"/>
  <c r="AA1677" i="22"/>
  <c r="AE1677" i="22"/>
  <c r="AA1739" i="22"/>
  <c r="AE1739" i="22"/>
  <c r="AE1745" i="22"/>
  <c r="AE1747" i="22"/>
  <c r="AE1749" i="22"/>
  <c r="AE1766" i="22"/>
  <c r="AA1781" i="22"/>
  <c r="AE1781" i="22"/>
  <c r="AE1933" i="22"/>
  <c r="AA1933" i="22"/>
  <c r="AA1963" i="22"/>
  <c r="AE1963" i="22"/>
  <c r="AC16" i="22"/>
  <c r="AC46" i="22"/>
  <c r="AE226" i="22"/>
  <c r="AE295" i="22"/>
  <c r="AE300" i="22"/>
  <c r="AE305" i="22"/>
  <c r="AE310" i="22"/>
  <c r="AE318" i="22"/>
  <c r="AB392" i="22"/>
  <c r="AE399" i="22"/>
  <c r="AE403" i="22"/>
  <c r="AE421" i="22"/>
  <c r="AE437" i="22"/>
  <c r="AE442" i="22"/>
  <c r="AE494" i="22"/>
  <c r="AE496" i="22"/>
  <c r="AE498" i="22"/>
  <c r="AE500" i="22"/>
  <c r="AA502" i="22"/>
  <c r="AE510" i="22"/>
  <c r="AE512" i="22"/>
  <c r="AA565" i="22"/>
  <c r="AE565" i="22"/>
  <c r="AA581" i="22"/>
  <c r="AE581" i="22"/>
  <c r="AA650" i="22"/>
  <c r="AE650" i="22"/>
  <c r="AE678" i="22"/>
  <c r="AC678" i="22"/>
  <c r="AE680" i="22"/>
  <c r="AC680" i="22"/>
  <c r="AE696" i="22"/>
  <c r="AE719" i="22"/>
  <c r="AC719" i="22"/>
  <c r="AE721" i="22"/>
  <c r="AC721" i="22"/>
  <c r="AE723" i="22"/>
  <c r="AC723" i="22"/>
  <c r="AE725" i="22"/>
  <c r="AC725" i="22"/>
  <c r="AE738" i="22"/>
  <c r="AE745" i="22"/>
  <c r="AE750" i="22"/>
  <c r="AC750" i="22"/>
  <c r="AE752" i="22"/>
  <c r="AE792" i="22"/>
  <c r="AC792" i="22"/>
  <c r="AE794" i="22"/>
  <c r="AC794" i="22"/>
  <c r="AA820" i="22"/>
  <c r="AE820" i="22"/>
  <c r="AE824" i="22"/>
  <c r="AC824" i="22"/>
  <c r="AE839" i="22"/>
  <c r="AC839" i="22"/>
  <c r="AA843" i="22"/>
  <c r="AE843" i="22"/>
  <c r="AE879" i="22"/>
  <c r="AC879" i="22"/>
  <c r="AE881" i="22"/>
  <c r="AE892" i="22"/>
  <c r="AC892" i="22"/>
  <c r="AA913" i="22"/>
  <c r="AE913" i="22"/>
  <c r="AE926" i="22"/>
  <c r="AC926" i="22"/>
  <c r="AE928" i="22"/>
  <c r="AC928" i="22"/>
  <c r="AE949" i="22"/>
  <c r="AE962" i="22"/>
  <c r="AE964" i="22"/>
  <c r="AE985" i="22"/>
  <c r="AC985" i="22"/>
  <c r="AA1123" i="22"/>
  <c r="AE1123" i="22"/>
  <c r="AE1130" i="22"/>
  <c r="AC1130" i="22"/>
  <c r="AA1220" i="22"/>
  <c r="AE1220" i="22"/>
  <c r="AE1250" i="22"/>
  <c r="AC1250" i="22"/>
  <c r="AE1252" i="22"/>
  <c r="AC1252" i="22"/>
  <c r="AE1254" i="22"/>
  <c r="AC1254" i="22"/>
  <c r="AE1256" i="22"/>
  <c r="AC1256" i="22"/>
  <c r="AE1258" i="22"/>
  <c r="AC1258" i="22"/>
  <c r="AE501" i="22"/>
  <c r="AE511" i="22"/>
  <c r="AA526" i="22"/>
  <c r="AE526" i="22"/>
  <c r="AE679" i="22"/>
  <c r="AC679" i="22"/>
  <c r="AE720" i="22"/>
  <c r="AC720" i="22"/>
  <c r="AE893" i="22"/>
  <c r="AE963" i="22"/>
  <c r="AE984" i="22"/>
  <c r="AE1226" i="22"/>
  <c r="AA1226" i="22"/>
  <c r="AE473" i="22"/>
  <c r="AE475" i="22"/>
  <c r="AE530" i="22"/>
  <c r="AE533" i="22"/>
  <c r="AC533" i="22"/>
  <c r="AE535" i="22"/>
  <c r="AC535" i="22"/>
  <c r="AE630" i="22"/>
  <c r="AC630" i="22"/>
  <c r="AA632" i="22"/>
  <c r="AE659" i="22"/>
  <c r="AC659" i="22"/>
  <c r="AE661" i="22"/>
  <c r="AC661" i="22"/>
  <c r="AE665" i="22"/>
  <c r="AC665" i="22"/>
  <c r="AE667" i="22"/>
  <c r="AC667" i="22"/>
  <c r="AE669" i="22"/>
  <c r="AC669" i="22"/>
  <c r="AA671" i="22"/>
  <c r="AE673" i="22"/>
  <c r="AE727" i="22"/>
  <c r="AE729" i="22"/>
  <c r="AC729" i="22"/>
  <c r="AE731" i="22"/>
  <c r="AC731" i="22"/>
  <c r="AE771" i="22"/>
  <c r="AC771" i="22"/>
  <c r="AE773" i="22"/>
  <c r="AC773" i="22"/>
  <c r="AE775" i="22"/>
  <c r="AC775" i="22"/>
  <c r="AE777" i="22"/>
  <c r="AC777" i="22"/>
  <c r="AE779" i="22"/>
  <c r="AC779" i="22"/>
  <c r="AA781" i="22"/>
  <c r="AE788" i="22"/>
  <c r="AC788" i="22"/>
  <c r="AE853" i="22"/>
  <c r="AE855" i="22"/>
  <c r="AC855" i="22"/>
  <c r="AE857" i="22"/>
  <c r="AC857" i="22"/>
  <c r="AE859" i="22"/>
  <c r="AE861" i="22"/>
  <c r="AC861" i="22"/>
  <c r="AE863" i="22"/>
  <c r="AC863" i="22"/>
  <c r="AE865" i="22"/>
  <c r="AC865" i="22"/>
  <c r="AA885" i="22"/>
  <c r="AE885" i="22"/>
  <c r="AA887" i="22"/>
  <c r="AE887" i="22"/>
  <c r="AE970" i="22"/>
  <c r="AA974" i="22"/>
  <c r="AE1004" i="22"/>
  <c r="AC1004" i="22"/>
  <c r="AE1017" i="22"/>
  <c r="AC1017" i="22"/>
  <c r="AA1025" i="22"/>
  <c r="AE1101" i="22"/>
  <c r="AA1101" i="22"/>
  <c r="AA1228" i="22"/>
  <c r="AE1228" i="22"/>
  <c r="AE1027" i="22"/>
  <c r="AE1029" i="22"/>
  <c r="AA1034" i="22"/>
  <c r="AE1034" i="22"/>
  <c r="AA1074" i="22"/>
  <c r="AE1074" i="22"/>
  <c r="AE1080" i="22"/>
  <c r="AA1086" i="22"/>
  <c r="AE1091" i="22"/>
  <c r="AE1093" i="22"/>
  <c r="AE1098" i="22"/>
  <c r="AC1098" i="22"/>
  <c r="AE1100" i="22"/>
  <c r="AC1100" i="22"/>
  <c r="AE1113" i="22"/>
  <c r="AC1113" i="22"/>
  <c r="AA1126" i="22"/>
  <c r="AE1126" i="22"/>
  <c r="AE1129" i="22"/>
  <c r="AE1214" i="22"/>
  <c r="AC1214" i="22"/>
  <c r="AE1216" i="22"/>
  <c r="AC1216" i="22"/>
  <c r="AA1221" i="22"/>
  <c r="AE1221" i="22"/>
  <c r="AE1223" i="22"/>
  <c r="AC1223" i="22"/>
  <c r="AE1225" i="22"/>
  <c r="AE1352" i="22"/>
  <c r="AC1352" i="22"/>
  <c r="AE1354" i="22"/>
  <c r="AC1354" i="22"/>
  <c r="AA1360" i="22"/>
  <c r="AE1360" i="22"/>
  <c r="AA1368" i="22"/>
  <c r="AE1368" i="22"/>
  <c r="AA1373" i="22"/>
  <c r="AE1373" i="22"/>
  <c r="AB1390" i="22"/>
  <c r="AC1389" i="22"/>
  <c r="AB1389" i="22" s="1"/>
  <c r="AE1454" i="22"/>
  <c r="AA1454" i="22"/>
  <c r="AE1494" i="22"/>
  <c r="AA1494" i="22"/>
  <c r="AA1507" i="22"/>
  <c r="AE1507" i="22"/>
  <c r="AE1509" i="22"/>
  <c r="AC1509" i="22"/>
  <c r="AA1511" i="22"/>
  <c r="AE1511" i="22"/>
  <c r="AA1591" i="22"/>
  <c r="AE1591" i="22"/>
  <c r="AE1609" i="22"/>
  <c r="AA1609" i="22"/>
  <c r="AE1621" i="22"/>
  <c r="AE1623" i="22"/>
  <c r="AC1623" i="22"/>
  <c r="AE1638" i="22"/>
  <c r="AA1638" i="22"/>
  <c r="AE1036" i="22"/>
  <c r="AE1051" i="22"/>
  <c r="AC1051" i="22"/>
  <c r="AE1053" i="22"/>
  <c r="AC1053" i="22"/>
  <c r="AE1059" i="22"/>
  <c r="AA1077" i="22"/>
  <c r="AA1109" i="22"/>
  <c r="AE1109" i="22"/>
  <c r="AE1131" i="22"/>
  <c r="AC1131" i="22"/>
  <c r="AE1149" i="22"/>
  <c r="AC1149" i="22"/>
  <c r="AE1151" i="22"/>
  <c r="AC1151" i="22"/>
  <c r="AE1153" i="22"/>
  <c r="AC1153" i="22"/>
  <c r="AE1196" i="22"/>
  <c r="AC1196" i="22"/>
  <c r="AA1202" i="22"/>
  <c r="AE1227" i="22"/>
  <c r="AE1251" i="22"/>
  <c r="AC1251" i="22"/>
  <c r="AE1253" i="22"/>
  <c r="AC1253" i="22"/>
  <c r="AE1255" i="22"/>
  <c r="AC1255" i="22"/>
  <c r="AE1257" i="22"/>
  <c r="AC1257" i="22"/>
  <c r="AA1269" i="22"/>
  <c r="AE1269" i="22"/>
  <c r="AB1270" i="22"/>
  <c r="AC1269" i="22"/>
  <c r="AA1275" i="22"/>
  <c r="AA1294" i="22"/>
  <c r="AE1294" i="22"/>
  <c r="AE1296" i="22"/>
  <c r="AC1296" i="22"/>
  <c r="AE1298" i="22"/>
  <c r="AC1298" i="22"/>
  <c r="AE1347" i="22"/>
  <c r="AA1347" i="22"/>
  <c r="AE1411" i="22"/>
  <c r="AC1411" i="22"/>
  <c r="AE1413" i="22"/>
  <c r="AA1491" i="22"/>
  <c r="AE1491" i="22"/>
  <c r="AA1579" i="22"/>
  <c r="AE1579" i="22"/>
  <c r="AA1598" i="22"/>
  <c r="AE1598" i="22"/>
  <c r="AE1600" i="22"/>
  <c r="AC1600" i="22"/>
  <c r="AE1602" i="22"/>
  <c r="AC1602" i="22"/>
  <c r="AE1604" i="22"/>
  <c r="AC1604" i="22"/>
  <c r="AE1606" i="22"/>
  <c r="AC1606" i="22"/>
  <c r="AC990" i="22"/>
  <c r="AE1026" i="22"/>
  <c r="AC1026" i="22"/>
  <c r="AE1028" i="22"/>
  <c r="AA1081" i="22"/>
  <c r="AE1081" i="22"/>
  <c r="AE1090" i="22"/>
  <c r="AE1092" i="22"/>
  <c r="AE1094" i="22"/>
  <c r="AE1099" i="22"/>
  <c r="AC1099" i="22"/>
  <c r="AE1112" i="22"/>
  <c r="AC1112" i="22"/>
  <c r="AA1127" i="22"/>
  <c r="AE1127" i="22"/>
  <c r="AE1142" i="22"/>
  <c r="AC1142" i="22"/>
  <c r="AA1212" i="22"/>
  <c r="AE1212" i="22"/>
  <c r="AE1215" i="22"/>
  <c r="AC1215" i="22"/>
  <c r="AE1217" i="22"/>
  <c r="AC1217" i="22"/>
  <c r="AE1224" i="22"/>
  <c r="AC1224" i="22"/>
  <c r="AA1462" i="22"/>
  <c r="AE1462" i="22"/>
  <c r="AE1561" i="22"/>
  <c r="AA1561" i="22"/>
  <c r="AE1565" i="22"/>
  <c r="AC1565" i="22"/>
  <c r="AE1567" i="22"/>
  <c r="AC1567" i="22"/>
  <c r="AE1570" i="22"/>
  <c r="AC1570" i="22"/>
  <c r="AE1572" i="22"/>
  <c r="AC1572" i="22"/>
  <c r="AA1590" i="22"/>
  <c r="AE1590" i="22"/>
  <c r="AE1262" i="22"/>
  <c r="AA1304" i="22"/>
  <c r="AE1304" i="22"/>
  <c r="AE1342" i="22"/>
  <c r="AE1344" i="22"/>
  <c r="AE1346" i="22"/>
  <c r="AC1346" i="22"/>
  <c r="AA1379" i="22"/>
  <c r="AE1379" i="22"/>
  <c r="AE1385" i="22"/>
  <c r="AC1385" i="22"/>
  <c r="AA1393" i="22"/>
  <c r="AE1393" i="22"/>
  <c r="AE1396" i="22"/>
  <c r="AC1396" i="22"/>
  <c r="AE1398" i="22"/>
  <c r="AE1402" i="22"/>
  <c r="AC1402" i="22"/>
  <c r="AA1420" i="22"/>
  <c r="AE1420" i="22"/>
  <c r="AE1437" i="22"/>
  <c r="AC1437" i="22"/>
  <c r="AE1448" i="22"/>
  <c r="AC1448" i="22"/>
  <c r="AE1450" i="22"/>
  <c r="AC1450" i="22"/>
  <c r="AA1452" i="22"/>
  <c r="AE1452" i="22"/>
  <c r="AA1490" i="22"/>
  <c r="AE1490" i="22"/>
  <c r="AE1493" i="22"/>
  <c r="AC1493" i="22"/>
  <c r="AE1501" i="22"/>
  <c r="AC1501" i="22"/>
  <c r="AA1503" i="22"/>
  <c r="AE1503" i="22"/>
  <c r="AA1552" i="22"/>
  <c r="AE1552" i="22"/>
  <c r="AE1554" i="22"/>
  <c r="AE1558" i="22"/>
  <c r="AC1558" i="22"/>
  <c r="AE1560" i="22"/>
  <c r="AC1560" i="22"/>
  <c r="AA1581" i="22"/>
  <c r="AE1581" i="22"/>
  <c r="AA1611" i="22"/>
  <c r="AE1611" i="22"/>
  <c r="AE1646" i="22"/>
  <c r="AC1646" i="22"/>
  <c r="AC1648" i="22"/>
  <c r="AE1648" i="22"/>
  <c r="AA1700" i="22"/>
  <c r="AE1700" i="22"/>
  <c r="AE1719" i="22"/>
  <c r="AC1719" i="22"/>
  <c r="AE1795" i="22"/>
  <c r="AC1795" i="22"/>
  <c r="AE1799" i="22"/>
  <c r="AC1799" i="22"/>
  <c r="AE1801" i="22"/>
  <c r="AC1801" i="22"/>
  <c r="AE1814" i="22"/>
  <c r="AC1814" i="22"/>
  <c r="AA1903" i="22"/>
  <c r="AE1903" i="22"/>
  <c r="AE1913" i="22"/>
  <c r="AA1913" i="22"/>
  <c r="AA1920" i="22"/>
  <c r="AE1920" i="22"/>
  <c r="AC1079" i="22"/>
  <c r="AC1102" i="22"/>
  <c r="AC1103" i="22"/>
  <c r="AC1121" i="22"/>
  <c r="AC1122" i="22"/>
  <c r="AC1133" i="22"/>
  <c r="AC1134" i="22"/>
  <c r="AB1135" i="22"/>
  <c r="AC1155" i="22"/>
  <c r="AC1166" i="22"/>
  <c r="AC1167" i="22"/>
  <c r="AC1170" i="22"/>
  <c r="AC1171" i="22"/>
  <c r="AC1172" i="22"/>
  <c r="AC1173" i="22"/>
  <c r="AC1174" i="22"/>
  <c r="AC1219" i="22"/>
  <c r="AA1262" i="22"/>
  <c r="AC1300" i="22"/>
  <c r="AA1338" i="22"/>
  <c r="AE1338" i="22"/>
  <c r="AE1353" i="22"/>
  <c r="AC1353" i="22"/>
  <c r="AA1374" i="22"/>
  <c r="AC1392" i="22"/>
  <c r="AB1392" i="22" s="1"/>
  <c r="AB1391" i="22"/>
  <c r="AE1404" i="22"/>
  <c r="AC1404" i="22"/>
  <c r="AE1406" i="22"/>
  <c r="AE1410" i="22"/>
  <c r="AC1410" i="22"/>
  <c r="AE1412" i="22"/>
  <c r="AC1412" i="22"/>
  <c r="AA1447" i="22"/>
  <c r="AE1447" i="22"/>
  <c r="AE1455" i="22"/>
  <c r="AE1508" i="22"/>
  <c r="AC1508" i="22"/>
  <c r="AE1510" i="22"/>
  <c r="AC1510" i="22"/>
  <c r="AE1566" i="22"/>
  <c r="AC1566" i="22"/>
  <c r="AE1569" i="22"/>
  <c r="AC1569" i="22"/>
  <c r="AE1571" i="22"/>
  <c r="AC1571" i="22"/>
  <c r="AA1573" i="22"/>
  <c r="AA1584" i="22"/>
  <c r="AE1584" i="22"/>
  <c r="AE1589" i="22"/>
  <c r="AE1599" i="22"/>
  <c r="AC1599" i="22"/>
  <c r="AE1601" i="22"/>
  <c r="AC1601" i="22"/>
  <c r="AE1603" i="22"/>
  <c r="AC1603" i="22"/>
  <c r="AE1605" i="22"/>
  <c r="AC1605" i="22"/>
  <c r="AE1607" i="22"/>
  <c r="AC1607" i="22"/>
  <c r="AE1622" i="22"/>
  <c r="AC1622" i="22"/>
  <c r="AE1624" i="22"/>
  <c r="AC1624" i="22"/>
  <c r="AA1641" i="22"/>
  <c r="AE1650" i="22"/>
  <c r="AA1650" i="22"/>
  <c r="AE1660" i="22"/>
  <c r="AC1660" i="22"/>
  <c r="AE1785" i="22"/>
  <c r="AA1785" i="22"/>
  <c r="AA1408" i="22"/>
  <c r="AE1408" i="22"/>
  <c r="AE1343" i="22"/>
  <c r="AE1345" i="22"/>
  <c r="AA1378" i="22"/>
  <c r="AE1378" i="22"/>
  <c r="AE1395" i="22"/>
  <c r="AC1395" i="22"/>
  <c r="AE1397" i="22"/>
  <c r="AC1397" i="22"/>
  <c r="AE1399" i="22"/>
  <c r="AC1399" i="22"/>
  <c r="AE1401" i="22"/>
  <c r="AC1401" i="22"/>
  <c r="AA1419" i="22"/>
  <c r="AE1419" i="22"/>
  <c r="AE1435" i="22"/>
  <c r="AE1438" i="22"/>
  <c r="AC1438" i="22"/>
  <c r="AE1449" i="22"/>
  <c r="AC1449" i="22"/>
  <c r="AE1500" i="22"/>
  <c r="AE1553" i="22"/>
  <c r="AE1555" i="22"/>
  <c r="AE1559" i="22"/>
  <c r="AA1580" i="22"/>
  <c r="AE1580" i="22"/>
  <c r="AA1596" i="22"/>
  <c r="AE1596" i="22"/>
  <c r="AE1645" i="22"/>
  <c r="AC1645" i="22"/>
  <c r="AE1647" i="22"/>
  <c r="AC1647" i="22"/>
  <c r="AE1678" i="22"/>
  <c r="AA1678" i="22"/>
  <c r="AE1691" i="22"/>
  <c r="AC1691" i="22"/>
  <c r="AE1782" i="22"/>
  <c r="AA1782" i="22"/>
  <c r="AA1659" i="22"/>
  <c r="AE1659" i="22"/>
  <c r="AA1665" i="22"/>
  <c r="AE1672" i="22"/>
  <c r="AE1688" i="22"/>
  <c r="AC1688" i="22"/>
  <c r="AA1699" i="22"/>
  <c r="AA1721" i="22"/>
  <c r="AE1721" i="22"/>
  <c r="AE1740" i="22"/>
  <c r="AE1823" i="22"/>
  <c r="AE1917" i="22"/>
  <c r="AA1917" i="22"/>
  <c r="AA1932" i="22"/>
  <c r="AE1932" i="22"/>
  <c r="AE1934" i="22"/>
  <c r="AA1934" i="22"/>
  <c r="AC1355" i="22"/>
  <c r="AC1417" i="22"/>
  <c r="AC1464" i="22"/>
  <c r="AE1692" i="22"/>
  <c r="AC1692" i="22"/>
  <c r="AA1705" i="22"/>
  <c r="AE1705" i="22"/>
  <c r="AE1744" i="22"/>
  <c r="AE1746" i="22"/>
  <c r="AE1748" i="22"/>
  <c r="AE1765" i="22"/>
  <c r="AE1790" i="22"/>
  <c r="AC1790" i="22"/>
  <c r="AE1797" i="22"/>
  <c r="AC1797" i="22"/>
  <c r="AE1800" i="22"/>
  <c r="AC1800" i="22"/>
  <c r="AE1802" i="22"/>
  <c r="AC1802" i="22"/>
  <c r="AA1813" i="22"/>
  <c r="AE1813" i="22"/>
  <c r="AE1818" i="22"/>
  <c r="AC1818" i="22"/>
  <c r="AC1898" i="22"/>
  <c r="AE1898" i="22"/>
  <c r="AA1912" i="22"/>
  <c r="AE1912" i="22"/>
  <c r="AE1921" i="22"/>
  <c r="AA1921" i="22"/>
  <c r="AE1926" i="22"/>
  <c r="AA1926" i="22"/>
  <c r="AA1936" i="22"/>
  <c r="AE1936" i="22"/>
  <c r="AE1938" i="22"/>
  <c r="AA1938" i="22"/>
  <c r="AA1658" i="22"/>
  <c r="AE1658" i="22"/>
  <c r="AA1663" i="22"/>
  <c r="AE1663" i="22"/>
  <c r="AA1686" i="22"/>
  <c r="AE1686" i="22"/>
  <c r="AC1805" i="22"/>
  <c r="AE1805" i="22"/>
  <c r="AE1828" i="22"/>
  <c r="AC1828" i="22"/>
  <c r="AE1830" i="22"/>
  <c r="AC1830" i="22"/>
  <c r="AE1832" i="22"/>
  <c r="AC1832" i="22"/>
  <c r="AE1834" i="22"/>
  <c r="AC1834" i="22"/>
  <c r="AE1836" i="22"/>
  <c r="AC1836" i="22"/>
  <c r="AE1838" i="22"/>
  <c r="AC1838" i="22"/>
  <c r="AE1840" i="22"/>
  <c r="AC1840" i="22"/>
  <c r="AE1842" i="22"/>
  <c r="AC1842" i="22"/>
  <c r="AE1856" i="22"/>
  <c r="AC1856" i="22"/>
  <c r="AA1907" i="22"/>
  <c r="AE1907" i="22"/>
  <c r="AA1916" i="22"/>
  <c r="AE1916" i="22"/>
  <c r="AA1928" i="22"/>
  <c r="AE1928" i="22"/>
  <c r="AE1966" i="22"/>
  <c r="AC1966" i="22"/>
  <c r="AE1984" i="22"/>
  <c r="AA1855" i="22"/>
  <c r="AE1859" i="22"/>
  <c r="AE1861" i="22"/>
  <c r="AE1868" i="22"/>
  <c r="AE1943" i="22"/>
  <c r="AE1948" i="22"/>
  <c r="AA1955" i="22"/>
  <c r="AE1955" i="22"/>
  <c r="AA1965" i="22"/>
  <c r="AA1982" i="22"/>
  <c r="AE1986" i="22"/>
  <c r="AA1807" i="22"/>
  <c r="AE1807" i="22"/>
  <c r="AE1827" i="22"/>
  <c r="AC1827" i="22"/>
  <c r="AE1829" i="22"/>
  <c r="AC1829" i="22"/>
  <c r="AE1831" i="22"/>
  <c r="AC1831" i="22"/>
  <c r="AE1833" i="22"/>
  <c r="AC1833" i="22"/>
  <c r="AE1835" i="22"/>
  <c r="AC1835" i="22"/>
  <c r="AE1837" i="22"/>
  <c r="AC1837" i="22"/>
  <c r="AE1839" i="22"/>
  <c r="AC1839" i="22"/>
  <c r="AE1841" i="22"/>
  <c r="AC1841" i="22"/>
  <c r="AC1897" i="22"/>
  <c r="AE1897" i="22"/>
  <c r="AE1905" i="22"/>
  <c r="AA1905" i="22"/>
  <c r="AE1909" i="22"/>
  <c r="AA1909" i="22"/>
  <c r="AA1981" i="22"/>
  <c r="AE1981" i="22"/>
  <c r="AC1983" i="22"/>
  <c r="AE1983" i="22"/>
  <c r="AE1988" i="22"/>
  <c r="AA1988" i="22"/>
  <c r="AC1788" i="22"/>
  <c r="AC1792" i="22"/>
  <c r="AE1812" i="22"/>
  <c r="AE1843" i="22"/>
  <c r="AC1854" i="22"/>
  <c r="AE1860" i="22"/>
  <c r="AE1862" i="22"/>
  <c r="AE1900" i="22"/>
  <c r="AE1914" i="22"/>
  <c r="AE1918" i="22"/>
  <c r="AE1922" i="22"/>
  <c r="AA1967" i="22"/>
  <c r="AE1967" i="22"/>
  <c r="AE1968" i="22"/>
  <c r="AA1997" i="22"/>
  <c r="AE1997" i="22"/>
  <c r="AC1111" i="22" l="1"/>
  <c r="AC1432" i="22"/>
  <c r="AC1050" i="22"/>
  <c r="AC923" i="22"/>
  <c r="AE1190" i="22"/>
  <c r="AC1190" i="22"/>
  <c r="AC957" i="22"/>
  <c r="AC867" i="22"/>
  <c r="AA1222" i="22"/>
  <c r="AC691" i="22"/>
  <c r="AB691" i="22" s="1"/>
  <c r="AE691" i="22" s="1"/>
  <c r="AE1270" i="22"/>
  <c r="AC1270" i="22"/>
  <c r="AA1270" i="22"/>
  <c r="AA1389" i="22"/>
  <c r="AE1389" i="22"/>
  <c r="AC1135" i="22"/>
  <c r="AE1135" i="22"/>
  <c r="AE1391" i="22"/>
  <c r="AA1391" i="22"/>
  <c r="AA1390" i="22"/>
  <c r="AE1390" i="22"/>
  <c r="AA1392" i="22"/>
  <c r="AE1392" i="22"/>
  <c r="AA691" i="22" l="1"/>
  <c r="AB1222" i="22"/>
  <c r="AB867" i="22"/>
  <c r="AE867" i="22" s="1"/>
  <c r="AC1222" i="22" l="1"/>
  <c r="AE1222" i="22"/>
  <c r="AE375" i="22" l="1"/>
  <c r="AE1063"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9" authorId="0" shapeId="0" xr:uid="{030820A7-5B12-47EE-A33F-04FA8A6BF609}">
      <text>
        <r>
          <rPr>
            <b/>
            <sz val="9"/>
            <color indexed="81"/>
            <rFont val="Tahoma"/>
            <family val="2"/>
          </rPr>
          <t>Author:</t>
        </r>
        <r>
          <rPr>
            <sz val="9"/>
            <color indexed="81"/>
            <rFont val="Tahoma"/>
            <family val="2"/>
          </rPr>
          <t xml:space="preserve">
May include other projects already in the database</t>
        </r>
      </text>
    </comment>
    <comment ref="B237" authorId="0" shapeId="0" xr:uid="{9EDB58B7-12BF-4608-86D8-6460D76B7E5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Project on hold
</t>
        </r>
      </text>
    </comment>
    <comment ref="B260" authorId="0" shapeId="0" xr:uid="{3F7201DF-C113-439E-8584-2FD28419D739}">
      <text>
        <r>
          <rPr>
            <b/>
            <sz val="9"/>
            <color indexed="81"/>
            <rFont val="Tahoma"/>
            <family val="2"/>
          </rPr>
          <t>Author:</t>
        </r>
        <r>
          <rPr>
            <sz val="9"/>
            <color indexed="81"/>
            <rFont val="Tahoma"/>
            <family val="2"/>
          </rPr>
          <t xml:space="preserve">
May include other projects already in the database</t>
        </r>
      </text>
    </comment>
    <comment ref="B261" authorId="0" shapeId="0" xr:uid="{F079A682-7910-4A5D-93F6-6AA06FE62076}">
      <text>
        <r>
          <rPr>
            <b/>
            <sz val="9"/>
            <color indexed="81"/>
            <rFont val="Tahoma"/>
            <family val="2"/>
          </rPr>
          <t>Author:</t>
        </r>
        <r>
          <rPr>
            <sz val="9"/>
            <color indexed="81"/>
            <rFont val="Tahoma"/>
            <family val="2"/>
          </rPr>
          <t xml:space="preserve">
May include other projects already in the database</t>
        </r>
      </text>
    </comment>
    <comment ref="B264" authorId="0" shapeId="0" xr:uid="{02DD9CAB-9089-4E7F-8AF5-FD529480B9E1}">
      <text>
        <r>
          <rPr>
            <b/>
            <sz val="9"/>
            <color indexed="81"/>
            <rFont val="Tahoma"/>
            <family val="2"/>
          </rPr>
          <t>Author:</t>
        </r>
        <r>
          <rPr>
            <sz val="9"/>
            <color indexed="81"/>
            <rFont val="Tahoma"/>
            <family val="2"/>
          </rPr>
          <t xml:space="preserve">
May include other projects already in the database</t>
        </r>
      </text>
    </comment>
    <comment ref="B266" authorId="0" shapeId="0" xr:uid="{1716C14F-D6F6-41B8-B75B-C14D11E8678C}">
      <text>
        <r>
          <rPr>
            <b/>
            <sz val="9"/>
            <color indexed="81"/>
            <rFont val="Tahoma"/>
            <family val="2"/>
          </rPr>
          <t>Author:</t>
        </r>
        <r>
          <rPr>
            <sz val="9"/>
            <color indexed="81"/>
            <rFont val="Tahoma"/>
            <family val="2"/>
          </rPr>
          <t xml:space="preserve">
May include other projects already in the database</t>
        </r>
      </text>
    </comment>
    <comment ref="B389" authorId="0" shapeId="0" xr:uid="{B8C97707-727A-4200-8616-2EFE549FAE6A}">
      <text>
        <r>
          <rPr>
            <b/>
            <sz val="9"/>
            <color indexed="81"/>
            <rFont val="Tahoma"/>
            <family val="2"/>
          </rPr>
          <t>Author:</t>
        </r>
        <r>
          <rPr>
            <sz val="9"/>
            <color indexed="81"/>
            <rFont val="Tahoma"/>
            <family val="2"/>
          </rPr>
          <t xml:space="preserve">
Comment for H2 Europe: thats actually a very complex thing, there are over 20 different projects with over 100 partners going on under the HYPOS "umbrella" see: 
http://www.hypos-eastgermany.de/die-projektvorhaben/hypos-projekte/</t>
        </r>
      </text>
    </comment>
    <comment ref="B512" authorId="0" shapeId="0" xr:uid="{D4B11D17-02B8-4A8B-8E11-BD765A0A8BE2}">
      <text>
        <r>
          <rPr>
            <b/>
            <sz val="9"/>
            <color indexed="81"/>
            <rFont val="Tahoma"/>
            <family val="2"/>
          </rPr>
          <t>Author:</t>
        </r>
        <r>
          <rPr>
            <sz val="9"/>
            <color indexed="81"/>
            <rFont val="Tahoma"/>
            <family val="2"/>
          </rPr>
          <t xml:space="preserve">
May include other projects already in the database</t>
        </r>
      </text>
    </comment>
    <comment ref="B577" authorId="0" shapeId="0" xr:uid="{D7C7DE62-E8C2-40D0-ADDF-A3D7956038B5}">
      <text>
        <r>
          <rPr>
            <b/>
            <sz val="9"/>
            <color indexed="81"/>
            <rFont val="Tahoma"/>
            <family val="2"/>
          </rPr>
          <t>Author:</t>
        </r>
        <r>
          <rPr>
            <sz val="9"/>
            <color indexed="81"/>
            <rFont val="Tahoma"/>
            <family val="2"/>
          </rPr>
          <t xml:space="preserve">
May include other projects already in the database</t>
        </r>
      </text>
    </comment>
    <comment ref="B631" authorId="0" shapeId="0" xr:uid="{80C210DE-0EE5-448A-93BD-4ED4A7357FCE}">
      <text>
        <r>
          <rPr>
            <b/>
            <sz val="9"/>
            <color indexed="81"/>
            <rFont val="Tahoma"/>
            <family val="2"/>
          </rPr>
          <t>Author:</t>
        </r>
        <r>
          <rPr>
            <sz val="9"/>
            <color indexed="81"/>
            <rFont val="Tahoma"/>
            <family val="2"/>
          </rPr>
          <t xml:space="preserve">
May include other projects already in the database</t>
        </r>
      </text>
    </comment>
    <comment ref="B675" authorId="0" shapeId="0" xr:uid="{B692B632-7FD1-47DD-9F52-C3A58BCFA1BB}">
      <text>
        <r>
          <rPr>
            <b/>
            <sz val="9"/>
            <color indexed="81"/>
            <rFont val="Tahoma"/>
            <family val="2"/>
          </rPr>
          <t>Author:</t>
        </r>
        <r>
          <rPr>
            <sz val="9"/>
            <color indexed="81"/>
            <rFont val="Tahoma"/>
            <family val="2"/>
          </rPr>
          <t xml:space="preserve">
May include other projects already in the database</t>
        </r>
      </text>
    </comment>
    <comment ref="B676" authorId="0" shapeId="0" xr:uid="{1AE04AA3-0FC6-4554-9B72-A26BFB38ACA6}">
      <text>
        <r>
          <rPr>
            <b/>
            <sz val="9"/>
            <color indexed="81"/>
            <rFont val="Tahoma"/>
            <family val="2"/>
          </rPr>
          <t>Author:</t>
        </r>
        <r>
          <rPr>
            <sz val="9"/>
            <color indexed="81"/>
            <rFont val="Tahoma"/>
            <family val="2"/>
          </rPr>
          <t xml:space="preserve">
May include other projects already in the database</t>
        </r>
      </text>
    </comment>
    <comment ref="B687" authorId="0" shapeId="0" xr:uid="{F16A8A1F-AFAA-4608-B8AA-C81EF705D556}">
      <text>
        <r>
          <rPr>
            <b/>
            <sz val="9"/>
            <color indexed="81"/>
            <rFont val="Tahoma"/>
            <family val="2"/>
          </rPr>
          <t>Author:</t>
        </r>
        <r>
          <rPr>
            <sz val="9"/>
            <color indexed="81"/>
            <rFont val="Tahoma"/>
            <family val="2"/>
          </rPr>
          <t xml:space="preserve">
May include other projects already in the database</t>
        </r>
      </text>
    </comment>
    <comment ref="Z713" authorId="0" shapeId="0" xr:uid="{5B43FC83-5A0C-492A-B327-29BE44026638}">
      <text>
        <r>
          <rPr>
            <b/>
            <sz val="9"/>
            <color indexed="81"/>
            <rFont val="Tahoma"/>
            <family val="2"/>
          </rPr>
          <t>Author:</t>
        </r>
        <r>
          <rPr>
            <sz val="9"/>
            <color indexed="81"/>
            <rFont val="Tahoma"/>
            <family val="2"/>
          </rPr>
          <t xml:space="preserve">
They say 90% capture, which means about 2.7 MtCO2 captured</t>
        </r>
      </text>
    </comment>
    <comment ref="B728" authorId="0" shapeId="0" xr:uid="{515FA9C0-402E-402B-8CCC-BE957C8E889A}">
      <text>
        <r>
          <rPr>
            <b/>
            <sz val="9"/>
            <color indexed="81"/>
            <rFont val="Tahoma"/>
            <family val="2"/>
          </rPr>
          <t>Author:</t>
        </r>
        <r>
          <rPr>
            <sz val="9"/>
            <color indexed="81"/>
            <rFont val="Tahoma"/>
            <family val="2"/>
          </rPr>
          <t xml:space="preserve">
May include other projects already in the database</t>
        </r>
      </text>
    </comment>
    <comment ref="Z827" authorId="0" shapeId="0" xr:uid="{FA1643BC-9406-499E-987E-14FC15042A74}">
      <text>
        <r>
          <rPr>
            <b/>
            <sz val="9"/>
            <color indexed="81"/>
            <rFont val="Tahoma"/>
            <family val="2"/>
          </rPr>
          <t>Author:</t>
        </r>
        <r>
          <rPr>
            <sz val="9"/>
            <color indexed="81"/>
            <rFont val="Tahoma"/>
            <family val="2"/>
          </rPr>
          <t xml:space="preserve">
Total Polaris project 0.75Mt, but there are 2 faciliteis and only one is related to H2, so we decidede to use only 50% of the capture capacity</t>
        </r>
      </text>
    </comment>
    <comment ref="B895" authorId="0" shapeId="0" xr:uid="{23851FCE-BA02-486C-BC36-D4CA7A8C18FC}">
      <text>
        <r>
          <rPr>
            <b/>
            <sz val="9"/>
            <color indexed="81"/>
            <rFont val="Tahoma"/>
            <family val="2"/>
          </rPr>
          <t>Author:</t>
        </r>
        <r>
          <rPr>
            <sz val="9"/>
            <color indexed="81"/>
            <rFont val="Tahoma"/>
            <family val="2"/>
          </rPr>
          <t xml:space="preserve">
May include other projects already in the database</t>
        </r>
      </text>
    </comment>
    <comment ref="B947" authorId="0" shapeId="0" xr:uid="{2C4127FE-6E9B-41EB-AD59-8CABCB6AAE3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Project on hold
</t>
        </r>
      </text>
    </comment>
    <comment ref="B1056" authorId="0" shapeId="0" xr:uid="{6310A8ED-0947-43A9-9D03-3F3BC63CD52F}">
      <text>
        <r>
          <rPr>
            <b/>
            <sz val="9"/>
            <color indexed="81"/>
            <rFont val="Tahoma"/>
            <family val="2"/>
          </rPr>
          <t>Author:</t>
        </r>
        <r>
          <rPr>
            <sz val="9"/>
            <color indexed="81"/>
            <rFont val="Tahoma"/>
            <family val="2"/>
          </rPr>
          <t xml:space="preserve">
May include other projects already in the database</t>
        </r>
      </text>
    </comment>
    <comment ref="B1117" authorId="0" shapeId="0" xr:uid="{47B71DF2-872B-424D-BA38-2842CF04B5AB}">
      <text>
        <r>
          <rPr>
            <b/>
            <sz val="9"/>
            <color indexed="81"/>
            <rFont val="Tahoma"/>
            <family val="2"/>
          </rPr>
          <t>Author:</t>
        </r>
        <r>
          <rPr>
            <sz val="9"/>
            <color indexed="81"/>
            <rFont val="Tahoma"/>
            <family val="2"/>
          </rPr>
          <t xml:space="preserve">
May include other projects already in the database</t>
        </r>
      </text>
    </comment>
    <comment ref="I1117" authorId="0" shapeId="0" xr:uid="{15C31C64-7331-424E-A792-2D38BBBAED8D}">
      <text>
        <r>
          <rPr>
            <b/>
            <sz val="9"/>
            <color indexed="81"/>
            <rFont val="Tahoma"/>
            <family val="2"/>
          </rPr>
          <t>Author:</t>
        </r>
        <r>
          <rPr>
            <sz val="9"/>
            <color indexed="81"/>
            <rFont val="Tahoma"/>
            <family val="2"/>
          </rPr>
          <t xml:space="preserve">
Combines nuclear and off-shorewind</t>
        </r>
      </text>
    </comment>
  </commentList>
</comments>
</file>

<file path=xl/sharedStrings.xml><?xml version="1.0" encoding="utf-8"?>
<sst xmlns="http://schemas.openxmlformats.org/spreadsheetml/2006/main" count="20878" uniqueCount="7231">
  <si>
    <t>Country</t>
  </si>
  <si>
    <t>PEM</t>
  </si>
  <si>
    <t>SOEC</t>
  </si>
  <si>
    <t>ALK</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</si>
  <si>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</si>
  <si>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</si>
  <si>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</si>
  <si>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</si>
  <si>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</si>
  <si>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</si>
  <si>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</si>
  <si>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</si>
  <si>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</si>
  <si>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</si>
  <si>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</si>
  <si>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</si>
  <si>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</si>
  <si>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</si>
  <si>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</si>
  <si>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</si>
  <si>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</si>
  <si>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</si>
  <si>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</si>
  <si>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</si>
  <si>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</si>
  <si>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</si>
  <si>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</si>
  <si>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</si>
  <si>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</si>
  <si>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</si>
  <si>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</si>
  <si>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</si>
  <si>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</si>
  <si>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</si>
  <si>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</si>
  <si>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</si>
  <si>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</si>
  <si>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</si>
  <si>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</si>
  <si>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</si>
  <si>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</si>
  <si>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</si>
  <si>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</si>
  <si>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</si>
  <si>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</si>
  <si>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</si>
  <si>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</si>
  <si>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</si>
  <si>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</si>
  <si>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</si>
  <si>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</si>
  <si>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</si>
  <si>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</si>
  <si>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</si>
  <si>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</si>
  <si>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</si>
  <si>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</si>
  <si>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</si>
  <si>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</si>
  <si>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</si>
  <si>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</si>
  <si>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</si>
  <si>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</si>
  <si>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</si>
  <si>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</si>
  <si>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</si>
  <si>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</si>
  <si>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</si>
  <si>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H2</t>
  </si>
  <si>
    <t>Unknown</t>
  </si>
  <si>
    <t>Product</t>
  </si>
  <si>
    <t>LOHC</t>
  </si>
  <si>
    <t>CH4</t>
  </si>
  <si>
    <t>Oman</t>
  </si>
  <si>
    <t>OMN</t>
  </si>
  <si>
    <t>ZAF</t>
  </si>
  <si>
    <t>IRN</t>
  </si>
  <si>
    <t>Islamic Republic of Iran</t>
  </si>
  <si>
    <t>KOR</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</si>
  <si>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</si>
  <si>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</si>
  <si>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</si>
  <si>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</si>
  <si>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</si>
  <si>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</si>
  <si>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</si>
  <si>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</si>
  <si>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</si>
  <si>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</si>
  <si>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</si>
  <si>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</si>
  <si>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</si>
  <si>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</si>
  <si>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</si>
  <si>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</si>
  <si>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</si>
  <si>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</si>
  <si>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</si>
  <si>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</si>
  <si>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</si>
  <si>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</si>
  <si>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</si>
  <si>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</si>
  <si>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</si>
  <si>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</si>
  <si>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</si>
  <si>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</si>
  <si>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</si>
  <si>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</si>
  <si>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</si>
  <si>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</si>
  <si>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</si>
  <si>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</si>
  <si>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</si>
  <si>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</si>
  <si>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</si>
  <si>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</si>
  <si>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</si>
  <si>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</si>
  <si>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</si>
  <si>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</si>
  <si>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</si>
  <si>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</si>
  <si>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</si>
  <si>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</si>
  <si>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</si>
  <si>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</si>
  <si>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</si>
  <si>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</si>
  <si>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</si>
  <si>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</si>
  <si>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</si>
  <si>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</si>
  <si>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</si>
  <si>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</si>
  <si>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</si>
  <si>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</si>
  <si>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</si>
  <si>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</si>
  <si>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CRI</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</si>
  <si>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</si>
  <si>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</si>
  <si>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</si>
  <si>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</si>
  <si>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</si>
  <si>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</si>
  <si>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</si>
  <si>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</si>
  <si>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</si>
  <si>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</si>
  <si>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</si>
  <si>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</si>
  <si>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</si>
  <si>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</si>
  <si>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</si>
  <si>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</si>
  <si>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</si>
  <si>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</si>
  <si>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</si>
  <si>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</si>
  <si>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</si>
  <si>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</si>
  <si>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</si>
  <si>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</si>
  <si>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</si>
  <si>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</si>
  <si>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</si>
  <si>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</si>
  <si>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</si>
  <si>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</si>
  <si>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</si>
  <si>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</si>
  <si>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</si>
  <si>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</si>
  <si>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</si>
  <si>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</si>
  <si>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</si>
  <si>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</si>
  <si>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</si>
  <si>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</si>
  <si>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</si>
  <si>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</si>
  <si>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</si>
  <si>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</si>
  <si>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</si>
  <si>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</si>
  <si>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</si>
  <si>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</si>
  <si>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</si>
  <si>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</si>
  <si>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</si>
  <si>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</si>
  <si>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</si>
  <si>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</si>
  <si>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</si>
  <si>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</si>
  <si>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</si>
  <si>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</si>
  <si>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</si>
  <si>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</si>
  <si>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</si>
  <si>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</si>
  <si>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</si>
  <si>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</si>
  <si>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</si>
  <si>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</si>
  <si>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</si>
  <si>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</si>
  <si>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</si>
  <si>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</si>
  <si>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</si>
  <si>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</si>
  <si>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</si>
  <si>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</si>
  <si>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</si>
  <si>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</si>
  <si>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</si>
  <si>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</si>
  <si>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</si>
  <si>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</si>
  <si>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</si>
  <si>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</si>
  <si>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</si>
  <si>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</si>
  <si>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</si>
  <si>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Feasibility study</t>
  </si>
  <si>
    <t>Operational</t>
  </si>
  <si>
    <t>Scenario</t>
  </si>
  <si>
    <t>STEPS</t>
  </si>
  <si>
    <t>SDS</t>
  </si>
  <si>
    <t>Grid inj.</t>
  </si>
  <si>
    <t>SynCH4</t>
  </si>
  <si>
    <t>CO2 origin</t>
  </si>
  <si>
    <t>Biogenic</t>
  </si>
  <si>
    <t>Fossil</t>
  </si>
  <si>
    <t>Mixed</t>
  </si>
  <si>
    <t>DAC</t>
  </si>
  <si>
    <t>Uruguay</t>
  </si>
  <si>
    <t>URY</t>
  </si>
  <si>
    <t>None</t>
  </si>
  <si>
    <t>XKX</t>
  </si>
  <si>
    <t>Slovenia</t>
  </si>
  <si>
    <t>SVN</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</si>
  <si>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</si>
  <si>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</si>
  <si>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</si>
  <si>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</si>
  <si>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</si>
  <si>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</si>
  <si>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</si>
  <si>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</si>
  <si>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</si>
  <si>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</si>
  <si>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</si>
  <si>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</si>
  <si>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</si>
  <si>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</si>
  <si>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</si>
  <si>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</si>
  <si>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</si>
  <si>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</si>
  <si>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</si>
  <si>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</si>
  <si>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</si>
  <si>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</si>
  <si>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</si>
  <si>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</si>
  <si>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</si>
  <si>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</si>
  <si>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</si>
  <si>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</si>
  <si>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</si>
  <si>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</si>
  <si>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</si>
  <si>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Biofuels</t>
  </si>
  <si>
    <t>Buildings uses</t>
  </si>
  <si>
    <t>Residential</t>
  </si>
  <si>
    <t>Non Res - Education</t>
  </si>
  <si>
    <t>Non Res - Health</t>
  </si>
  <si>
    <t>Non Res - Hospitality</t>
  </si>
  <si>
    <t>Non Res - Office</t>
  </si>
  <si>
    <t>Non Res - Trade</t>
  </si>
  <si>
    <t>Non Res - Commercial</t>
  </si>
  <si>
    <t>Non Res - Leisure/Other</t>
  </si>
  <si>
    <t>Residential and non-residential</t>
  </si>
  <si>
    <t>DEMO</t>
  </si>
  <si>
    <t>Both</t>
  </si>
  <si>
    <t>NG pyrolysis</t>
  </si>
  <si>
    <t>Nuclear</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</si>
  <si>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</si>
  <si>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</si>
  <si>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</si>
  <si>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</si>
  <si>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</si>
  <si>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</si>
  <si>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</si>
  <si>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</si>
  <si>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</si>
  <si>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</si>
  <si>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</si>
  <si>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</si>
  <si>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</si>
  <si>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</si>
  <si>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</si>
  <si>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</si>
  <si>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</si>
  <si>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</si>
  <si>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</si>
  <si>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</si>
  <si>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</si>
  <si>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</si>
  <si>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</si>
  <si>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</si>
  <si>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</si>
  <si>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</si>
  <si>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</si>
  <si>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</si>
  <si>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</si>
  <si>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</si>
  <si>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</si>
  <si>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</si>
  <si>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</si>
  <si>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</si>
  <si>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</si>
  <si>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</si>
  <si>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</si>
  <si>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</si>
  <si>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</si>
  <si>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</si>
  <si>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</si>
  <si>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</si>
  <si>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</si>
  <si>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</si>
  <si>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</si>
  <si>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</si>
  <si>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</si>
  <si>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</si>
  <si>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</si>
  <si>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</si>
  <si>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</si>
  <si>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</si>
  <si>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</si>
  <si>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</si>
  <si>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</si>
  <si>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</si>
  <si>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</si>
  <si>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</si>
  <si>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</si>
  <si>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</si>
  <si>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</si>
  <si>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</si>
  <si>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</si>
  <si>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</si>
  <si>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</si>
  <si>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</si>
  <si>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</si>
  <si>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</si>
  <si>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</si>
  <si>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</si>
  <si>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</si>
  <si>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</si>
  <si>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</si>
  <si>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</si>
  <si>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</si>
  <si>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</si>
  <si>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</si>
  <si>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</si>
  <si>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</si>
  <si>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</si>
  <si>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</si>
  <si>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</si>
  <si>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</si>
  <si>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</si>
  <si>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</si>
  <si>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</si>
  <si>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</si>
  <si>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</si>
  <si>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</si>
  <si>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</si>
  <si>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</si>
  <si>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</si>
  <si>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</si>
  <si>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</si>
  <si>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</si>
  <si>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</si>
  <si>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</si>
  <si>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</si>
  <si>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</si>
  <si>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</si>
  <si>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</si>
  <si>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</si>
  <si>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</si>
  <si>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</si>
  <si>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</si>
  <si>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</si>
  <si>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</si>
  <si>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</si>
  <si>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</si>
  <si>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</si>
  <si>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</si>
  <si>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</si>
  <si>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</si>
  <si>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</si>
  <si>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</si>
  <si>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</si>
  <si>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</si>
  <si>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</si>
  <si>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</si>
  <si>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</si>
  <si>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</si>
  <si>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</si>
  <si>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</si>
  <si>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</si>
  <si>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</si>
  <si>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</si>
  <si>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</si>
  <si>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</si>
  <si>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</si>
  <si>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</si>
  <si>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</si>
  <si>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</si>
  <si>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</si>
  <si>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</si>
  <si>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</si>
  <si>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</si>
  <si>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</si>
  <si>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</si>
  <si>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</si>
  <si>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</si>
  <si>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</si>
  <si>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</si>
  <si>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</si>
  <si>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</si>
  <si>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</si>
  <si>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</si>
  <si>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</si>
  <si>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</si>
  <si>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</si>
  <si>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</si>
  <si>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</si>
  <si>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</si>
  <si>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</si>
  <si>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</si>
  <si>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</si>
  <si>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</si>
  <si>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</si>
  <si>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</si>
  <si>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</si>
  <si>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</si>
  <si>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</si>
  <si>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</si>
  <si>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</si>
  <si>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</si>
  <si>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</si>
  <si>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</si>
  <si>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</si>
  <si>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</si>
  <si>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</si>
  <si>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</si>
  <si>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</si>
  <si>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</si>
  <si>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</si>
  <si>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</si>
  <si>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</si>
  <si>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</si>
  <si>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</si>
  <si>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</si>
  <si>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</si>
  <si>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</si>
  <si>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</si>
  <si>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</si>
  <si>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</si>
  <si>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</si>
  <si>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</si>
  <si>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</si>
  <si>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</si>
  <si>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</si>
  <si>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</si>
  <si>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</si>
  <si>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</si>
  <si>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</si>
  <si>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</si>
  <si>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</si>
  <si>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</si>
  <si>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</si>
  <si>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</si>
  <si>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</si>
  <si>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</si>
  <si>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</si>
  <si>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</si>
  <si>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</si>
  <si>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</si>
  <si>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</si>
  <si>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</si>
  <si>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</si>
  <si>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</si>
  <si>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</si>
  <si>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</si>
  <si>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</si>
  <si>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</si>
  <si>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</si>
  <si>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</si>
  <si>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</si>
  <si>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</si>
  <si>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</si>
  <si>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</si>
  <si>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</si>
  <si>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</si>
  <si>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</si>
  <si>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</si>
  <si>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</si>
  <si>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</si>
  <si>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</si>
  <si>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</si>
  <si>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</si>
  <si>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</si>
  <si>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</si>
  <si>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</si>
  <si>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</si>
  <si>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</si>
  <si>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</si>
  <si>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</si>
  <si>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</si>
  <si>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</si>
  <si>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</si>
  <si>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</si>
  <si>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</si>
  <si>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</si>
  <si>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</si>
  <si>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</si>
  <si>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</si>
  <si>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</si>
  <si>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</si>
  <si>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</si>
  <si>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</si>
  <si>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</si>
  <si>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</si>
  <si>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</si>
  <si>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</si>
  <si>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</si>
  <si>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</si>
  <si>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</si>
  <si>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</si>
  <si>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</si>
  <si>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</si>
  <si>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</si>
  <si>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</si>
  <si>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</si>
  <si>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</si>
  <si>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</si>
  <si>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</si>
  <si>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</si>
  <si>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</si>
  <si>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</si>
  <si>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</si>
  <si>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</si>
  <si>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</si>
  <si>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</si>
  <si>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</si>
  <si>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</si>
  <si>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</si>
  <si>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</si>
  <si>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</si>
  <si>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</si>
  <si>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</si>
  <si>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</si>
  <si>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</si>
  <si>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</si>
  <si>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</si>
  <si>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</si>
  <si>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</si>
  <si>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</si>
  <si>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</si>
  <si>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</si>
  <si>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</si>
  <si>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</si>
  <si>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</si>
  <si>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</si>
  <si>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</si>
  <si>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</si>
  <si>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</si>
  <si>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</si>
  <si>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BF blending</t>
  </si>
  <si>
    <t>Other iron and steel</t>
  </si>
  <si>
    <t>Other chemicals</t>
  </si>
  <si>
    <t>Non-specified other industry</t>
  </si>
  <si>
    <t>Non-metallic minerals</t>
  </si>
  <si>
    <t>Imported Hydrogen from supply</t>
  </si>
  <si>
    <t>Chemicals</t>
  </si>
  <si>
    <t xml:space="preserve">Various </t>
  </si>
  <si>
    <t>H2 DRI</t>
  </si>
  <si>
    <t>Concept</t>
  </si>
  <si>
    <t>Unknown PtX</t>
  </si>
  <si>
    <t xml:space="preserve">Hydrogen supply technologies
</t>
  </si>
  <si>
    <t>Water electrolysis</t>
  </si>
  <si>
    <t>Alkaline electrolysis</t>
  </si>
  <si>
    <t>Proton exchange membrane electrolysis</t>
  </si>
  <si>
    <t>Solid oxide electrolysis cells</t>
  </si>
  <si>
    <t>Undisclosed electrolysis type</t>
  </si>
  <si>
    <t>Hydrogen demand</t>
  </si>
  <si>
    <t>End-use product</t>
  </si>
  <si>
    <t>Synthetic methane</t>
  </si>
  <si>
    <t>Hydrogen in molecular form</t>
  </si>
  <si>
    <t>Liquid organic hydrogen carriers</t>
  </si>
  <si>
    <t>End-use sector</t>
  </si>
  <si>
    <t>Use of hydrogen in refining of oil products.</t>
  </si>
  <si>
    <t>Use of hydrogen in methanol production (includes methanol as a chemical feedstock or as a fuel).</t>
  </si>
  <si>
    <t>Iron &amp;Steel</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</si>
  <si>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</si>
  <si>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</si>
  <si>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</si>
  <si>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t>Use of hydrogen in biofuels production.</t>
  </si>
  <si>
    <t>Production of synthetic liquid fuels (excluding methanol).</t>
  </si>
  <si>
    <t>Injection of synthetic methane in the natural gas grid.</t>
  </si>
  <si>
    <t>.</t>
  </si>
  <si>
    <t>Use of synthetic methane in vehicles.</t>
  </si>
  <si>
    <t>Estimated normalised capacity</t>
  </si>
  <si>
    <t xml:space="preserve">For ease of comparison, estimated normalised hydrogen production capacity in MW H₂ output (LHV) is included for all Power-to-X (PtX) projects. </t>
  </si>
  <si>
    <t>b) Coal fuelled plants: 1.9075 kg CO₂/nm³ H₂ and continuous operation (capacity factor of 1). Source: Orhan and Alper, 2014; adjusted for hydrogen production only.</t>
  </si>
  <si>
    <t>Conversions</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</si>
  <si>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</si>
  <si>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</si>
  <si>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</si>
  <si>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</si>
  <si>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</si>
  <si>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</si>
  <si>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This category contains biomass-based technologies such as biomass or waste gasification, biogas pyrolysis, biogas reforming or membrane separation.</t>
  </si>
  <si>
    <t>This category contains technologies different to those previously described, such as membrane separation from industrial residual gaseous streams.</t>
  </si>
  <si>
    <t>Use of hydrogen in ammonia production (includes ammonia as a chemical feedstock or as a fuel).</t>
  </si>
  <si>
    <t>Direct use of hydrogen in buildings for water and space heating.</t>
  </si>
  <si>
    <t>SOEC: 0.0038 MW/Nm³ H₂/hour</t>
  </si>
  <si>
    <t xml:space="preserve">Unknown PtX: 0.0045 MW/Nm³ H₂/hour (equivalent to 50 kWh/kg H₂). </t>
  </si>
  <si>
    <t>Fischer-Tropsch efficiency for liquid fuels: 73%.</t>
  </si>
  <si>
    <t>Methanation efficiency: 77%.</t>
  </si>
  <si>
    <t>When projects are divided into several phases, the total announced capacity is cited. However, for calculating  the normalised capacity, the installed capacity of each phase is reduced by the capacity of the precedent phase(s) to avoid double counting.</t>
  </si>
  <si>
    <t>Use of hydrogen in heat and power via CHPs, for example in fuel cells or turbines.</t>
  </si>
  <si>
    <t>Where available, production capacity in Nm³ H₂/hour as quoted by the project is used. If not specified, for PtX projects this is estimated using electrolyser power ratings. The assumed conversion factors are:</t>
  </si>
  <si>
    <t>ALK: 0.0046 MW/Nm³ H₂/hour</t>
  </si>
  <si>
    <t>PEM: 0.0052 MW/Nm³ H₂/hour</t>
  </si>
  <si>
    <t>a) Natural gas fuelled plants: 0.9105 kg CO₂/Nm³ H₂  and continuous operation (capacity factor of 1). Source: California Air Resources Board, 2018.</t>
  </si>
  <si>
    <t>Grid electricity</t>
  </si>
  <si>
    <t>Grid electricity+Renewables</t>
  </si>
  <si>
    <t>Dedicated renewables</t>
  </si>
  <si>
    <t>Injection of hydrogen in the natural gas grid. </t>
  </si>
  <si>
    <t>Date online</t>
  </si>
  <si>
    <t>Decomission date</t>
  </si>
  <si>
    <t>Technology</t>
  </si>
  <si>
    <t>Announced Size</t>
  </si>
  <si>
    <t>Refs</t>
  </si>
  <si>
    <t>Technology Comments</t>
  </si>
  <si>
    <t>Type of electricity (for electrolysis projects)</t>
  </si>
  <si>
    <t>If dedicated renewables, type of renewable</t>
  </si>
  <si>
    <t>CH4 grid inj.</t>
  </si>
  <si>
    <t>CH4 mobility</t>
  </si>
  <si>
    <t>MWel</t>
  </si>
  <si>
    <t>kt H2/y</t>
  </si>
  <si>
    <t>t CO₂ captured/y</t>
  </si>
  <si>
    <t>Capacity factor</t>
  </si>
  <si>
    <t>References</t>
  </si>
  <si>
    <t>Other projects from confidential sources (post-2023)</t>
  </si>
  <si>
    <t>2756 kt H2/y</t>
  </si>
  <si>
    <t>Various types</t>
  </si>
  <si>
    <t>488 kt H2/y</t>
  </si>
  <si>
    <t>16.4GW</t>
  </si>
  <si>
    <t>Other projects from confidential sources (2000-2023)</t>
  </si>
  <si>
    <t>7MW</t>
  </si>
  <si>
    <t>58.7MW</t>
  </si>
  <si>
    <t>Non-energy related projects (2000-2023)</t>
  </si>
  <si>
    <t>78MW</t>
  </si>
  <si>
    <t>Non-energy related projects (post-2023)</t>
  </si>
  <si>
    <t>0MW</t>
  </si>
  <si>
    <t>Solar PV Plant port of Sines</t>
  </si>
  <si>
    <t>1GW</t>
  </si>
  <si>
    <t>[495][607][608][1064]</t>
  </si>
  <si>
    <t>H2GO Energy Park Oude-Tonge - 1st phase</t>
  </si>
  <si>
    <t>FID/Construction</t>
  </si>
  <si>
    <t>2.5MW</t>
  </si>
  <si>
    <t>[503][630][609]</t>
  </si>
  <si>
    <t>H2GO Energy Park Oude-Tonge - 2nd phase</t>
  </si>
  <si>
    <t>26MW</t>
  </si>
  <si>
    <t>NortH2, phase 1</t>
  </si>
  <si>
    <t>4GW</t>
  </si>
  <si>
    <t>[379]</t>
  </si>
  <si>
    <t>Norsk e-Fuel Phase 1</t>
  </si>
  <si>
    <t>12.5 million litres of synthetic kerosene per year production</t>
  </si>
  <si>
    <t>[414] [521][1288][1449] [1693]</t>
  </si>
  <si>
    <t>Norsk e-Fuel Phase 2</t>
  </si>
  <si>
    <t>25 million litres of synthetic kerosene per year production</t>
  </si>
  <si>
    <t>[414] [521][1288]</t>
  </si>
  <si>
    <t>HYBRIT pilot</t>
  </si>
  <si>
    <t>4.5MW</t>
  </si>
  <si>
    <t>[299] [340] [434] [576]</t>
  </si>
  <si>
    <t>HYBRIT demo</t>
  </si>
  <si>
    <t>500 MW - 1.3 Mt DRI</t>
  </si>
  <si>
    <t>[299] [340][1108]</t>
  </si>
  <si>
    <t>Iberdrola - Puertollano I</t>
  </si>
  <si>
    <t>20 MW</t>
  </si>
  <si>
    <t>[567] [572][620][631]</t>
  </si>
  <si>
    <t>Green Hysland Mallorca - Phase 1</t>
  </si>
  <si>
    <t>2.5 MW</t>
  </si>
  <si>
    <t>[317] [319] [594] [682] [691] [692][1239]</t>
  </si>
  <si>
    <t>Power to Green H2 Mallorca (GREEN HYSLAND) - Phase 2</t>
  </si>
  <si>
    <t>[317] [319] [612] [682] [691]</t>
  </si>
  <si>
    <t>CRI project in Norway</t>
  </si>
  <si>
    <t>100000 t MeOH/y production</t>
  </si>
  <si>
    <t>[413]</t>
  </si>
  <si>
    <t>ARIES project</t>
  </si>
  <si>
    <t>Other/unknown</t>
  </si>
  <si>
    <t>1 MW</t>
  </si>
  <si>
    <t>[613] [614] [1618]</t>
  </si>
  <si>
    <t>Fukushima Hydrogen Energy Research Field</t>
  </si>
  <si>
    <t>10 MW</t>
  </si>
  <si>
    <t>[58] [135] [326] [327] [328]</t>
  </si>
  <si>
    <t>Hydrospider - St Gallen</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</si>
  <si>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</si>
  <si>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</si>
  <si>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</si>
  <si>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</si>
  <si>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</si>
  <si>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</si>
  <si>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</si>
  <si>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</si>
  <si>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</si>
  <si>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</si>
  <si>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</si>
  <si>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[383] [547]</t>
  </si>
  <si>
    <t>Wyhlen hydroelectric power plant</t>
  </si>
  <si>
    <t>[239] [354] [546] [737]</t>
  </si>
  <si>
    <t>GrInHy2.0</t>
  </si>
  <si>
    <t>0.7 MW - 200 Nm3 H2/h</t>
  </si>
  <si>
    <t>[298] [333] [586] [672] [2082]</t>
  </si>
  <si>
    <t>Power2Met</t>
  </si>
  <si>
    <t>0.25 MW - 50 Nm3 H2/h</t>
  </si>
  <si>
    <t>[565]</t>
  </si>
  <si>
    <t>REMOTE - Norway</t>
  </si>
  <si>
    <t>50 kW</t>
  </si>
  <si>
    <t>[423]</t>
  </si>
  <si>
    <t>H2One - Toranomon Hills Business Tower</t>
  </si>
  <si>
    <t>1 Nm3/h</t>
  </si>
  <si>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</si>
  <si>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</si>
  <si>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</si>
  <si>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</si>
  <si>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</si>
  <si>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</si>
  <si>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</si>
  <si>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</si>
  <si>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</si>
  <si>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</si>
  <si>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</si>
  <si>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</si>
  <si>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[394]</t>
  </si>
  <si>
    <t>PFI - Pirmasens-Winzeln</t>
  </si>
  <si>
    <t>[604]</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</si>
  <si>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</si>
  <si>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</si>
  <si>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</si>
  <si>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</si>
  <si>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[737][1002][1198]</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</si>
  <si>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</si>
  <si>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</si>
  <si>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Riga</t>
  </si>
  <si>
    <t>140 Nm3 H2/h</t>
  </si>
  <si>
    <t>[390] [391] [437]</t>
  </si>
  <si>
    <t>Houdain bus station HRS (TADAO/Bulle 6 SMTAG)</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</si>
  <si>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</si>
  <si>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</si>
  <si>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</si>
  <si>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</si>
  <si>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</si>
  <si>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</si>
  <si>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Fébus Pau bus station HRS</t>
  </si>
  <si>
    <t>0.75 MW</t>
  </si>
  <si>
    <t>[547]</t>
  </si>
  <si>
    <t>Solothurn, STORE&amp;GO</t>
  </si>
  <si>
    <t>0.35 MW</t>
  </si>
  <si>
    <t>[372]</t>
  </si>
  <si>
    <t>Sarawak Energy</t>
  </si>
  <si>
    <t>60 Nm3/h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</si>
  <si>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</si>
  <si>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</si>
  <si>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</si>
  <si>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</si>
  <si>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</si>
  <si>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</si>
  <si>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</si>
  <si>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</si>
  <si>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</si>
  <si>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</si>
  <si>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</si>
  <si>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</si>
  <si>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Nm3/h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</si>
  <si>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</si>
  <si>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</si>
  <si>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</si>
  <si>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</si>
  <si>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</si>
  <si>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</si>
  <si>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</si>
  <si>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</si>
  <si>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</si>
  <si>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</si>
  <si>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</si>
  <si>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</si>
  <si>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</si>
  <si>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</si>
  <si>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</si>
  <si>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Nm3 H2/h</t>
  </si>
  <si>
    <t>[556]</t>
  </si>
  <si>
    <t>Falkenhagen STORE&amp;GO</t>
  </si>
  <si>
    <t>1 MW - 180 Nm3 H2/h</t>
  </si>
  <si>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</si>
  <si>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</si>
  <si>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</si>
  <si>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</si>
  <si>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</si>
  <si>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</si>
  <si>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</si>
  <si>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</si>
  <si>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</si>
  <si>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</si>
  <si>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</si>
  <si>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Südermarsch</t>
  </si>
  <si>
    <t>2.4 MW - 450m3 H2/h</t>
  </si>
  <si>
    <t>[222] [431] [737]</t>
  </si>
  <si>
    <t>Carbon2Chem</t>
  </si>
  <si>
    <t>[459]</t>
  </si>
  <si>
    <t>SunLine Transit Agency</t>
  </si>
  <si>
    <t>1.5MW</t>
  </si>
  <si>
    <t>[405]</t>
  </si>
  <si>
    <t>HyBALANCE</t>
  </si>
  <si>
    <t>[2], [4], [8], [48], [49]</t>
  </si>
  <si>
    <t>Aberdeen Conference Center</t>
  </si>
  <si>
    <t>1MW - 200m3 H2/h</t>
  </si>
  <si>
    <t>[460]</t>
  </si>
  <si>
    <t>Lam Takhong Wind Hydrogen Hybrid Project- EGAT</t>
  </si>
  <si>
    <t>[407]</t>
  </si>
  <si>
    <t>H2ORIZON</t>
  </si>
  <si>
    <t>0.8 MW</t>
  </si>
  <si>
    <t>[31], [137], [138] [409]</t>
  </si>
  <si>
    <t>ASKO Midt-Norge</t>
  </si>
  <si>
    <t>0.7Mw or 150m3 H2/h</t>
  </si>
  <si>
    <t>[476]</t>
  </si>
  <si>
    <t>Underground Sun Storage</t>
  </si>
  <si>
    <t>0.6MW</t>
  </si>
  <si>
    <t>[399]</t>
  </si>
  <si>
    <t>Hydrogen plant - Orkney Islands - BIG HIT 1st phase</t>
  </si>
  <si>
    <t>0.7 MW</t>
  </si>
  <si>
    <t>[371] [383]</t>
  </si>
  <si>
    <t>Windgas Haurup, 1st phase</t>
  </si>
  <si>
    <t>0.225 MW</t>
  </si>
  <si>
    <t>[440]</t>
  </si>
  <si>
    <t>Troia,  STORE&amp;GO</t>
  </si>
  <si>
    <t>0.2MW</t>
  </si>
  <si>
    <t xml:space="preserve">GNVert H2 </t>
  </si>
  <si>
    <t>37 Nm3 H2/h</t>
  </si>
  <si>
    <t>[392]</t>
  </si>
  <si>
    <t>Tongji solar hybrid hydrogen refueling station</t>
  </si>
  <si>
    <t>25 Nm3 H2/h</t>
  </si>
  <si>
    <t>Methanation at Eichhof</t>
  </si>
  <si>
    <t>0.05 MW</t>
  </si>
  <si>
    <t>CoSin: Synthetic Natural Gas from Sewage, Barcelona</t>
  </si>
  <si>
    <t>20m3 CH4/h</t>
  </si>
  <si>
    <t>[120], [202], [203] [402]</t>
  </si>
  <si>
    <t>REFLEX</t>
  </si>
  <si>
    <t>10m3 H2/h</t>
  </si>
  <si>
    <t>[401]</t>
  </si>
  <si>
    <t>Sendai City</t>
  </si>
  <si>
    <t>[403]</t>
  </si>
  <si>
    <t>Rostock, Exytron Demonstrationsanlage</t>
  </si>
  <si>
    <t>4m3 H2/h</t>
  </si>
  <si>
    <t>[2], [165] [373]</t>
  </si>
  <si>
    <t>Tokyu Construction Institute of Technology</t>
  </si>
  <si>
    <t>1m3 H2/h</t>
  </si>
  <si>
    <t>[543]</t>
  </si>
  <si>
    <t>Rakuten Seimei Park Miyagi</t>
  </si>
  <si>
    <t>MicroPyros, Altenstant</t>
  </si>
  <si>
    <t>0.25 Nm3 H2/h</t>
  </si>
  <si>
    <t>[384]</t>
  </si>
  <si>
    <t>Oxelösund Forklifts</t>
  </si>
  <si>
    <t>[404]</t>
  </si>
  <si>
    <t>H21 Leeds City Gate - Teesside hydrogen</t>
  </si>
  <si>
    <t>ATR+CCUS</t>
  </si>
  <si>
    <t>1GW H2 - 1.5Mt CO2/y</t>
  </si>
  <si>
    <t>[269] [302] [1121]</t>
  </si>
  <si>
    <t>Hynet Northwest, phase 1 (Essar Stanlow refinery)</t>
  </si>
  <si>
    <t>3 TWh H2/y - 0.81Mt CO2/y</t>
  </si>
  <si>
    <t>[300], [709]</t>
  </si>
  <si>
    <t>Baicheng, Jilin wind-solar project</t>
  </si>
  <si>
    <t>1 Mt H2/y production</t>
  </si>
  <si>
    <t>[773]</t>
  </si>
  <si>
    <t>Alzey, Exytron Null-E</t>
  </si>
  <si>
    <t>0.0625MW</t>
  </si>
  <si>
    <t>[2], [166], [167] [409]</t>
  </si>
  <si>
    <t>Energy observer</t>
  </si>
  <si>
    <t>9 Nm3/h</t>
  </si>
  <si>
    <t>[250] [365]</t>
  </si>
  <si>
    <t>Haldor Topsoe - El-Opgraderet Biogas II</t>
  </si>
  <si>
    <t>10 Nm3/h</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</si>
  <si>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</si>
  <si>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</si>
  <si>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</si>
  <si>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</si>
  <si>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</si>
  <si>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</si>
  <si>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</si>
  <si>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</si>
  <si>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</si>
  <si>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</si>
  <si>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</si>
  <si>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</si>
  <si>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</si>
  <si>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</si>
  <si>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</si>
  <si>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</si>
  <si>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</si>
  <si>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</si>
  <si>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</si>
  <si>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</si>
  <si>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</si>
  <si>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</si>
  <si>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</si>
  <si>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</si>
  <si>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</si>
  <si>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</si>
  <si>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</si>
  <si>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</si>
  <si>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</si>
  <si>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</si>
  <si>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</si>
  <si>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</si>
  <si>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</si>
  <si>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</si>
  <si>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</si>
  <si>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</si>
  <si>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RH2 Grapzow, Mecklenburg Vorpommern</t>
  </si>
  <si>
    <t>[386] [737]</t>
  </si>
  <si>
    <t>P2G-Biocat - Continued (Ref 508)</t>
  </si>
  <si>
    <t>0.5 MW - 100 Nm3H2/h</t>
  </si>
  <si>
    <t>Raglan Nickel mine</t>
  </si>
  <si>
    <t>[4], [109], [214]</t>
  </si>
  <si>
    <t>Don Quichote</t>
  </si>
  <si>
    <t>0.3 MW - 60 Nm3 H2/h</t>
  </si>
  <si>
    <t>[4] [388]</t>
  </si>
  <si>
    <t>Regio Energie Solothurn/Aarmat hybrid plant</t>
  </si>
  <si>
    <t>0.7MW - 60m3 H2/h</t>
  </si>
  <si>
    <t>[2], [109], [110] [469]</t>
  </si>
  <si>
    <t>RWE PtG plant Ibbenbüren</t>
  </si>
  <si>
    <t>[1], [2], [7], [9], [82] [385]</t>
  </si>
  <si>
    <t>DemoSNG</t>
  </si>
  <si>
    <t>28 Nm3/h</t>
  </si>
  <si>
    <t>[387]</t>
  </si>
  <si>
    <t>Stromlückenfüller 1st phase</t>
  </si>
  <si>
    <t>0.02MW</t>
  </si>
  <si>
    <t>Higashi-Ogishima-Naga-Park</t>
  </si>
  <si>
    <t>[280]</t>
  </si>
  <si>
    <t>Emden II Upscaling</t>
  </si>
  <si>
    <t>SYNFUEL</t>
  </si>
  <si>
    <t>Hydrogen Valley South Tyrol - Bolzano, CHIC</t>
  </si>
  <si>
    <t>1.5MW - 180m3 H2/h</t>
  </si>
  <si>
    <t>[864] [865]</t>
  </si>
  <si>
    <t>H2BER (Berlin airport)</t>
  </si>
  <si>
    <t>[2], [7], [97] [409]</t>
  </si>
  <si>
    <t>Westkuste 100 (Phase 1) - HyScale 100, Heide</t>
  </si>
  <si>
    <t>30MW</t>
  </si>
  <si>
    <t>[453] [454] [573] [580]</t>
  </si>
  <si>
    <t>Hanau, Wolfgang Industrial Park</t>
  </si>
  <si>
    <t>[2], [177], [178]</t>
  </si>
  <si>
    <t>MicroPyros, Staubing</t>
  </si>
  <si>
    <t>[7] [143] [144]</t>
  </si>
  <si>
    <t>ETOGAS, Solar Fuel Beta-plant AUDI, Werlte (Audi e-gas)</t>
  </si>
  <si>
    <t>6.3 MW</t>
  </si>
  <si>
    <t>H2 Logic HRS with onsite electrolysis Aalborg</t>
  </si>
  <si>
    <t>200 kg H2/d</t>
  </si>
  <si>
    <t>[484]</t>
  </si>
  <si>
    <t>WindGas Falkenhagen</t>
  </si>
  <si>
    <t>P2G plant Erdgas Schwaben</t>
  </si>
  <si>
    <t>[1]</t>
  </si>
  <si>
    <t>Oslo, CHIC</t>
  </si>
  <si>
    <t>0.6MW - 120 Nm3 H2/h</t>
  </si>
  <si>
    <t>HySynergy, phase 1</t>
  </si>
  <si>
    <t>20MW</t>
  </si>
  <si>
    <t>[288] [331]</t>
  </si>
  <si>
    <t>CO2RRECT-Niederaussem</t>
  </si>
  <si>
    <t>50 Nm3 H2/h</t>
  </si>
  <si>
    <t>[1], [2], [7], [12], [18], [122], [123]</t>
  </si>
  <si>
    <t>Sir Samuel building Griffith Center, Brisbane, Australia</t>
  </si>
  <si>
    <t>0.2MW - 30 Nm3 H2/h</t>
  </si>
  <si>
    <t>MicrobEnergy GmbH, Schwandorf</t>
  </si>
  <si>
    <t>0.18 MW</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</si>
  <si>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</si>
  <si>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</si>
  <si>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</si>
  <si>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</si>
  <si>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</si>
  <si>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</si>
  <si>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</si>
  <si>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</si>
  <si>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</si>
  <si>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</si>
  <si>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</si>
  <si>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</si>
  <si>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</si>
  <si>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</si>
  <si>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</si>
  <si>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H2 research center BTU Cottbus</t>
  </si>
  <si>
    <t>0.14MW</t>
  </si>
  <si>
    <t>[1], [2], [5], [7], [46]</t>
  </si>
  <si>
    <t>Cotbus</t>
  </si>
  <si>
    <t>0.12 MW - 30 Nm3 H2/h</t>
  </si>
  <si>
    <t>Eucolino Schwandorf</t>
  </si>
  <si>
    <t>24 Nm3 H2/h</t>
  </si>
  <si>
    <t>[1], [2], [3], [9], [36]</t>
  </si>
  <si>
    <t>Agios Efstratios</t>
  </si>
  <si>
    <t>0.1MW</t>
  </si>
  <si>
    <t>[409]</t>
  </si>
  <si>
    <t>Hydrogen mini grid system Yorkshire (Rotherham)</t>
  </si>
  <si>
    <t>0.03MW</t>
  </si>
  <si>
    <t>[1], [2], [5], [7]</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</si>
  <si>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</si>
  <si>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</si>
  <si>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</si>
  <si>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</si>
  <si>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</si>
  <si>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</si>
  <si>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</si>
  <si>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</si>
  <si>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</si>
  <si>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</si>
  <si>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</si>
  <si>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Nm3 H2/h</t>
  </si>
  <si>
    <t>[1], [2], [5], [7], [9], [71] [526]</t>
  </si>
  <si>
    <t>EnBW H2 station, Stuttgart</t>
  </si>
  <si>
    <t>0.3MW - 60 Nm3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</si>
  <si>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</si>
  <si>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</si>
  <si>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</si>
  <si>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</si>
  <si>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</si>
  <si>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</si>
  <si>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</si>
  <si>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</si>
  <si>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</si>
  <si>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</si>
  <si>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</si>
  <si>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</si>
  <si>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</si>
  <si>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</si>
  <si>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</si>
  <si>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</si>
  <si>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</si>
  <si>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</si>
  <si>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</si>
  <si>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</si>
  <si>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</si>
  <si>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</si>
  <si>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</si>
  <si>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</si>
  <si>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</si>
  <si>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 Nm3/h</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</si>
  <si>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</si>
  <si>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</si>
  <si>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</si>
  <si>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</si>
  <si>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</si>
  <si>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</si>
  <si>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</si>
  <si>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</si>
  <si>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</si>
  <si>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</si>
  <si>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</si>
  <si>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</si>
  <si>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</si>
  <si>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</si>
  <si>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</si>
  <si>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</si>
  <si>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</si>
  <si>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</si>
  <si>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</si>
  <si>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</si>
  <si>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</si>
  <si>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</si>
  <si>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</si>
  <si>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</si>
  <si>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</si>
  <si>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</si>
  <si>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</si>
  <si>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</si>
  <si>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</si>
  <si>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</si>
  <si>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</si>
  <si>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</si>
  <si>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</si>
  <si>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</si>
  <si>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</si>
  <si>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</si>
  <si>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</si>
  <si>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</si>
  <si>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</si>
  <si>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</si>
  <si>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</si>
  <si>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</si>
  <si>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</si>
  <si>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</si>
  <si>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</si>
  <si>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</si>
  <si>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</si>
  <si>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</si>
  <si>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</si>
  <si>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</si>
  <si>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</si>
  <si>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</si>
  <si>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</si>
  <si>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1.2 MW</t>
  </si>
  <si>
    <t>[509]</t>
  </si>
  <si>
    <t>Tohoku pilot plant in 2003</t>
  </si>
  <si>
    <t>[3] [7]</t>
  </si>
  <si>
    <t>Gwalpahari Solar-Hydrogen demonstration</t>
  </si>
  <si>
    <t>0.12MW</t>
  </si>
  <si>
    <t>[249] [409]</t>
  </si>
  <si>
    <t xml:space="preserve">Solar Energy Centre SmartFuel hydrogen station </t>
  </si>
  <si>
    <t>FaHyence</t>
  </si>
  <si>
    <t>30 Nm3/h</t>
  </si>
  <si>
    <t>[411]</t>
  </si>
  <si>
    <t>CPI Zaoquan thermal power plant in China's Ningxia region</t>
  </si>
  <si>
    <t>20 Nm3/h</t>
  </si>
  <si>
    <t>Laboratory Plant HRI Quebec</t>
  </si>
  <si>
    <t>0.005MW - 1 Nm3 H2/h</t>
  </si>
  <si>
    <t xml:space="preserve"> [1], [5], [87], [89], [90]</t>
  </si>
  <si>
    <t>Power plant in Lebanon for a Power Plant Cooling application</t>
  </si>
  <si>
    <t>0.114MW</t>
  </si>
  <si>
    <t>Minatec's semiconductor labs in Grenoble</t>
  </si>
  <si>
    <t>12 Nm3 H2/h</t>
  </si>
  <si>
    <t>Grimstad Renewable Energy Park</t>
  </si>
  <si>
    <t xml:space="preserve"> [1], [5], [53]</t>
  </si>
  <si>
    <t>Hypos - Sunfire</t>
  </si>
  <si>
    <t>0.18MW - 50 Nm3 H2/h</t>
  </si>
  <si>
    <t>[448]</t>
  </si>
  <si>
    <t>Electrochaea: Biological methanation in Avedøre</t>
  </si>
  <si>
    <t>1.2MW - 2000 Nm3 H2/h</t>
  </si>
  <si>
    <t>[491]</t>
  </si>
  <si>
    <t>REMOTE - Agkistro (Greece</t>
  </si>
  <si>
    <t>[615] [730]</t>
  </si>
  <si>
    <t>REMOTE - Spain, Canary Islands</t>
  </si>
  <si>
    <t>0.080MW</t>
  </si>
  <si>
    <t>Aman - Green Hydrogen Project - phase 1</t>
  </si>
  <si>
    <t>[929][980][1001][1120][1205]</t>
  </si>
  <si>
    <t>HRS CMB Port of Antwerp</t>
  </si>
  <si>
    <t>[616] [829][966]</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</si>
  <si>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</si>
  <si>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</si>
  <si>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</si>
  <si>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</si>
  <si>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</si>
  <si>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</si>
  <si>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</si>
  <si>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</si>
  <si>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Iberdrola - Puertollano II (extension from Ref10)</t>
  </si>
  <si>
    <t>210MW (in addition to the 20MW included in Ref 10)</t>
  </si>
  <si>
    <t>[620][631]</t>
  </si>
  <si>
    <t>Hyoffwind Zeebrugge</t>
  </si>
  <si>
    <t>25MW</t>
  </si>
  <si>
    <t>"Waste-to-wheels" Charleroi</t>
  </si>
  <si>
    <t>[530][656][1616]</t>
  </si>
  <si>
    <t>Power-to-Methanol, Antwerp, phase 1</t>
  </si>
  <si>
    <t>10MW - 8kt MeO/y</t>
  </si>
  <si>
    <t>[430] [507]</t>
  </si>
  <si>
    <t>Green Fuels for Denmark - Phase 1</t>
  </si>
  <si>
    <t>10MW</t>
  </si>
  <si>
    <t>[512] [515][1258]</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</si>
  <si>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</si>
  <si>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</si>
  <si>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</si>
  <si>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</si>
  <si>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</si>
  <si>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</si>
  <si>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</si>
  <si>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</si>
  <si>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</si>
  <si>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</si>
  <si>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</si>
  <si>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</si>
  <si>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</si>
  <si>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</si>
  <si>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</si>
  <si>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</si>
  <si>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</si>
  <si>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</si>
  <si>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</si>
  <si>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Nm3 H2/h</t>
  </si>
  <si>
    <t>[3], [7], [9], [98] [478]</t>
  </si>
  <si>
    <t>MeGa-stoRE Optimising and Upscaling</t>
  </si>
  <si>
    <t>0.25MW</t>
  </si>
  <si>
    <t>[3], [7], [9], [98]</t>
  </si>
  <si>
    <t>Vestenskov/ Nakskov Industrial and Environmental Park, Lolland</t>
  </si>
  <si>
    <t>16 Nm3 H2/h</t>
  </si>
  <si>
    <t>[1], [2], [5], [7], [9], [55], [57] [409[</t>
  </si>
  <si>
    <t>H2RES - Orsted offshore wind</t>
  </si>
  <si>
    <t>2MW</t>
  </si>
  <si>
    <t>[696] [918] [919][1248]</t>
  </si>
  <si>
    <t>Samsø</t>
  </si>
  <si>
    <t>Høst - Esbjerg green ammonia plant</t>
  </si>
  <si>
    <t>[734]</t>
  </si>
  <si>
    <t>HRS Aalborg</t>
  </si>
  <si>
    <t>0.25MW - 60m3 H2/h</t>
  </si>
  <si>
    <t>[583]</t>
  </si>
  <si>
    <t>eSMR Methanol demo plant in Aarhus University</t>
  </si>
  <si>
    <t>10kg MeOH/h</t>
  </si>
  <si>
    <t>[490] [1617]</t>
  </si>
  <si>
    <t>HyCycle - Center for renewable H2 (R&amp;D)</t>
  </si>
  <si>
    <t>NEXPEL (R&amp;D)</t>
  </si>
  <si>
    <t>[1], [152], [153]</t>
  </si>
  <si>
    <t>Glomfjord Hydrogen AS</t>
  </si>
  <si>
    <t>[496]</t>
  </si>
  <si>
    <t>HyNor Lillestrøm, Akershus Energy Park</t>
  </si>
  <si>
    <t>Statkraft-CELSA-Mo green H2 for steel production</t>
  </si>
  <si>
    <t>40-50MW</t>
  </si>
  <si>
    <t>[527][619]</t>
  </si>
  <si>
    <t>Utsira Island</t>
  </si>
  <si>
    <t>0.048MW - 10m3 H2/h</t>
  </si>
  <si>
    <t>[1], [2], [5], [7], [87], [88]</t>
  </si>
  <si>
    <t>Acorn H2</t>
  </si>
  <si>
    <t>200MW - 0.4Mt CO2/y</t>
  </si>
  <si>
    <t>[475] [721]</t>
  </si>
  <si>
    <t>Laboratory System at IFE Kjeller Phase 1</t>
  </si>
  <si>
    <t>0.7 Nm3 H2/h</t>
  </si>
  <si>
    <t>[1], [5]</t>
  </si>
  <si>
    <t>Green fertilizer project Porsgrunn-Heroya, phase 1 - SKREI</t>
  </si>
  <si>
    <t>24MW</t>
  </si>
  <si>
    <t>[415][664][1197][1215]</t>
  </si>
  <si>
    <t>4Kvinnherad Power-to-Gas</t>
  </si>
  <si>
    <t>30-60MW - 10-20t H2/d</t>
  </si>
  <si>
    <t>Gigastack-Hornsea 2, phase I</t>
  </si>
  <si>
    <t>[492][1124]</t>
  </si>
  <si>
    <t>The Hydrogen office</t>
  </si>
  <si>
    <t>5.3 Nm3 H2/h</t>
  </si>
  <si>
    <t>[1], [5], [173], [174]</t>
  </si>
  <si>
    <t>RABH2</t>
  </si>
  <si>
    <t>[1], [5], [136]</t>
  </si>
  <si>
    <t>Air Fuel Synthesis pilot plant</t>
  </si>
  <si>
    <t>[1], [5], [15]</t>
  </si>
  <si>
    <t>Aberdeen Kittybrewster, Hydrogen bus project</t>
  </si>
  <si>
    <t>1MW - 180m3 H2/h</t>
  </si>
  <si>
    <t>[2], [4], [187], [188]</t>
  </si>
  <si>
    <t>Fife, Levenmouth Community Energy Project</t>
  </si>
  <si>
    <t>0.37MW</t>
  </si>
  <si>
    <t>[2], [4], [189], [190], [191] [409]</t>
  </si>
  <si>
    <t>PURE Project, Unst</t>
  </si>
  <si>
    <t>0.015MW</t>
  </si>
  <si>
    <t>[1], [5], [86], [87]</t>
  </si>
  <si>
    <t>Tyseley Energy Park refuelling hub Birmingham</t>
  </si>
  <si>
    <t>3MW</t>
  </si>
  <si>
    <t>[592] [593][1199]</t>
  </si>
  <si>
    <t>H2H Saltend, phase 1</t>
  </si>
  <si>
    <t>1Mt CO2/y - 600 MW H2</t>
  </si>
  <si>
    <t>[540] [541]</t>
  </si>
  <si>
    <t>Green Fuels for Denmark - Phase 2</t>
  </si>
  <si>
    <t>100MW</t>
  </si>
  <si>
    <t>[512] [515][725][1258]</t>
  </si>
  <si>
    <t>Green Fuels for Denmark - Phase 3</t>
  </si>
  <si>
    <t>250MW</t>
  </si>
  <si>
    <t>Green Hydrogen for Scotland</t>
  </si>
  <si>
    <t>[581] [854][1514]</t>
  </si>
  <si>
    <t>CF Industries - Donaldsonville Nitrogen Complex</t>
  </si>
  <si>
    <t>20 kt NH3/y - 20MW</t>
  </si>
  <si>
    <t>[621] [622] [884] [885] [1672]</t>
  </si>
  <si>
    <t>Linde - Ontario (California)</t>
  </si>
  <si>
    <t>[623] [1836]</t>
  </si>
  <si>
    <t>Westkuste 100 (Phase 2)</t>
  </si>
  <si>
    <t>700MW</t>
  </si>
  <si>
    <t>[580]</t>
  </si>
  <si>
    <t>H2 Pilotanlage  Lingen, phase 1</t>
  </si>
  <si>
    <t>[314][945][1180][1212] [1551]</t>
  </si>
  <si>
    <t>HySynGas</t>
  </si>
  <si>
    <t>50MW</t>
  </si>
  <si>
    <t>[264] [473]</t>
  </si>
  <si>
    <t>Northern Irish hydrogen project - Ballymena Hydrogen</t>
  </si>
  <si>
    <t>[624][625]</t>
  </si>
  <si>
    <t xml:space="preserve"> Liquid Wind, FlagshipONE</t>
  </si>
  <si>
    <t>70MW - 50kt MeOH/y</t>
  </si>
  <si>
    <t>[449] [450] [626][1595]</t>
  </si>
  <si>
    <t>Eyre Peninsula Gateway Hydrogen Project, phase 1</t>
  </si>
  <si>
    <t>100 MW - 15 kt H2/y, 40 kt NH3/y</t>
  </si>
  <si>
    <t>[628][658][1533]</t>
  </si>
  <si>
    <t>North CCU HUB, phase 1. North C Hydrogen</t>
  </si>
  <si>
    <t>65MW-45kt MeOH</t>
  </si>
  <si>
    <t>[444] [654]</t>
  </si>
  <si>
    <t>Centurion</t>
  </si>
  <si>
    <t>[232] [473]</t>
  </si>
  <si>
    <t>Asian Renewable Energy Hub, first phase</t>
  </si>
  <si>
    <t>[493][618][660][889]</t>
  </si>
  <si>
    <t>IPCEI SilverFrog</t>
  </si>
  <si>
    <t>1000MW</t>
  </si>
  <si>
    <t>[419]</t>
  </si>
  <si>
    <t>IPCEI New Green Flamingo</t>
  </si>
  <si>
    <t>PRT
ESP</t>
  </si>
  <si>
    <t>5000MW</t>
  </si>
  <si>
    <t>[416]</t>
  </si>
  <si>
    <t>Murchison</t>
  </si>
  <si>
    <t>3000MW</t>
  </si>
  <si>
    <t>[291] [377] [494] [520] [660] [676][889]</t>
  </si>
  <si>
    <t>NEOM Green Hydrogen Project</t>
  </si>
  <si>
    <t>2GW - 650t H2/d - 1.2Mt NH3/y</t>
  </si>
  <si>
    <t>[562][1186] [1297] [1666]</t>
  </si>
  <si>
    <t>IPCEI Blue Danube</t>
  </si>
  <si>
    <t>ROM
DEU
AUT</t>
  </si>
  <si>
    <t>1500-2115MW</t>
  </si>
  <si>
    <t>Project GERI</t>
  </si>
  <si>
    <t>[1026]</t>
  </si>
  <si>
    <t>IPCEI Black Horse (40 electrolysis production sites)</t>
  </si>
  <si>
    <t>POL
CZE
SVK
HUN</t>
  </si>
  <si>
    <t>320 t H2/d</t>
  </si>
  <si>
    <t>Project NEO</t>
  </si>
  <si>
    <t>[520]</t>
  </si>
  <si>
    <t>NEL - Nikola Agreement H2 refuelling stations in USA (total)</t>
  </si>
  <si>
    <t>[270]</t>
  </si>
  <si>
    <t>HyEx - phase 1</t>
  </si>
  <si>
    <t>Grid+Renewables</t>
  </si>
  <si>
    <t>[537] [579][892][1044][1210]</t>
  </si>
  <si>
    <t>HyEx - phase 2</t>
  </si>
  <si>
    <t>2000MW</t>
  </si>
  <si>
    <t>[537] [579][995][1044][1210]</t>
  </si>
  <si>
    <t>HyNetherlands, 1st phase</t>
  </si>
  <si>
    <t>[275] [630] [920] [1662]</t>
  </si>
  <si>
    <t>HyNetherlands 2nd phase</t>
  </si>
  <si>
    <t>[275] [630]</t>
  </si>
  <si>
    <t>HyGreen Provence (Phase 1)</t>
  </si>
  <si>
    <t>1MW</t>
  </si>
  <si>
    <t>[337] [338]</t>
  </si>
  <si>
    <t>HyGreen Provence (Phase 2)</t>
  </si>
  <si>
    <t>130MW</t>
  </si>
  <si>
    <t>HyGreen Provence (Phase 3)</t>
  </si>
  <si>
    <t>470MW</t>
  </si>
  <si>
    <t>Sundance Hydrogen</t>
  </si>
  <si>
    <t>60t H2/d production</t>
  </si>
  <si>
    <t>[522] [523]</t>
  </si>
  <si>
    <t>Port of Rotterdam BP refinery - H2-Fifty</t>
  </si>
  <si>
    <t>[266][630]</t>
  </si>
  <si>
    <t>Hysencia, Phase I</t>
  </si>
  <si>
    <t>40MW</t>
  </si>
  <si>
    <t>[560] [800]</t>
  </si>
  <si>
    <t>Ningxia Solar Hydrogen Project, Phase 1</t>
  </si>
  <si>
    <t>[479] [830][1244]</t>
  </si>
  <si>
    <t>Dyno Nobel Renewable Hydrogen Project</t>
  </si>
  <si>
    <t>160MW</t>
  </si>
  <si>
    <t>[287]</t>
  </si>
  <si>
    <t>Green Crane Pais Vasco Hub</t>
  </si>
  <si>
    <t>150MW</t>
  </si>
  <si>
    <t>[319]</t>
  </si>
  <si>
    <t>Green Crane - La Robla, Phase 1</t>
  </si>
  <si>
    <t>60MW</t>
  </si>
  <si>
    <t>Green Crane, Aragon Hub</t>
  </si>
  <si>
    <t>Hydrogen Plant for Westereems Wind Farm (RWE Eemshydrogen)</t>
  </si>
  <si>
    <t>[286] [503][630][920] [1662]</t>
  </si>
  <si>
    <t>Queensland Nitrates Renewable Hydrogen and Ammonia</t>
  </si>
  <si>
    <t>[376]</t>
  </si>
  <si>
    <t>Hemweg hub Amsterdam - Hy4Am</t>
  </si>
  <si>
    <t>[503][630] [1662]</t>
  </si>
  <si>
    <t>Weifang Binhai Photovoltaic 100MW Hydrogen Generation Project</t>
  </si>
  <si>
    <t>[595] [769]</t>
  </si>
  <si>
    <t>GreenH2UB (10 hubs of 3-10MW, the first one Ref786)</t>
  </si>
  <si>
    <t>[503][630]</t>
  </si>
  <si>
    <t>Vallée Hydrogène Grand Ouest (VHyGO) - H2 Ouest (Phase 1)</t>
  </si>
  <si>
    <t>750kW - 300kg H2/d</t>
  </si>
  <si>
    <t>[857] [858][1014], Platts European Gas Daily 08-09-2021</t>
  </si>
  <si>
    <t>Vallée Hydrogène Grand Ouest (VHyGO) - EffiH2</t>
  </si>
  <si>
    <t>1MW or 300 kg H2/d</t>
  </si>
  <si>
    <t>[857] [858] [1609] [1610]</t>
  </si>
  <si>
    <t>H2SusBuild / RES-H2</t>
  </si>
  <si>
    <t xml:space="preserve"> [1], [60], [61]</t>
  </si>
  <si>
    <t>Ferrolterra plant, pahse 1</t>
  </si>
  <si>
    <t>[598][1398]</t>
  </si>
  <si>
    <t>ELYGRID (R&amp;D)</t>
  </si>
  <si>
    <t>2.6MW</t>
  </si>
  <si>
    <t>[1], [29] [409]</t>
  </si>
  <si>
    <t>Aviation synfuels</t>
  </si>
  <si>
    <t>10000t synthetic kerosene/y production</t>
  </si>
  <si>
    <t>[534]</t>
  </si>
  <si>
    <t xml:space="preserve">Tapada do Outeiro natural gas power plant </t>
  </si>
  <si>
    <t>15MW</t>
  </si>
  <si>
    <t>Lingen Green Hydrogen (LGH2) Phase 1</t>
  </si>
  <si>
    <t>[272][638]</t>
  </si>
  <si>
    <t>Wunsiedel Energy Park (Phase 1)</t>
  </si>
  <si>
    <t>8.8MW</t>
  </si>
  <si>
    <t>[582][1022][1593]</t>
  </si>
  <si>
    <t>Wunsiedel Energy Park (Phase 2)</t>
  </si>
  <si>
    <t>2kt H2/y production</t>
  </si>
  <si>
    <t>[582]</t>
  </si>
  <si>
    <t>Repsol Basque Hydrogen Corrido Bilbao, phase 1</t>
  </si>
  <si>
    <t>[531] [532] [739] [757][1392]</t>
  </si>
  <si>
    <t>16m3 H2/h</t>
  </si>
  <si>
    <t>[489]</t>
  </si>
  <si>
    <t>Hydrogen Island Aitutaki</t>
  </si>
  <si>
    <t>[1], [5], [72], [73] [409]</t>
  </si>
  <si>
    <t>[1], [5], [72], [73]</t>
  </si>
  <si>
    <t>E-Thor</t>
  </si>
  <si>
    <t>5MW</t>
  </si>
  <si>
    <t>[503][630] [630]</t>
  </si>
  <si>
    <t>H₂ Air Base Leeuwarden</t>
  </si>
  <si>
    <t>[503][630] [630][1662]</t>
  </si>
  <si>
    <t>SEE / Storage of electric energy</t>
  </si>
  <si>
    <t>[1] [3]</t>
  </si>
  <si>
    <t>New zealand Matiu/Somes Island</t>
  </si>
  <si>
    <t>0.0012MW</t>
  </si>
  <si>
    <t>[63]</t>
  </si>
  <si>
    <t>Vendée hydrogène</t>
  </si>
  <si>
    <t>3.4MW</t>
  </si>
  <si>
    <t>RESelyser (R&amp;D)</t>
  </si>
  <si>
    <t>0.001MW</t>
  </si>
  <si>
    <t>[1], [158], [159], [206]</t>
  </si>
  <si>
    <t>DVGW-EBI KIT - Demo-SNG</t>
  </si>
  <si>
    <t>[3], [194]</t>
  </si>
  <si>
    <t>Multiphly</t>
  </si>
  <si>
    <t>[1669]</t>
  </si>
  <si>
    <t>[244]</t>
  </si>
  <si>
    <t>PostBus Hydrogen bus, Brugg, aargau CHIC</t>
  </si>
  <si>
    <t>60m3 H2/h</t>
  </si>
  <si>
    <t>[2], [149], [150]</t>
  </si>
  <si>
    <t>Emden I Biogas upgrading</t>
  </si>
  <si>
    <t>0.312MW</t>
  </si>
  <si>
    <t>[2], [3] [409]</t>
  </si>
  <si>
    <t>PtG Switzerland</t>
  </si>
  <si>
    <t>[425][1591]</t>
  </si>
  <si>
    <t>MYRTE</t>
  </si>
  <si>
    <t>0.11MW</t>
  </si>
  <si>
    <t>[1], [2], [5], [7], [9], [83] [466]</t>
  </si>
  <si>
    <t>H2OzBus Project</t>
  </si>
  <si>
    <t>[514]</t>
  </si>
  <si>
    <t>Sunfire PtL demo "Fuel1"</t>
  </si>
  <si>
    <t>[7], [211]</t>
  </si>
  <si>
    <t>Hyport - Toulouse-Blagnac Airport</t>
  </si>
  <si>
    <t>[528] [754][1200][1611]</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</si>
  <si>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</si>
  <si>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</si>
  <si>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</si>
  <si>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</si>
  <si>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</si>
  <si>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</si>
  <si>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</si>
  <si>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</si>
  <si>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</si>
  <si>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</si>
  <si>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</si>
  <si>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</si>
  <si>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</si>
  <si>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</si>
  <si>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</si>
  <si>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</si>
  <si>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</si>
  <si>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</si>
  <si>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</si>
  <si>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</si>
  <si>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</si>
  <si>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</si>
  <si>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</si>
  <si>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</si>
  <si>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</si>
  <si>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</si>
  <si>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</si>
  <si>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</si>
  <si>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</si>
  <si>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</si>
  <si>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</si>
  <si>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</si>
  <si>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</si>
  <si>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</si>
  <si>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</si>
  <si>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</si>
  <si>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</si>
  <si>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</si>
  <si>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</si>
  <si>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</si>
  <si>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</si>
  <si>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</si>
  <si>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</si>
  <si>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ECTOS</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</si>
  <si>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</si>
  <si>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</si>
  <si>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</si>
  <si>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</si>
  <si>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</si>
  <si>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</si>
  <si>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</si>
  <si>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</si>
  <si>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</si>
  <si>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</si>
  <si>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</si>
  <si>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</si>
  <si>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</si>
  <si>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SMR+CCUS</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</si>
  <si>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</si>
  <si>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</si>
  <si>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</si>
  <si>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</si>
  <si>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</si>
  <si>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</si>
  <si>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</si>
  <si>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</si>
  <si>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</si>
  <si>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</si>
  <si>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</si>
  <si>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</si>
  <si>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</si>
  <si>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</si>
  <si>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</si>
  <si>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</si>
  <si>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</si>
  <si>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</si>
  <si>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Nm3 H2/h</t>
  </si>
  <si>
    <t>[1] [5] [463]</t>
  </si>
  <si>
    <t>Jupiter 1000</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</si>
  <si>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</si>
  <si>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</si>
  <si>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</si>
  <si>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</si>
  <si>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</si>
  <si>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</si>
  <si>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</si>
  <si>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</si>
  <si>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</si>
  <si>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</si>
  <si>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</si>
  <si>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</si>
  <si>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Nm3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</si>
  <si>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</si>
  <si>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</si>
  <si>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</si>
  <si>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</si>
  <si>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</si>
  <si>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</si>
  <si>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</si>
  <si>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</si>
  <si>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</si>
  <si>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</si>
  <si>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</si>
  <si>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</si>
  <si>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</si>
  <si>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</si>
  <si>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</si>
  <si>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</si>
  <si>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</si>
  <si>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</si>
  <si>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</si>
  <si>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</si>
  <si>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</si>
  <si>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</si>
  <si>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</si>
  <si>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</si>
  <si>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</si>
  <si>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</si>
  <si>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</si>
  <si>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</si>
  <si>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</si>
  <si>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</si>
  <si>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[503][630][920][1662]</t>
  </si>
  <si>
    <t>P2P IPKW</t>
  </si>
  <si>
    <t>1-10MW</t>
  </si>
  <si>
    <t>AuxHYGen (Phase 1)</t>
  </si>
  <si>
    <t>[570]</t>
  </si>
  <si>
    <t>MethFuel</t>
  </si>
  <si>
    <t>[605]</t>
  </si>
  <si>
    <t>Coffeyville fertilizer plant</t>
  </si>
  <si>
    <t>Coke gasification with CCUS</t>
  </si>
  <si>
    <t>900000 t CO2/y</t>
  </si>
  <si>
    <t>PCS Nitrogen-Geismar plant (LA)</t>
  </si>
  <si>
    <t>200000-300000 t CO2/y</t>
  </si>
  <si>
    <t>Port Arthur</t>
  </si>
  <si>
    <t>900000t CO2/y - 151000m3 H2/h</t>
  </si>
  <si>
    <t>[345]</t>
  </si>
  <si>
    <t>MCRC bio-hydrogen facility Chennai</t>
  </si>
  <si>
    <t>Microbial fermentation</t>
  </si>
  <si>
    <t>12m3 H2/h</t>
  </si>
  <si>
    <t>[487]</t>
  </si>
  <si>
    <t>Port Jerome</t>
  </si>
  <si>
    <t>100000t CO2/y - 4500kg H2/h</t>
  </si>
  <si>
    <t>[335] [336]</t>
  </si>
  <si>
    <t>Quest</t>
  </si>
  <si>
    <t>1100000t CO2/y - 300 kt H2/y</t>
  </si>
  <si>
    <t>[349] [703]</t>
  </si>
  <si>
    <t>ElectroHgena</t>
  </si>
  <si>
    <t>[9], Cap. network</t>
  </si>
  <si>
    <t>Power to flex (several pilot projects)</t>
  </si>
  <si>
    <t>[118], [205]</t>
  </si>
  <si>
    <t>Minerve, Nantes</t>
  </si>
  <si>
    <t>[7], [9], [139] [467]</t>
  </si>
  <si>
    <t>HYPOS (several projects)</t>
  </si>
  <si>
    <t>PEM+ALK+SOEC</t>
  </si>
  <si>
    <t>1.3MW</t>
  </si>
  <si>
    <t>[2], [7], [95], [96]</t>
  </si>
  <si>
    <t>Air Liquide Becancour</t>
  </si>
  <si>
    <t>20MW - 8t H2/d</t>
  </si>
  <si>
    <t>[241][665]</t>
  </si>
  <si>
    <t>Hebei Jiantou Guyuan wind project - 2nd phase</t>
  </si>
  <si>
    <t>[360][587] [771]</t>
  </si>
  <si>
    <t>Blue but better (ALB) (Canada Net-zero Hydrogen Energy Complex), phase 1</t>
  </si>
  <si>
    <t>140kt H2/y - 0.77 Mt CO2/y</t>
  </si>
  <si>
    <t>[947][1993]</t>
  </si>
  <si>
    <t>Hyper Hydrogen Energy Zhangjiakou Wind Power Hebei - first phase</t>
  </si>
  <si>
    <t>4.3 t H2/d</t>
  </si>
  <si>
    <t>[360]</t>
  </si>
  <si>
    <t>MPREIS Hydrogen (within "Demo4Grid")</t>
  </si>
  <si>
    <t>3.1MW</t>
  </si>
  <si>
    <t>[216][1242]</t>
  </si>
  <si>
    <t>Anglo-American Mogalakwena mine</t>
  </si>
  <si>
    <t>3.5MW</t>
  </si>
  <si>
    <t>[452]</t>
  </si>
  <si>
    <t>Wally - Walmart Quilicura forklifts</t>
  </si>
  <si>
    <t>56t H2/y - 600kW</t>
  </si>
  <si>
    <t>[958] [1322] [1976]</t>
  </si>
  <si>
    <t>Wuppertal refuelling station</t>
  </si>
  <si>
    <t>[231] [356] [732]</t>
  </si>
  <si>
    <t>SALCOS - WindH2 Windwasserstoff Salzgitter</t>
  </si>
  <si>
    <t>2 x 1.25MW - 450m3 H2/h</t>
  </si>
  <si>
    <t>[294][672] [774]</t>
  </si>
  <si>
    <t>Hebei Jiantou Guyuan wind project - 1st phase</t>
  </si>
  <si>
    <t>[360] [771]</t>
  </si>
  <si>
    <t>Green hydrogen Project, Mohammad Bin Rashid Solar Park</t>
  </si>
  <si>
    <t>[339][921]</t>
  </si>
  <si>
    <t>Hydrogen Park South Australia - HyPSA</t>
  </si>
  <si>
    <t>[296] [311]</t>
  </si>
  <si>
    <t>NEL-Champaign-Urbana Mass Transit District</t>
  </si>
  <si>
    <t>[329][1020]</t>
  </si>
  <si>
    <t>Cyrus Smith</t>
  </si>
  <si>
    <t>Jemena Western Sydney - H2GO project</t>
  </si>
  <si>
    <t>0.5MW</t>
  </si>
  <si>
    <t xml:space="preserve"> [224] [308][1227]</t>
  </si>
  <si>
    <t>Queensland Government HRS</t>
  </si>
  <si>
    <t>0.22MW</t>
  </si>
  <si>
    <t>[535] [1612]</t>
  </si>
  <si>
    <t>Seafuel project</t>
  </si>
  <si>
    <t>12kg H2/d</t>
  </si>
  <si>
    <t>[511] [1699] [1701]</t>
  </si>
  <si>
    <t>Obayashi geothermal hydrogen</t>
  </si>
  <si>
    <t>[566]</t>
  </si>
  <si>
    <t>Hydrogen village Burgenland</t>
  </si>
  <si>
    <t>[1], [115] [456]</t>
  </si>
  <si>
    <t>Unisa, Mawson Lakes campus</t>
  </si>
  <si>
    <t>[323]</t>
  </si>
  <si>
    <t>North West Sturgeon refinery</t>
  </si>
  <si>
    <t>Bitumen gasification+CCUS</t>
  </si>
  <si>
    <t>1300000t CO2/y</t>
  </si>
  <si>
    <t>[348] [544]</t>
  </si>
  <si>
    <t>WCS Redwater CO2 Recovery Unit (formerly nutrien) (ACTL) (ALB) phase 1</t>
  </si>
  <si>
    <t>300000t CO2/y</t>
  </si>
  <si>
    <t>[346] [347] [544]</t>
  </si>
  <si>
    <t>Kidman Park in Adelaide depot</t>
  </si>
  <si>
    <t>[221]</t>
  </si>
  <si>
    <t>SPHYNX, R&amp;D</t>
  </si>
  <si>
    <t>[140], [208] [393]</t>
  </si>
  <si>
    <t>Fronius HyLOG-Fleet (Hydrogen powered Logistic System)</t>
  </si>
  <si>
    <t>HyWindBalance, Oldenburg</t>
  </si>
  <si>
    <t>Vallée Hydrogène Grand Ouest (VHyGO) - Brest</t>
  </si>
  <si>
    <t>[857] [858]</t>
  </si>
  <si>
    <t>Hyport@Duqm, phase 1</t>
  </si>
  <si>
    <t>500MW</t>
  </si>
  <si>
    <t>[359], [1527]</t>
  </si>
  <si>
    <t>Engie - Yara Pilbara test, phase I</t>
  </si>
  <si>
    <t>[266] [309] [310] [664] [882] [910] [1679]</t>
  </si>
  <si>
    <t>Hyper Hydrogen Energy Zhangjiakou Wind Power Hebei - second phase</t>
  </si>
  <si>
    <t>10 kt H2/y - production</t>
  </si>
  <si>
    <t>[360] [771][2073]</t>
  </si>
  <si>
    <t>Crystal Brook Energy Park, South Australia</t>
  </si>
  <si>
    <t>[232] [322] [606] [860]</t>
  </si>
  <si>
    <t>Origin Energy - Kawasaki Heavy Industries Townsville project</t>
  </si>
  <si>
    <t>300MW</t>
  </si>
  <si>
    <t>[873]</t>
  </si>
  <si>
    <t>H2-hub Gladstone (Queensland) - phase 1</t>
  </si>
  <si>
    <t>150W</t>
  </si>
  <si>
    <t>[679] [680][1033]</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</si>
  <si>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</si>
  <si>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</si>
  <si>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</si>
  <si>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</si>
  <si>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</si>
  <si>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</si>
  <si>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</si>
  <si>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</si>
  <si>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</si>
  <si>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[591][597] [1613]</t>
  </si>
  <si>
    <t>Siemens Energy and Beijing Green Hydrogen Technology Development HRS</t>
  </si>
  <si>
    <t>[575]</t>
  </si>
  <si>
    <t xml:space="preserve">Ribatejo natural gas power plant </t>
  </si>
  <si>
    <t>[533][1125] [1619]</t>
  </si>
  <si>
    <t>Air Liquide liquid hydrogen production plant</t>
  </si>
  <si>
    <t>Biogas reforming</t>
  </si>
  <si>
    <t>30t H2/d (only part from biogas, but at least 1/3)</t>
  </si>
  <si>
    <t>[559] [561][639]</t>
  </si>
  <si>
    <t>Haru Oni, phase 1</t>
  </si>
  <si>
    <t>1 MW - 750000 l MeOH/y</t>
  </si>
  <si>
    <t>[589][645] [870] [871] [1076] [1078][1518] [1597]</t>
  </si>
  <si>
    <t>Holland Hydrogen - phase 1</t>
  </si>
  <si>
    <t>200MW</t>
  </si>
  <si>
    <t>[505][920][968][1219][1435][1437]</t>
  </si>
  <si>
    <t>Sun Metals Zinc Refinery, phase I</t>
  </si>
  <si>
    <t>[538] [539][1038][1336][1620]</t>
  </si>
  <si>
    <t>HRS TMB Zona Franca de Barcelona</t>
  </si>
  <si>
    <t>[563] [1323]</t>
  </si>
  <si>
    <t>HRS Charleroi</t>
  </si>
  <si>
    <t>[564]</t>
  </si>
  <si>
    <t>HRS CNH2 Puertollano</t>
  </si>
  <si>
    <t>0.06MW</t>
  </si>
  <si>
    <t>Iberdrola - Palos de la Frontera I</t>
  </si>
  <si>
    <t>[588][620][631]</t>
  </si>
  <si>
    <t>Hyflexpower</t>
  </si>
  <si>
    <t>1.6 MW - 185 Nm3/h</t>
  </si>
  <si>
    <t>[518] [519] [557][1621]</t>
  </si>
  <si>
    <t>HydroHub-Fenne</t>
  </si>
  <si>
    <t>53 MW</t>
  </si>
  <si>
    <t>[600] [1347] [1348]</t>
  </si>
  <si>
    <t>Solena Group Plasma enhanced gasification</t>
  </si>
  <si>
    <t>Biomass plasma-enhanced gasification</t>
  </si>
  <si>
    <t>12000kg H2/d</t>
  </si>
  <si>
    <t>[513] [1694]</t>
  </si>
  <si>
    <t>[610]</t>
  </si>
  <si>
    <t>Olive Creek 1</t>
  </si>
  <si>
    <t>Methane pyrolysis</t>
  </si>
  <si>
    <t>5kt H2/y</t>
  </si>
  <si>
    <t>[611][1189]</t>
  </si>
  <si>
    <t>Olive Creek 2</t>
  </si>
  <si>
    <t>275kt NH3/y</t>
  </si>
  <si>
    <t>Iberdrola - Palos de la Frontera II</t>
  </si>
  <si>
    <t>360MW (in addition to the 230MW included in Ref 776)</t>
  </si>
  <si>
    <t>Douglas County PUD - industrial area north of East Wenatchee</t>
  </si>
  <si>
    <t>[502], [596], [667] [1324] [1603]</t>
  </si>
  <si>
    <t>Chongli wind-solar Hydrogen Project - first phase</t>
  </si>
  <si>
    <t>1.7t H2/d</t>
  </si>
  <si>
    <t>GreenH2UB (1st hub, Noord Brabant)</t>
  </si>
  <si>
    <t>5-10MW</t>
  </si>
  <si>
    <t>[503][630] [504] [920] [1662]</t>
  </si>
  <si>
    <t>Duwaal</t>
  </si>
  <si>
    <t>[242] [353] [503][630] [508][1662]</t>
  </si>
  <si>
    <t>Chongli wind-solar Hydrogen Project - second phase</t>
  </si>
  <si>
    <t xml:space="preserve">1475 t/yr H2 </t>
  </si>
  <si>
    <t>[771] [1707] [1708]</t>
  </si>
  <si>
    <t>Hysolar Green on Road - Nieuwegein</t>
  </si>
  <si>
    <t>[499][1154] [1604] [1662]</t>
  </si>
  <si>
    <t>Halcyon Power</t>
  </si>
  <si>
    <t>1.5MW - 250m3 H2/h</t>
  </si>
  <si>
    <t>[529][1226]</t>
  </si>
  <si>
    <t>Hydrogenpilot Oosterwolde</t>
  </si>
  <si>
    <t>[503][630] [1325]</t>
  </si>
  <si>
    <t>Kopernikus 2.0</t>
  </si>
  <si>
    <t>[445][599]</t>
  </si>
  <si>
    <t>E-CO2MET Raffinerie Mitteldeutschland</t>
  </si>
  <si>
    <t>[290] [446][1024]</t>
  </si>
  <si>
    <t>HySTRA- HESC</t>
  </si>
  <si>
    <t>Coal gasification with CCUS</t>
  </si>
  <si>
    <t>4.39 Mt CO2/y - 770 tH2/d</t>
  </si>
  <si>
    <t>[297]</t>
  </si>
  <si>
    <t>H-Vision (phase 1)</t>
  </si>
  <si>
    <t>1300000t CO2/y - 100 kt H2/y</t>
  </si>
  <si>
    <t>[268]</t>
  </si>
  <si>
    <t>Preem CCS at Lysekil refinery</t>
  </si>
  <si>
    <t>600000t CO2/y</t>
  </si>
  <si>
    <t>[516][517]</t>
  </si>
  <si>
    <t>METHYCENTRE</t>
  </si>
  <si>
    <t>[103] [130]</t>
  </si>
  <si>
    <t>Hydrogen Park Gladstone</t>
  </si>
  <si>
    <t>0.175MW</t>
  </si>
  <si>
    <t>[375]</t>
  </si>
  <si>
    <t>Toyota Hydrogen Centre, Altona, Victoria</t>
  </si>
  <si>
    <t>[261] [262] [264] [321][358][632][786] [809]</t>
  </si>
  <si>
    <t>GZI Next</t>
  </si>
  <si>
    <t>[421]</t>
  </si>
  <si>
    <t>Yanchang Integrated Carbon Capture and Storage Demonstration</t>
  </si>
  <si>
    <t>[334]</t>
  </si>
  <si>
    <t>Hazer group CH4 pyrolysis</t>
  </si>
  <si>
    <t>100t H2/y</t>
  </si>
  <si>
    <t>[324] [325] [574] [946][1037] [1605]</t>
  </si>
  <si>
    <t>ECB Omega Green biofuel project</t>
  </si>
  <si>
    <t>310MW</t>
  </si>
  <si>
    <t>[259] [474] [880]</t>
  </si>
  <si>
    <t xml:space="preserve">Normand’Hy - Air Liquide </t>
  </si>
  <si>
    <t>[1668]</t>
  </si>
  <si>
    <t>H2V 59, 1st phase</t>
  </si>
  <si>
    <t>[304]  [131] [715] [1315]</t>
  </si>
  <si>
    <t>Arrowsmith Hydrogen Project, phase 1</t>
  </si>
  <si>
    <t>23t H2/d - 55MW</t>
  </si>
  <si>
    <t>[497][1035][1169][1170][1728]</t>
  </si>
  <si>
    <t>Bad Lauchstädt energy park</t>
  </si>
  <si>
    <t>[318] [853] [1354], Platts European Gas Daily 10-09-2021</t>
  </si>
  <si>
    <t>DJEWELS Chemiepark - Delfzijl, Phase 1</t>
  </si>
  <si>
    <t>[378] [397] [422] [457] [853] [1606]</t>
  </si>
  <si>
    <t>UpHy</t>
  </si>
  <si>
    <t>[424] [1607] [2025]</t>
  </si>
  <si>
    <t>Lake Charles Methanol</t>
  </si>
  <si>
    <t>Petroleum coke+CCUS</t>
  </si>
  <si>
    <t>4200000t CO2/y</t>
  </si>
  <si>
    <t>[273] [350]</t>
  </si>
  <si>
    <t>DJEWELS Chemiepark - Delfzijl, Phase 2</t>
  </si>
  <si>
    <t>[630] [853]</t>
  </si>
  <si>
    <t>H2ermes</t>
  </si>
  <si>
    <t>[226] [366]</t>
  </si>
  <si>
    <t>H2V 59, 2nd phase</t>
  </si>
  <si>
    <t>[305]  [131] [1315]</t>
  </si>
  <si>
    <t>Hydrogen 2 Magnum (H2M)</t>
  </si>
  <si>
    <t xml:space="preserve">Wabash Valley Resources </t>
  </si>
  <si>
    <t>Petcoke+biomass gasification with CCUS</t>
  </si>
  <si>
    <t>1650000t CO2/y - 336 tH2/d</t>
  </si>
  <si>
    <t>[277] [341] [863]</t>
  </si>
  <si>
    <t>Etzel, Salt caverns</t>
  </si>
  <si>
    <t>Shell heavy residue gasification CCU - Pernis refinery (in 2024, the CCU project will become CCUS - ref1323 - once Porhtos project is available)</t>
  </si>
  <si>
    <t>Heavy oil residue gasification+CCUS</t>
  </si>
  <si>
    <t>[343] [344]</t>
  </si>
  <si>
    <t>Bio Energy Netherlands</t>
  </si>
  <si>
    <t>Biomass gasification</t>
  </si>
  <si>
    <t>Blue Hydrogen Den Helder</t>
  </si>
  <si>
    <t>Combination of electrolysis and NG w CCUS</t>
  </si>
  <si>
    <t>Nemo Hydrogen Project</t>
  </si>
  <si>
    <t>Baicheng City Bus Company - Songyuan City</t>
  </si>
  <si>
    <t>ALK+PEM</t>
  </si>
  <si>
    <t>6 MW, 1000 Nm3/h ALK + 200 Nm3/h PEM</t>
  </si>
  <si>
    <t>[831]</t>
  </si>
  <si>
    <t>Repsol Cartagena, phase 1</t>
  </si>
  <si>
    <t>[617]</t>
  </si>
  <si>
    <t>H2-based residential area in Van der Veen</t>
  </si>
  <si>
    <t>[312]</t>
  </si>
  <si>
    <t>H2Gas</t>
  </si>
  <si>
    <t>15kW</t>
  </si>
  <si>
    <t>[316]</t>
  </si>
  <si>
    <t>Long Beach Fuel Cell plant</t>
  </si>
  <si>
    <t>1.2 kg H2/d</t>
  </si>
  <si>
    <t>[320]</t>
  </si>
  <si>
    <t>Producing Hydrogen by Gasification of Biomass in 'het Groene Hart' - GH2</t>
  </si>
  <si>
    <t>1.2MW</t>
  </si>
  <si>
    <t>Ramboll study for an e-fuel plant in Greenland</t>
  </si>
  <si>
    <t>[313]</t>
  </si>
  <si>
    <t>Armor Hydrogène</t>
  </si>
  <si>
    <t>4MW</t>
  </si>
  <si>
    <t>[633] [1689]</t>
  </si>
  <si>
    <t>Giner ELX, H2@Scale (Florida)</t>
  </si>
  <si>
    <t>[1020][1021]</t>
  </si>
  <si>
    <t>Frontier Energy, H2@Scale - electrolysis</t>
  </si>
  <si>
    <t>20kg H2/d</t>
  </si>
  <si>
    <t>[636][637][1021]</t>
  </si>
  <si>
    <t>DJEWELS Chemiepark - Delfzijl, Phase 3</t>
  </si>
  <si>
    <t>Curthyl</t>
  </si>
  <si>
    <t>[630] [1662]</t>
  </si>
  <si>
    <t>Deltaurus 1</t>
  </si>
  <si>
    <t>150MW - 1GW</t>
  </si>
  <si>
    <t>[640]</t>
  </si>
  <si>
    <t>Deltaurus 3</t>
  </si>
  <si>
    <t>North CCU HUB, phase 3 (Deltaurus 4)</t>
  </si>
  <si>
    <t>600MW</t>
  </si>
  <si>
    <t>Vlissingen - VoltH2 - phase I</t>
  </si>
  <si>
    <t>[653][1083] [1671] [1662]</t>
  </si>
  <si>
    <t>HySynergy, phase 2</t>
  </si>
  <si>
    <t>300 MW</t>
  </si>
  <si>
    <t>[288] [331][930]</t>
  </si>
  <si>
    <t>Green lab skive (Phase I)</t>
  </si>
  <si>
    <t>6MW</t>
  </si>
  <si>
    <t>[641][924][926][1249]</t>
  </si>
  <si>
    <t>Shell China - Zhangjiakou, phase 1</t>
  </si>
  <si>
    <t>[642] [772][1216]</t>
  </si>
  <si>
    <t>Aberdeen Hydrogen Hub, phase I</t>
  </si>
  <si>
    <t>800 kg H2/day</t>
  </si>
  <si>
    <t>[644][979],  Platts European Gas Daily 27-10-2021</t>
  </si>
  <si>
    <t>Fortescue Metals Group - Bell Bay, Tasmania</t>
  </si>
  <si>
    <t>250MW - 250kt NH3/y</t>
  </si>
  <si>
    <t>[646]</t>
  </si>
  <si>
    <t>H2HUB</t>
  </si>
  <si>
    <t>[647]</t>
  </si>
  <si>
    <t>Meirama plant, phase 1</t>
  </si>
  <si>
    <t>[648], Platts European Gas Daily 29-07-2021</t>
  </si>
  <si>
    <t>EMEC tidal-battery-hydrogen demo</t>
  </si>
  <si>
    <t>0.67MW</t>
  </si>
  <si>
    <t>[649], Platts European Gas Daily 15-07-2021</t>
  </si>
  <si>
    <t>Orange-BAT Puerto Valencia</t>
  </si>
  <si>
    <t>[651] [1309]</t>
  </si>
  <si>
    <t>Huaneng electrolysis plant in Western Sichuan</t>
  </si>
  <si>
    <t>6000m3 H2/h</t>
  </si>
  <si>
    <t>[650] [772]</t>
  </si>
  <si>
    <t>H-Vision (phase 2)</t>
  </si>
  <si>
    <t>2600000t CO2/y - 300 kt H2/y</t>
  </si>
  <si>
    <t>HaYrport</t>
  </si>
  <si>
    <t>0.75MW</t>
  </si>
  <si>
    <t>[652] [897] [1622]</t>
  </si>
  <si>
    <t>Power-to-Methanol, Antwerp, phase 2</t>
  </si>
  <si>
    <t>IPCEI Green Crane, Italy Hubs</t>
  </si>
  <si>
    <t>769MW</t>
  </si>
  <si>
    <t>White Dragon</t>
  </si>
  <si>
    <t>250kt H2/y production</t>
  </si>
  <si>
    <t>[936]</t>
  </si>
  <si>
    <t>North CCU HUB, phase 2. North-C -full scale</t>
  </si>
  <si>
    <t>HRS Halle (Continued as Ref148)</t>
  </si>
  <si>
    <t>[655]</t>
  </si>
  <si>
    <t>Origin Energy Tasmania’s Bell Bay</t>
  </si>
  <si>
    <t>500MW-420 ktnNH3/y</t>
  </si>
  <si>
    <t>[657][1034]</t>
  </si>
  <si>
    <t>H2One Multistation- Tsuruga City</t>
  </si>
  <si>
    <t>[659]</t>
  </si>
  <si>
    <t>H100 Fife Project, Levenmouth</t>
  </si>
  <si>
    <t>[1079] [1080]</t>
  </si>
  <si>
    <t>Steag-Thyssenkrupp Duisburg steel plant (HydrOxy Hub Walsum)</t>
  </si>
  <si>
    <t>520MW</t>
  </si>
  <si>
    <t>[661] [779]</t>
  </si>
  <si>
    <t>Gela refinery</t>
  </si>
  <si>
    <t>[662] [1675]</t>
  </si>
  <si>
    <t>Taranto Sustainable Refinery</t>
  </si>
  <si>
    <t>BENORTH2 (Amorebieta-Boroa power plant), phase 1</t>
  </si>
  <si>
    <t>[666] [690]</t>
  </si>
  <si>
    <t>BENORTH2 (Amorebieta-Boroa power plant), phase 2</t>
  </si>
  <si>
    <t>Camberra HRS</t>
  </si>
  <si>
    <t>[810] [811]</t>
  </si>
  <si>
    <t>Recycle Carbone Varennes biofuels plant</t>
  </si>
  <si>
    <t>88MW</t>
  </si>
  <si>
    <t>[668] [669] [695]</t>
  </si>
  <si>
    <t>Beijing Jingneng Power Company</t>
  </si>
  <si>
    <t>500kt H2/y</t>
  </si>
  <si>
    <t>[670]</t>
  </si>
  <si>
    <t>REDDAP - REnewable Distributed &amp; Dynamic Ammonia Plant</t>
  </si>
  <si>
    <t>[671][982][1249][1455] [1678]</t>
  </si>
  <si>
    <t>Wallonia e-methane project</t>
  </si>
  <si>
    <t>75MW</t>
  </si>
  <si>
    <t>[673]</t>
  </si>
  <si>
    <t>Get H2 Lingen, phase 2</t>
  </si>
  <si>
    <t>[674] [675][1212]</t>
  </si>
  <si>
    <t>NortH2, phase 2</t>
  </si>
  <si>
    <t>10GW</t>
  </si>
  <si>
    <t>AquaPrimus (AquaVentus, phase 1), Heligoland</t>
  </si>
  <si>
    <t>28MW</t>
  </si>
  <si>
    <t>[677][945][980]</t>
  </si>
  <si>
    <t>Pacific Solar Hydrogen</t>
  </si>
  <si>
    <t>200kt H2/y</t>
  </si>
  <si>
    <t>[678]</t>
  </si>
  <si>
    <t>H2-hub Gladstone (Queensland) - phases 2-3</t>
  </si>
  <si>
    <t>3GW</t>
  </si>
  <si>
    <t>Brande Hydrogen project</t>
  </si>
  <si>
    <t>0.4MW</t>
  </si>
  <si>
    <t>[681] [689]</t>
  </si>
  <si>
    <t>Hydrogen trial in Dalmine steel mill</t>
  </si>
  <si>
    <t>[683]</t>
  </si>
  <si>
    <t xml:space="preserve">Horizeo project </t>
  </si>
  <si>
    <t>[684]</t>
  </si>
  <si>
    <t>Deep Purple</t>
  </si>
  <si>
    <t>[685] [686] [687]</t>
  </si>
  <si>
    <t>Pinto waste water plant</t>
  </si>
  <si>
    <t>80t H2/y</t>
  </si>
  <si>
    <t>[688] [748][1738]</t>
  </si>
  <si>
    <t>Linde Leuna Chemical Complex</t>
  </si>
  <si>
    <t>[693]</t>
  </si>
  <si>
    <t>Project Haber, phase 1</t>
  </si>
  <si>
    <t>[695][1172][1173]</t>
  </si>
  <si>
    <t>Grupa Lotos refinery</t>
  </si>
  <si>
    <t>[698]</t>
  </si>
  <si>
    <t>Hamburg Green Hydrogen Hub (HGHH) project - old Moorburg plant</t>
  </si>
  <si>
    <t>[699] [2141] Data from Platts S&amp;P Global Hydrogen Daily 21/09/2023</t>
  </si>
  <si>
    <t>Sumitomo Queensland</t>
  </si>
  <si>
    <t>0.25-0.3 kt H2/y</t>
  </si>
  <si>
    <t>[701][1167]</t>
  </si>
  <si>
    <t>Sumitomo Oman</t>
  </si>
  <si>
    <t>Unknown technology</t>
  </si>
  <si>
    <t>0.3-0.4 kt H2/y</t>
  </si>
  <si>
    <t>[701] [912]</t>
  </si>
  <si>
    <t>Sumitomo Malaysia</t>
  </si>
  <si>
    <t>[701]</t>
  </si>
  <si>
    <t>As Pontes power plant</t>
  </si>
  <si>
    <t>[706]</t>
  </si>
  <si>
    <t>Green Hydrogen Esslingen (P2G2P)</t>
  </si>
  <si>
    <t>[711] [712] [1326]</t>
  </si>
  <si>
    <t>Compostilla - Endesa</t>
  </si>
  <si>
    <t>[713] [714]</t>
  </si>
  <si>
    <t>Seseña - Endesa</t>
  </si>
  <si>
    <t>Huelva - Endesa</t>
  </si>
  <si>
    <t>Hidrogeno El Cierzo</t>
  </si>
  <si>
    <t>7.2MW</t>
  </si>
  <si>
    <t>Tarragona - Endesa</t>
  </si>
  <si>
    <t>Teruel - Endesa</t>
  </si>
  <si>
    <t>Almeria - Endesa</t>
  </si>
  <si>
    <t>Barranco de Tirajana - Endesa</t>
  </si>
  <si>
    <t>Granadilla - Endesa</t>
  </si>
  <si>
    <t>Alcudia - Endesa</t>
  </si>
  <si>
    <t>8MW</t>
  </si>
  <si>
    <t>Green Crane, Asturias Hub, Phase I</t>
  </si>
  <si>
    <t>[319] [715] [729]</t>
  </si>
  <si>
    <t>Green Crane, Asturias Hub, Phase II</t>
  </si>
  <si>
    <t>105MW</t>
  </si>
  <si>
    <t>Hynet Northwest, phase 2 (Essar Stanlow refinery)</t>
  </si>
  <si>
    <t>30 TWh H2/y - 8.1Mt CO2/y</t>
  </si>
  <si>
    <t>Zero Emission Valley (ZEV) - Clermont Ferrand</t>
  </si>
  <si>
    <t>[716] [866] [1690]</t>
  </si>
  <si>
    <t>Bahia H2 Offshore</t>
  </si>
  <si>
    <t>[717]</t>
  </si>
  <si>
    <t>Liberty South - Port Anthony</t>
  </si>
  <si>
    <t>20 t H2/d</t>
  </si>
  <si>
    <t>[718][905][906]</t>
  </si>
  <si>
    <t>KOGAN HYDROGEN DEMONSTRATION PROJECT</t>
  </si>
  <si>
    <t>0.7MW</t>
  </si>
  <si>
    <t>[719] [1301]</t>
  </si>
  <si>
    <t>Masdar City green H2</t>
  </si>
  <si>
    <t>1000t H2/y</t>
  </si>
  <si>
    <t>[720] [903]</t>
  </si>
  <si>
    <t>Lysekil refinery (phase 1)</t>
  </si>
  <si>
    <t>Uniper Maasvlakte, phase I</t>
  </si>
  <si>
    <t>[723]</t>
  </si>
  <si>
    <t>Uniper Maasvlakte, phase II</t>
  </si>
  <si>
    <t>[723] [1662]</t>
  </si>
  <si>
    <t>Hydrogen Park Murray Valley, Victoria</t>
  </si>
  <si>
    <t>[724] [910]</t>
  </si>
  <si>
    <t>ORANGE.BAT Castellon</t>
  </si>
  <si>
    <t>[726]</t>
  </si>
  <si>
    <t>Saras Sardinia refinery - IPCEI</t>
  </si>
  <si>
    <t>[727] [1676]</t>
  </si>
  <si>
    <t>H2 Creteil</t>
  </si>
  <si>
    <t>2.5 M</t>
  </si>
  <si>
    <t>[728]</t>
  </si>
  <si>
    <t>SunLine Palms Springs</t>
  </si>
  <si>
    <t>[73]</t>
  </si>
  <si>
    <t xml:space="preserve">H2 Green Steel (H2GS) </t>
  </si>
  <si>
    <t>800MW - 2.5 Mt steel</t>
  </si>
  <si>
    <t>[735] [736][1400][1439]</t>
  </si>
  <si>
    <t>New York Science, Technology and Advanced Manufacturing Park</t>
  </si>
  <si>
    <t>[738][1020][1136]</t>
  </si>
  <si>
    <t>Abanto Technology Park</t>
  </si>
  <si>
    <t>ALk</t>
  </si>
  <si>
    <t>[739] [757]</t>
  </si>
  <si>
    <t>HyDeal Ambition</t>
  </si>
  <si>
    <t>ESP
FRA</t>
  </si>
  <si>
    <t>67GW</t>
  </si>
  <si>
    <t>[758]</t>
  </si>
  <si>
    <t>Boryeong LNG Terminal</t>
  </si>
  <si>
    <t>250 kt H2/y - 0.15 Mt CO2/</t>
  </si>
  <si>
    <t>[741] [742]</t>
  </si>
  <si>
    <t xml:space="preserve">Cavendish NextGen Hydrogen Hub </t>
  </si>
  <si>
    <t>[743]</t>
  </si>
  <si>
    <t>Refhyne II</t>
  </si>
  <si>
    <t>[745] [746]</t>
  </si>
  <si>
    <t>H2-Login</t>
  </si>
  <si>
    <t>6 kg H2/d</t>
  </si>
  <si>
    <t>[747] [1328][1583]</t>
  </si>
  <si>
    <t>Changwon Industrial complex</t>
  </si>
  <si>
    <t>[749]</t>
  </si>
  <si>
    <t>Wilhelmshaven , phase 1</t>
  </si>
  <si>
    <t>70MW</t>
  </si>
  <si>
    <t>[750], [1270]</t>
  </si>
  <si>
    <t>Sinopec Qilu Petrochemical CCS</t>
  </si>
  <si>
    <t>1000kt CO2/y</t>
  </si>
  <si>
    <t>[753] [953][998] [1327]</t>
  </si>
  <si>
    <t>Karamay Dunhua Oil Technology CCUS EOR Project</t>
  </si>
  <si>
    <t>100000t CO2/y</t>
  </si>
  <si>
    <t>[751]</t>
  </si>
  <si>
    <t>Great Plains Synfuel Plant and Weyburn-Midale</t>
  </si>
  <si>
    <t>3000000 t CO2/y</t>
  </si>
  <si>
    <t>[753][1059]</t>
  </si>
  <si>
    <t>Abu Dhabi CCS Phase 1: Emirates Steel Industries - Al Reyadah CCUS</t>
  </si>
  <si>
    <t>800000 t CO2/y</t>
  </si>
  <si>
    <t>[752]</t>
  </si>
  <si>
    <t>Leeds Bradford Airport hub</t>
  </si>
  <si>
    <t>[756]</t>
  </si>
  <si>
    <t>Northwest Natural Holding synthetic methane plant</t>
  </si>
  <si>
    <t>2-10MW</t>
  </si>
  <si>
    <t>[759]</t>
  </si>
  <si>
    <t>Centre Point Energy Minnesota</t>
  </si>
  <si>
    <t>[760]</t>
  </si>
  <si>
    <t>New Jersey Resources Howell</t>
  </si>
  <si>
    <t>175 kW</t>
  </si>
  <si>
    <t>[761] [859] [1329]</t>
  </si>
  <si>
    <t>Vantaa-Wartsila methanation</t>
  </si>
  <si>
    <t>[762] [763]</t>
  </si>
  <si>
    <t>AES Andes Power to Ammonia project</t>
  </si>
  <si>
    <t>50kt H2/y production</t>
  </si>
  <si>
    <t>[764] [954][1266]</t>
  </si>
  <si>
    <t>Huaneng Qingneng Institute demo plant</t>
  </si>
  <si>
    <t>[767]</t>
  </si>
  <si>
    <t>CNNC HTGR P2G demo</t>
  </si>
  <si>
    <t>0.1m3 H2/h</t>
  </si>
  <si>
    <t>[769]</t>
  </si>
  <si>
    <t>CNNC 600MW HTGR P2G for steel</t>
  </si>
  <si>
    <t>50000m3 H2/h</t>
  </si>
  <si>
    <t>Datong City solar plant, phase 1</t>
  </si>
  <si>
    <t>[770] [836]</t>
  </si>
  <si>
    <t>Eco Energy World Quensland project</t>
  </si>
  <si>
    <t>200 MW</t>
  </si>
  <si>
    <t>[775] [1696]</t>
  </si>
  <si>
    <t>National grid green H2 storage in New York</t>
  </si>
  <si>
    <t>[776]</t>
  </si>
  <si>
    <t>DH2Green Port of Malaga</t>
  </si>
  <si>
    <t>[777]</t>
  </si>
  <si>
    <t>Saipem and Alboran Hydrogen (2 plants, Taranto and Cerignola)</t>
  </si>
  <si>
    <t>220MW</t>
  </si>
  <si>
    <t>[778], Platts European Gas Daily 16-09-2021</t>
  </si>
  <si>
    <t>Saipem and Alboran Hydrogen (1 plant)</t>
  </si>
  <si>
    <t>[778]</t>
  </si>
  <si>
    <t>Optimal-ITM agreement</t>
  </si>
  <si>
    <t>[780]</t>
  </si>
  <si>
    <t>Giga Stack - 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</si>
  <si>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</si>
  <si>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</si>
  <si>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</si>
  <si>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</si>
  <si>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</si>
  <si>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</si>
  <si>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</si>
  <si>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</si>
  <si>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</si>
  <si>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</si>
  <si>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</si>
  <si>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</si>
  <si>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</si>
  <si>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[790][1152]</t>
  </si>
  <si>
    <t>Synkero synfuels project</t>
  </si>
  <si>
    <t>[791][1448]</t>
  </si>
  <si>
    <t>Zenid Initiative</t>
  </si>
  <si>
    <t>[791]</t>
  </si>
  <si>
    <t>H2Teesside 1st phase</t>
  </si>
  <si>
    <t>600MW - 1 million t CO2/y</t>
  </si>
  <si>
    <t>[792] [1390]</t>
  </si>
  <si>
    <t>H2Teesside 2nd phase</t>
  </si>
  <si>
    <t>1.2GW - 2 million t CO2/y</t>
  </si>
  <si>
    <t>ITM-Sumitomo Coorp</t>
  </si>
  <si>
    <t>1.4 MW</t>
  </si>
  <si>
    <t>[793] [1330]</t>
  </si>
  <si>
    <t>PT Panca Amara Utama (PAU) Banggai ammonia plant, Luwuk Central Sulawesi</t>
  </si>
  <si>
    <t>0.7 Mt NH3/y - 0.95Mt CO2/y</t>
  </si>
  <si>
    <t>[794]</t>
  </si>
  <si>
    <t>Barents Blue ammonia plant, phase 1</t>
  </si>
  <si>
    <t>1Mt NH3/y - 2 Mt CO2/y</t>
  </si>
  <si>
    <t>[797][798][799][944][1100], Platts European Gas Daily 17-08-2021</t>
  </si>
  <si>
    <t>Hysencia, Phase II</t>
  </si>
  <si>
    <t>Renewstable</t>
  </si>
  <si>
    <t>[1290]</t>
  </si>
  <si>
    <t>Centrale Electrique de l’Ouest Guyanais (CEOG)</t>
  </si>
  <si>
    <t>[862][1089][1153], Platts European Gas Daily 01-10-2021</t>
  </si>
  <si>
    <t>NewGen</t>
  </si>
  <si>
    <t>170-185MW</t>
  </si>
  <si>
    <t>[806]</t>
  </si>
  <si>
    <t>Nauticol Blue Methanol facility in Grande Prairie, Alberta</t>
  </si>
  <si>
    <t>3.4 Mt MeOH/y - 0.9 Mt CO2/y captured</t>
  </si>
  <si>
    <t>[801] [802]</t>
  </si>
  <si>
    <t>Evolugen H2 injection project</t>
  </si>
  <si>
    <t>[803]</t>
  </si>
  <si>
    <t>Bangladesh Council of Scientific and Industrial Research demo</t>
  </si>
  <si>
    <t>[804]</t>
  </si>
  <si>
    <t>Port of Pecem - Base One</t>
  </si>
  <si>
    <t>600 kt H2/y production</t>
  </si>
  <si>
    <t>[805]</t>
  </si>
  <si>
    <t>Aquamarine</t>
  </si>
  <si>
    <t>[807] [1685]</t>
  </si>
  <si>
    <t>Herrenhausen sewage works</t>
  </si>
  <si>
    <t>17MW</t>
  </si>
  <si>
    <t>[812]</t>
  </si>
  <si>
    <t>Prince George refinery</t>
  </si>
  <si>
    <t>10 million cubic feet H2/d</t>
  </si>
  <si>
    <t>[818]</t>
  </si>
  <si>
    <t>Science Parks of Tainan and Hsinchu</t>
  </si>
  <si>
    <t>[819][1594]</t>
  </si>
  <si>
    <t>SeaH2Land</t>
  </si>
  <si>
    <t>[820] [1662]</t>
  </si>
  <si>
    <t>HRS Bremervörde - trains</t>
  </si>
  <si>
    <t>1.6 t H2/d</t>
  </si>
  <si>
    <t>[821] [1608]</t>
  </si>
  <si>
    <t>ArcelorMittal Bremen - HyBit</t>
  </si>
  <si>
    <t>[822][1742]</t>
  </si>
  <si>
    <t>Rossello paper factory</t>
  </si>
  <si>
    <t>[823]</t>
  </si>
  <si>
    <t>DG Fuels</t>
  </si>
  <si>
    <t>839 MW</t>
  </si>
  <si>
    <t>[824]</t>
  </si>
  <si>
    <t>Energía Los Cabos</t>
  </si>
  <si>
    <t>[915]</t>
  </si>
  <si>
    <t>GICON - Vietnam Petroleum Institute MoU</t>
  </si>
  <si>
    <t>[825]</t>
  </si>
  <si>
    <t>Heritage Gas - Ottawa</t>
  </si>
  <si>
    <t>[826]</t>
  </si>
  <si>
    <t>RHYME</t>
  </si>
  <si>
    <t>20MW - 15kt MeOH/y</t>
  </si>
  <si>
    <t>[828] [1344] [1345]</t>
  </si>
  <si>
    <t>Yanqing Hydrogen Energy Industrial Park</t>
  </si>
  <si>
    <t>2.8t H2/d</t>
  </si>
  <si>
    <t>[874] [875] [876] [1634] [1698]</t>
  </si>
  <si>
    <t>Cangzhou Bohai New District Hydrogen</t>
  </si>
  <si>
    <t>Hydrogen Energy Equipment Industrial Cluster Project in Handan Economic and Technological Development Zone</t>
  </si>
  <si>
    <t>Zhangjiakou Yangyuan Jingxi New Energy Base Project</t>
  </si>
  <si>
    <t>CGN Baicheng Hydrogen Production Project - Jilin</t>
  </si>
  <si>
    <t>50m3 H2/h</t>
  </si>
  <si>
    <t>[832]</t>
  </si>
  <si>
    <t>Shanxi Jinzhong</t>
  </si>
  <si>
    <t>CHN</t>
    <phoneticPr fontId="25" type="noConversion"/>
  </si>
  <si>
    <t>[833] [834]</t>
  </si>
  <si>
    <t>Shanxi Changzhi</t>
  </si>
  <si>
    <t>Jilin Yushu</t>
    <phoneticPr fontId="25" type="noConversion"/>
  </si>
  <si>
    <t>[834] [835]</t>
  </si>
  <si>
    <t>Datong City solar plant, phase 2</t>
  </si>
  <si>
    <t>H2Pioneer - H2 Carinthia</t>
  </si>
  <si>
    <t>[837][1061]</t>
  </si>
  <si>
    <t>WIVA P&amp;G Hydrogen Region</t>
  </si>
  <si>
    <t>PEM &amp; SOEC</t>
  </si>
  <si>
    <t>10t H2/d</t>
  </si>
  <si>
    <t>[838]</t>
  </si>
  <si>
    <t>Matra power pant</t>
  </si>
  <si>
    <t>[845]</t>
  </si>
  <si>
    <t>Konin Power Plant, phase 1 - ZE PAK</t>
  </si>
  <si>
    <t>[846], Platts European Gas Daily 23-07-2021, [1635]</t>
  </si>
  <si>
    <t>Project AIR (Perstorp - Stenungsund)</t>
  </si>
  <si>
    <t>30 MW - 50kt MeOH/y</t>
  </si>
  <si>
    <t>[847] [1363][1437][1899]</t>
  </si>
  <si>
    <t>Birsfelden power plant</t>
  </si>
  <si>
    <t>[1645]</t>
  </si>
  <si>
    <t>Steklarna Hrastnik glass manufactuing plant</t>
  </si>
  <si>
    <t>[848]</t>
  </si>
  <si>
    <t>Solar Global group headquarters</t>
  </si>
  <si>
    <t>[842]</t>
  </si>
  <si>
    <t>Greening of Gas (GoG) - Net4Gas DEMO</t>
  </si>
  <si>
    <t>50m3 CH4/h</t>
  </si>
  <si>
    <t>[843] [853]</t>
  </si>
  <si>
    <t>Lingen Green Hydrogen (LGH2) Phase 2</t>
  </si>
  <si>
    <t>[272][638], Platts European Gas Daily 08-12-2021</t>
  </si>
  <si>
    <t>HyMAT SH</t>
  </si>
  <si>
    <t>[844]</t>
  </si>
  <si>
    <t>We-4-PUR</t>
  </si>
  <si>
    <t>H2 in the Ketzin energy transition laborator</t>
  </si>
  <si>
    <t>Green Energy Hub Helmstedt</t>
  </si>
  <si>
    <t>Speicherstadt Kerpen</t>
  </si>
  <si>
    <t>SLOP2G Project</t>
  </si>
  <si>
    <t>[849]</t>
  </si>
  <si>
    <t>Thermal Power Plant Sostanj</t>
  </si>
  <si>
    <t>TPJ Jesenice</t>
  </si>
  <si>
    <t>0.35MW</t>
  </si>
  <si>
    <t>Dolphyn 1, phase 1</t>
  </si>
  <si>
    <t>[850]</t>
  </si>
  <si>
    <t>Dolphyn 1, phase 2</t>
  </si>
  <si>
    <t>PTG Bilsthorpe, Nottinghamshire</t>
  </si>
  <si>
    <t>[851]</t>
  </si>
  <si>
    <t>Uniper Killingholme site</t>
  </si>
  <si>
    <t>[852]</t>
  </si>
  <si>
    <t>North Sea Wind Power Hub</t>
  </si>
  <si>
    <t>30 GWh H2/d</t>
  </si>
  <si>
    <t>[853]</t>
  </si>
  <si>
    <t>P2G Velke Kapusany</t>
  </si>
  <si>
    <t>Element One (Element Eins), phase 2</t>
  </si>
  <si>
    <t>1.08 GWh H2/d production</t>
  </si>
  <si>
    <t>[382]</t>
  </si>
  <si>
    <t>Element One (Element Eins), phase 3</t>
  </si>
  <si>
    <t>1.8 GWh H2/d production</t>
  </si>
  <si>
    <t>Green Hydrogen Hub, phase 1</t>
  </si>
  <si>
    <t>DEU
DNK</t>
  </si>
  <si>
    <t>Green Hydrogen Hub, phase 2</t>
  </si>
  <si>
    <t>HyGéo</t>
  </si>
  <si>
    <t>Pegasus</t>
  </si>
  <si>
    <t>23MW</t>
  </si>
  <si>
    <t>[853] [855]</t>
  </si>
  <si>
    <t>Electrolyzers with "network related function" in Apulia - Phase 1</t>
  </si>
  <si>
    <t>90MW</t>
  </si>
  <si>
    <t>[853], Data from Snam</t>
  </si>
  <si>
    <t>Hydrogen injection into the gas network in Lithuania</t>
  </si>
  <si>
    <t>[853][1003]</t>
  </si>
  <si>
    <t>Power to Gas Production with infrastructure building/enhacement in Latvia</t>
  </si>
  <si>
    <t>G2F - Gas to Future, phase 1</t>
  </si>
  <si>
    <t>84MW</t>
  </si>
  <si>
    <t>G2F - Gas to Future, phase 2</t>
  </si>
  <si>
    <t>332MW</t>
  </si>
  <si>
    <t>Herten HRS</t>
  </si>
  <si>
    <t>0.44kt H2/y</t>
  </si>
  <si>
    <t>[856] [869]</t>
  </si>
  <si>
    <t>Vallée Hydrogène Grand Ouest (VHyGO) - Saint-Nazaire</t>
  </si>
  <si>
    <t>[857] [858] [1628]</t>
  </si>
  <si>
    <t>Vallée Hydrogène Grand Ouest (VHyGO) - Dieppe</t>
  </si>
  <si>
    <t>NEL-Lhyfe Agreement</t>
  </si>
  <si>
    <t>McDermott - CB&amp;I 2nd project</t>
  </si>
  <si>
    <t>[761] [859]</t>
  </si>
  <si>
    <t>Hy-Fi</t>
  </si>
  <si>
    <t>650t H2/d production</t>
  </si>
  <si>
    <t>[861]</t>
  </si>
  <si>
    <t>HYBAYERN</t>
  </si>
  <si>
    <t>1.18t H2/d</t>
  </si>
  <si>
    <t>[867]</t>
  </si>
  <si>
    <t>Hyways for future, total</t>
  </si>
  <si>
    <t>3t H2/d</t>
  </si>
  <si>
    <t>[868]</t>
  </si>
  <si>
    <t>Norddeutsches Reallabor - Living Lab Northern Germany</t>
  </si>
  <si>
    <t>10t H2/d production</t>
  </si>
  <si>
    <t>Haru Oni, phase 2</t>
  </si>
  <si>
    <t>75 million liter synfuel/y production</t>
  </si>
  <si>
    <t>[589][645] [870] [871] [1078][1518]</t>
  </si>
  <si>
    <t>Haru Oni, phase 3</t>
  </si>
  <si>
    <t>2 GW - 550 million liter synfuel/y</t>
  </si>
  <si>
    <t>[589][645] [870] [871] [1078]</t>
  </si>
  <si>
    <t>Hydrogen Fuels Australia refuelling station - H2FA</t>
  </si>
  <si>
    <t>60-90kg H2/d</t>
  </si>
  <si>
    <t>[872]</t>
  </si>
  <si>
    <t>Pertamina Ulubelu geothermal plant</t>
  </si>
  <si>
    <t>100 kg H2/d</t>
  </si>
  <si>
    <t>[878] [879] [1332] [1636]</t>
  </si>
  <si>
    <t>P2X Harjavalta project</t>
  </si>
  <si>
    <t>[881][1228][1475] [1614]</t>
  </si>
  <si>
    <t>Ercros - Sabinanigo</t>
  </si>
  <si>
    <t>0.9MW</t>
  </si>
  <si>
    <t>[882][1644]</t>
  </si>
  <si>
    <t>OMNI CT - California</t>
  </si>
  <si>
    <t>Waste gasification</t>
  </si>
  <si>
    <t>[886]</t>
  </si>
  <si>
    <t>Sapio - Mantova</t>
  </si>
  <si>
    <t>1500 Nm3 H2/h</t>
  </si>
  <si>
    <t>Woikoski Kokkola H2 plant</t>
  </si>
  <si>
    <t>9MW</t>
  </si>
  <si>
    <t>[888]</t>
  </si>
  <si>
    <t>HyEnergy Zero Carbon Hydrogen</t>
  </si>
  <si>
    <t>8000MW</t>
  </si>
  <si>
    <t>[889][890][1202][1468]</t>
  </si>
  <si>
    <t>Yellow Sea</t>
  </si>
  <si>
    <t>[889]</t>
  </si>
  <si>
    <t>HNH</t>
  </si>
  <si>
    <t>1300MW</t>
  </si>
  <si>
    <t>[889][891][1220]</t>
  </si>
  <si>
    <t>Rostock - RWE - (HyTechHafen-Rostock)</t>
  </si>
  <si>
    <t>[889][945][1988]</t>
  </si>
  <si>
    <t>CRS4-Italgas Sardinia</t>
  </si>
  <si>
    <t>[893]</t>
  </si>
  <si>
    <t>Gen2 Energy Suldal in Ryfylke, 1st phase</t>
  </si>
  <si>
    <t>[894][1500]</t>
  </si>
  <si>
    <t>Gen2 Energy Suldal in Ryfylke, 2nd phase</t>
  </si>
  <si>
    <t>BP Castellon refinery, phase 1</t>
  </si>
  <si>
    <t>[895]</t>
  </si>
  <si>
    <t xml:space="preserve">SmartQuart project - Kaisersesch </t>
  </si>
  <si>
    <t>[896] [1343] [1688]</t>
  </si>
  <si>
    <t>Canary Islands Hub, phase 1</t>
  </si>
  <si>
    <t>1kt H2/y</t>
  </si>
  <si>
    <t>[900]</t>
  </si>
  <si>
    <t>Canary Islands Hub, phase 2</t>
  </si>
  <si>
    <t>Suncor Edmonton Refinery</t>
  </si>
  <si>
    <t>300 kt H2/y - 2Mt CO2/y</t>
  </si>
  <si>
    <t>[901]</t>
  </si>
  <si>
    <t>Donghae 1 offshore wind plant</t>
  </si>
  <si>
    <t>[904]</t>
  </si>
  <si>
    <t>Project Jupiter (Gladstone)</t>
  </si>
  <si>
    <t>400t H2/d</t>
  </si>
  <si>
    <t>[906][907]</t>
  </si>
  <si>
    <t>Project Mars (Mackay)</t>
  </si>
  <si>
    <t>[906]</t>
  </si>
  <si>
    <t xml:space="preserve">Liberty North (Newcastle) </t>
  </si>
  <si>
    <t>BayoTech - St Louis Hub</t>
  </si>
  <si>
    <t>350t H2/y</t>
  </si>
  <si>
    <t>[908][1652]</t>
  </si>
  <si>
    <t>ZEHUS</t>
  </si>
  <si>
    <t>FUTURA</t>
  </si>
  <si>
    <t>Sicilian Sustainable Steel</t>
  </si>
  <si>
    <t>Green H2 for Chemical Application - North</t>
  </si>
  <si>
    <t>Green H2 for Chemical Application - South</t>
  </si>
  <si>
    <t>La Spezia Green Hydrogen</t>
  </si>
  <si>
    <t>Road Runner</t>
  </si>
  <si>
    <t>Green Hydrogen Oman (GEO), phase 1 (former Oman-Al Wusta green H2 project)</t>
  </si>
  <si>
    <t>150 kt H2/y production</t>
  </si>
  <si>
    <t>[913] [928][980]</t>
  </si>
  <si>
    <t>Plug Power - Fort Worth</t>
  </si>
  <si>
    <t>45 t H2/d production</t>
  </si>
  <si>
    <t>[914][1663]</t>
  </si>
  <si>
    <t>HyDeal LA</t>
  </si>
  <si>
    <t>[917]</t>
  </si>
  <si>
    <t>Energiepark Eemshaven West (phase I)</t>
  </si>
  <si>
    <t>[920] [1662]</t>
  </si>
  <si>
    <t>Energiepark Eemshaven West (phase II)</t>
  </si>
  <si>
    <t>ELYgator</t>
  </si>
  <si>
    <t>[920] [1437] [1662]</t>
  </si>
  <si>
    <t>Central Queensland Hydrogen CQ-H2, phase 1</t>
  </si>
  <si>
    <t>200 t H2/d production</t>
  </si>
  <si>
    <t>[969][970][1146][1165]</t>
  </si>
  <si>
    <t>Zeeland Refinery - H2ero</t>
  </si>
  <si>
    <t>[920]</t>
  </si>
  <si>
    <t>FUREC</t>
  </si>
  <si>
    <t>54 kt H2/y</t>
  </si>
  <si>
    <t>BrigH2</t>
  </si>
  <si>
    <t>50MW H2</t>
  </si>
  <si>
    <t>Hydrogen Wind Turbine</t>
  </si>
  <si>
    <t>2.3MW</t>
  </si>
  <si>
    <t>H2-gateway</t>
  </si>
  <si>
    <t>Unknown Technology</t>
  </si>
  <si>
    <t>0.2Mt H2/y</t>
  </si>
  <si>
    <t>Sinopec - Ordos</t>
  </si>
  <si>
    <t>30kt H2/y production</t>
  </si>
  <si>
    <t>[922] [972] [1302][1653][1857]</t>
  </si>
  <si>
    <t>Sinopec - Kuqa</t>
  </si>
  <si>
    <t>260MW</t>
  </si>
  <si>
    <t>[922][972][1148][1876][1990]</t>
  </si>
  <si>
    <t>Pecos County Ultra Clean Fuels Refining (TX)</t>
  </si>
  <si>
    <t>[923]</t>
  </si>
  <si>
    <t>GreenHyScale</t>
  </si>
  <si>
    <t>[924][1101][1231]</t>
  </si>
  <si>
    <t>EI-H2 - Aghada (phase 1)</t>
  </si>
  <si>
    <t>[925][981]</t>
  </si>
  <si>
    <t>Green lab skive (Phase II)</t>
  </si>
  <si>
    <t>Khalifa Industrial Zone Abu Dhabi (KIZAD) - phase 1</t>
  </si>
  <si>
    <t>35kt NH3/y production</t>
  </si>
  <si>
    <t>[927]</t>
  </si>
  <si>
    <t>HySynergy, phase 3</t>
  </si>
  <si>
    <t>1000W</t>
  </si>
  <si>
    <t>Green H2 New Zealand - Taranaki</t>
  </si>
  <si>
    <t>2t H2/d</t>
  </si>
  <si>
    <t>[932]</t>
  </si>
  <si>
    <t>Horizon H2 capture tailings CCS (ALB)</t>
  </si>
  <si>
    <t>438000t CO2/y</t>
  </si>
  <si>
    <t>[933-934]</t>
  </si>
  <si>
    <t>Hyundai Oilbank - Blue H2 Ecosystem</t>
  </si>
  <si>
    <t>100kt H2/y</t>
  </si>
  <si>
    <t>[937]</t>
  </si>
  <si>
    <t>Forestal del Atlántico</t>
  </si>
  <si>
    <t>[938]</t>
  </si>
  <si>
    <t>SoHyCal</t>
  </si>
  <si>
    <t>7.5MW</t>
  </si>
  <si>
    <t>[939][940]</t>
  </si>
  <si>
    <t>Bee’ah waste-to-hydrogen</t>
  </si>
  <si>
    <t>[941]</t>
  </si>
  <si>
    <t>Industrial Cachimayo</t>
  </si>
  <si>
    <t>[942]</t>
  </si>
  <si>
    <t>Dos Bocas refinery</t>
  </si>
  <si>
    <t>Sirea - Castres site</t>
  </si>
  <si>
    <t>0.43MW</t>
  </si>
  <si>
    <t>[943]</t>
  </si>
  <si>
    <t>Rostock - RWE (future phases)</t>
  </si>
  <si>
    <t>[889][945][1998]</t>
  </si>
  <si>
    <t>BASF Ludwigshafen</t>
  </si>
  <si>
    <t>54MW</t>
  </si>
  <si>
    <t>[945]</t>
  </si>
  <si>
    <t>Davis-Besse Nuclear Power Station</t>
  </si>
  <si>
    <t>Prairie Island</t>
  </si>
  <si>
    <t>200kW</t>
  </si>
  <si>
    <t>Bruce Nuclear Generating Station</t>
  </si>
  <si>
    <t>1-5MW</t>
  </si>
  <si>
    <t>Heysham demonstrator 1</t>
  </si>
  <si>
    <t>Kola Nuclear Power Plant demo</t>
  </si>
  <si>
    <t>[1598-1599]</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</si>
  <si>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</si>
  <si>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</si>
  <si>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</si>
  <si>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</si>
  <si>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</si>
  <si>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</si>
  <si>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</si>
  <si>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</si>
  <si>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</si>
  <si>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</si>
  <si>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</si>
  <si>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</si>
  <si>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Hydrogen Eagle (Spolana), phase 1</t>
  </si>
  <si>
    <t>Sines refinery (phase 1)</t>
  </si>
  <si>
    <t>[952]</t>
  </si>
  <si>
    <t>Sines refinery (phase 2)</t>
  </si>
  <si>
    <t>102MW</t>
  </si>
  <si>
    <t>[952] [2117]</t>
  </si>
  <si>
    <t>Porto do Acu Fortescue Ammonia Project</t>
  </si>
  <si>
    <t>[955] [956]</t>
  </si>
  <si>
    <t>Hoasis (TCP Gecomp)</t>
  </si>
  <si>
    <t>2100MW or 102 kt H2/y production</t>
  </si>
  <si>
    <t>[959]</t>
  </si>
  <si>
    <t>Ecopetrol 50kW electrolyser</t>
  </si>
  <si>
    <t>50kW</t>
  </si>
  <si>
    <t>[960][1299]</t>
  </si>
  <si>
    <t>HValleSur</t>
  </si>
  <si>
    <t>[961]</t>
  </si>
  <si>
    <t>METH2 Atacama</t>
  </si>
  <si>
    <t xml:space="preserve">Villa Lisa </t>
  </si>
  <si>
    <t>200kgH2/day</t>
  </si>
  <si>
    <t>[962][963][964]</t>
  </si>
  <si>
    <t xml:space="preserve">Ciudad del Este </t>
  </si>
  <si>
    <t>[963]</t>
  </si>
  <si>
    <t xml:space="preserve">Encarnacion </t>
  </si>
  <si>
    <t>TA’ZIZ blue ammonia</t>
  </si>
  <si>
    <t>1000 kt NH3/y</t>
  </si>
  <si>
    <t>[965]</t>
  </si>
  <si>
    <t xml:space="preserve">BHP Nickel West Green Hydrogen </t>
  </si>
  <si>
    <t>[967]</t>
  </si>
  <si>
    <t>Dawson Mine</t>
  </si>
  <si>
    <t>Camden County (GA), green power plant</t>
  </si>
  <si>
    <t>15 t H2/d production</t>
  </si>
  <si>
    <t>[971]</t>
  </si>
  <si>
    <t>Pego coal plant transition</t>
  </si>
  <si>
    <t>0.5MW or 1.5t H2/y</t>
  </si>
  <si>
    <t>[973]</t>
  </si>
  <si>
    <t>Sealhyfe</t>
  </si>
  <si>
    <t>1MW, 400 kg H2/d</t>
  </si>
  <si>
    <t>[974],[1584]</t>
  </si>
  <si>
    <t>Rajasthan pilot plant</t>
  </si>
  <si>
    <t>5t NH3/day - 5MW</t>
  </si>
  <si>
    <t>[975][1196]</t>
  </si>
  <si>
    <t>OCP Group demo project</t>
  </si>
  <si>
    <t>4t NH3/day production</t>
  </si>
  <si>
    <t>[976][994][1126]</t>
  </si>
  <si>
    <t>Hofors rolling project</t>
  </si>
  <si>
    <t>[978][1118] [1677] [1999] [2081]</t>
  </si>
  <si>
    <t>Hyrasia one</t>
  </si>
  <si>
    <t>20GW</t>
  </si>
  <si>
    <t>[980][990] [1088][1484][1804] [2142]</t>
  </si>
  <si>
    <t>Manilla Solar &amp; Renewable Energy Storage Project</t>
  </si>
  <si>
    <t>[1030] [1637]</t>
  </si>
  <si>
    <t>Green Hydrogen Oman (GEO), phase 2 (former Oman-Al Wusta green H2 project)</t>
  </si>
  <si>
    <t>14GW</t>
  </si>
  <si>
    <t>AquaVentus (completion)</t>
  </si>
  <si>
    <t>[677] [980]</t>
  </si>
  <si>
    <t>EI-H2 - Aghada (phase 2)</t>
  </si>
  <si>
    <t>2.7GW</t>
  </si>
  <si>
    <t>[981]</t>
  </si>
  <si>
    <t>EI-H2 - Aghada (phase 3)</t>
  </si>
  <si>
    <t>New Jersey Offshore Wind plant</t>
  </si>
  <si>
    <t>[984]</t>
  </si>
  <si>
    <t>Delicias Solar</t>
  </si>
  <si>
    <t>35MW</t>
  </si>
  <si>
    <t>[985]</t>
  </si>
  <si>
    <t>Pico Truncado</t>
  </si>
  <si>
    <t>[986]</t>
  </si>
  <si>
    <t xml:space="preserve">Dhamma Energy Guanajuato </t>
  </si>
  <si>
    <t>Mexican Green Hydrogen Hub, phase 1</t>
  </si>
  <si>
    <t>69MW</t>
  </si>
  <si>
    <t>[987][1817]</t>
  </si>
  <si>
    <t>Algeciras Bay</t>
  </si>
  <si>
    <t>237MW</t>
  </si>
  <si>
    <t>[988][991]</t>
  </si>
  <si>
    <t>Gazifere grid injection</t>
  </si>
  <si>
    <t>[989]</t>
  </si>
  <si>
    <t>GREEN H2 Langosteira</t>
  </si>
  <si>
    <t>[992]</t>
  </si>
  <si>
    <t>Pouakai - Taranaki - NH3</t>
  </si>
  <si>
    <t>Allam Cycle</t>
  </si>
  <si>
    <t>3400t NH3/d - 0.5 Mt CO2/y</t>
  </si>
  <si>
    <t>[996][997]</t>
  </si>
  <si>
    <t>Pouakai - Taranaki - H2</t>
  </si>
  <si>
    <t>600t H2/d - 0.5 Mt CO2/y</t>
  </si>
  <si>
    <t xml:space="preserve">Jintongling Biomass Gasification </t>
  </si>
  <si>
    <t>200 million Nm3 H2/y</t>
  </si>
  <si>
    <t>Khalifa Industrial Zone Abu Dhabi (KIZAD) - phase 2</t>
  </si>
  <si>
    <t>200kt NH3/y production</t>
  </si>
  <si>
    <t>Veolia wastewater sludge plant</t>
  </si>
  <si>
    <t>[999]</t>
  </si>
  <si>
    <t xml:space="preserve">Egypt Ministry of Electricity and Renewable Energy </t>
  </si>
  <si>
    <t>[1000]</t>
  </si>
  <si>
    <t>IPCEI Blue Danube - first project</t>
  </si>
  <si>
    <t>[1004]</t>
  </si>
  <si>
    <t>BayH2</t>
  </si>
  <si>
    <t>Enid fertiliser</t>
  </si>
  <si>
    <t>0.68 Mt CO2/y</t>
  </si>
  <si>
    <t>[1005]</t>
  </si>
  <si>
    <t>Ervia CCS - Irving refinery</t>
  </si>
  <si>
    <t>[1006]</t>
  </si>
  <si>
    <t>Energean Prinos oil field</t>
  </si>
  <si>
    <t>2.5 Mt CO2/y</t>
  </si>
  <si>
    <t>[1007]</t>
  </si>
  <si>
    <t>Sinopec Zhongyuan Oilfield EOR</t>
  </si>
  <si>
    <t>Changqing Oil Field EOR</t>
  </si>
  <si>
    <t>50kt CO2/y</t>
  </si>
  <si>
    <t>Fortescue Future Industries - Port of Pecem</t>
  </si>
  <si>
    <t>305kt H2/y (production)</t>
  </si>
  <si>
    <t>[1010][1011][2094][2105]</t>
  </si>
  <si>
    <t>Marítimo Dragão - Qair</t>
  </si>
  <si>
    <t>5 MW - 296 kt H2/y</t>
  </si>
  <si>
    <t>[1010][1011][2156]</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</si>
  <si>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</si>
  <si>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</si>
  <si>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</si>
  <si>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</si>
  <si>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</si>
  <si>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</si>
  <si>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</si>
  <si>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</si>
  <si>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</si>
  <si>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</si>
  <si>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</si>
  <si>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</si>
  <si>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</si>
  <si>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380000t CO2/y</t>
  </si>
  <si>
    <t>[1017]</t>
  </si>
  <si>
    <t>Aukra CCS</t>
  </si>
  <si>
    <t>200-1200 t H2/d</t>
  </si>
  <si>
    <t>[1018] [1705]</t>
  </si>
  <si>
    <t>APEX-Plug Power H2 plamt</t>
  </si>
  <si>
    <t>30 t H2/d production</t>
  </si>
  <si>
    <t>[1019]</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</si>
  <si>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</si>
  <si>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</si>
  <si>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</si>
  <si>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</si>
  <si>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</si>
  <si>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</si>
  <si>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</si>
  <si>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</si>
  <si>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</si>
  <si>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</si>
  <si>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</si>
  <si>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</si>
  <si>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</si>
  <si>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</si>
  <si>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</si>
  <si>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Iberdrola-Foresa Green Methanol (phase 1)</t>
  </si>
  <si>
    <t>[1023]</t>
  </si>
  <si>
    <t>Iberdrola-Foresa Green Methanol (phase 2)</t>
  </si>
  <si>
    <t>Danskammer Energy - Newburgh</t>
  </si>
  <si>
    <t>[1025]</t>
  </si>
  <si>
    <t>Balico - Virginia</t>
  </si>
  <si>
    <t>Harrison Power Project in Cadiz, Ohio</t>
  </si>
  <si>
    <t>Western Green Energy Hub</t>
  </si>
  <si>
    <t>20Mt NH3/y production</t>
  </si>
  <si>
    <t>[1027]</t>
  </si>
  <si>
    <t>APA Renewable Methane Demonstration Project</t>
  </si>
  <si>
    <t>[1029]</t>
  </si>
  <si>
    <t>Bio-Hydrogen Demonstration Plant</t>
  </si>
  <si>
    <t>Waste gases from biofuels production</t>
  </si>
  <si>
    <t>200-400kW</t>
  </si>
  <si>
    <t>[1028]</t>
  </si>
  <si>
    <t>Bundaberg Hydrogen Hub</t>
  </si>
  <si>
    <t>80MW</t>
  </si>
  <si>
    <t>[1031]</t>
  </si>
  <si>
    <t>Daintree Microgrid Project</t>
  </si>
  <si>
    <t>[1032]</t>
  </si>
  <si>
    <t>Christmas Creek Renewable Hydrogen Mobility Project</t>
  </si>
  <si>
    <t>[1036]</t>
  </si>
  <si>
    <t>ABEL Energy Bell Bay Powerfuels Project - phase 1</t>
  </si>
  <si>
    <t>240 MW - 300kt MeOH/y production</t>
  </si>
  <si>
    <t>[1039][1765]</t>
  </si>
  <si>
    <t>Grange Resources Renewable Hydrogen</t>
  </si>
  <si>
    <t>90-100MW</t>
  </si>
  <si>
    <t>[1040]</t>
  </si>
  <si>
    <t>Melbourne Hydrogen Hub</t>
  </si>
  <si>
    <t>[1041]</t>
  </si>
  <si>
    <t>Portland Renewable Hydrogen Project</t>
  </si>
  <si>
    <t>[1042]</t>
  </si>
  <si>
    <t>Swinburne University of Technology Victorian Hydrogen Hub – CSIRO Hydrogen Refuelling Station</t>
  </si>
  <si>
    <t>20 kg H2/d</t>
  </si>
  <si>
    <t>[1043] [1639]</t>
  </si>
  <si>
    <t>Agnes Energy Hub</t>
  </si>
  <si>
    <t>[1556]</t>
  </si>
  <si>
    <t>Konin Power Plant, phase 2 - ZE PAK</t>
  </si>
  <si>
    <t>Konin Power Plant, phase 3</t>
  </si>
  <si>
    <t>AquaSector</t>
  </si>
  <si>
    <t>Platts European Gas Daily 26-07-2021</t>
  </si>
  <si>
    <t>H2Mare</t>
  </si>
  <si>
    <t>14MW</t>
  </si>
  <si>
    <t>[1046], Platts European Gas Daily 26-07-2021</t>
  </si>
  <si>
    <t>Green Crane - La Robla, Phase 2</t>
  </si>
  <si>
    <t>280MW</t>
  </si>
  <si>
    <t>[647][648][697], Platts European Gas Daily 29-07-2021</t>
  </si>
  <si>
    <t>Meirama plant, phase 2</t>
  </si>
  <si>
    <t>Freienbach plant</t>
  </si>
  <si>
    <t>[1559]</t>
  </si>
  <si>
    <t>Trailblazer - Siemens-Air Liquide Oberhausen, Phase 1</t>
  </si>
  <si>
    <t>[1560]</t>
  </si>
  <si>
    <t>Trailblazer - Siemens-Air Liquide Oberhausen, Phase 2</t>
  </si>
  <si>
    <t>Trafford Low Carbon Energy Park - phase 1</t>
  </si>
  <si>
    <t>[1561][1562]</t>
  </si>
  <si>
    <t>Hidrógeno Verde Bahía Quintero</t>
  </si>
  <si>
    <t>[1563]</t>
  </si>
  <si>
    <t>Wintershall Dea - VNG Turquoise H2 project</t>
  </si>
  <si>
    <t>400kg H2/d</t>
  </si>
  <si>
    <t>[1564]</t>
  </si>
  <si>
    <t>Green fertilizer project Porsgrunn-Heroya, phase 2 - HEGRA</t>
  </si>
  <si>
    <t>480 MW - 400kt NH3/y</t>
  </si>
  <si>
    <t>[1565][1566]</t>
  </si>
  <si>
    <t>Finnmark green NH3</t>
  </si>
  <si>
    <t>Electrolysis + Biomass/Biomethane</t>
  </si>
  <si>
    <t>[1567]</t>
  </si>
  <si>
    <t>Yarwun alumina refinery</t>
  </si>
  <si>
    <t>[1047]</t>
  </si>
  <si>
    <t>Hydrogen Generation Unit  - H2V Las Tortolas</t>
  </si>
  <si>
    <t>2kg H2/d</t>
  </si>
  <si>
    <t>[1048[]1049]</t>
  </si>
  <si>
    <t>Sonam Nurboo Memorial Hopsital</t>
  </si>
  <si>
    <t>[1050]</t>
  </si>
  <si>
    <t>Hokkaido green hydrogen plant</t>
  </si>
  <si>
    <t>550 t H2/y</t>
  </si>
  <si>
    <t>[1052]</t>
  </si>
  <si>
    <t>MMEX - Pecos, Texas</t>
  </si>
  <si>
    <t>50t H2/d production</t>
  </si>
  <si>
    <t>[1054]</t>
  </si>
  <si>
    <t>Energy-Norweigian Catapult Centre</t>
  </si>
  <si>
    <t>[1055] [1629]</t>
  </si>
  <si>
    <t>Raven - Republic Services H2 from waste plant</t>
  </si>
  <si>
    <t>Waste gasification CCUS</t>
  </si>
  <si>
    <t>2kt H2/y</t>
  </si>
  <si>
    <t>[1056] [1638]</t>
  </si>
  <si>
    <t>Javelina refinery</t>
  </si>
  <si>
    <t>[1058]</t>
  </si>
  <si>
    <t>Cromarty Firth Hydrogen Project, phase 1</t>
  </si>
  <si>
    <t>[1059][1547][1858]</t>
  </si>
  <si>
    <t>North Dakota Hydrogen Hub (former Great Plains Synfuel Plant)</t>
  </si>
  <si>
    <t>310000t H2/y</t>
  </si>
  <si>
    <t>[1059]</t>
  </si>
  <si>
    <t>Octopus Hydrogen - MIRA Technology Park</t>
  </si>
  <si>
    <t>[1660]</t>
  </si>
  <si>
    <t>HEVO-Sul</t>
  </si>
  <si>
    <t>4.3 MW or 418 t H2/y</t>
  </si>
  <si>
    <t>[1063] [1064]</t>
  </si>
  <si>
    <t>NEL - Nikola Agreement H2 refuelling stations in USA (1st phase)</t>
  </si>
  <si>
    <t>85MW</t>
  </si>
  <si>
    <t>[1062]</t>
  </si>
  <si>
    <t>HYVALUE</t>
  </si>
  <si>
    <t>1600 t H2/y</t>
  </si>
  <si>
    <t>[1626]</t>
  </si>
  <si>
    <t>H2 Valcamonica, phase 1</t>
  </si>
  <si>
    <t>[1627]</t>
  </si>
  <si>
    <t>H2 Évora - GreenGas I</t>
  </si>
  <si>
    <t>15t H2/y</t>
  </si>
  <si>
    <t>[1064][1587]</t>
  </si>
  <si>
    <t>H2 Évora - GreenGas II</t>
  </si>
  <si>
    <t>60t H2/y</t>
  </si>
  <si>
    <t>[1064] [1640]</t>
  </si>
  <si>
    <t>PRIO ENERGY</t>
  </si>
  <si>
    <t>140t H2/y</t>
  </si>
  <si>
    <t>[1064]</t>
  </si>
  <si>
    <t>KEME ENERGY</t>
  </si>
  <si>
    <t>HEVO-Sines</t>
  </si>
  <si>
    <t>91MW</t>
  </si>
  <si>
    <t>HEVO-Morocco</t>
  </si>
  <si>
    <t>31kt H2/y production</t>
  </si>
  <si>
    <t>[1064][1163]</t>
  </si>
  <si>
    <t>OceanH2</t>
  </si>
  <si>
    <t>[1065]</t>
  </si>
  <si>
    <t>TAQA-Emirates Steel Green H2</t>
  </si>
  <si>
    <t>[1066]</t>
  </si>
  <si>
    <t>Salamander</t>
  </si>
  <si>
    <t>[1067]</t>
  </si>
  <si>
    <t xml:space="preserve">Votalia - Taqa Arabia </t>
  </si>
  <si>
    <t>[1872]</t>
  </si>
  <si>
    <t>Tokyo Sewage-to-H2 plant</t>
  </si>
  <si>
    <t>40-50 kg H2/d</t>
  </si>
  <si>
    <t>[1070]</t>
  </si>
  <si>
    <t>Inner Mongolia green hydrogen</t>
  </si>
  <si>
    <t>&gt;465MW - 66.9 kt H2/y (production)</t>
  </si>
  <si>
    <t>[1071]</t>
  </si>
  <si>
    <t>Heroya Industrial Park</t>
  </si>
  <si>
    <t>5.5 MW or 1100 Nm3 H2/hour</t>
  </si>
  <si>
    <t>[1568][1569]</t>
  </si>
  <si>
    <t>H2 Energy Europe Esbjerg green hydrogen</t>
  </si>
  <si>
    <t>[1249][1510]</t>
  </si>
  <si>
    <t>HBIS DRI in Zhangxuan Technology of Hesteel Group</t>
  </si>
  <si>
    <t>1.2Mt steel</t>
  </si>
  <si>
    <t>[1073]</t>
  </si>
  <si>
    <t>Itochu/Petronas ammonia project</t>
  </si>
  <si>
    <t>1Mt NH3/y</t>
  </si>
  <si>
    <t>[1074]</t>
  </si>
  <si>
    <t>Prax Lindsey Oil Refinery Phase 1</t>
  </si>
  <si>
    <t>0.55Mt CO2/y</t>
  </si>
  <si>
    <t>[1570]</t>
  </si>
  <si>
    <t>ArcelorMittal Hamburg</t>
  </si>
  <si>
    <t>Platts European Gas Daily 08-09-2021</t>
  </si>
  <si>
    <t>H2GN - Power-to-gas Coquimbo</t>
  </si>
  <si>
    <t>150kW</t>
  </si>
  <si>
    <t>[1075] [1630]</t>
  </si>
  <si>
    <t xml:space="preserve">Shell heavy residue gasification CCUS - Pernis refinery </t>
  </si>
  <si>
    <t>1000000t CO2/y - 1000 kt H2/y</t>
  </si>
  <si>
    <t>Southland green hydrogen project</t>
  </si>
  <si>
    <t>[1081][1287]</t>
  </si>
  <si>
    <t>Gonfreville Raffinerie</t>
  </si>
  <si>
    <t>255 tH2/d - 650 ktCO2/y by 2030</t>
  </si>
  <si>
    <t>[1082]</t>
  </si>
  <si>
    <t>Vlissingen - VoltH2 - phase II</t>
  </si>
  <si>
    <t>[1083] [1662]</t>
  </si>
  <si>
    <t>Terneuzen - VoltH2 - phase I</t>
  </si>
  <si>
    <t>[1083] [1115] [1671]</t>
  </si>
  <si>
    <t>Green Wolverine</t>
  </si>
  <si>
    <t>[1084]</t>
  </si>
  <si>
    <t>Fairfuel Atmosfair</t>
  </si>
  <si>
    <t>]1085][1086][1585]</t>
  </si>
  <si>
    <t>PYROCO2</t>
  </si>
  <si>
    <t>9100 t acetone/y</t>
  </si>
  <si>
    <t>[1087]</t>
  </si>
  <si>
    <t>Wartsila - Vaasan</t>
  </si>
  <si>
    <t>[1090] [2026]</t>
  </si>
  <si>
    <t>Project Nour</t>
  </si>
  <si>
    <t>1.2 MtH2/year capacity</t>
  </si>
  <si>
    <t>[1091] [2102]</t>
  </si>
  <si>
    <t>Concrete Chemicals - I</t>
  </si>
  <si>
    <t>[1092]</t>
  </si>
  <si>
    <t>Concrete Chemicals - II</t>
  </si>
  <si>
    <t>H2Perth electrolysis - I</t>
  </si>
  <si>
    <t>[1093]</t>
  </si>
  <si>
    <t>H2Perth electrolysis - II</t>
  </si>
  <si>
    <t>H2Perth NG with CCUS - I</t>
  </si>
  <si>
    <t>40TJ of natural gas/day</t>
  </si>
  <si>
    <t>DelpHYnus hydrogen production Theddlethorpe</t>
  </si>
  <si>
    <t>1.8 GW - 5 to 8 Mt CO2/y</t>
  </si>
  <si>
    <t>[1094] [1110]</t>
  </si>
  <si>
    <t>Flotta Hydrogen Hub</t>
  </si>
  <si>
    <t>[1095], Platts European Gas Daily 13-10-2021</t>
  </si>
  <si>
    <t xml:space="preserve">Eastern Louisiana Clean Hydrogen Complex (LA) </t>
  </si>
  <si>
    <t>5 Mt CO2/y - 750 millin scfd</t>
  </si>
  <si>
    <t>[1097][1098]</t>
  </si>
  <si>
    <t>Hypster</t>
  </si>
  <si>
    <t>[1102] [2101]</t>
  </si>
  <si>
    <t>Hyphen Hydrogen Energy - phase I</t>
  </si>
  <si>
    <t>0.7 Mt NH3/y - 120 kt H2/y - 1 GW</t>
  </si>
  <si>
    <t>[1104][1206][1525]</t>
  </si>
  <si>
    <t>Hyphen Hydrogen Energy - phase II</t>
  </si>
  <si>
    <t>2 Mt NH3/y - 350 kt H2/y - 3GW</t>
  </si>
  <si>
    <t>H2TAS - phase I</t>
  </si>
  <si>
    <t>350 MW</t>
  </si>
  <si>
    <t>[1106] [1680]</t>
  </si>
  <si>
    <t>H2TAS - phase II</t>
  </si>
  <si>
    <t>750MW</t>
  </si>
  <si>
    <t>Hynovi - Vicat Montalieu-Vercieu cement plant</t>
  </si>
  <si>
    <t>180MW</t>
  </si>
  <si>
    <t>[1107]</t>
  </si>
  <si>
    <t>Axpo Brugg</t>
  </si>
  <si>
    <t>15 MW</t>
  </si>
  <si>
    <t>[1571]</t>
  </si>
  <si>
    <t>H2 Green - Shoreham port - phase I</t>
  </si>
  <si>
    <t>[1572]</t>
  </si>
  <si>
    <t>H2 Green - Shoreham port - phase II</t>
  </si>
  <si>
    <t>Port of Gothenburg - Statkraft</t>
  </si>
  <si>
    <t>[1109]</t>
  </si>
  <si>
    <t>H2opZee</t>
  </si>
  <si>
    <t>[1267]</t>
  </si>
  <si>
    <t>SK Ulsan Complex</t>
  </si>
  <si>
    <t>400 kt CO2/y</t>
  </si>
  <si>
    <t>Edmonton Blue Hydrogen plant (ALB) (Shell Polaris)</t>
  </si>
  <si>
    <t>165 kt H2/y</t>
  </si>
  <si>
    <t>[1112]</t>
  </si>
  <si>
    <t>ArcelorMittal and AirLiquide Dunkirk low-carbon steel</t>
  </si>
  <si>
    <t>2.85 Mt CO2/y</t>
  </si>
  <si>
    <t>[1008]</t>
  </si>
  <si>
    <t>Northern Horizons wind project</t>
  </si>
  <si>
    <t>[1114]</t>
  </si>
  <si>
    <t>Terneuzen - VoltH2 - phase II</t>
  </si>
  <si>
    <t>[1115]</t>
  </si>
  <si>
    <t>Atome - Itaipu - phase I</t>
  </si>
  <si>
    <t>[1433]</t>
  </si>
  <si>
    <t>Atome - Itaipu - phase II</t>
  </si>
  <si>
    <t>Green Fuel Iceland - phase I</t>
  </si>
  <si>
    <t>[1573]</t>
  </si>
  <si>
    <t>Green Fuel Iceland - phase II</t>
  </si>
  <si>
    <t>Kenya Private Sector Alliance - FFI MoU, phase 1</t>
  </si>
  <si>
    <t>[1116]</t>
  </si>
  <si>
    <t>EBIC - Ammonia plant</t>
  </si>
  <si>
    <t>[1117][1123]</t>
  </si>
  <si>
    <t>E.ON H2.Ruhr wind exports from Italy</t>
  </si>
  <si>
    <t>[1574]</t>
  </si>
  <si>
    <t>Sun Metals Zinc Refinery, phase II</t>
  </si>
  <si>
    <t>HyGreen Teesside, phase I</t>
  </si>
  <si>
    <t>[1122] [1390]</t>
  </si>
  <si>
    <t>HyGreen Teesside, phase II</t>
  </si>
  <si>
    <t>Gigastack-Hornsea 2, phase II</t>
  </si>
  <si>
    <t>1 GW</t>
  </si>
  <si>
    <t>[1124]</t>
  </si>
  <si>
    <t>Lesedi Power Project</t>
  </si>
  <si>
    <t>[1127]</t>
  </si>
  <si>
    <t>Sinopec - Ulanqab</t>
  </si>
  <si>
    <t>100kt H2/y production</t>
  </si>
  <si>
    <t>[1128]</t>
  </si>
  <si>
    <t>Sinopec - Zhangzhou</t>
  </si>
  <si>
    <t>Port of Newcastle</t>
  </si>
  <si>
    <t>[1129]</t>
  </si>
  <si>
    <t>Yosemite Clean Energy - Oroville</t>
  </si>
  <si>
    <t>12.2 t H2/d</t>
  </si>
  <si>
    <t>[1130]</t>
  </si>
  <si>
    <t>KazMunayGas - Linde MoU</t>
  </si>
  <si>
    <t>Unknown green/blue hydrogen</t>
  </si>
  <si>
    <t>[1131]</t>
  </si>
  <si>
    <t>Fortescue Metals - Rio Negro, phase I</t>
  </si>
  <si>
    <t>[1132]</t>
  </si>
  <si>
    <t>Fortescue Metals - Rio Negro, phase II</t>
  </si>
  <si>
    <t>2GW</t>
  </si>
  <si>
    <t>Fortescue Metals - Rio Negro, phase III</t>
  </si>
  <si>
    <t>15GW</t>
  </si>
  <si>
    <t>Tiwi Islands Green Hydrogen Project, phase I</t>
  </si>
  <si>
    <t>About a quarter of full capacity</t>
  </si>
  <si>
    <t>[1133] [1709]</t>
  </si>
  <si>
    <t>Tiwi Islands Green Hydrogen Project, phase II</t>
  </si>
  <si>
    <t>2x745 MW electrolyser, 2.8 GW PV</t>
  </si>
  <si>
    <t>[1133] [1709][2091]</t>
  </si>
  <si>
    <t>Steinbeis Innovation Center Braunschweig</t>
  </si>
  <si>
    <t>AEM</t>
  </si>
  <si>
    <t>[1134][1731]</t>
  </si>
  <si>
    <t>Aberdeen Hydrogen Hub, phase II</t>
  </si>
  <si>
    <t>1000 kg H2/day</t>
  </si>
  <si>
    <t>INEOS Köln site</t>
  </si>
  <si>
    <t>[1135][1152]</t>
  </si>
  <si>
    <t>Plug Power - Fresno County, California</t>
  </si>
  <si>
    <t>[1137][2086]</t>
  </si>
  <si>
    <t>Oracle Power - Power China International MoU, Sindh</t>
  </si>
  <si>
    <t>400MW - 150t H/d</t>
  </si>
  <si>
    <t>[1138]</t>
  </si>
  <si>
    <t>Carlentini Energy park (Sicily)</t>
  </si>
  <si>
    <t>[1139]</t>
  </si>
  <si>
    <t>Herne Bay, Kent</t>
  </si>
  <si>
    <t>8-9t H2/d production</t>
  </si>
  <si>
    <t>[1141] [1673]</t>
  </si>
  <si>
    <t>Iberdrola - H2 Green Steel</t>
  </si>
  <si>
    <t>800MW</t>
  </si>
  <si>
    <t>[1142]</t>
  </si>
  <si>
    <t>H2PiyR Pamiers</t>
  </si>
  <si>
    <t>[1143]</t>
  </si>
  <si>
    <t>Engie - Yara Pilbara test, phase II</t>
  </si>
  <si>
    <t>66MW</t>
  </si>
  <si>
    <t>[266] [309] [310] [664] [882] [910][1144]</t>
  </si>
  <si>
    <t>H2 Magallanes</t>
  </si>
  <si>
    <t>8GW</t>
  </si>
  <si>
    <t>[1145]</t>
  </si>
  <si>
    <t>Central Queensland Hydrogen CQ-H2, phase 2</t>
  </si>
  <si>
    <t>Mathura refinery</t>
  </si>
  <si>
    <t>5 kt H2/y</t>
  </si>
  <si>
    <t>[1147]</t>
  </si>
  <si>
    <t>Panipat refinery</t>
  </si>
  <si>
    <t>2 kt H2/y</t>
  </si>
  <si>
    <t>[1147][1992]</t>
  </si>
  <si>
    <t>AuxHYGen (Phase 2)</t>
  </si>
  <si>
    <t>Port of Auckland HRS</t>
  </si>
  <si>
    <t>450 kg H2/d</t>
  </si>
  <si>
    <t>[1150]</t>
  </si>
  <si>
    <t>Budweiser - Protium Wales brewery</t>
  </si>
  <si>
    <t>[1151]</t>
  </si>
  <si>
    <t>Mississippi Clean Hydrogen Hub</t>
  </si>
  <si>
    <t>110 kt H2/y</t>
  </si>
  <si>
    <t>[1155][1156]</t>
  </si>
  <si>
    <t>Tent Mountain</t>
  </si>
  <si>
    <t>[1157]</t>
  </si>
  <si>
    <t>Protium - Wilton Universal Group Teeside</t>
  </si>
  <si>
    <t>[1575]</t>
  </si>
  <si>
    <t>Snam, Saipem, Alboran Hydrogen - Brindisi plant</t>
  </si>
  <si>
    <t>Linde Niagara Falls</t>
  </si>
  <si>
    <t>35 MW</t>
  </si>
  <si>
    <t>[1158] [1159]</t>
  </si>
  <si>
    <t>Doosan Changwon City</t>
  </si>
  <si>
    <t>5t H2/d - 48t CO2/d</t>
  </si>
  <si>
    <t>[1160]</t>
  </si>
  <si>
    <t>Sweetman Hunter Valley</t>
  </si>
  <si>
    <t>[1161]</t>
  </si>
  <si>
    <t>Wilhelmshaven , phase 2</t>
  </si>
  <si>
    <t>410MW</t>
  </si>
  <si>
    <t>HySkies</t>
  </si>
  <si>
    <t>50kt synthetic kerosene/y production</t>
  </si>
  <si>
    <t>[1162] [1437]</t>
  </si>
  <si>
    <t>SalalaH2</t>
  </si>
  <si>
    <t>400MW</t>
  </si>
  <si>
    <t>[1164]</t>
  </si>
  <si>
    <t>Project Cavendish, phase1</t>
  </si>
  <si>
    <t>700MW-1.2 Mt CO2/y</t>
  </si>
  <si>
    <t>[1577]</t>
  </si>
  <si>
    <t>NTPC-Technip-L&amp;T MeOH project, Vindhyachal</t>
  </si>
  <si>
    <t>[1167][2097]</t>
  </si>
  <si>
    <t>Denbury / Mitsubishi Gulf Coast ammonia project</t>
  </si>
  <si>
    <t>1Mt NH3/y - 1800000 t CO2/y</t>
  </si>
  <si>
    <t>[1168]</t>
  </si>
  <si>
    <t>Arrowsmith Hydrogen Project, phase 2</t>
  </si>
  <si>
    <t>42t H2/d - 45 MW</t>
  </si>
  <si>
    <t>BlueScope’s Port Kembla Steelworks, Illawarra</t>
  </si>
  <si>
    <t>[1171]</t>
  </si>
  <si>
    <t>Project Haber, phase 2</t>
  </si>
  <si>
    <t>Mid West Clean Energy Project (MWCEP)</t>
  </si>
  <si>
    <t>1.2 Mt NH3/y or 220 kt H2/y</t>
  </si>
  <si>
    <t>[1175] [1760]</t>
  </si>
  <si>
    <t>South West Blue Hydrogen</t>
  </si>
  <si>
    <t>[1175]</t>
  </si>
  <si>
    <t>INEOS / Petroineos Grangemouth refinery</t>
  </si>
  <si>
    <t>190 kt H2/y - 1000000 t CO2/y</t>
  </si>
  <si>
    <t>[1176][1214]</t>
  </si>
  <si>
    <t>Air Liquide Botlek Rotterdam refinery (Porthos CCS)</t>
  </si>
  <si>
    <t>500000 t CO2/y - 130 000 Nm3 H2/h</t>
  </si>
  <si>
    <t>https://co2re.co/FacilityData</t>
  </si>
  <si>
    <t>Air Products Botlek Rotterdam refinery (Porthos CCS)</t>
  </si>
  <si>
    <t>Exxobmobil Benelux Botlek Rotterdam refinery (Porthos CCS)</t>
  </si>
  <si>
    <t>Zeeland Refinery CCS</t>
  </si>
  <si>
    <t>[1177]</t>
  </si>
  <si>
    <t>Boegoebaai green hydrogen</t>
  </si>
  <si>
    <t>400kt H2/y production</t>
  </si>
  <si>
    <t>[1178]</t>
  </si>
  <si>
    <t>H2Oman (Dhofar)</t>
  </si>
  <si>
    <t>1 Mt NH3/y production</t>
  </si>
  <si>
    <t>[1555]</t>
  </si>
  <si>
    <t>Fawley refinery</t>
  </si>
  <si>
    <t>4.3 TWh H2/y - 2Mt CO2/y</t>
  </si>
  <si>
    <t>[1578]</t>
  </si>
  <si>
    <t>Nyrstar Port Pirie, phase 1</t>
  </si>
  <si>
    <t>[1179][1218]</t>
  </si>
  <si>
    <t>Nyrstar Port Pirie, phase 2</t>
  </si>
  <si>
    <t>440MW</t>
  </si>
  <si>
    <t>Get H2 Lingen, phase 3</t>
  </si>
  <si>
    <t>[314][945][1180][1212], Platts European Gas Daily 08-12-2021, Platts European Gas Daily 21-12-2021</t>
  </si>
  <si>
    <t>Wasserstoffpark Lingen</t>
  </si>
  <si>
    <t>1.8GW</t>
  </si>
  <si>
    <t>[314][945][1180], Platts European Gas Daily 08-12-2021</t>
  </si>
  <si>
    <t>KeyState Natural Gas Synthesis &amp; CCUS</t>
  </si>
  <si>
    <t>104000 t CO2/y</t>
  </si>
  <si>
    <t>[1183][1432]</t>
  </si>
  <si>
    <t>Desert Bloom, phase 1</t>
  </si>
  <si>
    <t>400Mw</t>
  </si>
  <si>
    <t>[1184][1667]</t>
  </si>
  <si>
    <t>Desert Bloom, phase 2</t>
  </si>
  <si>
    <t>[1184]</t>
  </si>
  <si>
    <t>Hunter Energy Hub</t>
  </si>
  <si>
    <t>150-2000MW</t>
  </si>
  <si>
    <t>[1185][1481]</t>
  </si>
  <si>
    <t>Monolith Materials demo plant</t>
  </si>
  <si>
    <t>200t H2/y</t>
  </si>
  <si>
    <t>[1188]</t>
  </si>
  <si>
    <t>Simhadri micro-grid</t>
  </si>
  <si>
    <t>0.24MW</t>
  </si>
  <si>
    <t>[1190]</t>
  </si>
  <si>
    <t>Nelson Mandela Bay green ammonia plant, phase 1</t>
  </si>
  <si>
    <t>156kt NH3/y production</t>
  </si>
  <si>
    <t>[1191] [1201]</t>
  </si>
  <si>
    <t>Uljin County nuclear plant</t>
  </si>
  <si>
    <t>[1579]</t>
  </si>
  <si>
    <t>Tamil Nadu project</t>
  </si>
  <si>
    <t>[1192]</t>
  </si>
  <si>
    <t>NTPC green hydrogen mobiity project - Ladakh</t>
  </si>
  <si>
    <t>0.8MW</t>
  </si>
  <si>
    <t>[1195]</t>
  </si>
  <si>
    <t>H2BE</t>
  </si>
  <si>
    <t>1 GW H2 - 1.8 Gt CO2</t>
  </si>
  <si>
    <t>[1580][1651]</t>
  </si>
  <si>
    <t>Ningxia Solar Hydrogen Project, Phase 2</t>
  </si>
  <si>
    <t>Nelson Mandela Bay green ammonia plant, phase 2</t>
  </si>
  <si>
    <t>780kt NH3/y production</t>
  </si>
  <si>
    <t>Mote biomass-to-hydrogen plant (CA)</t>
  </si>
  <si>
    <t>7 ktH2/y - 140 kt CO2/y</t>
  </si>
  <si>
    <t>[1203]</t>
  </si>
  <si>
    <t xml:space="preserve">8Rivers - Wyoming </t>
  </si>
  <si>
    <t>100 mmscf H2/d</t>
  </si>
  <si>
    <t>[1204]</t>
  </si>
  <si>
    <t>Project Phoenix</t>
  </si>
  <si>
    <t>Sasolburg green hydrogen project</t>
  </si>
  <si>
    <t>[1207] [1780]</t>
  </si>
  <si>
    <t>Masen - KfW</t>
  </si>
  <si>
    <t>[1208]</t>
  </si>
  <si>
    <t>Secunda SAF Project - Phase I</t>
  </si>
  <si>
    <t>15000 t synfuels/y production</t>
  </si>
  <si>
    <t>[1207] [1769]</t>
  </si>
  <si>
    <t>Secunda SAF Project - Phase II</t>
  </si>
  <si>
    <t>2.5 Mt synfuels/y production</t>
  </si>
  <si>
    <t>EEHC - Siemens MoU</t>
  </si>
  <si>
    <t>100-200 MW</t>
  </si>
  <si>
    <t>[1209]</t>
  </si>
  <si>
    <t>Proyecto Faro del Sur</t>
  </si>
  <si>
    <t>240MW</t>
  </si>
  <si>
    <t>[1210]</t>
  </si>
  <si>
    <t>HyPro Aconcagua</t>
  </si>
  <si>
    <t>Antofagasta Mining Energy Renewable -AMER H2</t>
  </si>
  <si>
    <t>Green Steel - H2V CAP</t>
  </si>
  <si>
    <t>12MW</t>
  </si>
  <si>
    <t>[1210][1267]</t>
  </si>
  <si>
    <t>Los Barrios coal plant, Cadiz, phase 1</t>
  </si>
  <si>
    <t>[1211]</t>
  </si>
  <si>
    <t>Grand Inga hydroelectric power project</t>
  </si>
  <si>
    <t>[1213]</t>
  </si>
  <si>
    <t>Shell China - Zhangjiakou, phase 2</t>
  </si>
  <si>
    <t>[1216]</t>
  </si>
  <si>
    <t>H2biscus, phase 1</t>
  </si>
  <si>
    <t>7 kt H2/y production</t>
  </si>
  <si>
    <t>[1217] [1428]</t>
  </si>
  <si>
    <t>H2biscus, phase 2</t>
  </si>
  <si>
    <t>630 kt NH3/y production</t>
  </si>
  <si>
    <t>H2biscus, phase 3</t>
  </si>
  <si>
    <t>460 kt MeOH/y production</t>
  </si>
  <si>
    <t>H2biscus</t>
  </si>
  <si>
    <t>600 kt NH3/y</t>
  </si>
  <si>
    <t>Engie - Masdar - Fertiglobe Abu Dhabi</t>
  </si>
  <si>
    <t>[720] [903][1488]</t>
  </si>
  <si>
    <t>Oskarshamn nuclear plant</t>
  </si>
  <si>
    <t>0.7MW or 12 kg H2/h</t>
  </si>
  <si>
    <t>[1221]</t>
  </si>
  <si>
    <t>H2V Marseille - Fos (Phase 1)</t>
  </si>
  <si>
    <t>[1222] [1316]</t>
  </si>
  <si>
    <t>H2V Marseille - Fos (Phase 6, final)</t>
  </si>
  <si>
    <t>NFC Belfort (Phase 1)</t>
  </si>
  <si>
    <t>1 MW, 400 kg H2/d</t>
  </si>
  <si>
    <t>[1223]</t>
  </si>
  <si>
    <t>SoCalGaS - Kore demo facility</t>
  </si>
  <si>
    <t>Waste pyrolysis</t>
  </si>
  <si>
    <t>1t H2/d</t>
  </si>
  <si>
    <t>[1224]</t>
  </si>
  <si>
    <t>Port of Hanstholm - hydrogen</t>
  </si>
  <si>
    <t>[1225]</t>
  </si>
  <si>
    <t>Port of Hanstholm - methanol</t>
  </si>
  <si>
    <t>Lhyfe-Enerparc Luckau project</t>
  </si>
  <si>
    <t>[1581]</t>
  </si>
  <si>
    <t>Ande - Fortescue Future Industries MoU</t>
  </si>
  <si>
    <t>[1235]</t>
  </si>
  <si>
    <t>Ande - Maire Tecnimont - FerSam</t>
  </si>
  <si>
    <t>350MW</t>
  </si>
  <si>
    <t>[1236]</t>
  </si>
  <si>
    <t>Ande - Neogreen Hydrogen, phase 1</t>
  </si>
  <si>
    <t>75 MW</t>
  </si>
  <si>
    <t>[1234]</t>
  </si>
  <si>
    <t>Ande - Neogreen Hydrogen, phase 2</t>
  </si>
  <si>
    <t>Dorset Green H2 Project</t>
  </si>
  <si>
    <t>[1229]</t>
  </si>
  <si>
    <t>GreenH2Atlantic</t>
  </si>
  <si>
    <t>[1230][1231]</t>
  </si>
  <si>
    <t>Catalina Project, Phase 1</t>
  </si>
  <si>
    <t>500MW - 40 kt H2/y</t>
  </si>
  <si>
    <t>[1232] [1703]</t>
  </si>
  <si>
    <t>Catalina Project, Phase 2</t>
  </si>
  <si>
    <t>Trzebinia refinery</t>
  </si>
  <si>
    <t>350 t H2/y</t>
  </si>
  <si>
    <t>[1446][1452]</t>
  </si>
  <si>
    <t>Baltic Power wind project</t>
  </si>
  <si>
    <t>Pembroke power station</t>
  </si>
  <si>
    <t>110MW</t>
  </si>
  <si>
    <t>[1582]</t>
  </si>
  <si>
    <t>CNPC China Northwest (Xinjiang) hub refinery hydrogen</t>
  </si>
  <si>
    <t>1.5 Mt CO2/y</t>
  </si>
  <si>
    <t>[1233]</t>
  </si>
  <si>
    <t>Geelong Hydrogen Hub</t>
  </si>
  <si>
    <t>170t H2/d production</t>
  </si>
  <si>
    <t>[1240]</t>
  </si>
  <si>
    <t>H2Enable</t>
  </si>
  <si>
    <t>40 MW</t>
  </si>
  <si>
    <t>[1241] [2027]</t>
  </si>
  <si>
    <t>Hy2gen Sauda project</t>
  </si>
  <si>
    <t>[1243][1499]</t>
  </si>
  <si>
    <t>Firlough project</t>
  </si>
  <si>
    <t>[1245]</t>
  </si>
  <si>
    <t>Alcázar de San Juan - pHYnix</t>
  </si>
  <si>
    <t>10 MW - 1.45 kt H2/y</t>
  </si>
  <si>
    <t>[1246]</t>
  </si>
  <si>
    <t>Sojitz Queensland project</t>
  </si>
  <si>
    <t>[1247]</t>
  </si>
  <si>
    <t>Green CCU Hub Aalborg</t>
  </si>
  <si>
    <t>120 MW</t>
  </si>
  <si>
    <t>[1249]</t>
  </si>
  <si>
    <t>Blue Seal</t>
  </si>
  <si>
    <t>Green lab skive (Phase III)</t>
  </si>
  <si>
    <t>European Energy, phase I</t>
  </si>
  <si>
    <t>[1249] [1684]</t>
  </si>
  <si>
    <t>European Energy, phase II</t>
  </si>
  <si>
    <t>Eurowind Mariagerfjord, phase 1</t>
  </si>
  <si>
    <t>35-50MW</t>
  </si>
  <si>
    <t>Eurowind Mariagerfjord, phase 2</t>
  </si>
  <si>
    <t>Port of Aabenraa</t>
  </si>
  <si>
    <t>Port of Aabenraa Methanol</t>
  </si>
  <si>
    <t>10 kt MeOH/y - 50MW</t>
  </si>
  <si>
    <t>[1249][1683]</t>
  </si>
  <si>
    <t>Vordingborg biofuels</t>
  </si>
  <si>
    <t>100 kt MeOH/y production</t>
  </si>
  <si>
    <t>Aalborg MeOH project</t>
  </si>
  <si>
    <t>300-400MW</t>
  </si>
  <si>
    <t>CCU biogas (11x36MW)</t>
  </si>
  <si>
    <t>11x36MW</t>
  </si>
  <si>
    <t>Fortescue Future Industries - Incitec Pivot MoU</t>
  </si>
  <si>
    <t>50 kt H2/y production</t>
  </si>
  <si>
    <t>[1250]</t>
  </si>
  <si>
    <t>Fortescue Future Industries - Refining NZ MoU</t>
  </si>
  <si>
    <t>[1251][2068]</t>
  </si>
  <si>
    <t>Enagas - CEAR MoU</t>
  </si>
  <si>
    <t>[1252]</t>
  </si>
  <si>
    <t>Sun Brilliance West Australia Project, phase 1</t>
  </si>
  <si>
    <t>800 kt NH3/y production</t>
  </si>
  <si>
    <t>[1253]</t>
  </si>
  <si>
    <t>Sun Brilliance West Australia Project, phase 2</t>
  </si>
  <si>
    <t>310 kt H2/y production</t>
  </si>
  <si>
    <t>Borealis-Hynamic MoU Green Ammonia</t>
  </si>
  <si>
    <t>[1254]</t>
  </si>
  <si>
    <t>Montana Renewables</t>
  </si>
  <si>
    <t>[1255][1256]</t>
  </si>
  <si>
    <t>Decarbonisation Network of Appalachia</t>
  </si>
  <si>
    <t>[1257]</t>
  </si>
  <si>
    <t>Fortescue Future Industries Gull Island</t>
  </si>
  <si>
    <t>[1259]</t>
  </si>
  <si>
    <t>Port of South Louisiana</t>
  </si>
  <si>
    <t>4kt NH3/d production</t>
  </si>
  <si>
    <t>[1260]</t>
  </si>
  <si>
    <t>Hive Energy green ammonia plant</t>
  </si>
  <si>
    <t>7.5kt H2/y capacity</t>
  </si>
  <si>
    <t>[1261]</t>
  </si>
  <si>
    <t>Cactus Energia Verde Port of Pecem</t>
  </si>
  <si>
    <t>10.5 kt H2/month production</t>
  </si>
  <si>
    <t>[1262]</t>
  </si>
  <si>
    <t>Ingenostrum - Total Eren MoU</t>
  </si>
  <si>
    <t>[1263]</t>
  </si>
  <si>
    <t>Reuze</t>
  </si>
  <si>
    <t>[1264]</t>
  </si>
  <si>
    <t>Octopus Hydrogen - BayWa MoU</t>
  </si>
  <si>
    <t xml:space="preserve">[1265] [1660] [1674] </t>
  </si>
  <si>
    <t>Atacama Hydrogen Hub, phase 1</t>
  </si>
  <si>
    <t>[1266]</t>
  </si>
  <si>
    <t>Atacama Hydrogen Hub, phase 2</t>
  </si>
  <si>
    <t>2000MW or 110kt H2/y production</t>
  </si>
  <si>
    <t>Faraday - ACH-MRP</t>
  </si>
  <si>
    <t>2000MW or 180kt H2/y production</t>
  </si>
  <si>
    <t>H1 Magallanes</t>
  </si>
  <si>
    <t>170kt H2/y capacity</t>
  </si>
  <si>
    <t>San Pedro de Atacama project</t>
  </si>
  <si>
    <t>Selknam</t>
  </si>
  <si>
    <t>85kt H2/y</t>
  </si>
  <si>
    <t>Aker - Berlevag</t>
  </si>
  <si>
    <t>[1553]</t>
  </si>
  <si>
    <t>Aker - Rjukan, phase 1</t>
  </si>
  <si>
    <t>[1554]</t>
  </si>
  <si>
    <t>Aker - Rjukan, phase 2</t>
  </si>
  <si>
    <t>Heliogen Arizona green H2</t>
  </si>
  <si>
    <t>20kt H3/y production</t>
  </si>
  <si>
    <t>[1268]</t>
  </si>
  <si>
    <t>BP Castellon refinery, phase 2</t>
  </si>
  <si>
    <t>175MW</t>
  </si>
  <si>
    <t>[1269]</t>
  </si>
  <si>
    <t>Wilhelmshaven , phase 3</t>
  </si>
  <si>
    <t>China Coal Ordos Energy and Chemical</t>
  </si>
  <si>
    <t>[1271]</t>
  </si>
  <si>
    <t>Nazare Green Hydrogen Valley, phase 1</t>
  </si>
  <si>
    <t>[1272]</t>
  </si>
  <si>
    <t>Nazare Green Hydrogen Valley, phase 2</t>
  </si>
  <si>
    <t>Sinopec Yanshan Petrochemical</t>
  </si>
  <si>
    <t>[1273] [1631]</t>
  </si>
  <si>
    <t>Green Crane, Murcia (part of Green Crane Gigafactory)</t>
  </si>
  <si>
    <t>25 kt H2/y</t>
  </si>
  <si>
    <t>Lacq Hydrogen</t>
  </si>
  <si>
    <t>1000 kt H2/y production</t>
  </si>
  <si>
    <t>First HyDeal hub, phase 1</t>
  </si>
  <si>
    <t>3.3 GW</t>
  </si>
  <si>
    <t>[1274] [1772] [2098]</t>
  </si>
  <si>
    <t>First HyDeal hub, completion</t>
  </si>
  <si>
    <t>7.4 GW</t>
  </si>
  <si>
    <t>[1274] [2098]</t>
  </si>
  <si>
    <t>Origin Hunter Valley hydrogen hub</t>
  </si>
  <si>
    <t>55MW</t>
  </si>
  <si>
    <t>[1275] [2134]</t>
  </si>
  <si>
    <t>O&amp;L group - CMB.TECH hydrogen hub</t>
  </si>
  <si>
    <t>[1276]</t>
  </si>
  <si>
    <t>White Martins - Rio Grande do Su MoU</t>
  </si>
  <si>
    <t>[1277]</t>
  </si>
  <si>
    <t>Hazer-Suncor-FortisBC MoU</t>
  </si>
  <si>
    <t>2.5 kt H2/y - 9 kt carbon</t>
  </si>
  <si>
    <t>[1278]</t>
  </si>
  <si>
    <t>Ballylumford energy storage demo project</t>
  </si>
  <si>
    <t>[1279] [1280]</t>
  </si>
  <si>
    <t>Freeport East Hydrogen Hub</t>
  </si>
  <si>
    <t>[1283]</t>
  </si>
  <si>
    <t>Bell Bay smelter</t>
  </si>
  <si>
    <t>[1284]</t>
  </si>
  <si>
    <t>Raahe hub</t>
  </si>
  <si>
    <t>[1285]</t>
  </si>
  <si>
    <t>ExxonMobil Baytown petrochemical site</t>
  </si>
  <si>
    <t>1 BCF H2/d - 7 Mt CO2/y</t>
  </si>
  <si>
    <t>[1286]</t>
  </si>
  <si>
    <t>New Fortress Energy green hydrogen US gulf, phase 1</t>
  </si>
  <si>
    <t>[1459] [2110]</t>
  </si>
  <si>
    <t>New Fortress Energy green hydrogen US gulf, phase 2</t>
  </si>
  <si>
    <t>Norsk e-Fuel Phase 3</t>
  </si>
  <si>
    <t>100 million litres of synthetic kerosene per year production</t>
  </si>
  <si>
    <t>Air Liquide Dunkirk</t>
  </si>
  <si>
    <t>[1291]</t>
  </si>
  <si>
    <t>Renewstable Swakopmund</t>
  </si>
  <si>
    <t>[1292] [1293]</t>
  </si>
  <si>
    <t>Sonangol</t>
  </si>
  <si>
    <t>280 kt Nh3 production</t>
  </si>
  <si>
    <t>[1294] [1427]</t>
  </si>
  <si>
    <t>Petronas-ENEOS MoU</t>
  </si>
  <si>
    <t>50 Kt H2/y capacity</t>
  </si>
  <si>
    <t>[1295]</t>
  </si>
  <si>
    <t>Green Hydrogen and Chemicals SPC, phase I (former ACME-Scatec Oman)</t>
  </si>
  <si>
    <t>320MW</t>
  </si>
  <si>
    <t>[1296][1451][1972] [2080]</t>
  </si>
  <si>
    <t>Green Hydrogen and Chemicals SPC, phase II (former ACME-Scatec Oman)</t>
  </si>
  <si>
    <t>1.2Mt NH3/y production</t>
  </si>
  <si>
    <t>[1296][1451]</t>
  </si>
  <si>
    <t>H2ercules</t>
  </si>
  <si>
    <t>[1298] [1301]</t>
  </si>
  <si>
    <t>Promigas</t>
  </si>
  <si>
    <t>22kW</t>
  </si>
  <si>
    <t>[1299]</t>
  </si>
  <si>
    <t>Air Products Arizona</t>
  </si>
  <si>
    <t>10 t H2/d production</t>
  </si>
  <si>
    <t>[1300]</t>
  </si>
  <si>
    <t>H2UDF, phase I</t>
  </si>
  <si>
    <t>[1303] [1682]</t>
  </si>
  <si>
    <t>Hidroversol Castilla y León</t>
  </si>
  <si>
    <t>[1304]</t>
  </si>
  <si>
    <t>H2UDF, phase II</t>
  </si>
  <si>
    <t>[1303]</t>
  </si>
  <si>
    <t>AsturiasH2Valley, Abono</t>
  </si>
  <si>
    <t>150 MW</t>
  </si>
  <si>
    <t>[1305] [1306]</t>
  </si>
  <si>
    <t>Inspira Madrid</t>
  </si>
  <si>
    <t>[1307]</t>
  </si>
  <si>
    <t>SolarHy Cordoba</t>
  </si>
  <si>
    <t>55 MW</t>
  </si>
  <si>
    <t>[1308]</t>
  </si>
  <si>
    <t>Waste to hydrogen Boson Energy (H2-BEAM)</t>
  </si>
  <si>
    <t>15 kt H2/y</t>
  </si>
  <si>
    <t>[1310]</t>
  </si>
  <si>
    <t>Green Hydrogen Kherson region, phase 1</t>
  </si>
  <si>
    <t>46 MW - 29.9 kt NH3/y</t>
  </si>
  <si>
    <t>[1311]</t>
  </si>
  <si>
    <t>Green Hydrogen Kherson region, phase 2</t>
  </si>
  <si>
    <t>92 MW - 75 kt NH3/y</t>
  </si>
  <si>
    <t>Green Hydrogen Kherson region, phase 3</t>
  </si>
  <si>
    <t>201 MW - 184.4 kt NH3/y</t>
  </si>
  <si>
    <t>Waste to hydrogen Boson Energy (BEH2X NO1)</t>
  </si>
  <si>
    <t>3.5 kt H2/y</t>
  </si>
  <si>
    <t>Ruse project
(part of Green Hydrogen @ Blue Danube IPCEI)</t>
  </si>
  <si>
    <t>[1312] [1313] [1314]</t>
  </si>
  <si>
    <t>H2V WN Warndt Naborien (Phase 1)</t>
  </si>
  <si>
    <t>[1316] [1317]</t>
  </si>
  <si>
    <t>H2V WN Warndt Naborien (Phase 2, final)</t>
  </si>
  <si>
    <t>400 MW</t>
  </si>
  <si>
    <t>H2V Vigneux (Phase 1)</t>
  </si>
  <si>
    <t>[1318]</t>
  </si>
  <si>
    <t>H2V Vigneux (Phase 3, final)</t>
  </si>
  <si>
    <t>H2 Pierre-Bénite (Phase 1)</t>
  </si>
  <si>
    <t>[1319]</t>
  </si>
  <si>
    <t>CorrHyd'Occ (Occitanie H2 Corridor)</t>
  </si>
  <si>
    <t>45 MW</t>
  </si>
  <si>
    <t>[1320]</t>
  </si>
  <si>
    <t>Val d'Hygo (Occitanie H2 Corridor)</t>
  </si>
  <si>
    <t>H2V Gandrange</t>
  </si>
  <si>
    <t>[1321]</t>
  </si>
  <si>
    <t>H2 Pilotanlage Lingen, phase 2</t>
  </si>
  <si>
    <t>[1615]</t>
  </si>
  <si>
    <t>Get H2 Lingen, phase 1</t>
  </si>
  <si>
    <t>Green Hydrogen for the City of Cockburn, phase 1</t>
  </si>
  <si>
    <t>1.25 MW</t>
  </si>
  <si>
    <t>[1334] [1335]</t>
  </si>
  <si>
    <t>Green Hydrogen for the City of Cockburn, phase 2</t>
  </si>
  <si>
    <t>Green Hydrogen for the City of Cockburn, phase 3</t>
  </si>
  <si>
    <t>Green Shepherd</t>
  </si>
  <si>
    <t>[1336]</t>
  </si>
  <si>
    <t>H2Kwinana</t>
  </si>
  <si>
    <t>[1337]</t>
  </si>
  <si>
    <t>Kwinana Energy Transformation Hub (KETH)</t>
  </si>
  <si>
    <t>[1338]</t>
  </si>
  <si>
    <t>Edify Green Hydrogen Project, Lansdown Precint</t>
  </si>
  <si>
    <t>17.5MW</t>
  </si>
  <si>
    <t>[1339][1889]</t>
  </si>
  <si>
    <t>Teesside Hydrogen CO2 Capture/H2NorthEast Phase 1</t>
  </si>
  <si>
    <t>355 MW</t>
  </si>
  <si>
    <t>[1340]</t>
  </si>
  <si>
    <t>Teesside Hydrogen CO2 Capture/H2NorthEast Phase 2</t>
  </si>
  <si>
    <t>Shell Uniper Humber Hub Blue North Killingholme</t>
  </si>
  <si>
    <t>720MW - 1.6 Mt CO2/y</t>
  </si>
  <si>
    <t>[1341]</t>
  </si>
  <si>
    <t>Wilheimshaven Energy Hub BlueHyNow</t>
  </si>
  <si>
    <t>200k cubic m H2/h</t>
  </si>
  <si>
    <t>[1342]</t>
  </si>
  <si>
    <t>Compostilla Hydrogen Project</t>
  </si>
  <si>
    <t>HydrGEN I</t>
  </si>
  <si>
    <t>[1346]</t>
  </si>
  <si>
    <t>EnZaH2</t>
  </si>
  <si>
    <t>[1349]</t>
  </si>
  <si>
    <t>HH2 Europe</t>
  </si>
  <si>
    <t>[1351]</t>
  </si>
  <si>
    <t>Goßschwechten</t>
  </si>
  <si>
    <t>30 MW</t>
  </si>
  <si>
    <t>DUSEDAU</t>
  </si>
  <si>
    <t>24 MW</t>
  </si>
  <si>
    <t>GreenMotionSteel</t>
  </si>
  <si>
    <t>[1352] [1642]</t>
  </si>
  <si>
    <t>CHESS</t>
  </si>
  <si>
    <t>[1353]</t>
  </si>
  <si>
    <t>PROMETHEAN</t>
  </si>
  <si>
    <t>54 MW</t>
  </si>
  <si>
    <t>HyKero</t>
  </si>
  <si>
    <t>[1355]</t>
  </si>
  <si>
    <t>H2Agrar</t>
  </si>
  <si>
    <t>[1357]</t>
  </si>
  <si>
    <t>Flughafen Rostock-Laage PtX</t>
  </si>
  <si>
    <t>[1358]</t>
  </si>
  <si>
    <t>Waste to hydrogen Boson Energy (BEH2X Wood SWG)</t>
  </si>
  <si>
    <t>800 t H2/y</t>
  </si>
  <si>
    <t>Waste to hydrogen Boson Energy (BEH2X DE)</t>
  </si>
  <si>
    <t>10 kt H2/y</t>
  </si>
  <si>
    <t>HEAL - Hydrogen-based Energy Systems for Arctic Logistics</t>
  </si>
  <si>
    <t>[1359]</t>
  </si>
  <si>
    <t>Vätgas Ljungby</t>
  </si>
  <si>
    <t>[1360] [1686]</t>
  </si>
  <si>
    <t>Barsebäck Hydrogen Hub</t>
  </si>
  <si>
    <t>BotnialänkenH2</t>
  </si>
  <si>
    <t>[1361]</t>
  </si>
  <si>
    <t>Rabbalshede Krafts</t>
  </si>
  <si>
    <t>50 MW</t>
  </si>
  <si>
    <t>[1362]</t>
  </si>
  <si>
    <t>Waste to hydrogen Boson Energy (BEH2X SE)</t>
  </si>
  <si>
    <t>4.5 kt H2/y</t>
  </si>
  <si>
    <t>Power2AX</t>
  </si>
  <si>
    <t>225 t H2/y</t>
  </si>
  <si>
    <t>[1364]</t>
  </si>
  <si>
    <t>SHARC - Sustainable Hydrogen and Recovery of Carbon (phase 1)</t>
  </si>
  <si>
    <t>[1365]</t>
  </si>
  <si>
    <t>SHARC - Sustainable Hydrogen and Recovery of Carbon (phase 2)</t>
  </si>
  <si>
    <t>[1365][1875]</t>
  </si>
  <si>
    <t>SHARC - Sustainable Hydrogen and Recovery of Carbon (phase 3)</t>
  </si>
  <si>
    <t>270 MW</t>
  </si>
  <si>
    <t>H2UDF, phase III</t>
  </si>
  <si>
    <t>25 MW</t>
  </si>
  <si>
    <t>Fronius Solhub - SAN Group Herzogenburg</t>
  </si>
  <si>
    <t xml:space="preserve">0.7 MW or 100 kg H2/d </t>
  </si>
  <si>
    <t>[1366] [2074]</t>
  </si>
  <si>
    <t>32 MW</t>
  </si>
  <si>
    <t>Waste to hydrogen Boson Energy (BEH2X PLGM)</t>
  </si>
  <si>
    <t>[1367]</t>
  </si>
  <si>
    <t>Waste to hydrogen Boson Energy (BEH2X PLRE)</t>
  </si>
  <si>
    <t>NeptHyne, phase 1</t>
  </si>
  <si>
    <t>[1368]</t>
  </si>
  <si>
    <t>NeptHyne, phase 2</t>
  </si>
  <si>
    <t>Dalrymple Bay</t>
  </si>
  <si>
    <t>[1369]</t>
  </si>
  <si>
    <t>Santos Port Botany, New South Wales</t>
  </si>
  <si>
    <t>2 PJ H2/y - 0.15Mt CO2y</t>
  </si>
  <si>
    <t>[1370][1789]</t>
  </si>
  <si>
    <t>South Australia renewable hydrogen hub</t>
  </si>
  <si>
    <t>[1371]</t>
  </si>
  <si>
    <t>AMpHytrite demonstrator, Port of Rotterdam, phase 1</t>
  </si>
  <si>
    <t>[1372]</t>
  </si>
  <si>
    <t xml:space="preserve">Svante capture Linde SMR plant (TX) </t>
  </si>
  <si>
    <t>1.1Mt CO2/y</t>
  </si>
  <si>
    <t>[1373]</t>
  </si>
  <si>
    <t>Ain Sokhna plant, Suez Canal Economic Zone (SCZone), phase 1</t>
  </si>
  <si>
    <t>140kt NH3/y using 25kt H2/y production</t>
  </si>
  <si>
    <t>[1374]</t>
  </si>
  <si>
    <t>Ain Sokhna plant, Suez Canal Economic Zone (SCZone), phase 2</t>
  </si>
  <si>
    <t>350kt NH3/y production</t>
  </si>
  <si>
    <t>VISION 2025</t>
  </si>
  <si>
    <t>[1375]</t>
  </si>
  <si>
    <t>600kt CO2/y</t>
  </si>
  <si>
    <t>BLUE MED</t>
  </si>
  <si>
    <t>[1376]</t>
  </si>
  <si>
    <t>Zero Emission Mobility Corridor</t>
  </si>
  <si>
    <t>34 Mw</t>
  </si>
  <si>
    <t>[1377]</t>
  </si>
  <si>
    <t>EHYTRANSP - TS Laevad &amp; H2</t>
  </si>
  <si>
    <t>[1378]</t>
  </si>
  <si>
    <t xml:space="preserve"> HYEELIWTS - terminal of Muuga</t>
  </si>
  <si>
    <t>Cyprus Renewstable Tersefanou</t>
  </si>
  <si>
    <t>[1379]</t>
  </si>
  <si>
    <t>Waste to hydrogen Boson Energy (BEH2X LUX)</t>
  </si>
  <si>
    <t>[1380]</t>
  </si>
  <si>
    <t>AM Gent H2 consumption Hub</t>
  </si>
  <si>
    <t>90 kt H2/year</t>
  </si>
  <si>
    <t>[1381]</t>
  </si>
  <si>
    <t>Waste to hydrogen Boson Energy (BEH2X LAVNT)</t>
  </si>
  <si>
    <t>0.640 ktH2/y</t>
  </si>
  <si>
    <t>Dimdini H2 ecosystem</t>
  </si>
  <si>
    <t>Green H2 Setúbal Project</t>
  </si>
  <si>
    <t>7.5 MW</t>
  </si>
  <si>
    <t>[1383]</t>
  </si>
  <si>
    <t>Flavian superhybrid</t>
  </si>
  <si>
    <t>300 MW - 24 kt H2/y</t>
  </si>
  <si>
    <t>[1384]</t>
  </si>
  <si>
    <t xml:space="preserve">Advanced Clean Energy Storage (ACES) </t>
  </si>
  <si>
    <t>220 MW</t>
  </si>
  <si>
    <t>[1385][1440] [2140]</t>
  </si>
  <si>
    <t>Plug Power Olin green hydrogen Louisiana</t>
  </si>
  <si>
    <t>15 t H2/d capacity</t>
  </si>
  <si>
    <t>[1386]</t>
  </si>
  <si>
    <t>Szazhalombatta refinery</t>
  </si>
  <si>
    <t>[1387]</t>
  </si>
  <si>
    <t>Ain Sokhna ammonia project</t>
  </si>
  <si>
    <t>[1388] [2108]</t>
  </si>
  <si>
    <t>Masdar Hassan Allam green hydrogen, phase 1</t>
  </si>
  <si>
    <t>[1389]</t>
  </si>
  <si>
    <t>Masdar Hassan Allam green hydrogen, phase 2</t>
  </si>
  <si>
    <t>4GW electrolysis, 2.3 Mt NH3/y</t>
  </si>
  <si>
    <t>LSB Industries - Pryor green ammonia project, Phase 1</t>
  </si>
  <si>
    <t>[1391]</t>
  </si>
  <si>
    <t>Repsol Bilbao port synfuels project</t>
  </si>
  <si>
    <t>Total Eren, Enara green ammonia, phase 1</t>
  </si>
  <si>
    <t>300 kt NH3/y production</t>
  </si>
  <si>
    <t>[1393]</t>
  </si>
  <si>
    <t>Total Eren, Enara green ammonia, phase 2</t>
  </si>
  <si>
    <t>1.5 Mt NH3/y production</t>
  </si>
  <si>
    <t>Scatec Green Ammonia</t>
  </si>
  <si>
    <t>[1394]</t>
  </si>
  <si>
    <t>Ben Tre project, phase 1</t>
  </si>
  <si>
    <t>24 kt H2/y, 150 kt NH3/y, 195 kt O2/y production</t>
  </si>
  <si>
    <t>[1395]</t>
  </si>
  <si>
    <t>Ben Tre project, phase 2</t>
  </si>
  <si>
    <t>60 kt H2/y, 375 kt NH3/y, 490 kt O2/y production</t>
  </si>
  <si>
    <t>Lapis Energy El Dorado</t>
  </si>
  <si>
    <t>0.375 Mt NH3 - 450 kt CO2</t>
  </si>
  <si>
    <t>[1396]</t>
  </si>
  <si>
    <t>Ferrolterra plant</t>
  </si>
  <si>
    <t>Hydrogen Eagle (Spolana), phase 2</t>
  </si>
  <si>
    <t>36 MW</t>
  </si>
  <si>
    <t>Hyways for future, 1st hub</t>
  </si>
  <si>
    <t>Argus newsletter 01/06/2022</t>
  </si>
  <si>
    <t>HY2 Lausitz</t>
  </si>
  <si>
    <t>155 MW</t>
  </si>
  <si>
    <t>Waste-to-hydrogen East Port Said</t>
  </si>
  <si>
    <t>Waste thermolysis</t>
  </si>
  <si>
    <t>300 kt H2/y</t>
  </si>
  <si>
    <t>[1401] [1402]</t>
  </si>
  <si>
    <t>H2 Emden Electrolyzer, phase 1</t>
  </si>
  <si>
    <t>[1886]</t>
  </si>
  <si>
    <t>Referenzkraftwerk Lausitz</t>
  </si>
  <si>
    <t>1000 t/y</t>
  </si>
  <si>
    <t>[1404]</t>
  </si>
  <si>
    <t>Wenger Engineering Bremerhaven</t>
  </si>
  <si>
    <t>[1405]</t>
  </si>
  <si>
    <t xml:space="preserve">Hidroelectrica Ostrovu Mare </t>
  </si>
  <si>
    <t>[1407]</t>
  </si>
  <si>
    <t>KEME Energy Sines</t>
  </si>
  <si>
    <t>2.52MW</t>
  </si>
  <si>
    <t>[1408]</t>
  </si>
  <si>
    <t>Hyundai Heavy Industries - HHI East Sea - Phase I</t>
  </si>
  <si>
    <t>[1409]</t>
  </si>
  <si>
    <t>Hyundai Heavy Industries - HHI East Sea- Phase II</t>
  </si>
  <si>
    <t>1200 MW</t>
  </si>
  <si>
    <t>Gron Fuel Renewable Energy Complex</t>
  </si>
  <si>
    <t>60,000 bpd low-carbon renewable diesel - 1000 MW equivalnet</t>
  </si>
  <si>
    <t>[1410]</t>
  </si>
  <si>
    <t>Woodside H2OK</t>
  </si>
  <si>
    <t>290 MW</t>
  </si>
  <si>
    <t>[1411]</t>
  </si>
  <si>
    <t>Avangrid Connecticut project</t>
  </si>
  <si>
    <t>[1412] [1413]</t>
  </si>
  <si>
    <t>Avangrid Oregon project</t>
  </si>
  <si>
    <t>GH2 Ambès (Phase 1)</t>
  </si>
  <si>
    <t>[1416]</t>
  </si>
  <si>
    <t>GH2 Ambès (Phase 2, final)</t>
  </si>
  <si>
    <t>[1415]</t>
  </si>
  <si>
    <t>Masshylia</t>
  </si>
  <si>
    <t>125 MW</t>
  </si>
  <si>
    <t>[1417]</t>
  </si>
  <si>
    <t>H2 Loire Vallée (H2LV)</t>
  </si>
  <si>
    <t>[1646]</t>
  </si>
  <si>
    <t>Dijon Métropole Smart EnergHy (DMSE) - Station 1</t>
  </si>
  <si>
    <t>[1418] [1419] [2005]</t>
  </si>
  <si>
    <t>H-Awel</t>
  </si>
  <si>
    <t>[1420]</t>
  </si>
  <si>
    <t>Mayflower Hydrogen project</t>
  </si>
  <si>
    <t>[1421]</t>
  </si>
  <si>
    <t>Eneus Energy Hammars Hill</t>
  </si>
  <si>
    <t>12.9 MW</t>
  </si>
  <si>
    <t>[1422]</t>
  </si>
  <si>
    <t>Tarragona Green Chenical complex, phase 1</t>
  </si>
  <si>
    <t>[1423]</t>
  </si>
  <si>
    <t>Tarragona Green Chenical complex, phase 2</t>
  </si>
  <si>
    <t>Tarragona Green Chenical complex, phase 3</t>
  </si>
  <si>
    <t>70 MW</t>
  </si>
  <si>
    <t>GAIL Vijaipur project</t>
  </si>
  <si>
    <t>[1424]</t>
  </si>
  <si>
    <t>Huadian Baotou City Damaoqi Hydrogen Production Electrolysis Project</t>
  </si>
  <si>
    <t>PetroChina Yumen Oilfield - Phase 1</t>
  </si>
  <si>
    <t>2100 Nm3/h</t>
  </si>
  <si>
    <t>[1647]</t>
  </si>
  <si>
    <t>Shandong Weifang Economic Development Zone</t>
  </si>
  <si>
    <t>Anil urea plant</t>
  </si>
  <si>
    <t>2 GW</t>
  </si>
  <si>
    <t>HH2E - Met Northeast Germany, phase 1</t>
  </si>
  <si>
    <t>[1426]</t>
  </si>
  <si>
    <t>HH2E - Met Northeast Germany, phase 2</t>
  </si>
  <si>
    <t xml:space="preserve">Ferrosilva fossil-free DRI </t>
  </si>
  <si>
    <t>50 kt DRI/y</t>
  </si>
  <si>
    <t>[2095]</t>
  </si>
  <si>
    <t>Porte de St Cloud HRS station</t>
  </si>
  <si>
    <t>[1429]</t>
  </si>
  <si>
    <t>Zhongyuan Oil Field MW-Scale Renewable P2G, phase 1</t>
  </si>
  <si>
    <t>4080000 Nm3/y</t>
  </si>
  <si>
    <t>[1430] [1596]</t>
  </si>
  <si>
    <t>Zhongyuan Oil Field MW-Scale Renewable P2G, phase 2</t>
  </si>
  <si>
    <t>53000000 Nm3/y</t>
  </si>
  <si>
    <t>[1430]</t>
  </si>
  <si>
    <t>Da'an Jilin Power Wind-Solar-
Hydrogen-Ammonia Integration Project</t>
  </si>
  <si>
    <t>32000 t H2/y production</t>
  </si>
  <si>
    <t>[1968]</t>
  </si>
  <si>
    <t>Chicheng Wind-Hydrogen-Storage Energy Integration Demonstration</t>
  </si>
  <si>
    <t>2000 Nm3/h</t>
  </si>
  <si>
    <t>[1632]</t>
  </si>
  <si>
    <t>Barents Blue ammonia plant, phase 2</t>
  </si>
  <si>
    <t>2Mt NH3/y - 4 Mt CO2/y</t>
  </si>
  <si>
    <t>Barents Blue ammonia plant, phase 3</t>
  </si>
  <si>
    <t>3Mt NH3/y - 6 Mt CO2/y</t>
  </si>
  <si>
    <t xml:space="preserve"> Liquid Wind, FlagshipTWO</t>
  </si>
  <si>
    <t>1000kt MeOH/y production</t>
  </si>
  <si>
    <t>[450]</t>
  </si>
  <si>
    <t>SALCOS - first expansion - phase 1</t>
  </si>
  <si>
    <t>[1436] [1720]</t>
  </si>
  <si>
    <t>Nordsee Two Offshore Wind Farm</t>
  </si>
  <si>
    <t>[1437]</t>
  </si>
  <si>
    <t>Holland Hydrogen - phase 2</t>
  </si>
  <si>
    <t>H2era</t>
  </si>
  <si>
    <t>[1438]</t>
  </si>
  <si>
    <t>Unigel, phase I</t>
  </si>
  <si>
    <t>[1441][1442]</t>
  </si>
  <si>
    <t>Unigel, phase II</t>
  </si>
  <si>
    <t>Mmex Resources Corporation</t>
  </si>
  <si>
    <t>55t H2/d capacity</t>
  </si>
  <si>
    <t>[1443]</t>
  </si>
  <si>
    <t>Tees Green Hydrogen, phase 1</t>
  </si>
  <si>
    <t>[1444]</t>
  </si>
  <si>
    <t>Tees Green Hydrogen, phase 2</t>
  </si>
  <si>
    <t>GravitHy</t>
  </si>
  <si>
    <t>700MW - 2 Mt DRI</t>
  </si>
  <si>
    <t>[1445]</t>
  </si>
  <si>
    <t>VoltH2 - Delfzijl</t>
  </si>
  <si>
    <t>[1447] [1671]</t>
  </si>
  <si>
    <t>Green Fuels hamburg</t>
  </si>
  <si>
    <t>10 kt Synthetic kerosene/y production</t>
  </si>
  <si>
    <t>[1450]</t>
  </si>
  <si>
    <t>Navigator - P2X-Europe JV</t>
  </si>
  <si>
    <t>80 kt Synthetic kerosene/y production</t>
  </si>
  <si>
    <t>[2075] [2076]</t>
  </si>
  <si>
    <t>SkyFuelH2</t>
  </si>
  <si>
    <t>[1452] [2126]</t>
  </si>
  <si>
    <t>C-Zero California project</t>
  </si>
  <si>
    <t>400 kg H2/d</t>
  </si>
  <si>
    <t>[1453] [1695]</t>
  </si>
  <si>
    <t>Viva Energy HRS</t>
  </si>
  <si>
    <t>[1454]</t>
  </si>
  <si>
    <t>ReNew Power - Egypt MoU, Hydrogen, phase 1</t>
  </si>
  <si>
    <t>20 t H2/y production</t>
  </si>
  <si>
    <t>[1456]</t>
  </si>
  <si>
    <t>ReNew Power - Egypt MoU, Hydrogen, phase 2</t>
  </si>
  <si>
    <t>200 kt H2/y production</t>
  </si>
  <si>
    <t>ReNew Power - Egypt MoU, Ammonia phase 1</t>
  </si>
  <si>
    <t>100 kt NH3/y production</t>
  </si>
  <si>
    <t>ReNew Power - Egypt MoU, Ammonia phase 2</t>
  </si>
  <si>
    <t>1.1 Mt NH3/y production</t>
  </si>
  <si>
    <t>ScottishPower - Felixtowe Port</t>
  </si>
  <si>
    <t>[1457]</t>
  </si>
  <si>
    <t>PanHy, phase 1</t>
  </si>
  <si>
    <t xml:space="preserve"> 60MW or 9kt H2/y</t>
  </si>
  <si>
    <t>[1458] [2077]</t>
  </si>
  <si>
    <t>PanHy, phase 2</t>
  </si>
  <si>
    <t>300MW or 40kt H2/y</t>
  </si>
  <si>
    <t>Marubeni methanation project</t>
  </si>
  <si>
    <t>60 kt e- CH4/y</t>
  </si>
  <si>
    <t>[1459] [2138]</t>
  </si>
  <si>
    <t>Saint John, New Brunswick refinery</t>
  </si>
  <si>
    <t>[1460]</t>
  </si>
  <si>
    <t>Plug Power Port of Antwerp-Bruges</t>
  </si>
  <si>
    <t>[1463]</t>
  </si>
  <si>
    <t>Ineratec PtX plant in Frankfurt</t>
  </si>
  <si>
    <t>10MW - 4.6 million litres synthetic kerosene per year</t>
  </si>
  <si>
    <t>[1461][1462]</t>
  </si>
  <si>
    <t>Hydrogen City, phase 1</t>
  </si>
  <si>
    <t>[1464]</t>
  </si>
  <si>
    <t>Hydrogen City, phase 2</t>
  </si>
  <si>
    <t>3 Mt H2/y</t>
  </si>
  <si>
    <t>Spirit of Scotia Green Hydrogen Production Hub</t>
  </si>
  <si>
    <t>43 Mt H2/y capacity</t>
  </si>
  <si>
    <t>[1465]</t>
  </si>
  <si>
    <t>Fleur-de-lys Green Hydrogen Production Hub</t>
  </si>
  <si>
    <t>[1466]</t>
  </si>
  <si>
    <t>Pau-Lescar Biofactory</t>
  </si>
  <si>
    <t>1MW electrolyzer, 13000MWh CH4/y</t>
  </si>
  <si>
    <t>[1467]</t>
  </si>
  <si>
    <t>MoU Sri Lanka-Greenstat</t>
  </si>
  <si>
    <t>[1469]</t>
  </si>
  <si>
    <t>RENEWSTABLE SARDIDROGENO</t>
  </si>
  <si>
    <t>[1470]</t>
  </si>
  <si>
    <t>CAGOU – New Caledonia</t>
  </si>
  <si>
    <t>[1471]</t>
  </si>
  <si>
    <t>CYR – Australia - NPA RENEWSATBLE</t>
  </si>
  <si>
    <t>[1474]</t>
  </si>
  <si>
    <t>CYR – Australia - Torres Strait Renewstable RENEWSATBLE</t>
  </si>
  <si>
    <t>RENEWSTABLE SUMBA</t>
  </si>
  <si>
    <t>[1472]</t>
  </si>
  <si>
    <t>Dylan, phase 1</t>
  </si>
  <si>
    <t>[1476][1477]</t>
  </si>
  <si>
    <t>Dylan, phase 2</t>
  </si>
  <si>
    <t>WAviatER</t>
  </si>
  <si>
    <t>[1488]</t>
  </si>
  <si>
    <t>MoU GGGI, Samsung and Hyundai</t>
  </si>
  <si>
    <t>[1479]</t>
  </si>
  <si>
    <t>MoU EEC-Niger</t>
  </si>
  <si>
    <t>[1480]</t>
  </si>
  <si>
    <t>MoU Oil &amp; Natural Gas Corporation (ONGC) and Greenko</t>
  </si>
  <si>
    <t>1.3GW</t>
  </si>
  <si>
    <t>[1481]</t>
  </si>
  <si>
    <t>AGL Energy Torrens Island</t>
  </si>
  <si>
    <t>[1483]</t>
  </si>
  <si>
    <t xml:space="preserve"> Tambor Green Hydrogen Hub project</t>
  </si>
  <si>
    <t>[1485]</t>
  </si>
  <si>
    <t>MoU Ieasa and Fraunhofer Institute</t>
  </si>
  <si>
    <t>[1486]</t>
  </si>
  <si>
    <t>MoU Shell - Acu Port, phase 1</t>
  </si>
  <si>
    <t>[1487]</t>
  </si>
  <si>
    <t>MoU Shell - Acu Port, phase 2</t>
  </si>
  <si>
    <t>TAQA &amp; Abu Dhabi Ports</t>
  </si>
  <si>
    <t>100kt H2/y capacity</t>
  </si>
  <si>
    <t>Carlton Power hydrogen hub</t>
  </si>
  <si>
    <t>[1489]</t>
  </si>
  <si>
    <t>Sun-to-Liquid</t>
  </si>
  <si>
    <t>Concentrated solar synfuels production</t>
  </si>
  <si>
    <t>[1490]</t>
  </si>
  <si>
    <t>Synhelion</t>
  </si>
  <si>
    <t>MoU TOYO-Pupuk Indonesia Holding Company</t>
  </si>
  <si>
    <t>[1491]</t>
  </si>
  <si>
    <t>ACME Tamil Nadu plant - Chidambaranar port</t>
  </si>
  <si>
    <t>1.5GW - 3300 t NH3/d</t>
  </si>
  <si>
    <t>[1492] [2119]</t>
  </si>
  <si>
    <t>EDP Pecem pilot</t>
  </si>
  <si>
    <t>[1493]</t>
  </si>
  <si>
    <t>First Ammonia plant in Brunsbüttel</t>
  </si>
  <si>
    <t>400-1000MW</t>
  </si>
  <si>
    <t>[1494]</t>
  </si>
  <si>
    <t>Aeropuerto de Santiago</t>
  </si>
  <si>
    <t>[1497]</t>
  </si>
  <si>
    <t>CenterPoint Minneapolis grren hydrogen</t>
  </si>
  <si>
    <t>[1498] [1633]</t>
  </si>
  <si>
    <t xml:space="preserve">Gen2 Energy, Mosjøen   </t>
  </si>
  <si>
    <t>[1500]</t>
  </si>
  <si>
    <t xml:space="preserve">Gen2 Energy, Åfjord </t>
  </si>
  <si>
    <t xml:space="preserve">Gen2 Energy, Meråker    </t>
  </si>
  <si>
    <t>HTEC Burnaby plant</t>
  </si>
  <si>
    <t>[1501]</t>
  </si>
  <si>
    <t>Lion Energy HRS</t>
  </si>
  <si>
    <t>[1502]</t>
  </si>
  <si>
    <t>Norwegian Hydrogen, Hellesylt Hydrogen Hub 1st project</t>
  </si>
  <si>
    <t>[1503]</t>
  </si>
  <si>
    <t>MoU BP - ADNOC</t>
  </si>
  <si>
    <t>[1504]</t>
  </si>
  <si>
    <t>RIC Energy Valladolid -phase 1</t>
  </si>
  <si>
    <t>[1505] [1874]</t>
  </si>
  <si>
    <t>Ansasol - Castilla y León</t>
  </si>
  <si>
    <t>440 MW</t>
  </si>
  <si>
    <t>[1506]</t>
  </si>
  <si>
    <t>Cartagena refinery</t>
  </si>
  <si>
    <t>60MWel</t>
  </si>
  <si>
    <t>[1507]</t>
  </si>
  <si>
    <t>Barrancabermeja refinery</t>
  </si>
  <si>
    <t>Sines refinery (phase 3)</t>
  </si>
  <si>
    <t>702MW</t>
  </si>
  <si>
    <t>BrintØ - Hydrogen Island</t>
  </si>
  <si>
    <t>1Mt H2/y production</t>
  </si>
  <si>
    <t>[1508]</t>
  </si>
  <si>
    <t>University of New South Wales biomass demo</t>
  </si>
  <si>
    <t>[1509]</t>
  </si>
  <si>
    <t>Fortescue Future Industries -  Industrial Park at TransAlta coal mine conversion</t>
  </si>
  <si>
    <t>[1511]</t>
  </si>
  <si>
    <t>MadoquaPower2X - Sines</t>
  </si>
  <si>
    <t>[1512] [2078] Data from Platts S&amp;P Global Hydrogen Daily 27/09/2023</t>
  </si>
  <si>
    <t>Gladstone Energy and Ammonia Project</t>
  </si>
  <si>
    <t>91kt H2/y production</t>
  </si>
  <si>
    <t>[1513]</t>
  </si>
  <si>
    <t>River Wind Ukraine, phase1</t>
  </si>
  <si>
    <t>[1515]</t>
  </si>
  <si>
    <t>River Wind Ukraine, phase 2</t>
  </si>
  <si>
    <t>1700MW</t>
  </si>
  <si>
    <t>River Wind Ukraine, phase 3</t>
  </si>
  <si>
    <t>Jangada</t>
  </si>
  <si>
    <t>[1516]</t>
  </si>
  <si>
    <t>Iverson e-fuels</t>
  </si>
  <si>
    <t>255MW</t>
  </si>
  <si>
    <t>Sunrhyse</t>
  </si>
  <si>
    <t>HYNOVERA (Phase 1)</t>
  </si>
  <si>
    <t>12.5MW</t>
  </si>
  <si>
    <t>[1516] [2004]</t>
  </si>
  <si>
    <t>COURANT</t>
  </si>
  <si>
    <t>173kt NH3/y production</t>
  </si>
  <si>
    <t>[1456] [1773]</t>
  </si>
  <si>
    <t>SSE-Gamesa green hydrogen project in Gordonbush Wind Farm</t>
  </si>
  <si>
    <t>2000t H2/y production</t>
  </si>
  <si>
    <t>[1517]</t>
  </si>
  <si>
    <t>HIF USA</t>
  </si>
  <si>
    <t>[1518]</t>
  </si>
  <si>
    <t>HIF Asia Pacific</t>
  </si>
  <si>
    <t xml:space="preserve">Great Southern Project </t>
  </si>
  <si>
    <t>7.6MW</t>
  </si>
  <si>
    <t>[1519]</t>
  </si>
  <si>
    <t>MoU Lhyfe-wpd</t>
  </si>
  <si>
    <t>[1520]</t>
  </si>
  <si>
    <t xml:space="preserve">Kogas plant in Haengwon </t>
  </si>
  <si>
    <t>[1521]</t>
  </si>
  <si>
    <t>MoU Fortescue Future Industries-Djibouti</t>
  </si>
  <si>
    <t>[1522]</t>
  </si>
  <si>
    <t>Niagara Hydrogen Centre (NHC)</t>
  </si>
  <si>
    <t>[1523][1588] [1704]</t>
  </si>
  <si>
    <t>E-methanol plant in Singapore</t>
  </si>
  <si>
    <t>50kt MeOH/y production</t>
  </si>
  <si>
    <t>[1524]</t>
  </si>
  <si>
    <t>Eyre Peninsula Gateway Hydrogen Project, phase 2</t>
  </si>
  <si>
    <t>1.5 GW - 300 kt H2/y, 800 kt NH3/y</t>
  </si>
  <si>
    <t>[1533]</t>
  </si>
  <si>
    <t>H2U Offshore ANCAP</t>
  </si>
  <si>
    <t>[1526]</t>
  </si>
  <si>
    <t>Hyport@Duqm, phase 2</t>
  </si>
  <si>
    <t>1.5GW</t>
  </si>
  <si>
    <t>[1527]</t>
  </si>
  <si>
    <t>CF Industries blue ammonia Donaldsonville (LA)</t>
  </si>
  <si>
    <t>1.4Mt NH3/y - 2 MT CO2</t>
  </si>
  <si>
    <t>[1528]</t>
  </si>
  <si>
    <t>Maersk SCZONE</t>
  </si>
  <si>
    <t>480kt H2/y production</t>
  </si>
  <si>
    <t>[1530]</t>
  </si>
  <si>
    <t>P2X Europe - Nordic Electrofuel Porsgrunn project, phase 1</t>
  </si>
  <si>
    <t>8kt synfuels/y production</t>
  </si>
  <si>
    <t>[1531]</t>
  </si>
  <si>
    <t>800kt synfuels/y production</t>
  </si>
  <si>
    <t>MoU ADNOC, ENEOS, Mitsui, phase 1</t>
  </si>
  <si>
    <t>50kt H2/y</t>
  </si>
  <si>
    <t>[1532]</t>
  </si>
  <si>
    <t>MoU Shell - Mitsubishi, phase1</t>
  </si>
  <si>
    <t>400 kt H2/y production</t>
  </si>
  <si>
    <t>[1534]</t>
  </si>
  <si>
    <t>MoU Shell - Mitsubishi, phase2</t>
  </si>
  <si>
    <t>Liberty Biomass to ammonia (western Australia)</t>
  </si>
  <si>
    <t>100 kt NH3/y</t>
  </si>
  <si>
    <t>[1535]</t>
  </si>
  <si>
    <t>MEPAU Mid West CCUS hub</t>
  </si>
  <si>
    <t>1 Mt NH3/y</t>
  </si>
  <si>
    <t>[1536]</t>
  </si>
  <si>
    <t>H2 Industries waste to hydrogen plant</t>
  </si>
  <si>
    <t>67 kt H2/y</t>
  </si>
  <si>
    <t>[1537]</t>
  </si>
  <si>
    <t>Amun, phase 1</t>
  </si>
  <si>
    <t>[1538] [1539]</t>
  </si>
  <si>
    <t>First Hydrogen - Liverpool</t>
  </si>
  <si>
    <t>20-40 MW</t>
  </si>
  <si>
    <t>[1540]</t>
  </si>
  <si>
    <t>First Hydrogen - Manchester</t>
  </si>
  <si>
    <t>[1540] [1541]</t>
  </si>
  <si>
    <t>First Hydrogen - London</t>
  </si>
  <si>
    <t>First Hydrogen - Thames Estuary</t>
  </si>
  <si>
    <t>H2 hub Darwin</t>
  </si>
  <si>
    <t>1000 MW</t>
  </si>
  <si>
    <t>[1542]</t>
  </si>
  <si>
    <t>Hydrogen Energy Metallurgical Chemical Demonstration Zone, 1</t>
  </si>
  <si>
    <t>Total 300000 t H2/y production</t>
  </si>
  <si>
    <t>[1543]</t>
  </si>
  <si>
    <t>Hydrogen Energy Metallurgical Chemical Demonstration Zone, 2</t>
  </si>
  <si>
    <t>390kt NH3/y production</t>
  </si>
  <si>
    <t>[1543][1727]</t>
  </si>
  <si>
    <t>Prieska ammonia project, phase 1</t>
  </si>
  <si>
    <t>72 kt NH3/y - 12.9 kt H2/y production</t>
  </si>
  <si>
    <t>[1544]</t>
  </si>
  <si>
    <t>Prieska ammonia project, phase 2</t>
  </si>
  <si>
    <t>500 kt NH3/y production</t>
  </si>
  <si>
    <t>Ammonia Iowa project</t>
  </si>
  <si>
    <t>450 t NH3/d production</t>
  </si>
  <si>
    <t>[1545]</t>
  </si>
  <si>
    <t>Inverness hydrogen hub</t>
  </si>
  <si>
    <t>[1546]</t>
  </si>
  <si>
    <t>Cromarty Firth Hydrogen Project, phase 2</t>
  </si>
  <si>
    <t>Sohar Port, phase 1</t>
  </si>
  <si>
    <t>[1548]</t>
  </si>
  <si>
    <t>Sohar Port, phase 2</t>
  </si>
  <si>
    <t>ACME Odisha Plant</t>
  </si>
  <si>
    <t>[1549]</t>
  </si>
  <si>
    <t>Energy Hub at MIRA Technology Park.</t>
  </si>
  <si>
    <t>[1550]</t>
  </si>
  <si>
    <t>CF Industries and Mitsui Blue ammonia complex (LA)</t>
  </si>
  <si>
    <t>1-1.4 Mt NH3/y</t>
  </si>
  <si>
    <t>[1552]</t>
  </si>
  <si>
    <t>Asahi Kasei pilot</t>
  </si>
  <si>
    <t>3.2MW</t>
  </si>
  <si>
    <t>[1586]</t>
  </si>
  <si>
    <t>Linde Hellas - Mandra</t>
  </si>
  <si>
    <t>[1589]</t>
  </si>
  <si>
    <t>White Martins Pernambuco</t>
  </si>
  <si>
    <t>156 t/y</t>
  </si>
  <si>
    <t>[1600]</t>
  </si>
  <si>
    <t>Denham Hydrogen Demonstration Plant</t>
  </si>
  <si>
    <t>0.348mw</t>
  </si>
  <si>
    <t>[1601]</t>
  </si>
  <si>
    <t>Estación Andes</t>
  </si>
  <si>
    <t>4 kg H2/d</t>
  </si>
  <si>
    <t>[1624] [1625]</t>
  </si>
  <si>
    <t>Vallée Hydrogène Grand Ouest (VHyGO) - H2 Ouest (Phase 2)</t>
  </si>
  <si>
    <t>[1643]</t>
  </si>
  <si>
    <t>Lhyfe Bretagne - Buléon</t>
  </si>
  <si>
    <t>5MW, 2t H2/d</t>
  </si>
  <si>
    <t>PetroChina Yumen Oilfield - Phase 2</t>
  </si>
  <si>
    <t>7000 Nm3/h</t>
  </si>
  <si>
    <t>Azolla Hydrogen - Cal State demonstration</t>
  </si>
  <si>
    <t>Biomethanol steam reforming</t>
  </si>
  <si>
    <t>225 kg H2/d</t>
  </si>
  <si>
    <t>[1648]</t>
  </si>
  <si>
    <t>H2 Green City, phase 1</t>
  </si>
  <si>
    <t>[1649]</t>
  </si>
  <si>
    <t>H2 Green City, phase 2</t>
  </si>
  <si>
    <t>Jeju demostration project</t>
  </si>
  <si>
    <t>2x2MW</t>
  </si>
  <si>
    <t>[1650]</t>
  </si>
  <si>
    <t>[1654]</t>
  </si>
  <si>
    <t>Kashiwazaki Clean Hydrogen/Ammonia Project Niigata demonstration</t>
  </si>
  <si>
    <t>ATR</t>
  </si>
  <si>
    <t>700 t H2/y</t>
  </si>
  <si>
    <t>[1655]</t>
  </si>
  <si>
    <t>Kashiwazaki Clean Hydrogen/Ammonia Project Niigata scale-up</t>
  </si>
  <si>
    <t>Grandpuits biorefinery</t>
  </si>
  <si>
    <t>Mix of natural gas and biogas</t>
  </si>
  <si>
    <t>20 kt H2/y - 0.11Mt CO2/y</t>
  </si>
  <si>
    <t>[1656]</t>
  </si>
  <si>
    <t>Sur hydrogen cluster</t>
  </si>
  <si>
    <t>[1657]</t>
  </si>
  <si>
    <t>BP Alternative Energy Investments project, Duqm</t>
  </si>
  <si>
    <t>BP Alternative Energy Investments projects, Dhofar</t>
  </si>
  <si>
    <t>Plug Power Charleston, Tenesse (former United Hydrogen)</t>
  </si>
  <si>
    <t>6.5 t H2/d</t>
  </si>
  <si>
    <t>[1665]</t>
  </si>
  <si>
    <t>Plug Power Charleston, Tenesse (former United Hydrogen), expansion 1</t>
  </si>
  <si>
    <t>10 t H2/d</t>
  </si>
  <si>
    <t>[1664]</t>
  </si>
  <si>
    <t>Plug Power Charleston, Tenesse (former United Hydrogen), expansion 2</t>
  </si>
  <si>
    <t>[1663]</t>
  </si>
  <si>
    <t>Sany Heavy Energy Wind, Solar, Hydrogen, storage and Ammonia Integrated Demostration Project</t>
  </si>
  <si>
    <t>36000 t H2/y</t>
  </si>
  <si>
    <t>[1830]</t>
  </si>
  <si>
    <t>China Nuclear Wind Storage Hydrogen and Ammonia Demostration Project</t>
  </si>
  <si>
    <t>21600 t H2/y</t>
  </si>
  <si>
    <t>Chifeng Energy Internet of Things Zero Carbon Hydrogen Ammonia Demostration Project</t>
  </si>
  <si>
    <t>24200 t H2/y</t>
  </si>
  <si>
    <t xml:space="preserve">China Power Construction Chifeng Hydrogen Demonstration Project </t>
  </si>
  <si>
    <t>18600 t H2/y</t>
  </si>
  <si>
    <t>Shengyuan Energy wind-solar hydrogen production and station project</t>
  </si>
  <si>
    <t>5445 t H2/y</t>
  </si>
  <si>
    <t>Tengger Wind-solar Hydrogen Production Demostration Project</t>
  </si>
  <si>
    <t>20827 t H2/y</t>
  </si>
  <si>
    <t>Ordos Kubuqi Wind and Solar Hydrogen Production Demostration Project</t>
  </si>
  <si>
    <t>15460 t H2/y</t>
  </si>
  <si>
    <t>New energy hydrogen production and co-production carbon-free fuel demostration project</t>
  </si>
  <si>
    <t>28000 t H2/y</t>
  </si>
  <si>
    <t>Ulanqab Wind Solar Hydrogen and Ammonia Integrated Demostration project</t>
  </si>
  <si>
    <t>25700 t H2/y</t>
  </si>
  <si>
    <t>Trafford Low Carbon Energy Park  - phase 2</t>
  </si>
  <si>
    <t>NTPC Green Hydrogen Blending Project (Kawas, Surat)</t>
  </si>
  <si>
    <t>6.5 kW</t>
  </si>
  <si>
    <t>NTPC Green Hydrogen Mobility Project - Delhi</t>
  </si>
  <si>
    <t>1.6 MW</t>
  </si>
  <si>
    <t>Wyhlen hydroelectric power plant, expansion</t>
  </si>
  <si>
    <t>720 t H2/y</t>
  </si>
  <si>
    <t>[1670]</t>
  </si>
  <si>
    <t>Wilhelmshaven - VoltH2</t>
  </si>
  <si>
    <t>[1671]</t>
  </si>
  <si>
    <t>Prince George HRS</t>
  </si>
  <si>
    <t>2 x 5MW</t>
  </si>
  <si>
    <t>[1691] [1692]</t>
  </si>
  <si>
    <t>Flins Plant - HYVIA</t>
  </si>
  <si>
    <t>[1697]</t>
  </si>
  <si>
    <t>Hynoca Alkmaar</t>
  </si>
  <si>
    <t>240 - 2300 t H2/year</t>
  </si>
  <si>
    <t>[1662]</t>
  </si>
  <si>
    <t>H2UB Laren</t>
  </si>
  <si>
    <t>15 kg H2/hour</t>
  </si>
  <si>
    <t>Cleanup Gas</t>
  </si>
  <si>
    <t>Supercritical water gasification (SCW) plant</t>
  </si>
  <si>
    <t>18.6 MW</t>
  </si>
  <si>
    <t>[1662] [1700]</t>
  </si>
  <si>
    <t>GROHW</t>
  </si>
  <si>
    <t>NASA’s Ames Research Center</t>
  </si>
  <si>
    <t>[1702]</t>
  </si>
  <si>
    <t>H2Stroom</t>
  </si>
  <si>
    <t>H2Agro</t>
  </si>
  <si>
    <t>H2ARVESTER</t>
  </si>
  <si>
    <t>Narvik - Ammonia project</t>
  </si>
  <si>
    <t>1-1.5 kt NH3/day capacity</t>
  </si>
  <si>
    <t>[1705]</t>
  </si>
  <si>
    <t>Constellation - Nine Mile Point Nuclear Plant</t>
  </si>
  <si>
    <t>[1706]</t>
  </si>
  <si>
    <t>Green Marlin</t>
  </si>
  <si>
    <t>3.2 GW</t>
  </si>
  <si>
    <t>[1710] [1711]</t>
  </si>
  <si>
    <t>Ammonia project in Port of Pecem</t>
  </si>
  <si>
    <t>2.4 GW</t>
  </si>
  <si>
    <t>[1712]</t>
  </si>
  <si>
    <t>Amun, phase 2</t>
  </si>
  <si>
    <t>Collinsvile Energy hub - Han Ho</t>
  </si>
  <si>
    <t>1.8 Mtpa NH3 production</t>
  </si>
  <si>
    <t>[1713]</t>
  </si>
  <si>
    <t>SEE TRADE SECTION</t>
  </si>
  <si>
    <t>Santos e-methane plant</t>
  </si>
  <si>
    <t>Production of 60 kt e-CH4/y</t>
  </si>
  <si>
    <t>[1714]</t>
  </si>
  <si>
    <t>Synthetic methane Cameron terminal to Japan</t>
  </si>
  <si>
    <t>Production of 130 kt e-CH4/y</t>
  </si>
  <si>
    <t>[1715]</t>
  </si>
  <si>
    <t>Pauna Greener Future - NH3</t>
  </si>
  <si>
    <t>[1716]</t>
  </si>
  <si>
    <t>Cepsa San Roque Energy Park (Algeciras) - Andalucian Green Hydrogen Valley
Carteia Project</t>
  </si>
  <si>
    <t>[1717] [1764]</t>
  </si>
  <si>
    <t>Cepsa La Rábida Energy Park (Huelva) - phase 1 - Andalucian Green Hydrogen Valley
Onuba Project</t>
  </si>
  <si>
    <t>[1718]</t>
  </si>
  <si>
    <t>Scatec e-Methanol</t>
  </si>
  <si>
    <t>60 MW electrolyser - 40 kt MeOH/y</t>
  </si>
  <si>
    <t>[1719]</t>
  </si>
  <si>
    <t>Danish nuclear in Indonesia</t>
  </si>
  <si>
    <t>[1721]</t>
  </si>
  <si>
    <t>Petrobrazi Refinery - Green H2</t>
  </si>
  <si>
    <t>[1722]</t>
  </si>
  <si>
    <t>ACWA Power - Green H2 - Phase 1</t>
  </si>
  <si>
    <t>3000 t H2/y production</t>
  </si>
  <si>
    <t>[1723]</t>
  </si>
  <si>
    <t>ACWA Power - Green H2 - Phase 2</t>
  </si>
  <si>
    <t>500kt NH3/y production</t>
  </si>
  <si>
    <t>Hellenic Hydrogen in  Western Macedonia</t>
  </si>
  <si>
    <t>[1724]</t>
  </si>
  <si>
    <t>Hycamite CSF Plant</t>
  </si>
  <si>
    <t>[1725]</t>
  </si>
  <si>
    <t>H2 Valcamonica, phase 2</t>
  </si>
  <si>
    <t>21MW</t>
  </si>
  <si>
    <t>MEG HP1</t>
  </si>
  <si>
    <t>[1728]</t>
  </si>
  <si>
    <t>Arrowsmith Hydrogen Project, phase 3</t>
  </si>
  <si>
    <t>125t H2/d - 300MW</t>
  </si>
  <si>
    <t>Arrowsmith Hydrogen Project, phase 4</t>
  </si>
  <si>
    <t>Valle Peligna Green Hydrogen Project</t>
  </si>
  <si>
    <t>Port Taranaki - Infinite Green Energy</t>
  </si>
  <si>
    <t>250t H2/d - 600MW</t>
  </si>
  <si>
    <t>Petrofac Ain Sokhna Ammonia project</t>
  </si>
  <si>
    <t>125 kt NH3/y production</t>
  </si>
  <si>
    <t>[1729]</t>
  </si>
  <si>
    <t>Proton Energy DEMO in Saskatchewan</t>
  </si>
  <si>
    <t>Underground Partial Oxidation</t>
  </si>
  <si>
    <t>[1730]</t>
  </si>
  <si>
    <t>Proton Energy Commercial stage in Saskatchewan</t>
  </si>
  <si>
    <t>500t H2/d</t>
  </si>
  <si>
    <t>Plug Power Kokkola plant</t>
  </si>
  <si>
    <t>[1732]</t>
  </si>
  <si>
    <t>Plug Power Kristinestad plant</t>
  </si>
  <si>
    <t>Plug Power Porvoo plant</t>
  </si>
  <si>
    <t>GH2SOTO, phase 1</t>
  </si>
  <si>
    <t>[1736]</t>
  </si>
  <si>
    <t>GH2SOTO, phase 2</t>
  </si>
  <si>
    <t>AIRA H2</t>
  </si>
  <si>
    <t>H2BCNHUB</t>
  </si>
  <si>
    <t>[1733]</t>
  </si>
  <si>
    <t>Industrias Quimicas Del Oxido De Etileno</t>
  </si>
  <si>
    <t>Green HyChemical Huelva</t>
  </si>
  <si>
    <t>[1734]</t>
  </si>
  <si>
    <t>H2 PILLAR, phase 1</t>
  </si>
  <si>
    <t>[1735]</t>
  </si>
  <si>
    <t>H2 PILLAR, phase 2</t>
  </si>
  <si>
    <t>Green hydrogen Projecte Alperujo/Jaen</t>
  </si>
  <si>
    <t>Tree Energy Solutions (TES) - TotalEnergies TX plant</t>
  </si>
  <si>
    <t>[1737]</t>
  </si>
  <si>
    <t>Energie Steiermark plant in Styria</t>
  </si>
  <si>
    <t>[1739]</t>
  </si>
  <si>
    <t>Energie Steiermark plant in Styrua, expansion</t>
  </si>
  <si>
    <t>Tierra del Fuego green hydrogen project</t>
  </si>
  <si>
    <t>55 t H2/d production</t>
  </si>
  <si>
    <t>[1740]</t>
  </si>
  <si>
    <t>Point Tupper green hydrogen project, phase 1</t>
  </si>
  <si>
    <t>0.2 Mt NH3/y production</t>
  </si>
  <si>
    <t>[1741] [1752] [1753] [2112]</t>
  </si>
  <si>
    <t>Greenb2e - Valencia</t>
  </si>
  <si>
    <t>13-15 kt H2/y</t>
  </si>
  <si>
    <t>[1743]</t>
  </si>
  <si>
    <t>Besaya H2</t>
  </si>
  <si>
    <t>[1744]</t>
  </si>
  <si>
    <t>Castellon Port</t>
  </si>
  <si>
    <t>850kt NH3/y production</t>
  </si>
  <si>
    <t>[1745]</t>
  </si>
  <si>
    <t>SoutH2Port</t>
  </si>
  <si>
    <t>600MW -240t H2/d production</t>
  </si>
  <si>
    <t>[1746]</t>
  </si>
  <si>
    <t>BotH2nia</t>
  </si>
  <si>
    <t>[1747]</t>
  </si>
  <si>
    <t>Ord Hydrogen Project</t>
  </si>
  <si>
    <t>15-25 MW</t>
  </si>
  <si>
    <t>[1748]</t>
  </si>
  <si>
    <t>WAH2 Blue  Ammonia Project - phase 1</t>
  </si>
  <si>
    <t>250 kt NH3/y</t>
  </si>
  <si>
    <t>[1749]</t>
  </si>
  <si>
    <t>WAH2 Blue  Ammonia Project - phase 2</t>
  </si>
  <si>
    <t>800 kt NH3/y</t>
  </si>
  <si>
    <t>Asian Renewable Energy Hub, completion</t>
  </si>
  <si>
    <t>14000MW</t>
  </si>
  <si>
    <t>MoU China General Nuclear Power Group - Quinto Energy</t>
  </si>
  <si>
    <t>5.4GW</t>
  </si>
  <si>
    <t>[1750]</t>
  </si>
  <si>
    <t>Ineratec Port of Amsterdam</t>
  </si>
  <si>
    <t>35 kt e-fuels (part of hydrogen supply, impoted)</t>
  </si>
  <si>
    <t>[1751]</t>
  </si>
  <si>
    <t>Point Tupper green hydrogen project, phase 2</t>
  </si>
  <si>
    <t>[1741] [1752] [1753] [2112] [2123]</t>
  </si>
  <si>
    <t>Hydrogen-Reduced Sponge Iron Production</t>
  </si>
  <si>
    <t>[1754] [2079]</t>
  </si>
  <si>
    <t>ACWA Power - Large scale H2 project</t>
  </si>
  <si>
    <t>5GW</t>
  </si>
  <si>
    <t>[1755]</t>
  </si>
  <si>
    <t>Adelaida project</t>
  </si>
  <si>
    <t xml:space="preserve">3MW or 1,000kg H2 /d </t>
  </si>
  <si>
    <t>[1756]</t>
  </si>
  <si>
    <t>H2 plant Wilbarger County</t>
  </si>
  <si>
    <t>200t H2/day production</t>
  </si>
  <si>
    <t>[1757]</t>
  </si>
  <si>
    <t>Hydrogen Power South Australia</t>
  </si>
  <si>
    <t>250 MW</t>
  </si>
  <si>
    <t>[1758]</t>
  </si>
  <si>
    <t>Bristol Springs Solar Hydrogen Project</t>
  </si>
  <si>
    <t>[1759]</t>
  </si>
  <si>
    <t>Xcel Energy's Minnesota nuclear plant</t>
  </si>
  <si>
    <t>240 kW</t>
  </si>
  <si>
    <t>[1761]</t>
  </si>
  <si>
    <t>Porto Central</t>
  </si>
  <si>
    <t>300 t H2/y + 1700 t NH3/y</t>
  </si>
  <si>
    <t>[1762]</t>
  </si>
  <si>
    <t>Unigel, phase III</t>
  </si>
  <si>
    <t>[1763]</t>
  </si>
  <si>
    <t>Pembina low carbon complex</t>
  </si>
  <si>
    <t>[1766]</t>
  </si>
  <si>
    <t>Cepsa La Rábida Energy Park (Huelva - phase 2 - Andalucian Green Hydrogen Valley
Onuba Project</t>
  </si>
  <si>
    <t>Evergreen Project</t>
  </si>
  <si>
    <t>7GW</t>
  </si>
  <si>
    <t>[1767]</t>
  </si>
  <si>
    <t>TES’ Green Energy Hub - Wilhelmshaven Port</t>
  </si>
  <si>
    <t>[1768]</t>
  </si>
  <si>
    <t>Guelmim-Oued Noun project</t>
  </si>
  <si>
    <t>[1770]</t>
  </si>
  <si>
    <t>Madoqua E-methanol</t>
  </si>
  <si>
    <t>500 MW - 260 ktpa e-methanol</t>
  </si>
  <si>
    <t>[1771] [2133]</t>
  </si>
  <si>
    <t>Paysandu green hydrogen project</t>
  </si>
  <si>
    <t>1774][1775]</t>
  </si>
  <si>
    <t xml:space="preserve">Iberdrola - Trammo green hydrogen </t>
  </si>
  <si>
    <t>140MW or 100 kt NH3/y</t>
  </si>
  <si>
    <t>[1776]</t>
  </si>
  <si>
    <t>H2HubNS</t>
  </si>
  <si>
    <t>[1777]</t>
  </si>
  <si>
    <t>Hygenco Demonstration Plant</t>
  </si>
  <si>
    <t>100kW</t>
  </si>
  <si>
    <t>[1778]</t>
  </si>
  <si>
    <t>Hygenco JSL Plant</t>
  </si>
  <si>
    <t>[1779]</t>
  </si>
  <si>
    <t>Exxonmobil Antwerp Refinery CCS</t>
  </si>
  <si>
    <t>[1781]</t>
  </si>
  <si>
    <t>1.5Mt CO2 captured</t>
  </si>
  <si>
    <t>[1782]</t>
  </si>
  <si>
    <t>H2GE Rostock</t>
  </si>
  <si>
    <t>SHARC Neste</t>
  </si>
  <si>
    <t>Prax Lindsey Oil Refinery Phase 2</t>
  </si>
  <si>
    <t>Project Cavendish, phase2</t>
  </si>
  <si>
    <t>1.05MW-1.8 Mt CO2/y</t>
  </si>
  <si>
    <t>Centrica Equinor hydrogen hub Easington collaboration</t>
  </si>
  <si>
    <t>NG w CCUS+Electrolysis</t>
  </si>
  <si>
    <t>[1784]</t>
  </si>
  <si>
    <t>Balikpapan Refinery</t>
  </si>
  <si>
    <t>SMR + CCUS</t>
  </si>
  <si>
    <t>[1786]</t>
  </si>
  <si>
    <t>Dalstur Energy Coal India coal hydrogen</t>
  </si>
  <si>
    <t>[1787]</t>
  </si>
  <si>
    <t>Indian Oil Corporation Koyali refinery</t>
  </si>
  <si>
    <t>0.7Mt CO2/y (part for CCU)</t>
  </si>
  <si>
    <t>[1788]</t>
  </si>
  <si>
    <t>ENI Venice bio-refinery Porto Marghera (Ravenna phase 2)</t>
  </si>
  <si>
    <t>0.2Mt CO2/y - 30000 Nm3 H2/h</t>
  </si>
  <si>
    <t>[1790]</t>
  </si>
  <si>
    <t>Yara Sluiskil fertiliser</t>
  </si>
  <si>
    <t>0.8Mt CO2/y</t>
  </si>
  <si>
    <t>[1791]</t>
  </si>
  <si>
    <t>Omifco ammonia capture</t>
  </si>
  <si>
    <t>3500t NH3/d</t>
  </si>
  <si>
    <t>[1792]</t>
  </si>
  <si>
    <t>Enbridge Ingleside Energy Center Low carbon ammonia (TX)</t>
  </si>
  <si>
    <t>1.2-1.4 Mt NH3/y</t>
  </si>
  <si>
    <t>[1793]</t>
  </si>
  <si>
    <t>Northern Plains Nitrogen Blue ammonia (ND)</t>
  </si>
  <si>
    <t>0.5Mt CO2/y</t>
  </si>
  <si>
    <t>[1794]</t>
  </si>
  <si>
    <t>Linde hydrogen plant for OCI fertilizer blue ammonia Beaumont (Texas)</t>
  </si>
  <si>
    <t>2.2Mt CO2/y - 1.1 Mt NH3/y</t>
  </si>
  <si>
    <t>[1795] [1834]</t>
  </si>
  <si>
    <t>CF Industries blue ammonia Yazoo (LA)</t>
  </si>
  <si>
    <t>[1796]</t>
  </si>
  <si>
    <t>Ascension Clean Energy (ACE) complex (LA)</t>
  </si>
  <si>
    <t>12Mt CO2/y - 7.2 Mt NH3/y</t>
  </si>
  <si>
    <t>[1797]</t>
  </si>
  <si>
    <t>OCI Fertilizer plant phase 1 (IA)</t>
  </si>
  <si>
    <t>0.45Mt CO2/y - 0.6Mt NH3/y</t>
  </si>
  <si>
    <t>[1798]</t>
  </si>
  <si>
    <t>OCI Fertilizer plant phase 2 (IA)</t>
  </si>
  <si>
    <t>0.25Mt CO2/y - 0.4 Mt NH3/y</t>
  </si>
  <si>
    <t>Lone Cypress Hydrogen project (CA)</t>
  </si>
  <si>
    <t>0.1Mt CO2/y</t>
  </si>
  <si>
    <t>[1799]</t>
  </si>
  <si>
    <t>Integratred clean ammonia production, Port of Corpus Christi (TX) phase 1</t>
  </si>
  <si>
    <t>[1800]</t>
  </si>
  <si>
    <t>Integratred clean ammonia production, Port of Corpus Christi (TX) phase 2</t>
  </si>
  <si>
    <t>10Mt CO2/y</t>
  </si>
  <si>
    <t>Advanced CO2 Capture from Hydrogen Production Unit at Phillips 66 Rodeo Refinery (CA)</t>
  </si>
  <si>
    <t>[1801]</t>
  </si>
  <si>
    <t>Linde-BASF capture SMR plant Covent (LA)</t>
  </si>
  <si>
    <t>1.4Mt CO2/y</t>
  </si>
  <si>
    <t>[1802]</t>
  </si>
  <si>
    <t>Blue Biston ATR advanced CCUS system (WY)</t>
  </si>
  <si>
    <t>1.66Mt CO2/y</t>
  </si>
  <si>
    <t>Carbon Capture on Air Liquide US Gulf Coast Steam Methane Reformer Using the CryocapTM FG Process (TX)</t>
  </si>
  <si>
    <t>[1803]</t>
  </si>
  <si>
    <t>Combined Carbon Capture Solution on Air Liquide Northern California Steam Methane Reformer (CA)</t>
  </si>
  <si>
    <t>Jindal - Suez Canal Economic Zone authority  green steel project</t>
  </si>
  <si>
    <t>5 Mt steel/y (production)</t>
  </si>
  <si>
    <t>Atome - La Villeta</t>
  </si>
  <si>
    <t>[1805]</t>
  </si>
  <si>
    <t>Langage Energy Park - Carlton Power</t>
  </si>
  <si>
    <t>[1806]</t>
  </si>
  <si>
    <t>Pamesa - eCombustible</t>
  </si>
  <si>
    <t>[1807][1808]</t>
  </si>
  <si>
    <t>Pamesa - eCombustible, full replacement of natural gas</t>
  </si>
  <si>
    <t>Freedom Pines Fuels</t>
  </si>
  <si>
    <t>[1810]</t>
  </si>
  <si>
    <t>Fortescue Future Industries - Egypt</t>
  </si>
  <si>
    <t>9.2GW</t>
  </si>
  <si>
    <t>[1811]</t>
  </si>
  <si>
    <t>First Ammonia Port of Victoria</t>
  </si>
  <si>
    <t>300-1000MW</t>
  </si>
  <si>
    <t>[1812]</t>
  </si>
  <si>
    <t>Hy2B plant in Pfeffenhausen</t>
  </si>
  <si>
    <t>5MWor 1.2t H2/d (production)</t>
  </si>
  <si>
    <t>[1813]</t>
  </si>
  <si>
    <t>POSCO green ammonia plant</t>
  </si>
  <si>
    <t>220kt H2/y (production)</t>
  </si>
  <si>
    <t>[1814]</t>
  </si>
  <si>
    <t>BLUE SKY 300</t>
  </si>
  <si>
    <t>[1815]</t>
  </si>
  <si>
    <t>Kenya Electricity Generating Company pilot shceme</t>
  </si>
  <si>
    <t xml:space="preserve">MoU CWP - Ministry of Energy and Natural Resources </t>
  </si>
  <si>
    <t>[1816]</t>
  </si>
  <si>
    <t>Mexican Green Hydrogen Hub, phase 2</t>
  </si>
  <si>
    <t>343MW</t>
  </si>
  <si>
    <t>[1817]</t>
  </si>
  <si>
    <t>HyMed</t>
  </si>
  <si>
    <t>[1818]</t>
  </si>
  <si>
    <t>NWTN - CMEC Middle East green hydrogen plant</t>
  </si>
  <si>
    <t>[1819]</t>
  </si>
  <si>
    <t>Plant Zero.1</t>
  </si>
  <si>
    <t>[1820][1821]</t>
  </si>
  <si>
    <t xml:space="preserve">Trecwn Green Energy Hub </t>
  </si>
  <si>
    <t>[1822][1949]</t>
  </si>
  <si>
    <t>Icarus</t>
  </si>
  <si>
    <t>Julio Verne project</t>
  </si>
  <si>
    <t>[1823]</t>
  </si>
  <si>
    <t>Lhyfe Delfzijl</t>
  </si>
  <si>
    <t>[1824]</t>
  </si>
  <si>
    <t>SGP BioEnergy biorefiney</t>
  </si>
  <si>
    <t>405 kt H2/y (production)</t>
  </si>
  <si>
    <t>[1825]</t>
  </si>
  <si>
    <t>Smartenergy Porto Torres, phase 1</t>
  </si>
  <si>
    <t>[1826]</t>
  </si>
  <si>
    <t>Smartenergy Porto Torres, phase 3</t>
  </si>
  <si>
    <t>Statkraft-Foresight Cheshire</t>
  </si>
  <si>
    <t>[1827]</t>
  </si>
  <si>
    <t>Cobra Castellón</t>
  </si>
  <si>
    <t>[1828]</t>
  </si>
  <si>
    <t>Cobra Cartagena</t>
  </si>
  <si>
    <t>115MW</t>
  </si>
  <si>
    <t>Gente Grande project - TEG Chile Magallanes</t>
  </si>
  <si>
    <t>1.3-1.5 Mt NH3/y (production)</t>
  </si>
  <si>
    <t>[1829] [1992]</t>
  </si>
  <si>
    <t>Jingneng Coal-to-Chemical Renewable Green Hydrogen Alternative Demostration Project</t>
  </si>
  <si>
    <t>26816 t H2/y</t>
  </si>
  <si>
    <t>Jingneng Chagannur Wind Poer Hydrogen Production Project</t>
  </si>
  <si>
    <t>384 t H2/y</t>
  </si>
  <si>
    <t>China Energy Construction Green Power Hydrogen Production and Ammonia Demostration Project</t>
  </si>
  <si>
    <t>10000 t H2/y</t>
  </si>
  <si>
    <t>China Datang wind-solar hydrogen production demostration project</t>
  </si>
  <si>
    <t>CHN Energy Wind-solar hydrogen ammonia  + Low-carbon parkdemostration Project</t>
  </si>
  <si>
    <t>22300 t H2/y</t>
  </si>
  <si>
    <t>Green Ammonia Linz – Decarbonizing Chemical Processes with Water Electrolysis (Gramli)</t>
  </si>
  <si>
    <t>[1831] [2076]</t>
  </si>
  <si>
    <t>AES Brazil - Port of Pecem</t>
  </si>
  <si>
    <t>800 kt NH3/y (production)</t>
  </si>
  <si>
    <t>[1832]</t>
  </si>
  <si>
    <t>Yeosu Blue Hydrogen Project</t>
  </si>
  <si>
    <t>8000 t H2/y, capacity</t>
  </si>
  <si>
    <t>[1833]</t>
  </si>
  <si>
    <t>H2 - Jurong Island</t>
  </si>
  <si>
    <t>[1835]</t>
  </si>
  <si>
    <t>Carbon Governance  green hydrogen project, phase 1</t>
  </si>
  <si>
    <t>30 t H2/d (production)</t>
  </si>
  <si>
    <t>[1837]</t>
  </si>
  <si>
    <t>60 t H2/d (production)</t>
  </si>
  <si>
    <t>115 t H2/d (production)</t>
  </si>
  <si>
    <t>MoU IHI-Enoc</t>
  </si>
  <si>
    <t>200kt NH3/d (production)</t>
  </si>
  <si>
    <t>[1838]</t>
  </si>
  <si>
    <t>Fortescue Future Industries - Windlab - Queensland hub, phase 1</t>
  </si>
  <si>
    <t>[1839]</t>
  </si>
  <si>
    <t>HDF MSR-Zimbawe</t>
  </si>
  <si>
    <t>[1840]</t>
  </si>
  <si>
    <t>KEPCO, Korea Southern Power, KNOC, Samsun, Posco</t>
  </si>
  <si>
    <t>1.2Mt NH3/d (production)</t>
  </si>
  <si>
    <t>[1841]</t>
  </si>
  <si>
    <t>ReNu - Countrywide Hydrogen - Anantara Energy Holdings MoU</t>
  </si>
  <si>
    <t>[1842]</t>
  </si>
  <si>
    <t>PTT - Egat - ACWA MoU</t>
  </si>
  <si>
    <t>1.2 Mt NH3/y (production)</t>
  </si>
  <si>
    <t>[1843]</t>
  </si>
  <si>
    <t>Clean Energy Holdings - Clear Fork, phase 1</t>
  </si>
  <si>
    <t>[1844]</t>
  </si>
  <si>
    <t>Electus Energy - Bakersfield</t>
  </si>
  <si>
    <t>[1845]</t>
  </si>
  <si>
    <t>MercurHy, phase 1</t>
  </si>
  <si>
    <t>[1846]</t>
  </si>
  <si>
    <t>MercurHy, phase 2</t>
  </si>
  <si>
    <t>MercurHy, phase 3</t>
  </si>
  <si>
    <t>Orsted - Skovgaard Energy project in western Denmark</t>
  </si>
  <si>
    <t>[1847]</t>
  </si>
  <si>
    <t>Meirama, phase 1</t>
  </si>
  <si>
    <t>[1848]</t>
  </si>
  <si>
    <t>Meirama, phase 2</t>
  </si>
  <si>
    <t>First Hydrogen - Shawinigan</t>
  </si>
  <si>
    <t>Blastr Green Steel - Inkoo</t>
  </si>
  <si>
    <t>2.5Mt steel</t>
  </si>
  <si>
    <t>[1849]</t>
  </si>
  <si>
    <t xml:space="preserve"> Liquid Wind, Flagship 3rd plant</t>
  </si>
  <si>
    <t>100kt MeOH/y production</t>
  </si>
  <si>
    <t>[1850]</t>
  </si>
  <si>
    <t xml:space="preserve">Greenko ZeroC - Kakinada city </t>
  </si>
  <si>
    <t>250kt Mt NH3/y (production)</t>
  </si>
  <si>
    <t>[1851]</t>
  </si>
  <si>
    <t>Enap - Cabo Negro</t>
  </si>
  <si>
    <t>[1852]</t>
  </si>
  <si>
    <t>Hydrogen Offshore Production Europe (HOPE)</t>
  </si>
  <si>
    <t>[1853]</t>
  </si>
  <si>
    <t xml:space="preserve">Linde - Fort Saskatchewan </t>
  </si>
  <si>
    <t>[1854]</t>
  </si>
  <si>
    <t>Yara-BASF Gulf Coast</t>
  </si>
  <si>
    <t>[1855]</t>
  </si>
  <si>
    <t>SSE Aldbrough storage site</t>
  </si>
  <si>
    <t>[1856]</t>
  </si>
  <si>
    <t>Kintore Scotland Hydrogen project - phase 1</t>
  </si>
  <si>
    <t>[1859]</t>
  </si>
  <si>
    <t>Kintore Scotland Hydrogen project - phase 2</t>
  </si>
  <si>
    <t>Rosedale Green Hydrogen project</t>
  </si>
  <si>
    <t>560MW</t>
  </si>
  <si>
    <t>[1860]</t>
  </si>
  <si>
    <t>Mauritania - Green Ammonia project - phase 1</t>
  </si>
  <si>
    <t>400MW or 0,28-0,3 Mt NH3 production</t>
  </si>
  <si>
    <t>[1861]</t>
  </si>
  <si>
    <t>10GW or 8 Mt NH3 production</t>
  </si>
  <si>
    <t>Rio Grande do Sul</t>
  </si>
  <si>
    <t>300MW or 240,000 t/yr NH3</t>
  </si>
  <si>
    <t>[1862]</t>
  </si>
  <si>
    <t>Alesund green hydrogen project - phase 1 - FjordH2</t>
  </si>
  <si>
    <t>[1863]</t>
  </si>
  <si>
    <t>Alesund green hydrogen project - phase 2 - FjordH2</t>
  </si>
  <si>
    <t>270MW</t>
  </si>
  <si>
    <t>IPCEI - Clean Hydrogen Coastline</t>
  </si>
  <si>
    <t>400MW or 40kt H2/y production</t>
  </si>
  <si>
    <t>[1864][1865]</t>
  </si>
  <si>
    <t>Valle H2 Navarra project</t>
  </si>
  <si>
    <t>[1866]</t>
  </si>
  <si>
    <t>Saltend Chemicals Park - Hull</t>
  </si>
  <si>
    <t>[1867]</t>
  </si>
  <si>
    <t>Liquid Organic Hydrogen Carrier (LOHC) for Hydrogen Transport from Scotland (LHyTS)</t>
  </si>
  <si>
    <t>[1868]</t>
  </si>
  <si>
    <t>Kunming Engineering Corporation - Fengzhen (Ulanbaq)</t>
  </si>
  <si>
    <t>[1869]</t>
  </si>
  <si>
    <t>Borna Hydrogen Plant, phase 1</t>
  </si>
  <si>
    <t>[1870]</t>
  </si>
  <si>
    <t>Borna Hydrogen Plant, phase 2</t>
  </si>
  <si>
    <t>Hybla Project</t>
  </si>
  <si>
    <t>7.8kt H2/y</t>
  </si>
  <si>
    <t>[1871]</t>
  </si>
  <si>
    <t>Nujio'qonik Green Hydrogen -phase 1</t>
  </si>
  <si>
    <t>[1873][1975]</t>
  </si>
  <si>
    <t>RIC Energy Valladolidm -phase 2</t>
  </si>
  <si>
    <t>[1874]</t>
  </si>
  <si>
    <t>Puertollano HydRIC project</t>
  </si>
  <si>
    <t>Ground Investment Corp (GIC) - green hydrogen project</t>
  </si>
  <si>
    <t>[1877]</t>
  </si>
  <si>
    <t>Nascar</t>
  </si>
  <si>
    <t>7.2 kt H2/y (production)</t>
  </si>
  <si>
    <t>[1878]</t>
  </si>
  <si>
    <t>Vientos Magallanicos</t>
  </si>
  <si>
    <t>840MW</t>
  </si>
  <si>
    <t>[1880] [2125]</t>
  </si>
  <si>
    <t>Dow Stade</t>
  </si>
  <si>
    <t>200kt MeOH/y</t>
  </si>
  <si>
    <t>[1881]</t>
  </si>
  <si>
    <t>Swiss Liquid Future - Elkem, methanol plant</t>
  </si>
  <si>
    <t>100 million litres of mthanol/y (production)</t>
  </si>
  <si>
    <t>[1882]</t>
  </si>
  <si>
    <t>Eastern Cape MeOH plant</t>
  </si>
  <si>
    <t>[1883]</t>
  </si>
  <si>
    <t>Maersk - Ørsted methanol Gulf plant</t>
  </si>
  <si>
    <t>675MW</t>
  </si>
  <si>
    <t>[1884]</t>
  </si>
  <si>
    <t>Maersk - Carbon Sink methanol plant</t>
  </si>
  <si>
    <t>100kt MeOH/y</t>
  </si>
  <si>
    <t>[1885]</t>
  </si>
  <si>
    <t>H2 Emden Electrolyzer, completion</t>
  </si>
  <si>
    <t>GreenGo Tarm plant</t>
  </si>
  <si>
    <t>[1887]</t>
  </si>
  <si>
    <t>Element Resources - Lancaster</t>
  </si>
  <si>
    <t>135MW</t>
  </si>
  <si>
    <t>[1888]</t>
  </si>
  <si>
    <t>Solar methanol</t>
  </si>
  <si>
    <t>[1889]</t>
  </si>
  <si>
    <t>ScaleH2</t>
  </si>
  <si>
    <t>Omnia - WKN Windcurrent  green ammonia plant</t>
  </si>
  <si>
    <t>[1890]</t>
  </si>
  <si>
    <t xml:space="preserve">Brooge Renewable Energy's (BRE) renewable ammonia plant </t>
  </si>
  <si>
    <t>600 kt NH3/y production</t>
  </si>
  <si>
    <t>[1891]</t>
  </si>
  <si>
    <t>Pronghorn H2</t>
  </si>
  <si>
    <t>[1892]</t>
  </si>
  <si>
    <t>Gobi H2</t>
  </si>
  <si>
    <t>[1893]</t>
  </si>
  <si>
    <t>Sustainable Fuels Group - CIP blue ammonia plant</t>
  </si>
  <si>
    <t>4 kt NH3/d (production)</t>
  </si>
  <si>
    <t>[1894]</t>
  </si>
  <si>
    <t xml:space="preserve">China State Shipbuilding (CSSC) green hydrogen project in Tong Liao </t>
  </si>
  <si>
    <t>[1895]</t>
  </si>
  <si>
    <t>Hy2gen Yucatan project,  1</t>
  </si>
  <si>
    <t>[1896]</t>
  </si>
  <si>
    <t>JGC - Asahi Kasei demo ammonia plant</t>
  </si>
  <si>
    <t>1.46 kt NH3/y production</t>
  </si>
  <si>
    <t>[1897]</t>
  </si>
  <si>
    <t>GuofuHee - CMEC - Longyuan Power grren H2 plant in Inner Mongolia</t>
  </si>
  <si>
    <t>3.3 kt H2/y (production)</t>
  </si>
  <si>
    <t>[1898]</t>
  </si>
  <si>
    <t>Lhyfe Bade-Würtemberg</t>
  </si>
  <si>
    <t>[1900]</t>
  </si>
  <si>
    <t>Fiume Santo, demo plant</t>
  </si>
  <si>
    <t>[1901]</t>
  </si>
  <si>
    <t>Fiume Santo, comercial plant</t>
  </si>
  <si>
    <t>OX2 Neptunus Hub</t>
  </si>
  <si>
    <t>225 kt H2/y (production)</t>
  </si>
  <si>
    <t>[1902]</t>
  </si>
  <si>
    <t>Urbaser methanol plant, phase 1</t>
  </si>
  <si>
    <t>66 kt MeOH/y (production)</t>
  </si>
  <si>
    <t>[1903]</t>
  </si>
  <si>
    <t>Urbaser methanol plant, phase 2</t>
  </si>
  <si>
    <t>70 kt MeOH/y (production)</t>
  </si>
  <si>
    <t>Los Barrios coal plant, Cadiz, phase 2</t>
  </si>
  <si>
    <t>[1904]</t>
  </si>
  <si>
    <t>Los Barrios coal plant, Cadiz, phase 3</t>
  </si>
  <si>
    <t>Hydrogen Utopia waste-to-plastic plant</t>
  </si>
  <si>
    <t>[1905]</t>
  </si>
  <si>
    <t>Come By Chance refinery</t>
  </si>
  <si>
    <t>35 kt H2/y (production_</t>
  </si>
  <si>
    <t>[1906] [2123]</t>
  </si>
  <si>
    <t xml:space="preserve">FFI plant in Holmaneset </t>
  </si>
  <si>
    <t>[1907]</t>
  </si>
  <si>
    <t>Onyx plant - Port of Rotterdam</t>
  </si>
  <si>
    <t>300kt H2/y</t>
  </si>
  <si>
    <t>[1908]</t>
  </si>
  <si>
    <t>Ecopetrol green methanol and biofuel project</t>
  </si>
  <si>
    <t>18 kt H2/y (production)</t>
  </si>
  <si>
    <t>[1909]</t>
  </si>
  <si>
    <t>Chubu Electric Power - Chiyoda - Hazer, phase 1</t>
  </si>
  <si>
    <t>2.5-10 kt H2/y</t>
  </si>
  <si>
    <t>[1910]</t>
  </si>
  <si>
    <t>Chubu Electric Power - Chiyoda - Hazer, phase 2</t>
  </si>
  <si>
    <t>50-100 kt H2/y</t>
  </si>
  <si>
    <t>Adams Fork Energy (WV)</t>
  </si>
  <si>
    <t>6kt NH3/d - 2.87 Mt CO2/y</t>
  </si>
  <si>
    <t>[1911]</t>
  </si>
  <si>
    <t>Horizonte de Verano</t>
  </si>
  <si>
    <t>4.5GW</t>
  </si>
  <si>
    <t>[1912]</t>
  </si>
  <si>
    <t>Pampas</t>
  </si>
  <si>
    <t>35 kt H2/y (production)</t>
  </si>
  <si>
    <t>[1913]</t>
  </si>
  <si>
    <t>Bear Head Energy - Nova Scotia project</t>
  </si>
  <si>
    <t>2 Mt NH3/y (Production)</t>
  </si>
  <si>
    <t>[1914]</t>
  </si>
  <si>
    <t>Hive H2 Albamed, phase 1</t>
  </si>
  <si>
    <t>[1915]</t>
  </si>
  <si>
    <t>Hive H2 Albamed, phase 2</t>
  </si>
  <si>
    <t>Achema - green hydrogen plant</t>
  </si>
  <si>
    <t>213MW</t>
  </si>
  <si>
    <t>[1916]</t>
  </si>
  <si>
    <t>CF's Verdigris Complex (OK)</t>
  </si>
  <si>
    <t>[1917]</t>
  </si>
  <si>
    <t>Dominica Geothermal Development Company - Kenesjay green hydrogen plant</t>
  </si>
  <si>
    <t>27-30 Kt H2/y (production)</t>
  </si>
  <si>
    <t>[1918]</t>
  </si>
  <si>
    <t>ErasmoPower2X</t>
  </si>
  <si>
    <t>[1919] Data from Platts S&amp;P Global Hydrogen Daily 27/09/2023</t>
  </si>
  <si>
    <t>Electrolysis Corridor East Germany (H2 Corridor)</t>
  </si>
  <si>
    <t>210MW</t>
  </si>
  <si>
    <t>[1920]</t>
  </si>
  <si>
    <t>Green Pegasus</t>
  </si>
  <si>
    <t xml:space="preserve"> 459000 t NH3/y production</t>
  </si>
  <si>
    <t>[1921]</t>
  </si>
  <si>
    <t>H2Montoir</t>
  </si>
  <si>
    <t>2500 t H2/yr production</t>
  </si>
  <si>
    <t>[1922]</t>
  </si>
  <si>
    <t xml:space="preserve">JSW Steel </t>
  </si>
  <si>
    <t>[1924][1973]</t>
  </si>
  <si>
    <t>Idemitsu Refinery - H2 from municipal waste</t>
  </si>
  <si>
    <t>[1924]</t>
  </si>
  <si>
    <t>Port of Argentia</t>
  </si>
  <si>
    <t>[1925]</t>
  </si>
  <si>
    <t>Solatio - Ammonia project state of Piaui</t>
  </si>
  <si>
    <t>1.4GW or 1.2 Mt NH3/y production</t>
  </si>
  <si>
    <t>[1926]</t>
  </si>
  <si>
    <t>Solatio - Ammonia project Parnaiba export zone</t>
  </si>
  <si>
    <t>945MW or 820 kt NH3/y</t>
  </si>
  <si>
    <t>Koping - Waste-to-Hydrogen</t>
  </si>
  <si>
    <t>12 kt H2/y production</t>
  </si>
  <si>
    <t>[1927]</t>
  </si>
  <si>
    <t>Hydrogen for self-sufficiency</t>
  </si>
  <si>
    <t>[1928]</t>
  </si>
  <si>
    <t xml:space="preserve">H2 production for a H2 Fuell station </t>
  </si>
  <si>
    <t>[1929]</t>
  </si>
  <si>
    <t>Hydrogen for fuel cell testing and heat recovery</t>
  </si>
  <si>
    <t>[1930]</t>
  </si>
  <si>
    <t>Repsol Tarragona, phase 1</t>
  </si>
  <si>
    <t>[1932]</t>
  </si>
  <si>
    <t>Vale steel project</t>
  </si>
  <si>
    <t>[1933]</t>
  </si>
  <si>
    <t>Breogan project</t>
  </si>
  <si>
    <t>10 kt H2/y (production)</t>
  </si>
  <si>
    <t>[1934]</t>
  </si>
  <si>
    <t>BalticSeaH2</t>
  </si>
  <si>
    <t>100 kt H2/y (production)</t>
  </si>
  <si>
    <t>[1936]</t>
  </si>
  <si>
    <t>Repsol Puertollano</t>
  </si>
  <si>
    <t>[1937]</t>
  </si>
  <si>
    <t>Calix green steel plant</t>
  </si>
  <si>
    <t>30 kt DRI</t>
  </si>
  <si>
    <t>[1938]</t>
  </si>
  <si>
    <t>HYRO - Kimberly-Clark project (2 pamts)</t>
  </si>
  <si>
    <t>22.5MW</t>
  </si>
  <si>
    <t>[1939]</t>
  </si>
  <si>
    <t>IAM Caecius</t>
  </si>
  <si>
    <t>[1940]</t>
  </si>
  <si>
    <t>Green Port Langosteira</t>
  </si>
  <si>
    <t>150 kt NH3/y (Production)</t>
  </si>
  <si>
    <t>[1941]</t>
  </si>
  <si>
    <t>Raven Iberia Zaragoza waste-to-hydrogen plant</t>
  </si>
  <si>
    <t>1.6 kt H2/y</t>
  </si>
  <si>
    <t>[1942]</t>
  </si>
  <si>
    <t>Invenergy Port of Grays Harbor</t>
  </si>
  <si>
    <t>45t H2/d</t>
  </si>
  <si>
    <t>[1943]</t>
  </si>
  <si>
    <t>Lhyfe - Schaeffler Group plant in Herzogenaurach</t>
  </si>
  <si>
    <t>[1944]</t>
  </si>
  <si>
    <t>Sungas first green methanol facility</t>
  </si>
  <si>
    <t>390kt MeOH/y</t>
  </si>
  <si>
    <t>[1945]</t>
  </si>
  <si>
    <t>Barataria - pHYnix</t>
  </si>
  <si>
    <t>[1946]</t>
  </si>
  <si>
    <t>RDSF - Metacon MoU</t>
  </si>
  <si>
    <t>[1947]</t>
  </si>
  <si>
    <t>Bradford Low Carbon Hydrogen</t>
  </si>
  <si>
    <t>[1948]</t>
  </si>
  <si>
    <t>Cromarty Hydrogen Project, phase 1</t>
  </si>
  <si>
    <t>[1948], Data from the UK Government</t>
  </si>
  <si>
    <t>Gordonbush Hydrogen Project</t>
  </si>
  <si>
    <t>H2 Production Plant at High Marnham</t>
  </si>
  <si>
    <t>HyBont</t>
  </si>
  <si>
    <t>Quill 2</t>
  </si>
  <si>
    <t>West Wales Hydrogen Project – Phase 1</t>
  </si>
  <si>
    <t>Suntory Hakushu Distillery and Suntory Minami Alps Hakushu Water Plant</t>
  </si>
  <si>
    <t>16MW</t>
  </si>
  <si>
    <t>[1950]</t>
  </si>
  <si>
    <t>Biomass-to-Hydrogen project</t>
  </si>
  <si>
    <t>BrightLoop technology</t>
  </si>
  <si>
    <t>[1951]</t>
  </si>
  <si>
    <t>OCP Group Ammonia project</t>
  </si>
  <si>
    <t>[1952]</t>
  </si>
  <si>
    <t>Methanol Plant - Puglia</t>
  </si>
  <si>
    <t>[1953]</t>
  </si>
  <si>
    <t>[1954]</t>
  </si>
  <si>
    <t>Hydrogen from Biomass</t>
  </si>
  <si>
    <t>225 t H2/y production</t>
  </si>
  <si>
    <t>[1955]</t>
  </si>
  <si>
    <t>Hydrogen Micro Hub</t>
  </si>
  <si>
    <t>[1956]</t>
  </si>
  <si>
    <t>Navarra hydrogen project</t>
  </si>
  <si>
    <t>400kW</t>
  </si>
  <si>
    <t>[1957]</t>
  </si>
  <si>
    <t>Indaver</t>
  </si>
  <si>
    <t>[1958]</t>
  </si>
  <si>
    <t>Bord Na Mona &amp; BOC hydrogen project</t>
  </si>
  <si>
    <t>[1959]</t>
  </si>
  <si>
    <t>Mercury Renewables H2 Project</t>
  </si>
  <si>
    <t>[1960]</t>
  </si>
  <si>
    <t>Green Atlantic at Moneypoint project</t>
  </si>
  <si>
    <t>[1961]</t>
  </si>
  <si>
    <t>EI-H2 project</t>
  </si>
  <si>
    <t>[1962]</t>
  </si>
  <si>
    <t>Duisburg Harbor</t>
  </si>
  <si>
    <t>[1963]</t>
  </si>
  <si>
    <t>Ammonia project Jordan</t>
  </si>
  <si>
    <t>530MW or 200k t NH3/year production</t>
  </si>
  <si>
    <t>[1964]</t>
  </si>
  <si>
    <t>FertigHy</t>
  </si>
  <si>
    <t>[1965]</t>
  </si>
  <si>
    <t>Daystar Energy - Columboola Renewable Energy Hub (CREH)</t>
  </si>
  <si>
    <t>[1966]</t>
  </si>
  <si>
    <t>Kumbarilla Renewable Energy Park (K-REP) - phase 1</t>
  </si>
  <si>
    <t>250kW</t>
  </si>
  <si>
    <t>[1967]</t>
  </si>
  <si>
    <t>Kumbarilla Renewable Energy Park (K-REP)- phase 2</t>
  </si>
  <si>
    <t xml:space="preserve">Three Gorges Corp.'s Inner Mongolia project </t>
  </si>
  <si>
    <t>10 kt H2/y production - 15x1000 Nm3/h units</t>
  </si>
  <si>
    <t>[1969] [1989]</t>
  </si>
  <si>
    <t>Twelve Moses Lake SAF project</t>
  </si>
  <si>
    <t>40000 gallons/y (production)</t>
  </si>
  <si>
    <t>[1970]</t>
  </si>
  <si>
    <t>Nujio'qonik Green Hydrogen -phase 2</t>
  </si>
  <si>
    <t>Shanghai Chemical Industry Park</t>
  </si>
  <si>
    <t>70,000 Nm3/h</t>
  </si>
  <si>
    <t>[1977]</t>
  </si>
  <si>
    <t>Terranova Hydrogen</t>
  </si>
  <si>
    <t>Belgium Hydrogen Council</t>
  </si>
  <si>
    <t>BP Green hydrogen project</t>
  </si>
  <si>
    <t>[1978]</t>
  </si>
  <si>
    <t>Denain - Phase I</t>
  </si>
  <si>
    <t>Denain - Phase II</t>
  </si>
  <si>
    <t>CarlHYng</t>
  </si>
  <si>
    <t>Alp’Hyne</t>
  </si>
  <si>
    <t>H2BYCOL</t>
  </si>
  <si>
    <t>Angeles Link</t>
  </si>
  <si>
    <t>10-20GW</t>
  </si>
  <si>
    <t>[1979]</t>
  </si>
  <si>
    <t>ACME SCZONE Green Ammonia Plant</t>
  </si>
  <si>
    <t>2.2 Mt H2/y (production)</t>
  </si>
  <si>
    <t>[1980]</t>
  </si>
  <si>
    <t>Globeleq green hydrogen project, phase 1</t>
  </si>
  <si>
    <t>[1981]</t>
  </si>
  <si>
    <t>Globeleq green hydrogen project, completion</t>
  </si>
  <si>
    <t>3.6GW</t>
  </si>
  <si>
    <t>Daures Green Hydrogen Village, phase 1</t>
  </si>
  <si>
    <t>[1982]</t>
  </si>
  <si>
    <t>Daures Green Hydrogen Village, phase 2</t>
  </si>
  <si>
    <t>Daures Green Hydrogen Village, phase 3</t>
  </si>
  <si>
    <t>42MW</t>
  </si>
  <si>
    <t>Daures Green Hydrogen Village, phase 4</t>
  </si>
  <si>
    <t>420MW</t>
  </si>
  <si>
    <t>Hynamics Dunkirk</t>
  </si>
  <si>
    <t>Data from EDF</t>
  </si>
  <si>
    <t>Hynamics Martres-Tolosane</t>
  </si>
  <si>
    <t>Vitry H2</t>
  </si>
  <si>
    <t>Hynamics LH2</t>
  </si>
  <si>
    <t>Hynamics VSGP</t>
  </si>
  <si>
    <t>Hynamics Cannes</t>
  </si>
  <si>
    <t>Hynamics Hydom</t>
  </si>
  <si>
    <t>[2006] + Data from EDF</t>
  </si>
  <si>
    <t>Take Kair</t>
  </si>
  <si>
    <t>[1983]</t>
  </si>
  <si>
    <t>Holyhead Hub</t>
  </si>
  <si>
    <t>5-7.5MW</t>
  </si>
  <si>
    <t>[1984]</t>
  </si>
  <si>
    <t>Stanwell Power Station - Hysata DEMO</t>
  </si>
  <si>
    <t>Hysata capillary design</t>
  </si>
  <si>
    <t>[1985]</t>
  </si>
  <si>
    <t>Eni Sannazzaro Waste to Methanol/H2</t>
  </si>
  <si>
    <t>2100 Nm3 H2/h</t>
  </si>
  <si>
    <t>Data from ENI</t>
  </si>
  <si>
    <t>H2H Saltend, phase 2</t>
  </si>
  <si>
    <t>1200MW</t>
  </si>
  <si>
    <t>Data from Equinor</t>
  </si>
  <si>
    <t>Dogger Bank Green Hydrogen</t>
  </si>
  <si>
    <t>[1986]</t>
  </si>
  <si>
    <t>Clean Hydrogen to Europe Phase 1</t>
  </si>
  <si>
    <t>2000MW H2 - 3.6 Gt CO2/y</t>
  </si>
  <si>
    <t>[1987], Data from Equinor</t>
  </si>
  <si>
    <t>Sines Repsol, phase 1</t>
  </si>
  <si>
    <t>Data from Repsol</t>
  </si>
  <si>
    <t>Electrolyzers with "network related function" in Apulia - Phase 2</t>
  </si>
  <si>
    <t>Data from Snam</t>
  </si>
  <si>
    <t>Electrolyzers with "network related function" in Sicily - Phase 1</t>
  </si>
  <si>
    <t>Electrolyzers with "network related function" in Sicily - Phase 2</t>
  </si>
  <si>
    <t>IdrogeMO</t>
  </si>
  <si>
    <t>H2@Hydro</t>
  </si>
  <si>
    <t>Data from RWE</t>
  </si>
  <si>
    <t>Pauna Greener Future - H2</t>
  </si>
  <si>
    <t>Kalisaya - stage 1</t>
  </si>
  <si>
    <t>[1991]</t>
  </si>
  <si>
    <t>Kalisaya - stage 2</t>
  </si>
  <si>
    <t>Kalisaya - stage 3</t>
  </si>
  <si>
    <t>Zorzal Project</t>
  </si>
  <si>
    <t>300 Kg H2/d production</t>
  </si>
  <si>
    <t>[1992]</t>
  </si>
  <si>
    <t>Renewastable Kosten Aike</t>
  </si>
  <si>
    <t>900 t H2/y production</t>
  </si>
  <si>
    <t>H2 Genesis Project</t>
  </si>
  <si>
    <t>San Pedro Mining Project</t>
  </si>
  <si>
    <t>Pionero Project</t>
  </si>
  <si>
    <t>700 kt NH3/y production</t>
  </si>
  <si>
    <t>1500t H2/d - 3 Mt CO2/y</t>
  </si>
  <si>
    <t>Biomethane and hydrogen production from biomass</t>
  </si>
  <si>
    <t>47 Nm3H2/h</t>
  </si>
  <si>
    <t>Colombian Hydrogen Association</t>
  </si>
  <si>
    <t>Green Urea production in Colombia</t>
  </si>
  <si>
    <t>30MW - 100 ton urea/ day</t>
  </si>
  <si>
    <t>Prothium</t>
  </si>
  <si>
    <t>2,3 MW</t>
  </si>
  <si>
    <t>Deuterium</t>
  </si>
  <si>
    <t>Sumitomo Corporation Mobility</t>
  </si>
  <si>
    <t>TW Solar Sucre</t>
  </si>
  <si>
    <t>3 GW</t>
  </si>
  <si>
    <t>TGI LOHC</t>
  </si>
  <si>
    <t>27814 Nm3H2/h</t>
  </si>
  <si>
    <t>AES Colombia</t>
  </si>
  <si>
    <t>HRS hydrogen refueling station</t>
  </si>
  <si>
    <t>HUB hidrogeno Atlántico II</t>
  </si>
  <si>
    <t>212766 Nm2H2/h</t>
  </si>
  <si>
    <t>HUB hidrogeno verde Cartagena</t>
  </si>
  <si>
    <t>HUB Barranquilla</t>
  </si>
  <si>
    <t>234043 Nm3H2/h</t>
  </si>
  <si>
    <t xml:space="preserve">Optimization of a multifluid system for parallel generation and sale of electricity and green hydrogen and associated services for industrial customers </t>
  </si>
  <si>
    <t>1,2 MW</t>
  </si>
  <si>
    <t>BEAUTY AMMONIA</t>
  </si>
  <si>
    <t>SITP Hydrogen Bus</t>
  </si>
  <si>
    <t>165 kW</t>
  </si>
  <si>
    <t>Cerro Dominador - H2 CSP +PV project</t>
  </si>
  <si>
    <t>H2 Solar Project</t>
  </si>
  <si>
    <t>48 t H2/y production</t>
  </si>
  <si>
    <t>HYDRA project</t>
  </si>
  <si>
    <t>1 t H2/d production</t>
  </si>
  <si>
    <t>UCSC project</t>
  </si>
  <si>
    <t>25kW</t>
  </si>
  <si>
    <t>Cabeza de Mar</t>
  </si>
  <si>
    <t>750 kt NH3/y production</t>
  </si>
  <si>
    <t>Tango project</t>
  </si>
  <si>
    <t>172 kt NH3/y production</t>
  </si>
  <si>
    <t>ARICHILE project</t>
  </si>
  <si>
    <t>[1994]</t>
  </si>
  <si>
    <t>Hydrogen train</t>
  </si>
  <si>
    <t>[1995]</t>
  </si>
  <si>
    <t>MowiUACH</t>
  </si>
  <si>
    <t>[1996]</t>
  </si>
  <si>
    <t>Planta Piloto Móvil de H2V</t>
  </si>
  <si>
    <t>[1997]</t>
  </si>
  <si>
    <t>Volta project</t>
  </si>
  <si>
    <t>290 kt NH3/y production</t>
  </si>
  <si>
    <t>[1998]</t>
  </si>
  <si>
    <t>Llaquedona green hydrogen</t>
  </si>
  <si>
    <t>Tecoil</t>
  </si>
  <si>
    <t>BÜKKABRÁNY PtG</t>
  </si>
  <si>
    <t>Hellisheidi ON Power ely</t>
  </si>
  <si>
    <t>Strandmollen Ljungby</t>
  </si>
  <si>
    <t>[2000]</t>
  </si>
  <si>
    <t>Wasserstoffproduktion Ostschweiz AG</t>
  </si>
  <si>
    <t>[2001]</t>
  </si>
  <si>
    <t>Hitachi Zosen Inova HZI PtH Buchs</t>
  </si>
  <si>
    <t>2.3 MW</t>
  </si>
  <si>
    <t>[2002]</t>
  </si>
  <si>
    <t>Arbikie Distillery</t>
  </si>
  <si>
    <t>[2003]</t>
  </si>
  <si>
    <t>Blue Hydrogen</t>
  </si>
  <si>
    <t>Not defined</t>
  </si>
  <si>
    <t>245293 Nm3/h</t>
  </si>
  <si>
    <t>Green Ammonia</t>
  </si>
  <si>
    <t>3500 MW</t>
  </si>
  <si>
    <t>Hydrogen for heavy duty transport</t>
  </si>
  <si>
    <t>Green Hydrogen</t>
  </si>
  <si>
    <t>7607 Nm3/h</t>
  </si>
  <si>
    <t>Green hydrogen for national industry and derivatives for export</t>
  </si>
  <si>
    <t>2300 MW</t>
  </si>
  <si>
    <t>H2V Vigneux (Phase 2)</t>
  </si>
  <si>
    <t>H2V Marseille - Fos (Phase 2)</t>
  </si>
  <si>
    <t>H2V Marseille - Fos (Phase 3)</t>
  </si>
  <si>
    <t>H2V Marseille - Fos (Phase 4)</t>
  </si>
  <si>
    <t>H2V Marseille - Fos (Phase 5)</t>
  </si>
  <si>
    <t>H2 Pierre-Bénite (Phase 2, final)</t>
  </si>
  <si>
    <t>Dijon Métropole Smart EnergHy (DMSE) - Station 2</t>
  </si>
  <si>
    <t>[2005]</t>
  </si>
  <si>
    <t>NFC Belfort (Phase 2)</t>
  </si>
  <si>
    <t>H2V Saint-clair-du-rhône</t>
  </si>
  <si>
    <t>[2007]</t>
  </si>
  <si>
    <t>EcoH2 Breizh1</t>
  </si>
  <si>
    <t>[2008]</t>
  </si>
  <si>
    <t>EcoH2 Breizh2</t>
  </si>
  <si>
    <t>[2009]</t>
  </si>
  <si>
    <t>HyCOR</t>
  </si>
  <si>
    <t>[2010]</t>
  </si>
  <si>
    <t>DépHy2A Ajaccio</t>
  </si>
  <si>
    <t>[2011]</t>
  </si>
  <si>
    <t>DépHy2B Bastia</t>
  </si>
  <si>
    <t>[2012]</t>
  </si>
  <si>
    <t>Vhya Lorraine</t>
  </si>
  <si>
    <t>[2013]</t>
  </si>
  <si>
    <t>H2V Thionville P1</t>
  </si>
  <si>
    <t>[2014]</t>
  </si>
  <si>
    <t>H2V Thionville P2</t>
  </si>
  <si>
    <t>H2V Valenciennes P1</t>
  </si>
  <si>
    <t>[2015]</t>
  </si>
  <si>
    <t>H2V Valenciennes P2</t>
  </si>
  <si>
    <t>EcoH2</t>
  </si>
  <si>
    <t>[2016]</t>
  </si>
  <si>
    <t>HyLan</t>
  </si>
  <si>
    <t>[2017]</t>
  </si>
  <si>
    <t>HyVENCE</t>
  </si>
  <si>
    <t>[2018]</t>
  </si>
  <si>
    <t>Usine Trangé</t>
  </si>
  <si>
    <t>5MW or 110 t H2/y production</t>
  </si>
  <si>
    <t>[2019]</t>
  </si>
  <si>
    <t>Zero Emission Valley (ZEV) - Bourgoin-Jallieu</t>
  </si>
  <si>
    <t>[2020]</t>
  </si>
  <si>
    <t>Zero Emission Valley (ZEV) - Grenoble</t>
  </si>
  <si>
    <t>H24FP Paris P1</t>
  </si>
  <si>
    <t>[2021]</t>
  </si>
  <si>
    <t>H24FP Paris P2</t>
  </si>
  <si>
    <t>eM-Lacq</t>
  </si>
  <si>
    <t>210 MW</t>
  </si>
  <si>
    <t>[2022]</t>
  </si>
  <si>
    <t>H2 Bordeaux</t>
  </si>
  <si>
    <t>[2023]</t>
  </si>
  <si>
    <t>BioTJet</t>
  </si>
  <si>
    <t>[2024]</t>
  </si>
  <si>
    <t xml:space="preserve">Hydrogen Energy Storage System at Borrego Springs </t>
  </si>
  <si>
    <t>[2028]</t>
  </si>
  <si>
    <t>Waterfront Maritime Hydrogen Demonstration Project</t>
  </si>
  <si>
    <t>[2029]</t>
  </si>
  <si>
    <t>Solid Oxide Electrolysis System Demonstration</t>
  </si>
  <si>
    <t>[2030]</t>
  </si>
  <si>
    <t>Zillertalbahn 2020+ energy autonomous</t>
  </si>
  <si>
    <t>[2031] [2032] [2033]</t>
  </si>
  <si>
    <t>TIWAG Power2X (Phase 2) (within "Power2X Kufstein")</t>
  </si>
  <si>
    <t>[2031] [2034]</t>
  </si>
  <si>
    <t>Plansee Group - Breitenwang</t>
  </si>
  <si>
    <t>[2035]</t>
  </si>
  <si>
    <t>Wien Energie -  Simmering</t>
  </si>
  <si>
    <t>3 MW</t>
  </si>
  <si>
    <t>[2036] [2037]</t>
  </si>
  <si>
    <t>TIWAG Power2X (Phase 1) (within "Power2X Kufstein")</t>
  </si>
  <si>
    <t>Renewable Gasfield</t>
  </si>
  <si>
    <t>300 t H2/ y</t>
  </si>
  <si>
    <t>[2038] [2039]</t>
  </si>
  <si>
    <t>Mobility of the Future (within "Innovation Liquid Energy")</t>
  </si>
  <si>
    <t>[2040] [2041] [2042]</t>
  </si>
  <si>
    <t>HySnowGroomer (within HyWest)</t>
  </si>
  <si>
    <t>[2043]</t>
  </si>
  <si>
    <t>Hotflex</t>
  </si>
  <si>
    <t>[2044]</t>
  </si>
  <si>
    <t>H2Value - Tartu</t>
  </si>
  <si>
    <t>[2045] [2046]</t>
  </si>
  <si>
    <t>Green Port Paldiski</t>
  </si>
  <si>
    <t>Utilitas ELY</t>
  </si>
  <si>
    <t>36 t H2/y capacity</t>
  </si>
  <si>
    <t>[2049]</t>
  </si>
  <si>
    <t>Narva power plant ELY</t>
  </si>
  <si>
    <t>25 t H2/y capacity</t>
  </si>
  <si>
    <t>[2047] [2048]</t>
  </si>
  <si>
    <t xml:space="preserve">Kristinestad </t>
  </si>
  <si>
    <t>[2050][2071]</t>
  </si>
  <si>
    <t>Green NortH2 Energy</t>
  </si>
  <si>
    <t>[2051]</t>
  </si>
  <si>
    <t>Lappeenranta e-Methanol</t>
  </si>
  <si>
    <t>17 MW or 25kt MeOH/y</t>
  </si>
  <si>
    <t>[2052] [2055]</t>
  </si>
  <si>
    <t>Ren-Gas  P2X Kotka</t>
  </si>
  <si>
    <t>40 MW or 35 kt e-CH4/y</t>
  </si>
  <si>
    <t>[2053] [2055]</t>
  </si>
  <si>
    <t>Ren-Gas  P2X Lahti</t>
  </si>
  <si>
    <t>[2054] [2055]</t>
  </si>
  <si>
    <t>Ren-Gas  P2X Tampere</t>
  </si>
  <si>
    <t>[2055]</t>
  </si>
  <si>
    <t>P2X Solutions Joensuu</t>
  </si>
  <si>
    <t>[2056]</t>
  </si>
  <si>
    <t>Ren-Gas  P2X Mikkeli</t>
  </si>
  <si>
    <t>[2057] [2055]</t>
  </si>
  <si>
    <t>Ren-Gas  P2X Pori</t>
  </si>
  <si>
    <t>[2058] [2055]</t>
  </si>
  <si>
    <t>UPM Kymmene Biorefinery Green Hydrogen production​</t>
  </si>
  <si>
    <t>[2060]</t>
  </si>
  <si>
    <t>H-FLEX-E​</t>
  </si>
  <si>
    <t>4.3MW</t>
  </si>
  <si>
    <t>Flexens Lempäälä</t>
  </si>
  <si>
    <t>[2059]</t>
  </si>
  <si>
    <t>3H2 - Helsinki Hydrogen Hub</t>
  </si>
  <si>
    <t>Hidroelectrica - Sona</t>
  </si>
  <si>
    <t>[2061]</t>
  </si>
  <si>
    <t>Nervia</t>
  </si>
  <si>
    <t>[2062] [2063]</t>
  </si>
  <si>
    <t>Sines GH2 Solar</t>
  </si>
  <si>
    <t>[2065]</t>
  </si>
  <si>
    <t>HEVO-Industria</t>
  </si>
  <si>
    <t>6.6 MW</t>
  </si>
  <si>
    <t>[2066]</t>
  </si>
  <si>
    <t>H2Sines.Rdam - production</t>
  </si>
  <si>
    <t>[2067]</t>
  </si>
  <si>
    <t>Hydrogen Based Microgrid at NETRA</t>
  </si>
  <si>
    <t>0.34 MW</t>
  </si>
  <si>
    <t>Data from NTPC</t>
  </si>
  <si>
    <t>Chusul Project</t>
  </si>
  <si>
    <t>Apex Lubmin</t>
  </si>
  <si>
    <t>[2069]</t>
  </si>
  <si>
    <t>Mote biomass-to-hydrogen plant, 2nd facility (CA)</t>
  </si>
  <si>
    <t>21 ktH2/y - 450 kt CO2/y</t>
  </si>
  <si>
    <t>[2070]</t>
  </si>
  <si>
    <t>Babcock &amp; Wilcox’s - Louisiana</t>
  </si>
  <si>
    <t>[2072]</t>
  </si>
  <si>
    <t>Data from Hydrogen Europe</t>
  </si>
  <si>
    <t>Convion SOE R&amp;D ELY</t>
  </si>
  <si>
    <t>0.125MW</t>
  </si>
  <si>
    <t>ABC Cleantech H2</t>
  </si>
  <si>
    <t>Data from Indian Industry Association</t>
  </si>
  <si>
    <t>Adani H2</t>
  </si>
  <si>
    <t>Aranayak Mirzapur H2</t>
  </si>
  <si>
    <t>365 t H2/y production</t>
  </si>
  <si>
    <t>Badarpur New Delhi H2</t>
  </si>
  <si>
    <t>94.9 t H2/y production</t>
  </si>
  <si>
    <t>Bellary-Nellore H2</t>
  </si>
  <si>
    <t>5 kt H2/y production</t>
  </si>
  <si>
    <t>Bina Refinery</t>
  </si>
  <si>
    <t>3232.47 t H2/y production</t>
  </si>
  <si>
    <t>Chamba H2</t>
  </si>
  <si>
    <t>7.3 t H2/y production</t>
  </si>
  <si>
    <t>Chitrakoot H2</t>
  </si>
  <si>
    <t>129.3 kt H2/y production</t>
  </si>
  <si>
    <t>Greenko green ammonia project</t>
  </si>
  <si>
    <t>180 kt H2/y production</t>
  </si>
  <si>
    <t>19.4 t H2/y production</t>
  </si>
  <si>
    <t>Hydreen HLC Green Energy Himachal Pradesh H2</t>
  </si>
  <si>
    <t>300 kt H2/y production</t>
  </si>
  <si>
    <t>HPCL Vizag Facility H2</t>
  </si>
  <si>
    <t>370 t H2/y production</t>
  </si>
  <si>
    <t>Indore Waste to H2</t>
  </si>
  <si>
    <t>52.56 kt H2/y production</t>
  </si>
  <si>
    <t>Jindal Hygenco India</t>
  </si>
  <si>
    <t>125 kt H2/y production</t>
  </si>
  <si>
    <t>Jorhat H2</t>
  </si>
  <si>
    <t>75 t H2/y production</t>
  </si>
  <si>
    <t>JSW green hydrogen</t>
  </si>
  <si>
    <t>3.65 t H2/y production</t>
  </si>
  <si>
    <t>JSW Karnataka H2</t>
  </si>
  <si>
    <t>3.8 kt H2/y production</t>
  </si>
  <si>
    <t>Karnataka Acme H2</t>
  </si>
  <si>
    <t>Kochi Green Hydrogen (KGH2) Hub</t>
  </si>
  <si>
    <t>0.73 t H2/y production</t>
  </si>
  <si>
    <t>Larsen &amp; Toubro/ReNew Power Project</t>
  </si>
  <si>
    <t>21.9 kt H2/y production</t>
  </si>
  <si>
    <t>Leh H2</t>
  </si>
  <si>
    <t>L&amp;T Hazira Phase II</t>
  </si>
  <si>
    <t>29.2 t H2/y production</t>
  </si>
  <si>
    <t>Madhya Pradesh H2</t>
  </si>
  <si>
    <t>16.43 t H2/y production</t>
  </si>
  <si>
    <t>MAHAPREIT</t>
  </si>
  <si>
    <t>64.02 t H2/y production</t>
  </si>
  <si>
    <t>Maharashtra H2</t>
  </si>
  <si>
    <t>NMC Green Hydrogen</t>
  </si>
  <si>
    <t>808.12 t H2/y production</t>
  </si>
  <si>
    <t>NTPC Anakapalli H2</t>
  </si>
  <si>
    <t>NTPC NETRA Campus</t>
  </si>
  <si>
    <t>547.5 kt H2/y production</t>
  </si>
  <si>
    <t>Numaligarh Refinery Green H2</t>
  </si>
  <si>
    <t>52 t H2/y production</t>
  </si>
  <si>
    <t>Ocior Energy Andhra Pradesh H2</t>
  </si>
  <si>
    <t>46.68 t H2/y production</t>
  </si>
  <si>
    <t>Ocior Energy Gujarat H2</t>
  </si>
  <si>
    <t>2628  t H2/y production</t>
  </si>
  <si>
    <t>PMC Waste to H2 Phase I</t>
  </si>
  <si>
    <t>2 kt H2/y production</t>
  </si>
  <si>
    <t>POSCO H2</t>
  </si>
  <si>
    <t>10 t H2/y production</t>
  </si>
  <si>
    <t>Pune-Mumbai</t>
  </si>
  <si>
    <t>3650 t H2/y production</t>
  </si>
  <si>
    <t>Renew Efuels Odisha Green H2</t>
  </si>
  <si>
    <t>SOEC demonstrator Bangalore</t>
  </si>
  <si>
    <t>0.85 t H2/y production</t>
  </si>
  <si>
    <t>Swaraj Green Power H2</t>
  </si>
  <si>
    <t>36.5 t H2/y production</t>
  </si>
  <si>
    <t>Visakhapatnam H2</t>
  </si>
  <si>
    <t>1569 t H2/y production</t>
  </si>
  <si>
    <t>Waaree Renewable Technologies H2</t>
  </si>
  <si>
    <t>720 t H2/y production</t>
  </si>
  <si>
    <t>WBPDCL Durgapur H2</t>
  </si>
  <si>
    <t>4 kt H2/y production</t>
  </si>
  <si>
    <t>Hidrogen from bioethanol , phase 1</t>
  </si>
  <si>
    <t>Ethanol reforming</t>
  </si>
  <si>
    <t>4.5kg/h</t>
  </si>
  <si>
    <t>[2083]</t>
  </si>
  <si>
    <t>Hidrogen from bioethanol , phase 2</t>
  </si>
  <si>
    <t>45.5kg/h</t>
  </si>
  <si>
    <t>Morro Pintado project</t>
  </si>
  <si>
    <t>52kt H2/y</t>
  </si>
  <si>
    <t>[2084]</t>
  </si>
  <si>
    <t xml:space="preserve">Horizons Clean Hydrogen Hub </t>
  </si>
  <si>
    <t>[2085][2086]</t>
  </si>
  <si>
    <t>Tallgras-Kowepo MoU</t>
  </si>
  <si>
    <t>[2087]</t>
  </si>
  <si>
    <t>Lhyfe, Perl</t>
  </si>
  <si>
    <t>[2088]</t>
  </si>
  <si>
    <t xml:space="preserve">Enertrag - Prignitz-Falkenhagen industrial park </t>
  </si>
  <si>
    <t>[2089]</t>
  </si>
  <si>
    <t>Huaneng Inner Mongolia East Energy - Xing'an League project</t>
  </si>
  <si>
    <t>[2090]</t>
  </si>
  <si>
    <t>Vanadis Fuels</t>
  </si>
  <si>
    <t>400kt MeOH/y</t>
  </si>
  <si>
    <t>[2092]</t>
  </si>
  <si>
    <t>Acme - Port of Victoria</t>
  </si>
  <si>
    <t>1.2Mt NH3/y (production)</t>
  </si>
  <si>
    <t>[2093]</t>
  </si>
  <si>
    <t>Gaznat methanation project</t>
  </si>
  <si>
    <t>[2096]</t>
  </si>
  <si>
    <t>HYBRIT expansion</t>
  </si>
  <si>
    <t>Other electrolysis</t>
  </si>
  <si>
    <t>2.7 Mt DRI</t>
  </si>
  <si>
    <t>[2099]</t>
  </si>
  <si>
    <t>5Mt Steel</t>
  </si>
  <si>
    <t>[2100]</t>
  </si>
  <si>
    <t>Aboriginal Ammonia project - East Kimberley Clean Energy project</t>
  </si>
  <si>
    <t>250 kt NH3 production</t>
  </si>
  <si>
    <t>[2103]</t>
  </si>
  <si>
    <t>Amp Energy project</t>
  </si>
  <si>
    <t>[2104]</t>
  </si>
  <si>
    <t>Hydrogen project - Oaxaca</t>
  </si>
  <si>
    <t>[2106]</t>
  </si>
  <si>
    <t>Hydrogen project Duqm area</t>
  </si>
  <si>
    <t>[2107]</t>
  </si>
  <si>
    <t>Amea Power - Ammonia project</t>
  </si>
  <si>
    <t>1 GW or 700 kt NH3/y</t>
  </si>
  <si>
    <t>[2109]</t>
  </si>
  <si>
    <t xml:space="preserve">H2 project - Port of Mombasa </t>
  </si>
  <si>
    <t>e-SAF France Kereauzen project</t>
  </si>
  <si>
    <t>250MW or 70 kt synfuels/y capacity</t>
  </si>
  <si>
    <t>[2111], Platts European Gas Daily 25-09-2023</t>
  </si>
  <si>
    <t>E-fuels project in South Africa</t>
  </si>
  <si>
    <t xml:space="preserve">1GW or 500 kt synfuels/y </t>
  </si>
  <si>
    <t>[2113]</t>
  </si>
  <si>
    <t>H2 project - Profen mine</t>
  </si>
  <si>
    <t>[2114]</t>
  </si>
  <si>
    <t>Good Earth Green Hydrogen and Ammonia Project</t>
  </si>
  <si>
    <t>[2115] [2116]</t>
  </si>
  <si>
    <t>e-SAF plant</t>
  </si>
  <si>
    <t xml:space="preserve">1GW or 200 kt synfuels/y </t>
  </si>
  <si>
    <t>[2118]</t>
  </si>
  <si>
    <t>Ammonia project Avaada Odisha</t>
  </si>
  <si>
    <t>[2120]</t>
  </si>
  <si>
    <t>ACWA Power - H2 and Ammonia project</t>
  </si>
  <si>
    <t>30 kt H2/y or 120 kt NH3/y capacity</t>
  </si>
  <si>
    <t>[2121]</t>
  </si>
  <si>
    <t>H2 project Ascension Parish Louisiana</t>
  </si>
  <si>
    <t>44kt H2/y</t>
  </si>
  <si>
    <t>[2122]</t>
  </si>
  <si>
    <t>Hydrogen project in Cadiz</t>
  </si>
  <si>
    <t>352MW</t>
  </si>
  <si>
    <t>[2124]</t>
  </si>
  <si>
    <t>Solar-to-hydrogen Inhambane province</t>
  </si>
  <si>
    <t>4kt H2/d</t>
  </si>
  <si>
    <t>[2128]</t>
  </si>
  <si>
    <t>Ratcliffe power station - H2 project - phase 1</t>
  </si>
  <si>
    <t>[2129]</t>
  </si>
  <si>
    <t>Ratcliffe power station - H2 project - phase 2</t>
  </si>
  <si>
    <t>H2 project Lubmin - Deutsche ReGas - phase 1</t>
  </si>
  <si>
    <t>[2130]</t>
  </si>
  <si>
    <t>H2 project Lubmin - Deutsche ReGas - phase 2</t>
  </si>
  <si>
    <t>H2 plant Data center</t>
  </si>
  <si>
    <t>[2131]</t>
  </si>
  <si>
    <t>H2 project Narngulu industrial estate</t>
  </si>
  <si>
    <t>[2132]</t>
  </si>
  <si>
    <t>Floating Green Hydrogen &amp; Ammonia project</t>
  </si>
  <si>
    <t>[2135]</t>
  </si>
  <si>
    <t>Los Amigos del Verano - phase 1</t>
  </si>
  <si>
    <t>2x2.5GW</t>
  </si>
  <si>
    <t>[2136]</t>
  </si>
  <si>
    <t>Los Amigos del Verano - phase 2</t>
  </si>
  <si>
    <t>Los Amigos del Verano - phase 3</t>
  </si>
  <si>
    <t>Los Amigos del Verano - phase 4</t>
  </si>
  <si>
    <t>4x2.5GW</t>
  </si>
  <si>
    <t>Songyuan hydrogen energy industrial park - Ammonia &amp; Methanol</t>
  </si>
  <si>
    <t>640MW</t>
  </si>
  <si>
    <t>[2137] [2139]</t>
  </si>
  <si>
    <t>Skipavika Green Ammonia - SkiGA</t>
  </si>
  <si>
    <t>Platts European Gas Daily 29-08-2023</t>
  </si>
  <si>
    <t>Mauritania &amp; BP- Nassim project</t>
  </si>
  <si>
    <t>10 Mt NH3 production</t>
  </si>
  <si>
    <t>[2143] [2144]</t>
  </si>
  <si>
    <t>Hydrogen, ammonia project - Tecnicas Reunidas</t>
  </si>
  <si>
    <t>912,5 kt NH3/y</t>
  </si>
  <si>
    <t>[2145]</t>
  </si>
  <si>
    <t xml:space="preserve"> GET H2 TransHyDE hydrogen project - Lingen</t>
  </si>
  <si>
    <t>Data from Platts S&amp;P Global Hydrogen Daily 27/09/2023</t>
  </si>
  <si>
    <t>NeoGreen Portugal - Sines projetc</t>
  </si>
  <si>
    <t>[2146] Data from Platts S&amp;P Global Hydrogen Daily 27/09/2023</t>
  </si>
  <si>
    <t>Indian Oil Corporation IOCL refinery</t>
  </si>
  <si>
    <t>350 kt  H2/y production</t>
  </si>
  <si>
    <t>[2147]</t>
  </si>
  <si>
    <t>Chennai Petroleum Corporation (CPCL) - phase 1</t>
  </si>
  <si>
    <t>1 kt  H2/y production</t>
  </si>
  <si>
    <t>Chennai Petroleum Corporation (CPCL) - phase 2</t>
  </si>
  <si>
    <t>5 kt  H2/y production</t>
  </si>
  <si>
    <t>MRPL Mangalore Refinery - phase 1</t>
  </si>
  <si>
    <t>0.5 kt  H2/y production</t>
  </si>
  <si>
    <t>MRPL Mangalore Refinery - phase 2</t>
  </si>
  <si>
    <t>H2 plant - St Lawrence Hydro Production</t>
  </si>
  <si>
    <t>35t H2/day production</t>
  </si>
  <si>
    <t>[2148]</t>
  </si>
  <si>
    <t>Hydrogen plant - August Global Investment</t>
  </si>
  <si>
    <t xml:space="preserve">35 kt H2/y </t>
  </si>
  <si>
    <t>[2149]</t>
  </si>
  <si>
    <t>Gonfreville Raffinerie - Electrolysis project</t>
  </si>
  <si>
    <t>[2150]</t>
  </si>
  <si>
    <t>HyNQ – North Queensland Clean Energy Project</t>
  </si>
  <si>
    <t>[2151]</t>
  </si>
  <si>
    <t>Knockshinnoch hydrogen production facility - Scotland</t>
  </si>
  <si>
    <t>[2152]</t>
  </si>
  <si>
    <t>EWE hydrogen plant North Sea coast</t>
  </si>
  <si>
    <t>[2153]</t>
  </si>
  <si>
    <t xml:space="preserve">HyPilot project </t>
  </si>
  <si>
    <t>[2154]</t>
  </si>
  <si>
    <t>Aman - Green Hydrogen Project - phase 2</t>
  </si>
  <si>
    <t>Ammonia project - Houston Ship Channel</t>
  </si>
  <si>
    <t>[2155]</t>
  </si>
  <si>
    <t>Number</t>
  </si>
  <si>
    <t>Reference</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</si>
  <si>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</si>
  <si>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</si>
  <si>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</si>
  <si>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</si>
  <si>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</si>
  <si>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</si>
  <si>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</si>
  <si>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</si>
  <si>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</si>
  <si>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</si>
  <si>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</si>
  <si>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</si>
  <si>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</si>
  <si>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</si>
  <si>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</si>
  <si>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</si>
  <si>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</si>
  <si>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</si>
  <si>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</si>
  <si>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</si>
  <si>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</si>
  <si>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</si>
  <si>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</si>
  <si>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</si>
  <si>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</si>
  <si>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</si>
  <si>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</si>
  <si>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</si>
  <si>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</si>
  <si>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</si>
  <si>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</si>
  <si>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</si>
  <si>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</si>
  <si>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</si>
  <si>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</si>
  <si>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</si>
  <si>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</si>
  <si>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</si>
  <si>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</si>
  <si>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</si>
  <si>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</si>
  <si>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</si>
  <si>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</si>
  <si>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</si>
  <si>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</si>
  <si>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</si>
  <si>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</si>
  <si>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</si>
  <si>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</si>
  <si>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</si>
  <si>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</si>
  <si>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</si>
  <si>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</si>
  <si>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</si>
  <si>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</si>
  <si>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</si>
  <si>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</si>
  <si>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</si>
  <si>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</si>
  <si>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</si>
  <si>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</si>
  <si>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</si>
  <si>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</si>
  <si>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</si>
  <si>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</si>
  <si>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</si>
  <si>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</si>
  <si>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</si>
  <si>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</si>
  <si>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</si>
  <si>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</si>
  <si>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</si>
  <si>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</si>
  <si>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</si>
  <si>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</si>
  <si>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</si>
  <si>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</si>
  <si>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</si>
  <si>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</si>
  <si>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</si>
  <si>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</si>
  <si>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</si>
  <si>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</si>
  <si>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</si>
  <si>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</si>
  <si>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</si>
  <si>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</si>
  <si>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</si>
  <si>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</si>
  <si>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</si>
  <si>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</si>
  <si>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</si>
  <si>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</si>
  <si>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</si>
  <si>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</si>
  <si>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</si>
  <si>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</si>
  <si>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</si>
  <si>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</si>
  <si>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</si>
  <si>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</si>
  <si>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</si>
  <si>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https://refhyne.eu/about/</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</si>
  <si>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</si>
  <si>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</si>
  <si>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</si>
  <si>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</si>
  <si>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</si>
  <si>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</si>
  <si>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</si>
  <si>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</si>
  <si>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</si>
  <si>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</si>
  <si>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</si>
  <si>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</si>
  <si>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</si>
  <si>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</si>
  <si>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</si>
  <si>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</si>
  <si>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</si>
  <si>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</si>
  <si>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</si>
  <si>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</si>
  <si>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</si>
  <si>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</si>
  <si>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</si>
  <si>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</si>
  <si>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</si>
  <si>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https://methycentre.eu/</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</si>
  <si>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</si>
  <si>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</si>
  <si>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</si>
  <si>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</si>
  <si>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</si>
  <si>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</si>
  <si>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</si>
  <si>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</si>
  <si>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</si>
  <si>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</si>
  <si>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</si>
  <si>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</si>
  <si>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</si>
  <si>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</si>
  <si>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</si>
  <si>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</si>
  <si>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</si>
  <si>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</si>
  <si>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</si>
  <si>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</si>
  <si>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</si>
  <si>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</si>
  <si>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</si>
  <si>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</si>
  <si>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</si>
  <si>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</si>
  <si>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</si>
  <si>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</si>
  <si>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</si>
  <si>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</si>
  <si>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</si>
  <si>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</si>
  <si>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</si>
  <si>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</si>
  <si>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</si>
  <si>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</si>
  <si>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</si>
  <si>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</si>
  <si>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</si>
  <si>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</si>
  <si>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</si>
  <si>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</si>
  <si>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</si>
  <si>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</si>
  <si>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</si>
  <si>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</si>
  <si>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</si>
  <si>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</si>
  <si>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</si>
  <si>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</si>
  <si>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</si>
  <si>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</si>
  <si>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</si>
  <si>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</si>
  <si>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</si>
  <si>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</si>
  <si>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</si>
  <si>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</si>
  <si>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</si>
  <si>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</si>
  <si>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</si>
  <si>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</si>
  <si>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</si>
  <si>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</si>
  <si>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</si>
  <si>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</si>
  <si>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</si>
  <si>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</si>
  <si>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</si>
  <si>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</si>
  <si>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</si>
  <si>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</si>
  <si>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</si>
  <si>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</si>
  <si>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</si>
  <si>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</si>
  <si>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</si>
  <si>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</si>
  <si>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</si>
  <si>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</si>
  <si>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</si>
  <si>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</si>
  <si>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</si>
  <si>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</si>
  <si>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</si>
  <si>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</si>
  <si>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</si>
  <si>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</si>
  <si>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</si>
  <si>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</si>
  <si>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</si>
  <si>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</si>
  <si>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https://jemena.com.au/about/innovation/power-to-gas-trial</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</si>
  <si>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</si>
  <si>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</si>
  <si>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</si>
  <si>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https://www.hybridge.net/index-2.html</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</si>
  <si>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</si>
  <si>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</si>
  <si>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</si>
  <si>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</si>
  <si>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</si>
  <si>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</si>
  <si>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</si>
  <si>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</si>
  <si>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</si>
  <si>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</si>
  <si>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</si>
  <si>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</si>
  <si>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</si>
  <si>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</si>
  <si>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</si>
  <si>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</si>
  <si>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</si>
  <si>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</si>
  <si>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</si>
  <si>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</si>
  <si>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</si>
  <si>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</si>
  <si>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</si>
  <si>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</si>
  <si>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</si>
  <si>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</si>
  <si>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</si>
  <si>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</si>
  <si>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</si>
  <si>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</si>
  <si>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</si>
  <si>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</si>
  <si>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</si>
  <si>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</si>
  <si>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</si>
  <si>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</si>
  <si>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https://www.deltalinqs.nl/h-vision-en</t>
  </si>
  <si>
    <t>https://www.northerngasnetworks.co.uk/event/h21-launches-national/</t>
  </si>
  <si>
    <t>https://nelhydrogen.com/press-release/nel-asa-awarded-multi-billion-nok-electrolyzer-and-fueling-station-contract-by-nikola/</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</si>
  <si>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</si>
  <si>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</si>
  <si>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</si>
  <si>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</si>
  <si>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</si>
  <si>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</si>
  <si>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</si>
  <si>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</si>
  <si>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</si>
  <si>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</si>
  <si>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</si>
  <si>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</si>
  <si>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</si>
  <si>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</si>
  <si>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</si>
  <si>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</si>
  <si>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</si>
  <si>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</si>
  <si>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https://www.refiningandpetrochemicalsme.com/products-services/26715-air-liquide-signs-long-term-deal-to-provide-hydrogen-to-pilipinas-shells-tabangao-refinery</t>
  </si>
  <si>
    <t>http://www.carboncapturejournal.com/ViewNews.aspx?NewsID=4220</t>
  </si>
  <si>
    <t>https://www.bloomberg.com/news/articles/2019-10-08/siemens-backs-mega-green-power-hydrogen-project-in-australia</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</si>
  <si>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</si>
  <si>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</si>
  <si>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</si>
  <si>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</si>
  <si>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</si>
  <si>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</si>
  <si>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</si>
  <si>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</si>
  <si>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</si>
  <si>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</si>
  <si>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</si>
  <si>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</si>
  <si>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</si>
  <si>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</si>
  <si>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</si>
  <si>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</si>
  <si>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</si>
  <si>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</si>
  <si>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</si>
  <si>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</si>
  <si>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https://fuelcellsworks.com/news/arcadis-hoogeveen-and-livefree-realize-the-first-hydrogen-based-residential-area-in-the-netherlands/</t>
  </si>
  <si>
    <t>https://ramboll.com/media/rgr/carbon-capture-and-e-fuel-production-in-greenland</t>
  </si>
  <si>
    <t>https://www.get-h2.de/en/project-lingen/</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</si>
  <si>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</si>
  <si>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</si>
  <si>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</si>
  <si>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</si>
  <si>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</si>
  <si>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https://investor.fce.com/press-releases/press-release-details/2023/FuelCell-Energy-and-Toyota-Announce-Completion-of-Worlds-First-Tri-gen-Production-System/default.aspx</t>
  </si>
  <si>
    <t>https://crystalbrookenergypark.com.au/</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</si>
  <si>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</si>
  <si>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</si>
  <si>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</si>
  <si>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</si>
  <si>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</si>
  <si>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</si>
  <si>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</si>
  <si>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</si>
  <si>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</si>
  <si>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</si>
  <si>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</si>
  <si>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</si>
  <si>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</si>
  <si>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</si>
  <si>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</si>
  <si>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</si>
  <si>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</si>
  <si>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</si>
  <si>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</si>
  <si>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</si>
  <si>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</si>
  <si>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</si>
  <si>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</si>
  <si>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</si>
  <si>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</si>
  <si>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</si>
  <si>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</si>
  <si>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</si>
  <si>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</si>
  <si>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</si>
  <si>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</si>
  <si>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</si>
  <si>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</si>
  <si>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</si>
  <si>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</si>
  <si>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</si>
  <si>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</si>
  <si>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</si>
  <si>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</si>
  <si>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</si>
  <si>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</si>
  <si>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</si>
  <si>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</si>
  <si>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https://www.haeolus.eu/?page_id=531</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</si>
  <si>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</si>
  <si>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</si>
  <si>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</si>
  <si>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</si>
  <si>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</si>
  <si>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</si>
  <si>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https://research.csiro.au/hyresource/queensland-nitrates-renewable-hydrogen-and-ammonia-project/</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</si>
  <si>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</si>
  <si>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</si>
  <si>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</si>
  <si>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</si>
  <si>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</si>
  <si>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</si>
  <si>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</si>
  <si>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</si>
  <si>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</si>
  <si>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</si>
  <si>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</si>
  <si>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</si>
  <si>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</si>
  <si>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</si>
  <si>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</si>
  <si>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</si>
  <si>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</si>
  <si>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</si>
  <si>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</si>
  <si>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</si>
  <si>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</si>
  <si>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</si>
  <si>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</si>
  <si>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</si>
  <si>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https://www.naturgy.com/conocenos/innovacion_y_futuro/plan_de_innovacion_tecnologica/ris3cat_cosin_combustibles_sinteticos</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</si>
  <si>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</si>
  <si>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</si>
  <si>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</si>
  <si>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</si>
  <si>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</si>
  <si>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</si>
  <si>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</si>
  <si>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</si>
  <si>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</si>
  <si>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</si>
  <si>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</si>
  <si>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</si>
  <si>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</si>
  <si>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</si>
  <si>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</si>
  <si>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</si>
  <si>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</si>
  <si>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</si>
  <si>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</si>
  <si>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</si>
  <si>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</si>
  <si>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</si>
  <si>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</si>
  <si>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</si>
  <si>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</si>
  <si>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</si>
  <si>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</si>
  <si>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</si>
  <si>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</si>
  <si>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</si>
  <si>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</si>
  <si>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</si>
  <si>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</si>
  <si>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</si>
  <si>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https://oge.net/en/us/projects/westkueste-100</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</si>
  <si>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</si>
  <si>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</si>
  <si>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</si>
  <si>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</si>
  <si>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</si>
  <si>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</si>
  <si>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</si>
  <si>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</si>
  <si>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</si>
  <si>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</si>
  <si>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</si>
  <si>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</si>
  <si>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</si>
  <si>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</si>
  <si>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</si>
  <si>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</si>
  <si>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</si>
  <si>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</si>
  <si>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</si>
  <si>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</si>
  <si>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</si>
  <si>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</si>
  <si>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</si>
  <si>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</si>
  <si>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</si>
  <si>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</si>
  <si>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</si>
  <si>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</si>
  <si>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</si>
  <si>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</si>
  <si>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</si>
  <si>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</si>
  <si>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</si>
  <si>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</si>
  <si>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</si>
  <si>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</si>
  <si>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</si>
  <si>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</si>
  <si>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</si>
  <si>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</si>
  <si>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</si>
  <si>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</si>
  <si>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</si>
  <si>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</si>
  <si>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</si>
  <si>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</si>
  <si>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</si>
  <si>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</si>
  <si>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</si>
  <si>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</si>
  <si>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</si>
  <si>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</si>
  <si>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</si>
  <si>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</si>
  <si>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</si>
  <si>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</si>
  <si>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</si>
  <si>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</si>
  <si>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</si>
  <si>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</si>
  <si>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</si>
  <si>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</si>
  <si>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</si>
  <si>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</si>
  <si>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https://www.bp.com/en/global/corporate/news-and-insights/press-releases/bp-australia-announces-feasibility-study-into-hydrogen-energy-production-facility.html</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</si>
  <si>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</si>
  <si>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</si>
  <si>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</si>
  <si>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</si>
  <si>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</si>
  <si>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</si>
  <si>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</si>
  <si>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</si>
  <si>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</si>
  <si>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</si>
  <si>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</si>
  <si>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</si>
  <si>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</si>
  <si>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</si>
  <si>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</si>
  <si>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</si>
  <si>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</si>
  <si>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</si>
  <si>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</si>
  <si>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</si>
  <si>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</si>
  <si>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</si>
  <si>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</si>
  <si>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</si>
  <si>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</si>
  <si>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</si>
  <si>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</si>
  <si>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</si>
  <si>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</si>
  <si>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</si>
  <si>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</si>
  <si>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</si>
  <si>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</si>
  <si>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</si>
  <si>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</si>
  <si>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</si>
  <si>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</si>
  <si>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</si>
  <si>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</si>
  <si>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</si>
  <si>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</si>
  <si>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</si>
  <si>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</si>
  <si>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</si>
  <si>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</si>
  <si>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</si>
  <si>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</si>
  <si>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</si>
  <si>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</si>
  <si>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</si>
  <si>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</si>
  <si>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</si>
  <si>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</si>
  <si>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</si>
  <si>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</si>
  <si>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</si>
  <si>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</si>
  <si>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</si>
  <si>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</si>
  <si>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</si>
  <si>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</si>
  <si>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</si>
  <si>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</si>
  <si>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</si>
  <si>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</si>
  <si>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</si>
  <si>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</si>
  <si>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</si>
  <si>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</si>
  <si>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</si>
  <si>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</si>
  <si>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</si>
  <si>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</si>
  <si>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</si>
  <si>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</si>
  <si>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</si>
  <si>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</si>
  <si>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</si>
  <si>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</si>
  <si>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</si>
  <si>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</si>
  <si>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</si>
  <si>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</si>
  <si>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</si>
  <si>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</si>
  <si>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</si>
  <si>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</si>
  <si>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</si>
  <si>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</si>
  <si>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</si>
  <si>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</si>
  <si>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https://fuelcellsworks.com/news/spain-reganosa-edp-renovaveis-investment-of-780-million-in-galicia-includes-a-100-mw-electrolysis-hydrogen-h2-production-plant/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</si>
  <si>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</si>
  <si>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</si>
  <si>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</si>
  <si>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</si>
  <si>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</si>
  <si>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</si>
  <si>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</si>
  <si>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</si>
  <si>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https://participa.pt/pt/consulta/en-h2-estrategia-nacional-para-o-hidrogenio</t>
  </si>
  <si>
    <t>https://www.pv-magazine.com/2020/07/30/portuguese-consortium-plans-1-gw-green-hydrogen-cluster/</t>
  </si>
  <si>
    <t>https://www.goeree-overflakkee.nl/duurzaam-go/waterstof_46733/item/h2go-programma_232204.html</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</si>
  <si>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</si>
  <si>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</si>
  <si>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</si>
  <si>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</si>
  <si>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https://engie-eps.com/corporate/engie-eps-hydrogen-technology-proven-to-make-microgrids-100-green-once-again/</t>
  </si>
  <si>
    <t>https://www.h2-view.com/story/construction-begins-on-antwerps-first-hydrogen-station/</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</si>
  <si>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</si>
  <si>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</si>
  <si>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https://news.cision.com/nel-asa/r/nel-signs-loi-with-statkraft-for-a-green-hydrogen-project-with-up-to-50mw-of-electrolyser-capacity,c3228323</t>
  </si>
  <si>
    <t>https://www.iberdrola.com/press-room/news/detail/iberdrola-fertiberia-place-spain-forefront-green-hydrogen-europe-with-1-8-billion-investment-projected-2027</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</si>
  <si>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</si>
  <si>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</si>
  <si>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</si>
  <si>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https://www.irishtimes.com/business/ireland-s-first-green-hydrogen-project-to-come-on-stream-in-weeks-1.4399291</t>
  </si>
  <si>
    <t>https://www.h2-view.com/story/logan-energy-playing-a-major-role-in-northern-irelands-hydrogen-economy/</t>
  </si>
  <si>
    <t>https://www.liquidwind.se/flagships</t>
  </si>
  <si>
    <t>https://nelhydrogen.com/wp-content/uploads/2019/10/nel-q3-2014-presentation.pdf</t>
  </si>
  <si>
    <t>https://www.h2-view.com/story/south-australia-backs-240m-green-hydrogen-project/</t>
  </si>
  <si>
    <t>https://www.topsectorenergie.nl/sites/default/files/uploads/TKI%20Gas/nieuws/Overview%20of%20Hydrogen%20project%20in%20the%20Netherlands.pdf</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</si>
  <si>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</si>
  <si>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</si>
  <si>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</si>
  <si>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</si>
  <si>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</si>
  <si>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</si>
  <si>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</si>
  <si>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</si>
  <si>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</si>
  <si>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</si>
  <si>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</si>
  <si>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</si>
  <si>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</si>
  <si>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</si>
  <si>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</si>
  <si>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</si>
  <si>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</si>
  <si>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</si>
  <si>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</si>
  <si>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</si>
  <si>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</si>
  <si>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</si>
  <si>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</si>
  <si>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</si>
  <si>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</si>
  <si>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</si>
  <si>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</si>
  <si>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</si>
  <si>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</si>
  <si>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</si>
  <si>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</si>
  <si>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</si>
  <si>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</si>
  <si>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</si>
  <si>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</si>
  <si>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</si>
  <si>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</si>
  <si>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</si>
  <si>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</si>
  <si>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</si>
  <si>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</si>
  <si>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</si>
  <si>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</si>
  <si>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</si>
  <si>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</si>
  <si>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</si>
  <si>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</si>
  <si>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</si>
  <si>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</si>
  <si>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</si>
  <si>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</si>
  <si>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</si>
  <si>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</si>
  <si>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</si>
  <si>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</si>
  <si>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</si>
  <si>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</si>
  <si>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</si>
  <si>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</si>
  <si>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</si>
  <si>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</si>
  <si>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</si>
  <si>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</si>
  <si>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</si>
  <si>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</si>
  <si>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</si>
  <si>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</si>
  <si>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</si>
  <si>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</si>
  <si>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</si>
  <si>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</si>
  <si>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</si>
  <si>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</si>
  <si>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</si>
  <si>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</si>
  <si>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</si>
  <si>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</si>
  <si>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</si>
  <si>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</si>
  <si>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</si>
  <si>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</si>
  <si>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</si>
  <si>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</si>
  <si>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</si>
  <si>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https://mcphy.com/fr/communiques/zero-emission-valley-2/?cn-reloaded=1</t>
  </si>
  <si>
    <t>https://bahiah2.com/</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</si>
  <si>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</si>
  <si>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</si>
  <si>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</si>
  <si>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</si>
  <si>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</si>
  <si>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</si>
  <si>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</si>
  <si>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</si>
  <si>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</si>
  <si>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</si>
  <si>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</si>
  <si>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</si>
  <si>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</si>
  <si>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</si>
  <si>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</si>
  <si>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</si>
  <si>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</si>
  <si>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</si>
  <si>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</si>
  <si>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</si>
  <si>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</si>
  <si>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</si>
  <si>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</si>
  <si>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</si>
  <si>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</si>
  <si>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</si>
  <si>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</si>
  <si>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</si>
  <si>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</si>
  <si>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</si>
  <si>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</si>
  <si>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</si>
  <si>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</si>
  <si>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</si>
  <si>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</si>
  <si>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</si>
  <si>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</si>
  <si>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https://www.europapress.es/economia/noticia-repsol-impulsa-apuesta-liderar-carrera-hidrogeno-verde-espana-primer-electrolizador-20231009104256.html</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</si>
  <si>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</si>
  <si>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</si>
  <si>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</si>
  <si>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</si>
  <si>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https://cache.webcasts.com/content/read001/1434093/content/991885ffeedbb065f596f2a0ac6f40ac078995f3/pdf/Wartsila_Slide_Deck_3.9.21.pdf</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</si>
  <si>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</si>
  <si>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</si>
  <si>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</si>
  <si>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</si>
  <si>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</si>
  <si>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</si>
  <si>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</si>
  <si>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</si>
  <si>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</si>
  <si>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</si>
  <si>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</si>
  <si>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</si>
  <si>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https://renewablesnow.com/news/eew-unveils-massive-green-hydrogen-solar-project-in-australia-734022/</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</si>
  <si>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</si>
  <si>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</si>
  <si>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</si>
  <si>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</si>
  <si>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</si>
  <si>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</si>
  <si>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</si>
  <si>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</si>
  <si>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</si>
  <si>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</si>
  <si>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</si>
  <si>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</si>
  <si>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</si>
  <si>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</si>
  <si>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</si>
  <si>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</si>
  <si>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https://www.bp.com/en/global/corporate/news-and-insights/press-releases/bp-plans-uks-largest-hydrogen-project.html</t>
  </si>
  <si>
    <t>https://www.h2-view.com/story/itm-power-makes-first-sale-in-japan-sells-1-4mw-electrolyser-to-sumitomo-corp/</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</si>
  <si>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</si>
  <si>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</si>
  <si>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</si>
  <si>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</si>
  <si>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</si>
  <si>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</si>
  <si>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</si>
  <si>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</si>
  <si>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</si>
  <si>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</si>
  <si>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</si>
  <si>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</si>
  <si>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</si>
  <si>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</si>
  <si>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</si>
  <si>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</si>
  <si>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</si>
  <si>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</si>
  <si>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</si>
  <si>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</si>
  <si>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</si>
  <si>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https://www.iberdrola.com/sala-comunicacion/noticias/detalle/iberdrola-moviliza-primer-proyecto-para-generacion-hidrogeno-verde-aragon</t>
  </si>
  <si>
    <t>https://www.pv-magazine.es/2021/03/22/iberdrola-planea-un-corredor-de-hidrogeno-verde-en-la-comunidad-valenciana/</t>
  </si>
  <si>
    <t>https://www.ir.plugpower.com/Press-Releases/Press-Release-Details/2021/Plug-Power-and-Brookfield-Renewable-Move-Forward-with-Green-Hydrogen-Plant-in-South-Central-Pennsylvania/default.aspx</t>
  </si>
  <si>
    <t>https://renewablesnow.com/news/bc-govt-supports-tidewater-midstreams-renewable-diesel-hydrogen-plan-734165/</t>
  </si>
  <si>
    <t>https://www.gasworld.com/air-liquide-celebrates-hydrogen-milestone-in-taiwan/2020650.article</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</si>
  <si>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</si>
  <si>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</si>
  <si>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</si>
  <si>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</si>
  <si>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</si>
  <si>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</si>
  <si>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</si>
  <si>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</si>
  <si>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</si>
  <si>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</si>
  <si>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</si>
  <si>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</si>
  <si>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</si>
  <si>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</si>
  <si>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</si>
  <si>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</si>
  <si>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</si>
  <si>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</si>
  <si>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</si>
  <si>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</si>
  <si>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</si>
  <si>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</si>
  <si>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</si>
  <si>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</si>
  <si>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</si>
  <si>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</si>
  <si>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</si>
  <si>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</si>
  <si>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</si>
  <si>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</si>
  <si>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</si>
  <si>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</si>
  <si>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</si>
  <si>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</si>
  <si>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</si>
  <si>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</si>
  <si>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</si>
  <si>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</si>
  <si>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</si>
  <si>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</si>
  <si>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</si>
  <si>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</si>
  <si>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</si>
  <si>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</si>
  <si>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</si>
  <si>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</si>
  <si>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</si>
  <si>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</si>
  <si>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</si>
  <si>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</si>
  <si>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</si>
  <si>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</si>
  <si>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https://www.energyvoice.com/renewables-energy-transition/314698/origin-signs-pact-for-australian-green-hydrogen-export-project/</t>
  </si>
  <si>
    <t>https://news.bjx.com.cn/html/20190618/986800.shtml</t>
  </si>
  <si>
    <t>http://www.beijing.gov.cn/ywdt/zwzt/dah/bxyw/202104/t20210411_2351644.html</t>
  </si>
  <si>
    <t>https://fuelcellsworks.com/news/phase-ii-of-the-beijing-2022-hydrogen-industrial-park-construction-begins/?mc_cid=71b74cd7fd&amp;mc_eid=da4624d261</t>
  </si>
  <si>
    <t>https://fuelcellsworks.com/news/hydrogen-expansion-in-switzerland/?mc_cid=71b74cd7fd&amp;mc_eid=da4624d261</t>
  </si>
  <si>
    <t>https://www.pertamina.com/id/news-room/energia-news/pertamina-optimalkan-manfaat-geotermal</t>
  </si>
  <si>
    <t>https://www.youtube.com/watch?v=wGF_m7rXvzY</t>
  </si>
  <si>
    <t>https://www.biofuelsdigest.com/bdigest/2020/09/16/ecb-signs-contract-with-government-for-paraguayan-omega-green-project/</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</si>
  <si>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</si>
  <si>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</si>
  <si>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</si>
  <si>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https://www.thyssenkrupp-industrial-solutions.com/en/media/press-releases/press-detail/kick-off-to-decarbonizing-ammonia-production--thyssenkrupp-awarded-green-hydrogen-plant-by-cf-industries-98980</t>
  </si>
  <si>
    <t>https://www.cfindustries.com/newsroom/2021/donaldsonville-electrolyzer</t>
  </si>
  <si>
    <t>https://www.businesswire.com/news/home/20210421006131/en/</t>
  </si>
  <si>
    <t>https://www.aramis.admin.ch/Default?DocumentID=46495&amp;Load=true</t>
  </si>
  <si>
    <t>https://www.h2euro.org/whats-h2appening/hannover-2015-finlands-first-in-large-scale-hydrogen-plants/</t>
  </si>
  <si>
    <t>https://www.rechargenews.com/energy-transition/growing-ambition-the-worlds-20-largest-green-hydrogen-projects/2-1-933755</t>
  </si>
  <si>
    <t>https://www.h2-view.com/story/australia-total-eren-and-province-resources-ink-mou-for-potential-8gw-hydrogen-project/</t>
  </si>
  <si>
    <t>https://www.rechargenews.com/energy-transition/oil-companies-and-major-utilities-mulling-purchase-of-1-4gw-green-hydrogen-project-in-chile/2-1-999868</t>
  </si>
  <si>
    <t>https://www.argusmedia.com/en/news/2203821-engie-ushering-green-h2-into-chiles-mining-patch?amp=1&amp;__twitter_impression=true&amp;s=03</t>
  </si>
  <si>
    <t>https://www.italgas.it/en/press-release/Protocollo-dintesa-tra-CRS4-e-Italgas-per-la-realizzazione-di-un-impianto-per-la-produzione-di-idrogeno-in-Sardegna/</t>
  </si>
  <si>
    <t>https://www.hydroreview.com/business-finance/vitol-acquires-stake-in-hydrogen-company-gen2-energy-that-uses-hydropower/#gref</t>
  </si>
  <si>
    <t>https://cincodias.elpais.com/cincodias/2021/04/28/companias/1619600656_589151.html</t>
  </si>
  <si>
    <t>https://gtt.fr/news/elogen-selected-equip-smartquart-project-led-eon-germany</t>
  </si>
  <si>
    <t>https://h2.johncockerill.com/en/feu-vert-pour-hayrport-le-projet-decomobilite-100-propre-de-john-cockerill-et-liege-airport/</t>
  </si>
  <si>
    <t>https://fuelcellsworks.com/news/hexagon-energy-and-air-products-team-up-on-blue-hydrogen-project-in-australia/?mc_cid=0dec0e5c1a&amp;mc_eid=da4624d261</t>
  </si>
  <si>
    <t>https://news.cision.com/nel-asa/r/nel-asa--receives-purchase-order-for-2-mw-pem-electrolyser,c3339141</t>
  </si>
  <si>
    <t>https://www.enagas.es/enagas/es/Comunicacion/NotasPrensa/27_04_21_NP_Proyecto_DISA_h2_verde_en_Canarias</t>
  </si>
  <si>
    <t>https://www.cbc.ca/news/canada/calgary/suncor-atco-hydrogen-project-alberta-1.6021796</t>
  </si>
  <si>
    <t>https://hexagonresources.com/wp-content/uploads/2021/03/HXG4335_Draft4_Roadshow-Presentation_FINAL-LGv2_full-version.pdf</t>
  </si>
  <si>
    <t>https://www.spglobal.com/platts/en/market-insights/latest-news/electric-power/050621-siemens-energy-masdar-to-build-pilot-uae-hydrogen-plant-by-2022-with-focus-on-saf</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</si>
  <si>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</si>
  <si>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</si>
  <si>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</si>
  <si>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</si>
  <si>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</si>
  <si>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</si>
  <si>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</si>
  <si>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</si>
  <si>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</si>
  <si>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https://www.h2-view.com/story/25gw-hydrogen-mega-project-set-for-oman/</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</si>
  <si>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</si>
  <si>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</si>
  <si>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</si>
  <si>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</si>
  <si>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</si>
  <si>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</si>
  <si>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</si>
  <si>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</si>
  <si>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</si>
  <si>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</si>
  <si>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</si>
  <si>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</si>
  <si>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https://www.h2-view.com/story/new-24mw-electrolysis-plant-set-for-large-scale-green-hydrogen-production/</t>
  </si>
  <si>
    <t>https://www.h2-view.com/story/1bn-abu-dhabi-project-will-produce-200000-tonnes-of-green-ammonia-from-hydrogen/</t>
  </si>
  <si>
    <t>https://www.theguardian.com/world/2021/may/27/oman-plans-to-build-worlds-largest-green-hydrogen-plant</t>
  </si>
  <si>
    <t>https://fuelcellsworks.com/news/mauritania-signs-agreement-to-develop-green-hydrogen-production-plant/</t>
  </si>
  <si>
    <t>https://fuelcellsworks.com/news/everfuel-plans-300mw-hysynergy-phase-ii-electrolyser-in-fredericia/?mc_cid=5381e371d3&amp;mc_eid=da4624d261</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</si>
  <si>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</si>
  <si>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</si>
  <si>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</si>
  <si>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</si>
  <si>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</si>
  <si>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</si>
  <si>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</si>
  <si>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</si>
  <si>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</si>
  <si>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</si>
  <si>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https://www.sireagroup.com/en/2021/03/22/green-hydrogen-photovoltaics/</t>
  </si>
  <si>
    <t>https://www.horisontenergi.no/horisont-energi-chooses-hammerfest-norway-to-build-europes-first-large-scale-carbon-neutral-ammonia-plant/</t>
  </si>
  <si>
    <t>https://www.spglobal.com/platts/en/market-insights/latest-news/electric-power/052821-germany-shortlists-62-hydrogen-projects-with-2-gw-capacity-for-ipcei-state-aid</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</si>
  <si>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</si>
  <si>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</si>
  <si>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</si>
  <si>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</si>
  <si>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</si>
  <si>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</si>
  <si>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</si>
  <si>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</si>
  <si>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</si>
  <si>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</si>
  <si>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</si>
  <si>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</si>
  <si>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</si>
  <si>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</si>
  <si>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</si>
  <si>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</si>
  <si>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</si>
  <si>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</si>
  <si>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</si>
  <si>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</si>
  <si>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</si>
  <si>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</si>
  <si>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</si>
  <si>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</si>
  <si>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https://www.axios.com/2022/03/10/plug-power-taps-abb-for-300m-hydrogen-plants</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</si>
  <si>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</si>
  <si>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</si>
  <si>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</si>
  <si>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</si>
  <si>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</si>
  <si>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</si>
  <si>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</si>
  <si>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</si>
  <si>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</si>
  <si>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</si>
  <si>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</si>
  <si>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</si>
  <si>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</si>
  <si>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</si>
  <si>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</si>
  <si>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</si>
  <si>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</si>
  <si>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</si>
  <si>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</si>
  <si>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</si>
  <si>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</si>
  <si>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</si>
  <si>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</si>
  <si>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</si>
  <si>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</si>
  <si>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</si>
  <si>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</si>
  <si>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</si>
  <si>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</si>
  <si>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</si>
  <si>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</si>
  <si>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</si>
  <si>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</si>
  <si>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</si>
  <si>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</si>
  <si>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</si>
  <si>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</si>
  <si>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</si>
  <si>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</si>
  <si>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</si>
  <si>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</si>
  <si>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</si>
  <si>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</si>
  <si>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</si>
  <si>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</si>
  <si>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</si>
  <si>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</si>
  <si>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</si>
  <si>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https://www.energy.gov/eere/fuelcells/articles/us-hydrogen-electrolyzer-locations-and-capacity</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</si>
  <si>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</si>
  <si>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</si>
  <si>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</si>
  <si>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</si>
  <si>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</si>
  <si>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https://www.bp.com/en_au/australia/home/who-we-are/reimagining-energy/low-carbon-technology/geraldton-export-scale-renewable-investment.html</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</si>
  <si>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</si>
  <si>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</si>
  <si>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</si>
  <si>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</si>
  <si>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</si>
  <si>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</si>
  <si>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</si>
  <si>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</si>
  <si>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</si>
  <si>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</si>
  <si>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</si>
  <si>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</si>
  <si>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</si>
  <si>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</si>
  <si>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</si>
  <si>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</si>
  <si>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</si>
  <si>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</si>
  <si>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</si>
  <si>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</si>
  <si>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</si>
  <si>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</si>
  <si>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</si>
  <si>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</si>
  <si>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</si>
  <si>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</si>
  <si>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</si>
  <si>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</si>
  <si>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</si>
  <si>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</si>
  <si>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</si>
  <si>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</si>
  <si>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</si>
  <si>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</si>
  <si>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</si>
  <si>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https://www.fusion-fuel.eu/projects/europe-middle-east-africa/portugal/hevo-sul/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</si>
  <si>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</si>
  <si>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</si>
  <si>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</si>
  <si>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</si>
  <si>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</si>
  <si>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</si>
  <si>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</si>
  <si>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</si>
  <si>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</si>
  <si>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</si>
  <si>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</si>
  <si>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</si>
  <si>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</si>
  <si>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</si>
  <si>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</si>
  <si>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https://www.sgn.co.uk/H100Fife</t>
  </si>
  <si>
    <t>https://mp.weixin.qq.com/s/p1Pvn5fE_3jCuxldncD49A</t>
  </si>
  <si>
    <t>https://www.southerngreenhydrogen.co.nz/articles/huge-interest-in-southland-green-hydrogen-project</t>
  </si>
  <si>
    <t>https://totalenergies.com/media/news/press-releases/totalenergies-and-air-liquide-partner-develop-low-carbon-hydrogen</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</si>
  <si>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</si>
  <si>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</si>
  <si>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</si>
  <si>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</si>
  <si>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</si>
  <si>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</si>
  <si>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</si>
  <si>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</si>
  <si>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</si>
  <si>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</si>
  <si>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</si>
  <si>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</si>
  <si>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</si>
  <si>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</si>
  <si>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</si>
  <si>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</si>
  <si>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</si>
  <si>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</si>
  <si>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</si>
  <si>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</si>
  <si>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</si>
  <si>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</si>
  <si>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</si>
  <si>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</si>
  <si>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</si>
  <si>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</si>
  <si>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</si>
  <si>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</si>
  <si>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</si>
  <si>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</si>
  <si>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</si>
  <si>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</si>
  <si>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</si>
  <si>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</si>
  <si>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</si>
  <si>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</si>
  <si>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</si>
  <si>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</si>
  <si>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</si>
  <si>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</si>
  <si>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</si>
  <si>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</si>
  <si>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</si>
  <si>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</si>
  <si>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</si>
  <si>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</si>
  <si>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</si>
  <si>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</si>
  <si>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</si>
  <si>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</si>
  <si>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</si>
  <si>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</si>
  <si>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</si>
  <si>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</si>
  <si>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</si>
  <si>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</si>
  <si>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</si>
  <si>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</si>
  <si>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</si>
  <si>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</si>
  <si>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</si>
  <si>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</si>
  <si>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</si>
  <si>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</si>
  <si>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</si>
  <si>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</si>
  <si>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</si>
  <si>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</si>
  <si>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</si>
  <si>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</si>
  <si>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</si>
  <si>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</si>
  <si>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</si>
  <si>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</si>
  <si>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</si>
  <si>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</si>
  <si>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https://www.linde.com/news-media/press-releases/2022/linde-to-increase-green-hydrogen-production-in-the-united-states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</si>
  <si>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</si>
  <si>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</si>
  <si>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</si>
  <si>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</si>
  <si>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</si>
  <si>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</si>
  <si>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</si>
  <si>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</si>
  <si>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</si>
  <si>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</si>
  <si>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</si>
  <si>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</si>
  <si>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</si>
  <si>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</si>
  <si>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</si>
  <si>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</si>
  <si>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</si>
  <si>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</si>
  <si>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</si>
  <si>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</si>
  <si>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</si>
  <si>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</si>
  <si>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</si>
  <si>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</si>
  <si>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</si>
  <si>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</si>
  <si>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</si>
  <si>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</si>
  <si>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</si>
  <si>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</si>
  <si>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</si>
  <si>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</si>
  <si>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</si>
  <si>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</si>
  <si>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</si>
  <si>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</si>
  <si>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</si>
  <si>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</si>
  <si>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</si>
  <si>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</si>
  <si>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</si>
  <si>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</si>
  <si>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</si>
  <si>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</si>
  <si>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</si>
  <si>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</si>
  <si>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</si>
  <si>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</si>
  <si>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</si>
  <si>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</si>
  <si>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</si>
  <si>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</si>
  <si>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</si>
  <si>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</si>
  <si>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</si>
  <si>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</si>
  <si>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</si>
  <si>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</si>
  <si>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</si>
  <si>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</si>
  <si>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</si>
  <si>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</si>
  <si>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</si>
  <si>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</si>
  <si>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</si>
  <si>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</si>
  <si>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</si>
  <si>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</si>
  <si>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</si>
  <si>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</si>
  <si>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</si>
  <si>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</si>
  <si>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</si>
  <si>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</si>
  <si>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</si>
  <si>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</si>
  <si>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</si>
  <si>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</si>
  <si>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</si>
  <si>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</si>
  <si>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</si>
  <si>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</si>
  <si>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</si>
  <si>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</si>
  <si>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https://phynix-energy.eu/phynix-selecciona-a-duro-felguera-green-tech-para-el-contrato-epcde-su-planta-de-produccion-de-hidrogeno-renovable-vitale-de-10mw/</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</si>
  <si>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</si>
  <si>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</si>
  <si>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</si>
  <si>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</si>
  <si>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</si>
  <si>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</si>
  <si>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</si>
  <si>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</si>
  <si>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</si>
  <si>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</si>
  <si>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</si>
  <si>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</si>
  <si>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</si>
  <si>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</si>
  <si>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</si>
  <si>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</si>
  <si>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</si>
  <si>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</si>
  <si>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</si>
  <si>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</si>
  <si>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</si>
  <si>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</si>
  <si>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</si>
  <si>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</si>
  <si>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</si>
  <si>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</si>
  <si>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</si>
  <si>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</si>
  <si>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</si>
  <si>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</si>
  <si>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</si>
  <si>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</si>
  <si>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</si>
  <si>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</si>
  <si>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</si>
  <si>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</si>
  <si>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</si>
  <si>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</si>
  <si>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</si>
  <si>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</si>
  <si>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https://www.woodside.com/docs/default-source/media-releases/meridian's-southern-green-hydrogen-project-selects-woodside-energy-as-preferred-partner.pdf?sfvrsn=ae69d7a1_3</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</si>
  <si>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</si>
  <si>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</si>
  <si>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</si>
  <si>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</si>
  <si>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</si>
  <si>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</si>
  <si>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</si>
  <si>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</si>
  <si>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</si>
  <si>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</si>
  <si>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</si>
  <si>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</si>
  <si>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</si>
  <si>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</si>
  <si>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</si>
  <si>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</si>
  <si>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</si>
  <si>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</si>
  <si>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</si>
  <si>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</si>
  <si>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</si>
  <si>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</si>
  <si>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</si>
  <si>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</si>
  <si>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</si>
  <si>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</si>
  <si>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</si>
  <si>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</si>
  <si>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</si>
  <si>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</si>
  <si>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</si>
  <si>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</si>
  <si>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</si>
  <si>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</si>
  <si>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</si>
  <si>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</si>
  <si>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</si>
  <si>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</si>
  <si>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</si>
  <si>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</si>
  <si>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</si>
  <si>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</si>
  <si>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</si>
  <si>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</si>
  <si>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</si>
  <si>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</si>
  <si>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</si>
  <si>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</si>
  <si>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</si>
  <si>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</si>
  <si>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</si>
  <si>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</si>
  <si>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</si>
  <si>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</si>
  <si>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</si>
  <si>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</si>
  <si>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</si>
  <si>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</si>
  <si>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</si>
  <si>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</si>
  <si>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</si>
  <si>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</si>
  <si>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</si>
  <si>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</si>
  <si>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</si>
  <si>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</si>
  <si>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</si>
  <si>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</si>
  <si>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</si>
  <si>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</si>
  <si>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</si>
  <si>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</si>
  <si>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</si>
  <si>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</si>
  <si>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</si>
  <si>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</si>
  <si>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</si>
  <si>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https://www.fronius.com/en/solar-energy/about-us/news/solhub-san-venture-reference-11062021</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</si>
  <si>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</si>
  <si>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</si>
  <si>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</si>
  <si>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</si>
  <si>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</si>
  <si>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</si>
  <si>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</si>
  <si>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</si>
  <si>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</si>
  <si>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</si>
  <si>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</si>
  <si>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</si>
  <si>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</si>
  <si>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</si>
  <si>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</si>
  <si>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</si>
  <si>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</si>
  <si>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</si>
  <si>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</si>
  <si>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</si>
  <si>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</si>
  <si>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chrome-extension://efaidnbmnnnibpcajpcglclefindmkaj/https://www.h2nodes.eu/images/M2_Parnu_FIN_V3.pdf</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</si>
  <si>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</si>
  <si>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</si>
  <si>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</si>
  <si>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</si>
  <si>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</si>
  <si>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</si>
  <si>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</si>
  <si>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</si>
  <si>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</si>
  <si>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</si>
  <si>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</si>
  <si>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</si>
  <si>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</si>
  <si>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</si>
  <si>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https://energynews.biz/energypark-emden-enters-the-second-stage/</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</si>
  <si>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</si>
  <si>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</si>
  <si>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</si>
  <si>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</si>
  <si>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</si>
  <si>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</si>
  <si>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</si>
  <si>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</si>
  <si>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</si>
  <si>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</si>
  <si>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</si>
  <si>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</si>
  <si>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</si>
  <si>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</si>
  <si>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</si>
  <si>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</si>
  <si>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</si>
  <si>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</si>
  <si>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</si>
  <si>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</si>
  <si>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</si>
  <si>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</si>
  <si>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</si>
  <si>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</si>
  <si>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</si>
  <si>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</si>
  <si>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</si>
  <si>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</si>
  <si>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</si>
  <si>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</si>
  <si>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</si>
  <si>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</si>
  <si>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</si>
  <si>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</si>
  <si>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</si>
  <si>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</si>
  <si>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</si>
  <si>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</si>
  <si>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</si>
  <si>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</si>
  <si>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</si>
  <si>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</si>
  <si>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</si>
  <si>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</si>
  <si>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</si>
  <si>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</si>
  <si>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</si>
  <si>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</si>
  <si>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</si>
  <si>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</si>
  <si>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</si>
  <si>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</si>
  <si>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</si>
  <si>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</si>
  <si>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</si>
  <si>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</si>
  <si>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</si>
  <si>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</si>
  <si>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</si>
  <si>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</si>
  <si>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</si>
  <si>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</si>
  <si>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</si>
  <si>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</si>
  <si>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</si>
  <si>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</si>
  <si>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</si>
  <si>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</si>
  <si>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</si>
  <si>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</si>
  <si>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</si>
  <si>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</si>
  <si>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</si>
  <si>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</si>
  <si>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</si>
  <si>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</si>
  <si>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</si>
  <si>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</si>
  <si>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</si>
  <si>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</si>
  <si>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</si>
  <si>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</si>
  <si>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</si>
  <si>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</si>
  <si>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</si>
  <si>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</si>
  <si>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</si>
  <si>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</si>
  <si>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</si>
  <si>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</si>
  <si>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</si>
  <si>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Non clean 1</t>
  </si>
  <si>
    <t>https://hydrogen-central.com/developers-behind-controversial-hydrogen-plant-set-clydebank-waterfront-explained-the-reason-for-withdrawing-their-controversial-plans/</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</si>
  <si>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</si>
  <si>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</si>
  <si>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</si>
  <si>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</si>
  <si>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</si>
  <si>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https://www.htec.ca/htec-hosts-ground-breaking-ceremony-for-its-low-carbon-hydrogen-production-facility-in-burnaby/</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</si>
  <si>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</si>
  <si>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</si>
  <si>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</si>
  <si>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</si>
  <si>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</si>
  <si>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</si>
  <si>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</si>
  <si>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</si>
  <si>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</si>
  <si>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</si>
  <si>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</si>
  <si>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</si>
  <si>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</si>
  <si>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</si>
  <si>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</si>
  <si>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</si>
  <si>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</si>
  <si>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</si>
  <si>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</si>
  <si>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</si>
  <si>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</si>
  <si>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</si>
  <si>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</si>
  <si>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</si>
  <si>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</si>
  <si>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</si>
  <si>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</si>
  <si>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</si>
  <si>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</si>
  <si>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</si>
  <si>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</si>
  <si>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</si>
  <si>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</si>
  <si>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</si>
  <si>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</si>
  <si>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</si>
  <si>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</si>
  <si>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</si>
  <si>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</si>
  <si>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</si>
  <si>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</si>
  <si>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</si>
  <si>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</si>
  <si>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</si>
  <si>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</si>
  <si>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</si>
  <si>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</si>
  <si>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https://www.sunfire.de/en/news/detail/rwe-realizes-electrolysis-project-with-sunfire</t>
  </si>
  <si>
    <t>https://www.reuters.com/business/cf-industries-sees-roughly-2-bln-price-tag-us-blue-ammonia-facility-2022-05-05/</t>
  </si>
  <si>
    <t>https://news.cision.com/aker-clean-hydrogen/r/berlevag-project-to-decarbonize-arctic-shipping-forges-ahead,c3382425</t>
  </si>
  <si>
    <t>https://energynews.biz/aker-clean-hydrogen-to-build-hydrogen-factory-in-rjukan/</t>
  </si>
  <si>
    <t>https://www.power-technology.com/comment/dhofar-green-hydrogen-scheme/</t>
  </si>
  <si>
    <t>https://www.agnespower.com/en/progetto-adriatico/</t>
  </si>
  <si>
    <t>https://aquaventus.org/en/press-releases/aquasector-study-examines-potential-for-first-large-scale-offshore-hydrogen-park-in-german-north-sea/</t>
  </si>
  <si>
    <t>https://www.mukran-port.de/en/press/lesen/cooperation-launched-in-hydrogen-region.html</t>
  </si>
  <si>
    <t>https://www.alpiq.com/power-generation/hydrogen-production/news/green-hydrogen-ew-hoefe-alpiq-and-socar-energy-switzerland-mark-a-new-milestone</t>
  </si>
  <si>
    <t>https://www.airliquide.com/group/press-releases-news/2021-07-29/air-liquide-transforms-its-network-germany-connecting-large-electrolyzer-producing-renewable</t>
  </si>
  <si>
    <t>https://www.traffordgreenhydrogen.co.uk/theproject</t>
  </si>
  <si>
    <t>https://www.traffordgreenhydrogen.co.uk/news/carlton-power-secures-government-backing-to-develop-trafford-green-hydrogen-project</t>
  </si>
  <si>
    <t>https://www.acciona.cl/actualidad/noticias/acciona-energia-desarrollara-proyecto-hidrogeno-verde-bahia-quintero/?_adin=02021864894</t>
  </si>
  <si>
    <t>https://wintershalldea.com/en/newsroom/wintershall-dea-and-vng-jointly-invest-hydrogen-pilot-project</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</si>
  <si>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</si>
  <si>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</si>
  <si>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https://www.st1.com/st1-and-horisont-energi-to-collaborate-on-green-ammonia-production-in-finnmark</t>
  </si>
  <si>
    <t>https://eng.heroya-industripark.no/latest-news/another-green-hydrogen-investment-for-heroeya-this-could-be-big</t>
  </si>
  <si>
    <t>https://www.pv-magazine.com/2022/09/13/the-hydrogen-stream-worlds-largest-electrolyzer-to-be-deployed-in-norway/</t>
  </si>
  <si>
    <t>https://prax.com/prax-lindsey-oil-refinery-joins-v-net-zero-humber-cluster/</t>
  </si>
  <si>
    <t xml:space="preserve">https://www.axpo.com/pl/en/media-releases.detail.html/media-releases/2022/hydrogen-production-facility-at-the-wildegg-brugg-hydropower-pla.html </t>
  </si>
  <si>
    <t>https://www.spglobal.com/commodityinsights/en/market-insights/latest-news/electric-power/111521-h2-green-to-develop-hydrogen-and-ammonia-hub-in-shoreham-uk-to-decarbonize-port</t>
  </si>
  <si>
    <t>https://www.atomeplc.com/projects/iceland/</t>
  </si>
  <si>
    <t>https://www.powerengineeringint.com/hydrogen/e-on-enel-and-iberdrola-partner-to-meet-growing-hydrogen-demand-in-germany/</t>
  </si>
  <si>
    <t>https://www.wiltonengineering.co.uk/protium-to-build-40mw-flagship-green-hydrogen-project-at-wilton-universal-group-facility/</t>
  </si>
  <si>
    <t>https://fuelcellsworks.com/news/adx-signs-moa-with-leading-renewable-wind-power-provider-for-vienna-basin-green-hydrogen-h2-project/</t>
  </si>
  <si>
    <t>https://www.projectcavendish.com/</t>
  </si>
  <si>
    <t xml:space="preserve">https://www.spglobal.com/marketintelligence/en/news-insights/latest-news-headlines/exxon-affiliate-to-explore-hydrogen-carbon-capture-to-curb-emissions-in-uk-68024118 </t>
  </si>
  <si>
    <t xml:space="preserve">https://energynews.biz/elcogen-provides-electrolysis-tech-for-nuclear-hydrogen-in-korea/ </t>
  </si>
  <si>
    <t xml:space="preserve">https://www.equinor.com/news/archive/20211215-launch-h2be-project-hydrogen-belgium </t>
  </si>
  <si>
    <t xml:space="preserve">https://www.lhyfe.com/press/lhyfe-and-enerparc-join-forces-to-produce-renewable-hydrogen-from-solar-energy/ </t>
  </si>
  <si>
    <t xml:space="preserve">https://renewablesnow.com/news/rwe-to-study-gigawatt-scale-green-hydrogen-production-in-wales-766409/ </t>
  </si>
  <si>
    <t>https://hidrogeno-verde.es/primera-planta-de-hidrogeno-en-un-almacen-logistico-en-espana/</t>
  </si>
  <si>
    <t>https://www.h2-mobile.fr/actus/sealhyfe-premier-electrolyseur-offshore-monde-entre-services/</t>
  </si>
  <si>
    <t>https://assets.siemens-energy.com/siemens/assets/api/uuid:34bec577-f25a-48cd-8618-6dd848b38515/FactsheetWerlteEN.pdf</t>
  </si>
  <si>
    <t>https://fuelcellsworks.com/news/asahi-kasei-starts-construction-of-alkaline-water-electrolysis-pilot-test-plant-for-hydrogen-production-in-kawasaki-japan/?mc_cid=47fbff2b40&amp;mc_eid=da4624d261</t>
  </si>
  <si>
    <t>https://fuelcellsworks.com/news/fusion-fuel-and-ballard-power-commission-h2evora-green-hydrogen-plant/?mc_cid=47fbff2b40&amp;mc_eid=da4624d261</t>
  </si>
  <si>
    <t>https://fuelcellsworks.com/news/cummins-technology-to-help-power-ontarios-first-green-hydrogen-facility/?mc_cid=47fbff2b40&amp;mc_eid=da4624d261</t>
  </si>
  <si>
    <t>https://renewablesnow.com/news/linde-switches-on-1-mw-green-hydrogen-production-plant-in-greece-805750/</t>
  </si>
  <si>
    <t>https://www.powertogas.ch/anlage/einweihung/</t>
  </si>
  <si>
    <t>https://news.cision.com/everfuel-a-s/r/first-hydrogen-produced-at-europe-s-largest-electrolyser--hysynergy,c3684967</t>
  </si>
  <si>
    <t>https://energynews.biz/wunsiedler-energiepark-starts-operation/</t>
  </si>
  <si>
    <t>http://www.energyglobalnews.com/taiwan-air-liquide-far-eastern-opens-new-hydrogen-plant-in-tainan/</t>
  </si>
  <si>
    <t>https://www.liquidwind.se/news/liquid-wind-announces-full-ownership-transition-to-orsted-of-flagshipone</t>
  </si>
  <si>
    <t xml:space="preserve">http://www.fuelcellchina.com/Industry_information_details/130.html </t>
  </si>
  <si>
    <t>https://tass.com/economy/1556129</t>
  </si>
  <si>
    <t>https://thebarentsobserver.com/en/industry-and-energy/2021/07/kola-npp-builds-test-facility-hydrogen</t>
  </si>
  <si>
    <t>https://www.h2bulletin.com/white-martins-produces-the-first-certified-green-hydrogen-in-brazil/</t>
  </si>
  <si>
    <t>https://www.pv-magazine-australia.com/2022/11/15/australian-first-green-hydrogen-microgrid-powers-up-in-wa/</t>
  </si>
  <si>
    <t>https://multiplhy-project.eu/Pages/Latest-News.aspx</t>
  </si>
  <si>
    <t>https://energynews.biz/douglas-county-pud-proceeding-with-construction-of-hydrogen-plant/</t>
  </si>
  <si>
    <t>https://www.hysolar.nl/nieuws/groene-waterstof-krijgt-vaart/</t>
  </si>
  <si>
    <t>https://research.csiro.au/hyresource/hazer-commercial-demonstration-plant/ , https://hazergroup.com.au/wp-content/uploads/2022/07/220721-CDP-Schedule-Delay-FINAL.pdf</t>
  </si>
  <si>
    <t>https://djewels.eu/final-permit-for-pioneering-green-hydrogen-project-djewels/</t>
  </si>
  <si>
    <t>https://www.wiva.at/project/uphy-i-ii/?lang=en</t>
  </si>
  <si>
    <t>https://www.linde.com/news-media/press-releases/2022/linde-inaugurates-world-s-first-hydrogen-refueling-system-for-passenger-trains</t>
  </si>
  <si>
    <t>https://www.bdi.fr/en/hygo-the-renewable-hydrogen-production-project-on-the-michelin-site-in-vannes-has-been-launched/</t>
  </si>
  <si>
    <t>https://vighy.france-hydrogene.org/projets/effi-h2-vannes/</t>
  </si>
  <si>
    <t>https://www.regionalgateway.net/airbus-and-hyport-to-advance-green-hydrogen-availability-at-airports/</t>
  </si>
  <si>
    <t>https://research.csiro.au/hyresource/renewable-hydrogen-production-and-refuelling-project/</t>
  </si>
  <si>
    <t>https://p2x.fi/en/the-foundation-stone-of-p2x-solutions-green-hydrogen-production-plant-was-laid-in-harjavalta/</t>
  </si>
  <si>
    <t>https://oge.net/en/sustainable/projects/our-hydrogen-projects/get-h2-nukleus#:~:text=The%20GET%20H2%20Nukleus%20project,discriminatory%20access%20and%20transparent%20prices.</t>
  </si>
  <si>
    <t>https://www.brusselstimes.com/149604/charleroi-hydrogen-bus-project-postponed-due-to-lack-of-funding-waste-to-wheels-jumet-philippe-henry</t>
  </si>
  <si>
    <t>https://blog.topsoe.com/topsoe-puts-a-demonstration-plant-into-operation-for-production-of-sustainable-methanol-from-biogas-significant-global-carbon-emission-reduction-potential</t>
  </si>
  <si>
    <t>https://www.nrel.gov/aries/annual-report-2021/index.html</t>
  </si>
  <si>
    <t>https://www.edp.com/en/innovation/flexnconfu-power-to-increase-the-flexibility-of-thermal-plants</t>
  </si>
  <si>
    <t>https://www.hyflexpower.eu/</t>
  </si>
  <si>
    <t>https://www.dhnet.be/regions/liege/2022/02/19/production-dhydrogene-a-liege-airport-en-2023-QJZNVKUWPNFMHP7N6W2QIPRM7E/</t>
  </si>
  <si>
    <t>https://energynews.biz/race-to-lead-in-hydrogen-technology-has-intensified/</t>
  </si>
  <si>
    <t>https://www.h2stations.org/station/?id=2531</t>
  </si>
  <si>
    <t>https://forbes.co/2022/05/31/editors-picks/asi-es-el-primer-carro-de-hidrogeno-que-circula-por-las-calles-de-colombia</t>
  </si>
  <si>
    <t>https://www.h2bulletin.com/eu-approves-e122-million-for-decarbonisation-projects-including-hydrogen/</t>
  </si>
  <si>
    <t>https://climate.ec.europa.eu/system/files/2022-07/if_pf_2021_h2valcamonica_en.pdf</t>
  </si>
  <si>
    <t xml:space="preserve">https://www.offshore-energy.biz/worlds-first-offshore-green-hydrogen-production-platform-inaugurated-france/ </t>
  </si>
  <si>
    <t>https://hydrogensolutions.no/en/starter-gronn-hydrogenproduksjon-vestlandet/</t>
  </si>
  <si>
    <t>https://www.marubeni.com/en/news/2022/info/00025.html</t>
  </si>
  <si>
    <t xml:space="preserve">https://tanknewsinternational.com/sinopecs-first-pem-hydrogen-production-demonstration-station-begins-operations/  </t>
  </si>
  <si>
    <t>https://www.gprectifier.com/news/2000nm3-h-green-power-intelligent-rectifier-h-63514189.html</t>
  </si>
  <si>
    <t>https://www.centerpointenergy.com/en-us/business/services/clean-energy-innovation/renewable-hydrogen?sa=tx#:~:text=Minnesota%20Demonstration%20Project,our%20local%20natural%20gas%20supply.</t>
  </si>
  <si>
    <t>http://www.chinapower.hk/en/media/news-p210412a.php</t>
  </si>
  <si>
    <t>https://www.zepak.com.pl/en/about-us/press-office/news/12534-green-hydrogen-in-zepak.html</t>
  </si>
  <si>
    <t>https://www.pertamina.com/en/news-room/news-release/pertamina-nre-krakatau-steel-and-raja-collaborate-to-develop-hydrogen-pipelines</t>
  </si>
  <si>
    <t>https://research.csiro.au/hyresource/manilla-solar-phase-2-hydrogen-energy-storage-system/</t>
  </si>
  <si>
    <t>https://www.businesswire.com/news/home/20220811005309/en/INNIO-to-Power-Raven-SR%E2%80%99s-First-Waste-to-Hydrogen-Plant-With-100-Renewable-Energy</t>
  </si>
  <si>
    <t>https://hydrogen-central.com/fusion-fuel-signs-green-hydrogen-offtake-agreement-portuguese-gas-utility-dourogas/</t>
  </si>
  <si>
    <t>https://energynews.biz/hydrogen-utopia-in-waste-plastic-to-hydrogen-project-in-poland/</t>
  </si>
  <si>
    <t>https://www.wirtschaft.nrw/pressemitteilung/europas-wasserstoffwirtschaft-nimmt-fahrt-auf-nordrhein-westfalen-beteiligt-sich</t>
  </si>
  <si>
    <t>https://fuelcellsworks.com/news/lhyfe-highlights-and-business-update-of-the-2nd-half-of-2022-commercial-pipeline-at-the-end-of-2022-9-8-gw-of-total-installed-production-capacity/?mc_cid=6e3fa770f1&amp;mc_eid=da4624d261</t>
  </si>
  <si>
    <t>https://fuelcellsworks.com/news/green-hydrogen-systems-signs-new-order-with-spanish-customer/?mc_cid=6e3fa770f1&amp;mc_eid=da4624d261</t>
  </si>
  <si>
    <t>https://www.world-energy.org/article/29081.html</t>
  </si>
  <si>
    <t>https://www.latribune.fr/entreprises-finance/transitions-ecologiques/hydrogene-les-dix-travaux-d-h2-loire-vallee-881643.html</t>
  </si>
  <si>
    <t>https://direct.argusmedia.com/newsandanalysis/Article/2486874</t>
  </si>
  <si>
    <t>https://www.azollahydrogen.com/news/az225-unit-commission</t>
  </si>
  <si>
    <t>https://energetica21.com/noticia/sevilla-tendra-su-primera-planta-comercial-de-hidrogeno-verde</t>
  </si>
  <si>
    <t>https://www.enapter.com/newsroom/enapter-ag-wins-major-order-from-south-korea</t>
  </si>
  <si>
    <t>https://fuelcellsworks.com/news/engie-and-equinor-provide-update-on-h2be-hydrogen-project-in-belgium/?mc_cid=49fd008c93&amp;mc_eid=da4624d261</t>
  </si>
  <si>
    <t>https://bayotech.us/bayotech-partners-with-ranken-technical-college/</t>
  </si>
  <si>
    <t>https://www.chinadaily.com.cn/a/202302/17/WS63ef4bcea31057c47ebaf741.html</t>
  </si>
  <si>
    <t>https://www.publicpower.org/periodical/article/douglas-county-pud-moves-phase-two-green-hydrogen-project?s=03</t>
  </si>
  <si>
    <t>https://www.airliquide.com/group/press-releases-news/2023-01-10/air-liquide-autothermal-reforming-technology-selected-first-low-carbon-hydrogen-and-ammonia</t>
  </si>
  <si>
    <t>https://www.airliquide.com/group/press-releases-news/2022-11-22/circular-economy-air-liquide-and-totalenergies-innovate-produce-renewable-and-low-carbon-hydrogen</t>
  </si>
  <si>
    <t>https://www.meed.com/oman-plans-sur-hydrogen-cluster</t>
  </si>
  <si>
    <t>https://www.sciencedirect.com/science/article/abs/pii/S1464285921005733</t>
  </si>
  <si>
    <t>https://www.constellationenergy.com/newsroom/2023/Constellation-Starts-Production-at-Nations-First-One-Megawatt-Demonstration-Scale-Nuclear-Powered-Clean-Hydrogen-Facility.html</t>
  </si>
  <si>
    <t>https://www.spglobal.com/commodityinsights/en/market-insights/latest-news/electric-power/020123-interview-uks-octopus-hydrogen-seeks-to-unseat-conventional-production-diesel-in-transport</t>
  </si>
  <si>
    <t>https://www.reflau.com/projekt</t>
  </si>
  <si>
    <t>https://topsectorenergie.nl/documents/99/TKI_Nieuw_Gas-Overview_Hydrogen_projects_in_the_Netherlands_-_version_-_220627.pdf</t>
  </si>
  <si>
    <t>https://s29.q4cdn.com/600973483/files/doc_financials/2022/q4/PLUG-4Q22-Investor-Letter-FINAL.pdf</t>
  </si>
  <si>
    <t>https://www.linkedin.com/posts/plug-power_charleston-hydrogen-plant-activity-6963178206698897408-oZa-/?trk=public_profile_like_view</t>
  </si>
  <si>
    <t>https://www.globenewswire.com/en/news-release/2019/09/18/1917255/9619/en/Plug-Power-Expands-Hydrogen-Supply-Chain-Partner-Network-with-United-Hydrogen.html</t>
  </si>
  <si>
    <t>https://www.energyintel.com/00000186-b241-dc3c-a9b6-fb5361720000</t>
  </si>
  <si>
    <t>https://research.csiro.au/hyresource/desert-bloom-hydrogen/</t>
  </si>
  <si>
    <t>https://www.airliquide.com/stories/hydrogen/building-future-renewable-hydrogen-normandhy</t>
  </si>
  <si>
    <t>https://www.offshore-energy.biz/multiplhy-project-sunfire-installs-worlds-largest-soec-electrolyser/</t>
  </si>
  <si>
    <t>https://www.enbw.com/company/press/enbw-starts-marketing-green-hydrogen.html</t>
  </si>
  <si>
    <t>https://www.spglobal.com/commodityinsights/en/market-insights/latest-news/electric-power/030623-volth2-targets-mid-sized-green-hydrogen-projects-to-optimize-offshore-wind</t>
  </si>
  <si>
    <t>https://hydrogen-central.com/cf-industries-signs-mou-jera-supply-500000-metric-tonnes-per-year-clean-ammonia/</t>
  </si>
  <si>
    <t>https://carboncopy.eco/initiatives/herne-bay-green-hydrogen-production-plant</t>
  </si>
  <si>
    <t>https://www.octohydrogen.com/press-releases/octopus-hydrogen-wins-net-zero-hydrogen-funding-for-15-mw-scotland-electrolysis-project</t>
  </si>
  <si>
    <t>https://www.eni.com/en-IT/media/press-release/2022/10/green-hydrogen-projects-gela-taranto.html</t>
  </si>
  <si>
    <t>https://www.enelgreenpower.com/media/press/2022/09/egp-saras-green-hydrogen-ipcei-hy2use</t>
  </si>
  <si>
    <t>https://hydrogen-central.com/environmental-permit-given-ovako-hydrogen-plant-steel-production/</t>
  </si>
  <si>
    <t>https://h2-tech.com/news/2022/10-2022/danish-power-to-x-partnership-breaks-ground-on-first-of-its-kind-green-ammonia-project/</t>
  </si>
  <si>
    <t>https://en.newsroom.engie.com/news/engie-has-reached-an-important-milestone-in-the-australian-renewable-hydrogen-project-with-yara-8e5c-314df.html</t>
  </si>
  <si>
    <t>https://infrastructurepipeline.org/project/h2tas-bell-bay-hydrogen-plant</t>
  </si>
  <si>
    <t>https://research.csiro.au/hyresource/clean-energy-innovation-park/</t>
  </si>
  <si>
    <t>https://time.news/asturias-receives-39-million-eu-funds-to-promote-3-hydrogen-projects/</t>
  </si>
  <si>
    <t>https://maritime-executive.com/editorials/e-methanol-and-the-future-of-marine</t>
  </si>
  <si>
    <t>https://europeanenergy.com/2023/03/27/european-energy-orders-electrolyzer-from-stiesdal/</t>
  </si>
  <si>
    <t>https://mfgt.hu/en/Akvamarin</t>
  </si>
  <si>
    <t>https://www.mynewsdesk.com/se/strandmoellen-ab/pressreleases/strandmoellen-ab-has-placed-a-purchase-order-for-a-3mw-electrolyser-from-fest-gmbh-3172967</t>
  </si>
  <si>
    <t>https://www.group.sener/project/electrolyzer-petronor-refinery-muskiz/?lang=en</t>
  </si>
  <si>
    <t>https://www.kaisersesch.de/aktuelles/presse-und-oeffentlichkeitsarbeit/pressemitteilungen/2022/november/12-wasserstofftagung-in-kaisersesch-war-ein-voller-erfolg/2022-11-11-dialogforum-smartquart-kaisersesch.pdf?cid=mcs</t>
  </si>
  <si>
    <t>https://assets.ctfassets.net/ztehsn2qe34u/3m5XSgBaBPkbfBQVoJWmd5/fee525778dc177352b9b1831bfa3db0a/Communique-de-presse-terega-solutions-hydrogene.pdf</t>
  </si>
  <si>
    <t>https://mcphy.com/en/achievements/hydrogen-mobility-en/zero-emission-valley-zev/</t>
  </si>
  <si>
    <t>https://www.princegeorgecitizen.com/local-news/prince-george-breaks-ground-on-worlds-largest-hydrogen-refuelling-station-5848061</t>
  </si>
  <si>
    <t>https://www.castanet.net/news/BC/416117/Hydra-Energys-62M-hydrogen-production-plant-approved-in-Prince-George</t>
  </si>
  <si>
    <t>https://www.norsk-e-fuel.com/articles/partnership_with_norwegian</t>
  </si>
  <si>
    <t>https://fuelcellsworks.com/news/sgh2-greener-than-green-hydrogen-plant-gets-green-light/</t>
  </si>
  <si>
    <t>https://www.rechargenews.com/energy-transition/us-start-up-to-build-turquoise-hydrogen-pilot-plant-after-securing-funding-from-major-energy-players/2-1-1240970</t>
  </si>
  <si>
    <t>https://statements.qld.gov.au/statements/97085</t>
  </si>
  <si>
    <t>https://fuelcellsworks.com/news/hyvia-installs-first-electrolyzer-in-flins-plant-accelerating-hydrogen-mobility-ecosystem/?mc_cid=12e0faa137&amp;mc_eid=da4624d261</t>
  </si>
  <si>
    <t>http://www.rmlt.com.cn/2022/0424/645540.shtml</t>
  </si>
  <si>
    <t>https://www.canarygreen.org/seafuels-refuelling-station/</t>
  </si>
  <si>
    <t>https://www.gasunie.nl/en/projects/supercritical-water-gasification</t>
  </si>
  <si>
    <t>https://www.seafuel.eu/h2-station/</t>
  </si>
  <si>
    <t>https://newsroom.bloomenergy.com/news/bloom-energy-demonstrates-hydrogen-production-with-the-worlds-largest-and-most-efficient-solid-oxide-electrolyzer</t>
  </si>
  <si>
    <t>https://catalinaptx.com/</t>
  </si>
  <si>
    <t>https://h2-international.com/2023/02/14/cummins-engine-harnessing-the-power-of-niagara-falls-for-hydrogen/</t>
  </si>
  <si>
    <t>https://news.cision.com/aker-horizons/r/aker-horizons-and-vng-sign-letter-of-intent-to-supply-green-ammonia-from-norway-to-germany,c3765868</t>
  </si>
  <si>
    <t>https://www.gg-fc.com/art-43029.html</t>
  </si>
  <si>
    <t>https://news.bjx.com.cn/html/20220120/1200663.shtml</t>
  </si>
  <si>
    <t>https://ntepa.nt.gov.au/__data/assets/pdf_file/0018/1122741/provaris-tiwi-h2-project-referral.pdf</t>
  </si>
  <si>
    <t>https://www.rechargenews.com/energy-transition/enterprize-plans-4gw-offshore-wind-farm-off-ireland-to-power-3-2gw-green-hydrogen-project/2-1-1104575</t>
  </si>
  <si>
    <t>https://www.hydrogenfuelnews.com/green-hydrogen-production-ireland/8550229/</t>
  </si>
  <si>
    <t>https://www.ammoniaenergy.org/articles/ammonia-exports-from-brazil-taking-shape/</t>
  </si>
  <si>
    <t>https://www.world-energy.org/article/34543.html</t>
  </si>
  <si>
    <t>https://www.argusmedia.com/en/news/2426650-osaka-gas-santos-eye-emethane-production-in-australia</t>
  </si>
  <si>
    <t>https://www.offshore-energy.biz/japanese-looking-to-produce-e-methane-utilising-cameron-lng/</t>
  </si>
  <si>
    <t>https://renewablesnow.com/news/statkraft-awarded-funds-to-study-green-h2-ammonia-production-at-chilean-solar-farm-756144/</t>
  </si>
  <si>
    <t>https://www.cepsa.com/en/press/first-green-hydrogen-corridor</t>
  </si>
  <si>
    <t>https://www.offshore-energy.biz/cepsa-and-getec-sign-green-hydrogen-agreement/#:~:text=Energy%20companies%20Cepsa%20and%20GETEC,part%20of%20their%20decarbonisation%20goals.</t>
  </si>
  <si>
    <t>https://www.globalconstructionreview.com/norways-scatec-to-build-450m-green-fuel-plant-in-egypt/</t>
  </si>
  <si>
    <t>https://ec.europa.eu/commission/presscorner/detail/en/ip_22_5968</t>
  </si>
  <si>
    <t>https://www.nucnet.org/news/danish-companies-sign-agreement-for-usd4-billion-thorium-smr-in-borneo-5-1-2023</t>
  </si>
  <si>
    <t>https://energyindustryreview.com/renewables/omv-petrom-gets-financing-to-produce-green-h2-at-the-petrobrazi-refinery/</t>
  </si>
  <si>
    <t>https://www.acwapower.com/news/acwa-power-to-develop-uzbekistans-first-green-hydrogen-and-green-ammonia-projects/</t>
  </si>
  <si>
    <t>https://balkangreenenergynews.com/hellenic-hydrogen-to-install-electrolyzer-of-up-to-100-mw-in-greeces-coal-region/</t>
  </si>
  <si>
    <t>https://hycamite.com/</t>
  </si>
  <si>
    <t>https://hydronews.it/a2a-installera-a-brescia-6mw-di-elettrolisi-per-alimentare-i-treni-a-idrogeno-della-valcamonica/</t>
  </si>
  <si>
    <t>https://www.unido.org/news/demonstration-project-production-green-hydrogen-and-ammonia-underway-baotou-china</t>
  </si>
  <si>
    <t>https://igeh2.com/</t>
  </si>
  <si>
    <t>https://www.petrofac.com/media/news/petrofac-to-explore-feasibility-of-green-hydrogen-to-ammonia-facility-in-egypt/</t>
  </si>
  <si>
    <t>https://proton.energy/</t>
  </si>
  <si>
    <t>https://www.linkedin.com/feed/update/urn:li:activity:7069579117104418816/</t>
  </si>
  <si>
    <t>https://www.ir.plugpower.com/press-releases/news-details/2023/Plug-Power-Makes-Major-Strategic-Move-into-Finlands-Green-Hydrogen-Economy-with-its-Proven-PEM-Electrolyzer-and-Liquefaction-Technology/default.aspx</t>
  </si>
  <si>
    <t>https://www.linkedin.com/feed/update/urn:li:activity:7046839934464274432/</t>
  </si>
  <si>
    <t>https://synerhy.com/project/green-hychemical-huelva/</t>
  </si>
  <si>
    <t>https://www.boa.aragon.es/cgi-bin/EBOA/BRSCGI?CMD=VEROBJ&amp;MLKOB=1275215020404</t>
  </si>
  <si>
    <t>https://energiaestrategica.es/19-empresas-recibiran-ayudas-para-proyectos-de-hidrogeno-edp-la-gran-ganadora/</t>
  </si>
  <si>
    <t>https://energynews.biz/totalenergies-and-tes-forge-alliance-for-large-scale-renewable-hydrogen-gas-project/</t>
  </si>
  <si>
    <t>https://elperiodicodelaenergia.com/pinto-acogera-primera-planta-espana-hidrogeno-verde-partir-agua/</t>
  </si>
  <si>
    <t>https://renewablesnow.com/news/austrias-first-green-hydrogen-production-plant-goes-live-822650/</t>
  </si>
  <si>
    <t>https://www.h2bulletin.com/mmex-resources-corp-to-produce-green-hydrogen-in-rio-grande-argentina/</t>
  </si>
  <si>
    <t>https://nelhydrogen.com/press-release/nel-asa-everwind-fuels-has-elected-nel-to-participate-in-the-feed-study-for-the-point-tupper-project/</t>
  </si>
  <si>
    <t>https://hydrogen-central.com/rostock-based-apex-group-project-partners-lay-foundation-stone-10-mw-hybit-electrolysis-plant-for-the-arcelormittal-steelworks-in-bremen/</t>
  </si>
  <si>
    <t>https://www.energynews.es/lliria-planta-hidrogeno-verde-greenb2e/#:~:text=Se%20estima%20una%20producci%C3%B3n%20de,trabajo%20directos%20y%20400%20indirectos</t>
  </si>
  <si>
    <t>https://www.energynews.es/torrelavega-besaya-2-copsesa-y-ric-energy/</t>
  </si>
  <si>
    <t>https://elperiodicodelaenergia.com/ignis-instalara-planta-hidrogeno-amoniaco-verde-castello-plana/</t>
  </si>
  <si>
    <t>https://hidrogeno-verde.es/el-nuevo-proyecto-de-hidrogeno-verde-en-aguas-de-suecia/</t>
  </si>
  <si>
    <t>https://flexens.com/finlands-largest-hydrogen-plant-planned-in-kokkola/</t>
  </si>
  <si>
    <t>https://research.csiro.au/hyresource/ord-hydrogen/</t>
  </si>
  <si>
    <t>https://hxgenergymaterials.com.au/wp-content/uploads/2022/03/Hexagons-West-Australian-Blue-Ammonia-Project.pdf</t>
  </si>
  <si>
    <t>https://www.h2-view.com/story/chinas-cgn-and-quinto-energy-plan-14gw-brazilian-renewables-project-for-green-hydrogen/?utm_source=dlvr.it&amp;utm_medium=linkedin&amp;utm_campaign=rss</t>
  </si>
  <si>
    <t>https://www.ineratec.de/en/news/ineratec-and-zenith-work-commercial-scale-e-fuel-plant-port-amsterdam</t>
  </si>
  <si>
    <t>https://everwindfuels.com/projects/point_tupper</t>
  </si>
  <si>
    <t>https://www.offshore-energy.biz/everwind-fuels-receives-environmental-approval-for-point-tupper-project/</t>
  </si>
  <si>
    <t>https://energynews.biz/ssab-and-fortum-explore-hydrogen-reduced-sponge-iron-production/</t>
  </si>
  <si>
    <t>https://fuelcellsworks.com/news/acwa-power-signs-mou-with-pupuk-indonesia-for-large-scale-green-hydrogen-project/</t>
  </si>
  <si>
    <t>https://www.aesandes.com/en/aes-andes-launches-first-green-hydrogen-open-season-chile-its-adelaida-project</t>
  </si>
  <si>
    <t>https://www.prnewswire.com/news-releases/air-products-and-aes-announce-plans-to-invest-approximately-4-billion-to-build-first-mega-scale-green-hydrogen-production-facility-in-texas-301697873.html</t>
  </si>
  <si>
    <t>https://www.ohpsa.sa.gov.au/about-the-project</t>
  </si>
  <si>
    <t>https://research.csiro.au/hyresource/bristol-springs-solar-hydrogen-project/</t>
  </si>
  <si>
    <t>https://research.csiro.au/hyresource/mid-west-clean-energy-project/</t>
  </si>
  <si>
    <t>https://www.bloomenergy.com/news/xcel-energy-and-bloom-energy-to-produce-zero-carbon-hydrogen-at-nuclear-facility/</t>
  </si>
  <si>
    <t>https://portocentral.com.br/en/cei-energetica-e-porto-central-assinam-para-o-desenvolvimento-de-projeto-de-hidrogenio-verde/</t>
  </si>
  <si>
    <t>https://www.hydrogeninsight.com/production/ten-fold-expansion-brazilian-chemicals-giant-unveils-1-5bn-growth-plans-for-green-hydrogen-plant/2-1-1390060</t>
  </si>
  <si>
    <t>https://www.edpr.com/en/news/2023/01/30/edp-and-cepsa-sign-alliance-promote-andalusian-green-hydrogen-valley</t>
  </si>
  <si>
    <t>https://www.hydrogeninsight.com/production/iberdrola-bags-disused-oil-fired-power-station-for-1-2bn-green-hydrogen-and-methanol-facility-in-australia/2-1-1461841</t>
  </si>
  <si>
    <t>https://www.businesswire.com/news/home/20230529005164/en/Pembina-Pipeline-Announces-Agreement-with-Marubeni-Corporation-to-Develop-a-Low-Carbon-Ammonia-Project-and-Outlines-Vision-for-Pembina-Low-Carbon-Complex</t>
  </si>
  <si>
    <t>https://energynews.biz/danish-renewables-giant-unveils-bold-green-hydrogen-project-in-eyre-peninsula/</t>
  </si>
  <si>
    <t>https://www.offshore-mag.com/renewable-energy/article/14286224/tes-ewe-sign-green-hydrogen-accord-for-wilhelmshaven-hub</t>
  </si>
  <si>
    <t>https://www.sasol.com/media-centre/media-releases/sasol-explore-potential-cleaner-aviation-fuels-world-class-partners</t>
  </si>
  <si>
    <t>https://energynews.biz/morocco-fourth-in-worlds-hydrogen-race-total-eren-launches-10-69bln-hydrogen-megaproject/</t>
  </si>
  <si>
    <t>https://madoquaventures.com/projects/</t>
  </si>
  <si>
    <t>https://www.hydeal.com/copie-de-hydeal-ambition</t>
  </si>
  <si>
    <t>https://www.technipenergies.com/en/media/news/hy2gen-ag-commissions-technip-energies-complete-pre-feed-study-its-renewable-hydrogen</t>
  </si>
  <si>
    <t>https://www.gub.uy/presidencia/comunicacion/noticias/gobierno-anuncio-inversion-4000-millones-dolares-para-planta-hidrogeno-verde</t>
  </si>
  <si>
    <t>https://www.elpais.com.uy/negocios/noticias/lacalle-pou-anuncia-planta-de-hidrogeno-verde-en-paysandu-con-inversion-de-mas-de-us-2-000-millones</t>
  </si>
  <si>
    <t>https://www.iberdrola.com/press-room/news/detail/iberdrola-trammo-sign-EU-s-largest-agreement-for-the-export-green-ammonia</t>
  </si>
  <si>
    <t>https://fuelcellsworks.com/news/hystar-to-supply-its-world-leading-electrolyser-for-polands-largest-private-energy-group/</t>
  </si>
  <si>
    <t>https://www.constructionweekonline.in/projects-tenders/hygenco-installs-indias-first-green-hydrogen-demo-plant-in-ujjain</t>
  </si>
  <si>
    <t>https://www.argusmedia.com/en/news/2371492-indias-jindal-stainless-hygenco-plan-green-h2-plant</t>
  </si>
  <si>
    <t>https://www.nrf.ac.za/sasols-energy-transition-collaboration-on-the-hydrogen-economy/</t>
  </si>
  <si>
    <t>GCCSI projects database</t>
  </si>
  <si>
    <t>https://www.centrica.com/media-centre/news/2022/centrica-and-equinor-sign-co-operation-agreement-for-east-yorkshire-hydrogen-hub/</t>
  </si>
  <si>
    <t>https://www.gov.uk/government/publications/cluster-sequencing-phase-2-eligible-projects-power-ccus-hydrogen-and-icc/cluster-sequencing-phase-2-shortlisted-projects-power-ccus-hydrogen-and-icc-august-2022</t>
  </si>
  <si>
    <t>https://www.pertamina.com/en/news-room/news-release/pertamina-air-liquide-agree-to-collaborate-in-developing-ccu-technology-at-the-balikpapan-refinery</t>
  </si>
  <si>
    <t>https://energy.economictimes.indiatimes.com/news/coal/dastur-energy-to-set-up-blue-hydrogen-unit-with-coal-india/91455574</t>
  </si>
  <si>
    <t>https://www.dasturenergy.com/dastur-successfully-completes-techno-economic-feasibility-of-indias-largest-carbon-capture-and-utilization-project/</t>
  </si>
  <si>
    <t>https://www.santos.com/news/qenos-and-santos-announce-feasibility-study-for-the-supply-of-hydrogen-to-reduce-emissions-in-new-south-wales/</t>
  </si>
  <si>
    <t>https://www.eni.com/en-IT/operations/italy-ravenna-upstream-activities.html</t>
  </si>
  <si>
    <t>https://norlights.com/news/major-milestone-for-decarbonising-europe%ef%bf%bc/</t>
  </si>
  <si>
    <t>https://www.zawya.com/en/projects/industry/omans-oq-weighs-blue-ammonia-production-from-omifco-plant-d6jrc6bz</t>
  </si>
  <si>
    <t>https://www.enbridge.com/media-center/news/details?id=123722&amp;lang=en</t>
  </si>
  <si>
    <t>https://www.grandforksherald.com/news/local/although-no-word-northern-plains-nitrogen-plant-is-imminent-in-grand-forks-press-release-sparks-discussion</t>
  </si>
  <si>
    <t>https://www.oci.nl/news/2022-oci-to-start-construction-of-new-world-scale-hydrogen-based-blue-ammonia-facility-in-texas-with-production-expected-in-q1-2025/</t>
  </si>
  <si>
    <t>https://www.ammoniaenergy.org/articles/cf-industries-invests-in-blue-ammonia-capacity-in-the-us/</t>
  </si>
  <si>
    <t>https://www.cleanhydrogenworks.com/_files/ugd/9b794f_71f2bbea67dc4ebb8ab789194a19132a.pdf</t>
  </si>
  <si>
    <t>https://www.oci.nl/news/2022-oci-progresses-iowa-s-carbon-capture-sequestration-project-to-abate-its-co2-emissions-and-produce-low-carbon-ammonia-urea-and-def-in-the-us/</t>
  </si>
  <si>
    <t>https://investors.crc.com/news/news-details/2022/California-Resources-Corporation-Announces-Carbon-Dioxide-Management-Agreement-For-CTVs-First-Permanent-Carbon-Storage-Project/default.aspx</t>
  </si>
  <si>
    <t>https://www.rwe.com/en/press/rwe-supply-and-trading/2023-02-08-rwe-lotte-mc-enter-into-jsa-to-develop-clean-ammonia-project/</t>
  </si>
  <si>
    <t>https://www.netl.doe.gov/node/10875</t>
  </si>
  <si>
    <t>https://www.energy.gov/fecm/articles/foa-2187-and-foa-2188-project-selections</t>
  </si>
  <si>
    <t>https://www.energy.gov/fecm/additional-selections-funding-opportunity-announcement-2400-clean-hydrogen-production-storage</t>
  </si>
  <si>
    <t>https://www.h2-view.com/story/construction-of-50bn-green-hydrogen-project-in-kazakhstan-begins/</t>
  </si>
  <si>
    <t>https://polaris.brighterir.com/public/atome/news/rns/story/w03dp6w</t>
  </si>
  <si>
    <t>https://www.carltonpower.co.uk/news/carlton-power-plans-to-build-devon-amp-cornwalls-first-low-carbon-hydrogen-hub</t>
  </si>
  <si>
    <t>https://www.pamesagrupoempresarial.com/pamesa-ecombustible/</t>
  </si>
  <si>
    <t>https://elperiodicodelaenergia.com/pamesa-pone-en-marcha-la-primera-planta-de-atomizacion-que-abandona-el-gas-para-trabajar-solo-con-agua-y-energia-solar/#google_vignette</t>
  </si>
  <si>
    <t>https://www.jera.co.jp/en/news/information/20220905_969</t>
  </si>
  <si>
    <t>https://nelhydrogen.com/press-release/nel-asa-receives-purchase-order-for-a-containerized-electrolyser-for-sustainable-aviation-fuel-production/</t>
  </si>
  <si>
    <t>https://www.pv-magazine.com/2022/09/12/fortescue-proposes-9-2-gw-green-hydrogen-project-in-egypt/</t>
  </si>
  <si>
    <t>https://www.portofvictoria.com/news-and-media/p/item/47654/port-of-victoria-welcomes-potential-partnership-with-green-technology-company-first-ammonia</t>
  </si>
  <si>
    <t>https://hydrogen-central.com/hy2b-hydrogen-plant-technology-procurement-electrolyser-hyperformer-region-hybayern/</t>
  </si>
  <si>
    <t>https://www.kedglobal.com/hydrogen-economy/newsView/ked202306220020</t>
  </si>
  <si>
    <t>https://www.hiveenergy.co.uk/renewable-energy-project-pipeline/</t>
  </si>
  <si>
    <t>https://www.ammoniaenergy.org/articles/cwp-global-plans-new-supergiant-in-djibouti/</t>
  </si>
  <si>
    <t>https://www.ammoniaenergy.org/articles/ohmium-to-provide-electrolysers-for-low-carbon-fertiliser-plant-in-mexico/</t>
  </si>
  <si>
    <t>https://www.h2-view.com/story/aquaterra-energy-and-seawind-announce-3-2gw-hymed-project/</t>
  </si>
  <si>
    <t>https://www.ijglobal.com/articles/172558/uae-green-hydrogen-plant-in-the-works</t>
  </si>
  <si>
    <t>https://www.zero.co/news-media/plant-zero</t>
  </si>
  <si>
    <t>https://twitter.com/ZeroPetroleum/status/1670729286829916160</t>
  </si>
  <si>
    <t>https://www.statkraft.co.uk/newsroom/2022/statkraft-announces-first-uk-green-hydrogen-project-pembrokeshire/</t>
  </si>
  <si>
    <t>https://univergysolar.com/julio-verne-proyecto-puerto-de-vigo/</t>
  </si>
  <si>
    <t>https://fr.lhyfe.com/presse/lhyfe-va-developper-une-usine-de-200-mw-a-delfzijl-pays-bas/</t>
  </si>
  <si>
    <t>https://www.prnewswire.com/news-releases/sgp-bioenergy-adds-green-hydrogen-to-planned-worlds-largest-advanced-biofuel-production-facility-301646216.html#:~:text=COLON%2C%20Panama%2C%20Oct.,operate%20with%20net%2Dzero%20emissions.</t>
  </si>
  <si>
    <t>https://www.smartenergy.net/smartenergy-develops-a-200-mwe-green-hydrogen-plant-in-sardinia-italy/</t>
  </si>
  <si>
    <t>https://www.foresightgroup.eu/news/statkraft-foresight-and-progressive-energy-launch-grenian-to-deliver-green-hydrogen</t>
  </si>
  <si>
    <t>https://www.europapress.es/economia/energia-00341/noticia-bruselas-autoriza-ayuda-espanola-220-millones-cobra-produccion-hidrogeno-renovable-20221013123418.html</t>
  </si>
  <si>
    <t>https://tegchile.cl/blog/proyecto-gente-grande/</t>
  </si>
  <si>
    <t>https://www.linkedin.com/feed/update/urn:li:activity:7078990234830471168/</t>
  </si>
  <si>
    <t>https://www.borealisgroup.com/news/borealis-and-verbund-joint-hydrogen-project-on-an-industrial-scale</t>
  </si>
  <si>
    <t>https://renewablesnow.com/news/aes-brasil-advances-study-for-up-to-2-gw-green-hydrogen-plant-799077/</t>
  </si>
  <si>
    <t>https://energynews.biz/hanyang-and-linde-to-create-blue-hydrogen-production-cluster-in-jeonnam/</t>
  </si>
  <si>
    <t>https://www.hydrogeninsight.com/production/linde-to-invest-1-8bn-in-new-blue-hydrogen-plant-in-texas-with-start-up-in-2025/2-1-1399822</t>
  </si>
  <si>
    <t>https://www.linde.com/news-media/press-releases/2023/linde-to-supply-green-hydrogen-to-evonik-in-singapore</t>
  </si>
  <si>
    <t>https://www.linde.com/news-media/press-releases/2023/linde-to-increase-green-hydrogen-production-in-california</t>
  </si>
  <si>
    <t>https://hydrogen-central.com/carbon-governance-advances-new-green-hydrogen-production-project-development-in-bintan/</t>
  </si>
  <si>
    <t>https://www.argusmedia.com/en/news/2390103-japans-ihi-dubais-enoc-eye-uae-green-ammonia-output</t>
  </si>
  <si>
    <t>https://www.cnbc.com/2022/11/16/firms-plan-australian-super-hub-to-produce-green-hydrogen.html</t>
  </si>
  <si>
    <t>https://www.middlesabi-renewstable.com/</t>
  </si>
  <si>
    <t>https://www.argusmedia.com/ja/news/2392463-s-korean-firms-eye-h2-ammonia-output-in-saudi-arabia</t>
  </si>
  <si>
    <t>https://www.ijglobal.com/articles/168679/project-in-works-for-indonesia-green-hydrogen-plant</t>
  </si>
  <si>
    <t>https://gaspathways.com/saudi-thai-cos-plan-7bn-investment-in-green-hydrogen-projects-1464</t>
  </si>
  <si>
    <t>https://direct.argusmedia.com/newsandanalysis/Article/2397690</t>
  </si>
  <si>
    <t>https://direct.argusmedia.com/newsandanalysis/Article/2395369</t>
  </si>
  <si>
    <t>https://direct.argusmedia.com/newsandanalysis/Article/2397919</t>
  </si>
  <si>
    <t>https://direct.argusmedia.com/newsandanalysis/Article/2399271</t>
  </si>
  <si>
    <t>https://direct.argusmedia.com/newsandanalysis/Article/2395750</t>
  </si>
  <si>
    <t>https://direct.argusmedia.com/newsandanalysis/Article/2405819</t>
  </si>
  <si>
    <t>https://direct.argusmedia.com/newsandanalysis/Article/2412080</t>
  </si>
  <si>
    <t>https://direct.argusmedia.com/newsandanalysis/Article/2417173</t>
  </si>
  <si>
    <t>https://direct.argusmedia.com/newsandanalysis/Article/2435493</t>
  </si>
  <si>
    <t>https://www.ir.plugpower.com/press-releases/news-details/2023/Plug-Power-to-Design-and-Deliver-10MW-PEM-Electrolyzer-to-HOPE-Project/default.aspx?&amp;utm_source=organic-social-pr&amp;utm_medium=twitter&amp;utm_campaign=Hope-Press-Release&amp;utm_term=APR</t>
  </si>
  <si>
    <t>https://direct.argusmedia.com/newsandanalysis/Article/2443658</t>
  </si>
  <si>
    <t>https://www.h2-view.com/story/yara-and-basf-announce-blue-ammonia-production-facility-plans/</t>
  </si>
  <si>
    <t>https://direct.argusmedia.com/newsandanalysis/Article/2402266</t>
  </si>
  <si>
    <t>https://direct.argusmedia.com/newsandanalysis/Article/2404840</t>
  </si>
  <si>
    <t>https://www.argusmedia.com/en/news/2422050-scottish-300mw-h2-plant-to-decarbonise-whisky-industry</t>
  </si>
  <si>
    <t>https://www.enerdata.net/publications/daily-energy-news/statera-plans-3-gw-hydrogen-plant-scotland-uk.html</t>
  </si>
  <si>
    <t>https://energynews.biz/mytilineos-invests-in-rosedale-green-hydrogen-project/</t>
  </si>
  <si>
    <t>https://hydrogen-central.com/infinity-power-conjuncta-develop-green-hydrogen-project-mauritania/</t>
  </si>
  <si>
    <t>https://www.argusmedia.com/pt//news/2457061-enit-eyes-300mw-renewable-hydrogen-plant-in-brazil?backToResults=true</t>
  </si>
  <si>
    <t>https://hydrogen-central.com/provaris-pleased-collaborate-norwegian-hydrogen-developing-norway-largest-production-facility-for-green-hydrogen/</t>
  </si>
  <si>
    <t>https://www.energate-messenger.com/news/232487/ewe-becomes-hydrogen-supplier-for-salzgitter</t>
  </si>
  <si>
    <t>https://www.energate-messenger.com/news/210798/companies-pool-investments-of-1-3-billion-euros-for-green-hydrogen</t>
  </si>
  <si>
    <t>https://www.acciona.com/updates/news/acciona-energia-plug-power-present-valle-h2v-navarra-project-government-navarra/?_adin=02021864894</t>
  </si>
  <si>
    <t>https://renewablesnow.com/news/meld-energy-plans-100-mw-hydrogen-project-at-uk-chemicals-park-825189/</t>
  </si>
  <si>
    <t>https://netzerotc-newsroom.prgloo.com/news/project-launched-to-create-hydrogen-highway-from-scotland-to-rotterdam</t>
  </si>
  <si>
    <t>https://direct.argusmedia.com/newsandanalysis/Article/2464312</t>
  </si>
  <si>
    <t>https://hh2e.de/en/news/hh2e-announces-its-second-major-green-hydrogen-production-project-in-germany/</t>
  </si>
  <si>
    <t>https://direct.argusmedia.com/newsandanalysis/Article/2414003</t>
  </si>
  <si>
    <t>https://direct.argusmedia.com/newsandanalysis/Article/2398817</t>
  </si>
  <si>
    <t>https://fuelcellsworks.com/news/sk-eco-plant-partners-with-canadas-world-energy-gh2-in-a-4-5-billion-green-hydrogen-commercialization-project/</t>
  </si>
  <si>
    <t>https://renewablesnow.com/news/ric-energy-unveils-green-h2-project-it-is-developing-alone-in-spain-782794/</t>
  </si>
  <si>
    <t>https://www.neste.com/releases-and-news/sustainability/neste-moves-forward-its-renewable-hydrogen-project-porvoo-finland</t>
  </si>
  <si>
    <t>https://www.reuters.com/business/energy/sinopecs-first-green-hydrogen-plant-xinjiang-starts-production-xinhua-2023-06-30/</t>
  </si>
  <si>
    <t>https://news.cision.com/metacon-ab/r/metacon-signs-master-supply-agreement-with-ground-investment-corp-srl-for-a-10-mw-turnkey-green-hydr,c3679476</t>
  </si>
  <si>
    <t>https://www.energias-renovables.com/hidrogeno/un-municipio-almeriense-recibira-15-millones-de-20230602</t>
  </si>
  <si>
    <t>https://energynews.biz/european-commission-deemed-repsols-escombreras-valley-hydrogen-project-strategic/</t>
  </si>
  <si>
    <t>https://www.bnamericas.com/es/perfil-proyecto/vientos-magallanicos</t>
  </si>
  <si>
    <t>https://future.hamburg/en/artikel/dow-stade-making-chemicals-industry-carbon-neutral</t>
  </si>
  <si>
    <t>https://www.swiss-liquid-future.ch/wp-content/uploads/2020/07/2020-07-01_fast-track-CC-in-Norway_PM-Final_revised21-2.pdf</t>
  </si>
  <si>
    <t>https://www.engineeringnews.co.za/print-version/consortium-unveils-plans-for-zero-emission-eastern-cape-e-methanol-plant-2021-07-14</t>
  </si>
  <si>
    <t>https://orsted.com/en/media/newsroom/news/2022/03/20220310491311</t>
  </si>
  <si>
    <t>https://www.maritime-executive.com/article/maersk-invests-in-green-methanol-production-in-south-dakota</t>
  </si>
  <si>
    <t>https://direct.argusmedia.com/newsandanalysis/Article/2453161</t>
  </si>
  <si>
    <t>https://direct.argusmedia.com/newsandanalysis/Article/2412899</t>
  </si>
  <si>
    <t>https://direct.argusmedia.com/newsandanalysis/Article/2412656</t>
  </si>
  <si>
    <t>https://direct.argusmedia.com/newsandanalysis/Article/2413877</t>
  </si>
  <si>
    <t>https://direct.argusmedia.com/newsandanalysis/Article/2415273</t>
  </si>
  <si>
    <t>https://direct.argusmedia.com/newsandanalysis/Article/2420639</t>
  </si>
  <si>
    <t>https://direct.argusmedia.com/newsandanalysis/Article/2421394</t>
  </si>
  <si>
    <t>https://direct.argusmedia.com/newsandanalysis/Article/2421829</t>
  </si>
  <si>
    <t>https://www.offshore-energy.biz/cip-buys-into-blue-ammonia-project-in-the-gulf-coast/</t>
  </si>
  <si>
    <t>https://direct.argusmedia.com/newsandanalysis/Article/2423789</t>
  </si>
  <si>
    <t>https://direct.argusmedia.com/newsandanalysis/Article/2425755</t>
  </si>
  <si>
    <t>https://direct.argusmedia.com/newsandanalysis/Article/2431768</t>
  </si>
  <si>
    <t>https://direct.argusmedia.com/newsandanalysis/Article/2431937</t>
  </si>
  <si>
    <t>https://www.sunfire.de/en/news/detail/project-air-in-sweden-uniper-commissions-sunfire-to-build-a-30-mw-electrolyzer</t>
  </si>
  <si>
    <t>https://www.lhyfe.com/press/lhyfe-receives-approval-from-schwaebisch-gmuend-municipal-council-germany-to-develop-local-hydrogen-ecosystem/</t>
  </si>
  <si>
    <t>https://hydronews.it/ep-produzione-progetta-un-impianto-di-h2-green-nella-sua-centrale-elettrica-di-fiume-santo-in-sardegna/#:~:text=EP%20Produzione%2C%20controllata%20italiana%20del,una%20centrale%20termoelettrica%20a%20carbone.</t>
  </si>
  <si>
    <t>https://www.offshorewind.biz/2023/03/24/ox2-unveils-plans-for-1-9-gw-offshore-energy-hub-in-southern-baltic-sea/</t>
  </si>
  <si>
    <t>https://direct.argusmedia.com/newsandanalysis/Article/2433885</t>
  </si>
  <si>
    <t>https://direct.argusmedia.com/newsandanalysis/Article/2434164</t>
  </si>
  <si>
    <t>https://hydrogen-central.com/hydrogen-utopia-agrees-terms-waste-hydrogen-facility-longford-ireland/</t>
  </si>
  <si>
    <t>https://www.cbc.ca/news/canada/newfoundland-labrador/ottawa-come-by-chance-refinery-investment-1.6860608</t>
  </si>
  <si>
    <t>https://www.onyx-power.com/en/news-and-press/preparation-of-hydrogen-production-project-in-rotterdam/</t>
  </si>
  <si>
    <t>https://direct.argusmedia.com/newsandanalysis/Article/2442482</t>
  </si>
  <si>
    <t>https://www.chiyodacorp.com/media/230411_e_1.pdf</t>
  </si>
  <si>
    <t>https://adamsforkenergy.com/</t>
  </si>
  <si>
    <t>Desarrollo de la industria H2V en Latinoamérica - H2Chile</t>
  </si>
  <si>
    <t>https://ffi.com.au/project/pampas_es/</t>
  </si>
  <si>
    <t>https://novascotia.ca/nse/ea/bear-head-energy/</t>
  </si>
  <si>
    <t>https://direct.argusmedia.com/newsandanalysis/Article/2442315</t>
  </si>
  <si>
    <t>https://www.argusmedia.com/en/news/2441235-lithuanias-achema-plans-213mw-hydrogen-facility</t>
  </si>
  <si>
    <t>https://direct.argusmedia.com/newsandanalysis/Article/2442717</t>
  </si>
  <si>
    <t>https://direct.argusmedia.com/newsandanalysis/Article/2444570</t>
  </si>
  <si>
    <t>https://energynews.biz/power2x-and-soto-solar-to-build-1-2-gw-pv-and-green-hydrogen-plant-in-spain/</t>
  </si>
  <si>
    <t>https://www.doinghydrogen.com/partner/enertrag-ag/</t>
  </si>
  <si>
    <t>https://fuelcellsworks.com/news/glenfarne-energy-transition-to-collaborate-with-samsung-engineering-on-green-hydrogen-and-ammonia-initiatives-in-chile/</t>
  </si>
  <si>
    <t>https://hydrogen-central.com/hazer-advances-collaboration-engie-hazer-facility-france-hydrogen-production/</t>
  </si>
  <si>
    <t>https://direct.argusmedia.com/newsandanalysis/Article/2453115</t>
  </si>
  <si>
    <t>https://direct.argusmedia.com/newsandanalysis/Article/2439283</t>
  </si>
  <si>
    <t>https://direct.argusmedia.com/newsandanalysis/Article/2456404</t>
  </si>
  <si>
    <t>https://direct.argusmedia.com/newsandanalysis/Article/2451404</t>
  </si>
  <si>
    <t>https://direct.argusmedia.com/newsandanalysis/Article/2453086</t>
  </si>
  <si>
    <t>https://www.enapter.com/newsroom/enapter-receives-canadian-order-for-two-1-megawatt-electrolysers</t>
  </si>
  <si>
    <t>https://www.enapter.com/newsroom/dutch-energy-company-orders-megawatt-class-electrolyser</t>
  </si>
  <si>
    <t>https://www.enapter.com/newsroom/first-order-placed-for-enapters-aem-multicore-megawatt-class-electrolyser-system</t>
  </si>
  <si>
    <t>https://direct.argusmedia.com/newsandanalysis/Article/2399721</t>
  </si>
  <si>
    <t>Argus Hydrogen and Future Fuels, 16 May 2023</t>
  </si>
  <si>
    <t>https://timesofoman.com/article/131167-vale-signs-agreement-to-establish-integrated-industrial-complex-in-duqm</t>
  </si>
  <si>
    <t>https://greenalia.es/en/articles/greenalia-and-p2x-europe-join-forces-to-develop-an-efuel-production-project-in-galicia/</t>
  </si>
  <si>
    <t>https://totalenergies.com/media/news/press-releases/united-states-totalenergies-and-tes-join-forces-develop-large-scale-e-ng</t>
  </si>
  <si>
    <t>Argus Hydrogen and Future Fuels, 6 June 2023</t>
  </si>
  <si>
    <t>https://elperiodicodelaenergia.com/dos-proyectos-repsol-impulsar-hidrogeno-renovable-espana-reciben-25-millones-ayudas-idae/</t>
  </si>
  <si>
    <t>https://fuelcellsworks.com/news/calix-plans-to-build-a-hydrogen-based-iron-plant-in-australia/?mc_cid=47fbff2b40&amp;mc_eid=da4624d261</t>
  </si>
  <si>
    <t>https://fuelcellsworks.com/news/octopus-energy-and-res-to-swap-gas-for-green-hydrogen-at-andrex-kleenex-factories-in-the-uk/?mc_cid=0c0b824e23&amp;mc_eid=da4624d261</t>
  </si>
  <si>
    <t>https://hidrogeno-verde.es/tres-proyectos-de-edp-hidrogeno-verde/</t>
  </si>
  <si>
    <t>https://hidrogeno-verde.es/planta-amoniaco-verde-en-langosteira/</t>
  </si>
  <si>
    <t>https://hydrogen-central.com/raven-sr-receives-e1-7-million-grant-from-european-commission-support-waste-hydrogen-production-facility-in-spain/</t>
  </si>
  <si>
    <t>https://fuelcellsworks.com/news/port-of-grays-harbor-commission-approves-leasing-option-to-invenergy-for-potential-green-hydrogen-project/?mc_cid=850deae301&amp;mc_eid=da4624d261</t>
  </si>
  <si>
    <t>https://www.lhyfe.com/press/lhyfe-and-schaeffler-enter-cooperation-agreement-to-build-industrial-hydrogen-plant-in-germany/</t>
  </si>
  <si>
    <t>https://www.constructionweekonline.in/business/a-p-moller-maersk-sungas-renewables-sign-strategic-green-methanol-partnership</t>
  </si>
  <si>
    <t>https://phynix-energy.eu/phynix-anuncia-su-segundo-proyecto-de-produccion-de-hidrogeno-renovable-barataria-de-70mw/</t>
  </si>
  <si>
    <t>https://fuelcellsworks.com/news/metacon-signs-mou-to-supply-electrolyser-system-for-green-hydrogen-project-in-poland/?mc_cid=6e3fa770f1&amp;mc_eid=da4624d261</t>
  </si>
  <si>
    <t>https://www.gov.uk/government/publications/hydrogen-production-business-model-net-zero-hydrogen-fund-shortlisted-projects/hydrogen-business-model-net-zero-hydrogen-fund-shortlisted-projects-allocation-round-2022</t>
  </si>
  <si>
    <t>https://www.gov.uk/government/publications/net-zero-hydrogen-fund-strands-1-and-2-successful-applicants/net-zero-hydrogen-fund-strands-1-and-2-summaries-of-successful-applicants-round-1-april-2022-competition</t>
  </si>
  <si>
    <t>https://www.suntory.com/news/article/14225E.html</t>
  </si>
  <si>
    <t>https://www.businesswire.com/news/home/20221121005294/en/Babcock-Wilcox-Announces-Agreement-to-Study-Development-of-Biomass-to-Hydrogen-Project-in-South-Korea-Using-BrightLoop%E2%84%A2-Technology</t>
  </si>
  <si>
    <t>https://www.ammoniaenergy.org/articles/fertiliser-giant-ocp-group-to-go-fully-renewable-eliminate-ammonia-imports-to-morocco/</t>
  </si>
  <si>
    <t>https://hydronews.it/a-nextchem-lo-studio-di-fattibilita-di-un-impianto-di-produzione-di-metanolo-green-da-h2-co2-in-puglia/</t>
  </si>
  <si>
    <t>https://fuelcellsworks.com/news/hydrogen-utopia-explores-opportunities-for-converting-plastic-waste-into-hydrogen-in-estonia/?mc_cid=44d2eee315&amp;mc_eid=da4624d261</t>
  </si>
  <si>
    <t>https://fuelcellsworks.com/news/carbonloop-and-haffner-energy-announce-order-for-hynoca-equipment-for-first-two-hydrogen-and-biochar-production-sites-from-biomass/?mc_cid=0c0b824e23&amp;mc_eid=da4624d261</t>
  </si>
  <si>
    <t>https://www.hydrogeninsight.com/innovation/korean-conglomerates-plan-to-produce-clean-hydrogen-from-an-ultra-safe-micro-nuclear-reactor-in-the-heart-of-seoul/2-1-1439877</t>
  </si>
  <si>
    <t>https://www.lainformacion.com/empresas/siemens-gamesa-hiperbaric-ariema-hidrogeno-navarra/2885011/</t>
  </si>
  <si>
    <t>https://www.eolasmagazine.ie/indaver-is-ready-to-contribute-to-a-new-hydrogen-economy/</t>
  </si>
  <si>
    <t>https://thecurrency.news/articles/80215/bord-na-mona-enrols-boc-for-green-hydrogen-business/</t>
  </si>
  <si>
    <t>https://www.climatecouncil.ie/media/climatechangeadvisorycouncil/contentassets/publications/Hydrogen%20in%20Ireland%20web%20version.pdf</t>
  </si>
  <si>
    <t>https://hydrogen-central.com/esb-green-energy-hub-hydrogen-moneypoint-ireland/</t>
  </si>
  <si>
    <t>https://eih2.ie/e120m-green-energy-facility-planned-for-cork-creating-85-jobs/</t>
  </si>
  <si>
    <t>https://fuelcellsworks.com/news/lhyfe-and-duisport-plan-first-green-hydrogen-production-plant-in-duisburg-harbor-the-largest-inland-port-in-the-world/?mc_cid=cb7d9f94fc&amp;mc_eid=da4624d261</t>
  </si>
  <si>
    <t>https://renewablesnow.com/news/hynfra-plans-200000-tonnes-green-ammonia-plant-in-jordan-827164/</t>
  </si>
  <si>
    <t>https://www.hydrogeninsight.com/industrial/pioneer-heineken-and-siemens-launch-joint-venture-to-decarbonise-eu-fertiliser-production-with-green-hydrogen/2-1-1479482</t>
  </si>
  <si>
    <t>http://daystarenergy.com.au/</t>
  </si>
  <si>
    <t>https://k-rep.com.au/</t>
  </si>
  <si>
    <t>https://www.hydrogeninsight.com/production/worlds-largest-construction-begins-at-chinas-biggest-green-ammonia-plant/2-1-1484607</t>
  </si>
  <si>
    <t>https://www.chinadaily.com.cn/a/202306/30/WS649e36c8a310bf8a75d6c825.html</t>
  </si>
  <si>
    <t>https://www.fastcompany.com/90921721/twelve-factory-captured-co2-1-million-gallons-of-jet-fuel-sustainable-aviation-fuel</t>
  </si>
  <si>
    <t>https://www.ijglobal.com/articles/174169/atco-shelves-oz-hydrogen</t>
  </si>
  <si>
    <t>https://direct.argusmedia.com/newsandanalysis/article/2471712</t>
  </si>
  <si>
    <t>https://www.hydrogeninsight.com/industrial/indian-steel-giant-to-start-using-green-hydrogen-within-two-years/2-1-1492967</t>
  </si>
  <si>
    <t>https://direct.argusmedia.com/newsandanalysis/Article/2476003</t>
  </si>
  <si>
    <t>https://worldenergygh2.com/about/</t>
  </si>
  <si>
    <t>https://fuelcellsworks.com/news/walmart-chile-initiates-plan-to-operate-100-of-its-green-hydrogen-logistics-network/?mc_cid=be1ca95ecf&amp;mc_eid=da4624d261</t>
  </si>
  <si>
    <t>https://www.airliquide.com/group/press-releases-news/2022-07-19/air-liquide-build-two-new-hydrogen-production-units-carbon-capture-technology-shanghai-chemical</t>
  </si>
  <si>
    <t>https://www.bp.com/en/global/corporate/news-and-insights/press-releases/bp-to-explore-potential-for-green-hydrogen-production-in-egypt.html</t>
  </si>
  <si>
    <t>https://www.socalgas.com/sites/default/files/2022-03/STF-Angeles-Link-ESP-Fact-Sheet-1.pdf</t>
  </si>
  <si>
    <t>https://hydrogen-central.com/egypts-suez-canal-zone-indias-acme-sign-framework-agreement-green-hydrogen-project-in-sokhna/</t>
  </si>
  <si>
    <t>https://www.globeleq.com/blog/globeleq-partners-with-government-of-egypt-to-develop-a-large-scale-green-hydrogen-project/</t>
  </si>
  <si>
    <t>https://daures.green/</t>
  </si>
  <si>
    <t>https://www.edf.fr/groupe-edf/espaces-dedies/journalistes/tous-les-communiques-de-presse/edf-holcim-ifpen-et-axens-sassocient-pour-participer-ensemble-a-la-creation-de-la-filiere-francaise-de-e-carburant-pour-le-transport-aerien-avec-le-projet-take-kair-soutenu-par-air</t>
  </si>
  <si>
    <t>https://www.dailypost.co.uk/news/north-wales-news/holyhead-hydrogen-hub-accelerated-deal-26940438</t>
  </si>
  <si>
    <t>https://www.pv-magazine.com/2023/08/14/hysata-testing-hydrogen-electrolyzer-tech-in-real-world-setting/</t>
  </si>
  <si>
    <t>https://doggerbank.com/doggerbankd/</t>
  </si>
  <si>
    <t>https://www.equinor.com/news/20230105-equinor-rwe-cooperation</t>
  </si>
  <si>
    <t>https://energyport-rostock.de/en/</t>
  </si>
  <si>
    <t>https://www.spglobal.com/commodityinsights/en/market-insights/latest-news/energy-transition/063023-two-green-hydrogen-projects-totaling-30000-mtyear-of-capacity-start-up-in-china</t>
  </si>
  <si>
    <t>https://hydrogen.johncockerill.com/en/markets/power-to-gas/</t>
  </si>
  <si>
    <t>https://indho.cl/en/projects/pv-h2-kalisaya/</t>
  </si>
  <si>
    <t>https://www.s-ge.com/en/system/files?file=event/downloads/20220525%20Green%20Hydrogen%20projects%20Chile.pdf&amp;ct</t>
  </si>
  <si>
    <t>https://www.airproducts.com/company/news-center/2022/11/1108-air-products-receive-475-million-cad-net-zero-hydrogen-complex-funding</t>
  </si>
  <si>
    <t>https://tci-gecomp.com/en/project/arichile-h2-en/</t>
  </si>
  <si>
    <t>https://www.biobiochile.cl/especial/aqui-tierra/noticias/2022/11/23/podria-operar-en-2024-chile-estrenara-su-primer-tren-cero-emisiones-con-100-hidrogeno-verde.shtml</t>
  </si>
  <si>
    <t>https://www.fishfarmingexpert.com/green-hydrogen-generation-hydroelectric-power-mowi-chile/mowi-seeks-to-run-farms-on-home-made-hydrogen/1283091</t>
  </si>
  <si>
    <t>https://h2lac.org/noticias/planta-piloto-movil-de-h2v-permitira-cuantificar-el-potencial-de-generacion-de-la-region-de-antofagasta/</t>
  </si>
  <si>
    <t>https://chile.hyvolution.com/en/2023/06/20/mae-exhibits-at-hyvolution-and-brings-its-experience-in-the-development-of-a-pioneering-green-hydrogen-project-in-chile/</t>
  </si>
  <si>
    <t>https://hydrogen-central.com/opening-hydrogen-production-plant-kubel-power-plant/</t>
  </si>
  <si>
    <t>https://bioenergyinternational.com/hzi-to-develop-first-small-scale-waste-to-hydrogen/</t>
  </si>
  <si>
    <t>https://www.hvnplus.co.uk/news/arbikie-distillery-begins-work-on-hydrogen-heating-installation-02-02-2023/</t>
  </si>
  <si>
    <t>https://vighy.france-hydrogene.org/projets/hynovera/</t>
  </si>
  <si>
    <t>https://vighy.france-hydrogene.org/projets/dijon-metropole-smart-energy-dmse/</t>
  </si>
  <si>
    <t>https://www.france-hydrogene.org/magazine/hydom-un-projet-a-85-mw-dans-la-vallee-de-la-chimie/?cn-reloaded=1</t>
  </si>
  <si>
    <t>https://vighy.france-hydrogene.org/projets/h2v-saint-clair-du-rhone/</t>
  </si>
  <si>
    <t>https://vighy.france-hydrogene.org/projets/ecoh2-breizh1/</t>
  </si>
  <si>
    <t>https://vighy.france-hydrogene.org/projets/ecoh2-breizh2/</t>
  </si>
  <si>
    <t>https://vighy.france-hydrogene.org/projets/hycor/</t>
  </si>
  <si>
    <t>https://vighy.france-hydrogene.org/projets/dephy2a-ajaccio/</t>
  </si>
  <si>
    <t>https://vighy.france-hydrogene.org/projets/dephy2a-bastia/</t>
  </si>
  <si>
    <t>https://vighy.france-hydrogene.org/projets/vhya-lorraine/</t>
  </si>
  <si>
    <t>https://vighy.france-hydrogene.org/projets/h2v-thionville/</t>
  </si>
  <si>
    <t>https://vighy.france-hydrogene.org/projets/h2v-valenciennes/</t>
  </si>
  <si>
    <t>https://vighy.france-hydrogene.org/projets/ecoh2/</t>
  </si>
  <si>
    <t>https://vighy.france-hydrogene.org/projets/hylan/</t>
  </si>
  <si>
    <t>https://vighy.france-hydrogene.org/projets/hyvence/</t>
  </si>
  <si>
    <t>https://vighy.france-hydrogene.org/projets/usine-trange/</t>
  </si>
  <si>
    <t>https://vighy.france-hydrogene.org/projets/zero-emission-valley-zev/</t>
  </si>
  <si>
    <t>https://www.caissedesdepots.fr/sites/default/files/2021-02/CP%20CEF%20-%20TBF%20-%20HYDROGEN%20FUEL%20FOR%20PARIS%20HYSETCO%2016022021.pdf</t>
  </si>
  <si>
    <t>https://vighy.france-hydrogene.org/projets/em-lacq/</t>
  </si>
  <si>
    <t>https://vighy.france-hydrogene.org/projets/h2-bordeaux/</t>
  </si>
  <si>
    <t>https://elyse.energy/en/our-projects/biotjet</t>
  </si>
  <si>
    <t>https://www.wiva.at/wp-content/uploads/2022/10/05_UpHy_Uitz.pdf</t>
  </si>
  <si>
    <t>https://ek.fi/tutkittua-tietoa/vihreat-investoinnit/</t>
  </si>
  <si>
    <t>https://nelhydrogen.com/press-release/nel-asa-receives-purchase-order-for-40-mw-electrolyser-equipment-from-bondalti/</t>
  </si>
  <si>
    <t>Hydrogen Energy Storage System at Borrego Springs Towards an H2 Enabled 100 Renewable Microgrid</t>
  </si>
  <si>
    <t>Waterfront Maritime Hydrogen Demonstration Project (energy.gov)</t>
  </si>
  <si>
    <t>Solid Ozide Electrolysis System Demonstration (energy.gov)</t>
  </si>
  <si>
    <t>https://www.mdpi.com/1996-1073/16/9/3619</t>
  </si>
  <si>
    <t>https://www.hybus.eu/wasserstoffregion-zillertal-start-der-h2-zillertalbahn-2020-verschiebt-sich-auf-2026/</t>
  </si>
  <si>
    <t>https://www.tt.com/artikel/17200562/hytrain-wasserstoff-geht-bei-zillertalbahn-in-echtbetrieb</t>
  </si>
  <si>
    <t>https://www.tiwag.at/unternehmen/energiewende/power2x-kufstein/</t>
  </si>
  <si>
    <t>https://www.ots.at/presseaussendung/OTS_20230330_OTS0130/linde-und-plansee-arbeiten-zusammen-co2-freier-wasserstoff-in-reutte-durch-einen-der-ersten-industrie-elektrolyseure-ueberhaupt-in-europa-bild</t>
  </si>
  <si>
    <t>https://positionen.wienenergie.at/projekte/mobilitaet/wiener-wasserstoff/</t>
  </si>
  <si>
    <t>https://www.hypa.at/umsetzung/elektrolyseure#heading-3777-141</t>
  </si>
  <si>
    <t>https://www.wiva.at/2022/04/13/spatenstich-im-projekt-renewable-gasfield/</t>
  </si>
  <si>
    <t>https://steiermark.orf.at/stories/3151165/</t>
  </si>
  <si>
    <t>https://www.wiva.at/project/ife/</t>
  </si>
  <si>
    <t xml:space="preserve">https://www.hypa.at/umsetzung/elektrolyseure#heading-3777-142   </t>
  </si>
  <si>
    <t>https://iopscience.iop.org/article/10.1149/MA2021-031204mtgabs/meta</t>
  </si>
  <si>
    <t>https://www.hysnowgroomer.com/projektinformationen-2/</t>
  </si>
  <si>
    <t>https://www.hypa.at/umsetzung/elektrolyseure#heading-3774-132</t>
  </si>
  <si>
    <t>http://www.vidzeme.lv/en/projects/supporting_the_regional_development_of_the_green_hydrogen_fuel_value_chain_for_transportation_in_estonia_and_latvia_h2value/info/</t>
  </si>
  <si>
    <t>https://labsoflatvia.com/en/news/latvia-and-estonia-collaborate-to-test-potential-of-green-hydrogen-in-transport-sector</t>
  </si>
  <si>
    <t>https://www.err.ee/1608448286/narva-elektrijaamad-hakkavad-tartu-vesinikubussidele-kutust-tootma</t>
  </si>
  <si>
    <t>https://investinestonia.com/estonia-to-use-100-renewable-energy-by-2030/#:~:text=The%20power%20plants%20in%20Narva%20plan%20to%20replace,broader%20interest%20recently%20thanks%20to%20the%20green%20transition.</t>
  </si>
  <si>
    <t>https://www.utilitas.ee/en/the-utilitas-and-ug-investments-green-hydrogen-complete-chain-project-received-a-positive-financing-decision/</t>
  </si>
  <si>
    <t>https://www.epressi.com/tiedotteet/energia/koppo-energys-leading-energy-transition-project-of-green-hydrogen-and-sustainable-liquefied-synthetic-methane-is-progressing-in-kristinestad.html</t>
  </si>
  <si>
    <t>https://h2cluster.fi/projects/</t>
  </si>
  <si>
    <t>https://www.st1.fi/st1-suunnittelee-synteettisen-metanolin-pilottilaitosta-lappeenrantaan</t>
  </si>
  <si>
    <t>https://ren-gas.com/en/news/nordic-ren-gas-project-is-progressing-in-kotka-the-project-size-has-tripled-from-the-original/</t>
  </si>
  <si>
    <t>https://ren-gas.com/en/news/lahti-energia-and-nordic-ren-gas-signed-a-project-development-agreement-for-the-lahti-power-to-gas-project/</t>
  </si>
  <si>
    <t>https://www.both2nia.com/application/files/6816/7949/3478/Pre-study_on_transition_to_hydrogen_economy_specifically_in_Northern_Ostrobothnia_final_16_3.pdf</t>
  </si>
  <si>
    <t>https://p2x.fi/p2x-solutions-selvittaa-savon-voiman-kanssa-mahdollisuutta-vihrean-vedyn-ja-sahkopolttoaineiden-tuotantoon-joensuussa/</t>
  </si>
  <si>
    <t>https://ren-gas.com/en/news/mikkelis-power-to-gas-project-is-progressing-nordic-ren-gas-and-etela-savon-energia-signed-a-project-development-agreement/</t>
  </si>
  <si>
    <t>https://ren-gas.com/en/news/significant-investment-in-the-production-of-green-hydrogen-and-renewable-finnish-gas-planned-for-the-kaanaa-district-of-pori/</t>
  </si>
  <si>
    <t>https://flexens.com/flexens-and-hydre-collaborate-to-launch-hydrogen-transport-in-finland-letter-of-intent-signed-with-lempaalan-energia/</t>
  </si>
  <si>
    <t>https://www.entsog.eu/sites/default/files/2023-04/web_entsog_230311_CHA_Learnbook_230405.pdf</t>
  </si>
  <si>
    <t xml:space="preserve">https://balkangreenenergynews.com/hidroelectrica-makes-plans-to-enter-green-hydrogen-production/ </t>
  </si>
  <si>
    <t>https://www.energynomics.ro/en/e-infra-nova-hydrogen-production-starts-the-5mw-nervia-project/</t>
  </si>
  <si>
    <t>https://relians.ro/en/nova-hydrogen-production-e-infra/#:~:text=Project%20description%3A%20the%20general%20objective,town%20of%20TURDA%2C%20CLUJ%20county.</t>
  </si>
  <si>
    <t>https://libertysteelgroup.com/gfg-alliance-signs-mou-with-romanian-government-to-create-a-european-greensteel-flagship-at-liberty-galati/</t>
  </si>
  <si>
    <t>https://winpowersa.com/2022/05/winpower-wins-the-project-to-provide-consultancy-services-for-the-construction-and-licensing-of-a-green-hydrogen-production-unit-called-sinesgh2-solar-in-sines-portugal/</t>
  </si>
  <si>
    <t>https://www.globenewswire.com/en/news-release/2023/02/16/2609396/0/en/Fusion-Fuel-Signs-Terms-of-Acceptance-with-Portuguese-Prime-Minister-Antonio-Costa-for-10-Million-Component-14-Grant.html</t>
  </si>
  <si>
    <t>https://climate.ec.europa.eu/eu-action/funding-climate-action/innovation-fund/large-scale-calls/projects-selected-grant-preparation_en</t>
  </si>
  <si>
    <t>https://www.nzx.com/announcements/414254</t>
  </si>
  <si>
    <t>https://hydrogen-central.com/apex-group-acquires-land-strategic-locations-lubmin-germany-order-build-600-mw-of-electrolyser-capacity-for-the-production-of-green-hydrogen/</t>
  </si>
  <si>
    <t>https://www.h2-view.com/story/mote-reveals-plans-second-for-biomass-to-hydrogen-plant-in-california/</t>
  </si>
  <si>
    <t>https://fuelcellsworks.com/news/hydrogenpro-partner-with-a-large-contract-in-finland/?mc_cid=0f15718604&amp;mc_eid=da4624d261</t>
  </si>
  <si>
    <t>https://www.babcock.com/home/about/corporate/news/babcock-and-wilcox-general-hydrogen-corp-agree-to-key-terms-for-sale-of-carbon-negative-hydrogen-and-co2-produced-from-biomass-at-louisiana-plant</t>
  </si>
  <si>
    <t>https://direct.argusmedia.com/newsandanalysis/Article/2470703</t>
  </si>
  <si>
    <t>https://www.san-group.com/news/opening-of-first-green-hydrogen-production-in-lower-austria</t>
  </si>
  <si>
    <t>https://renewable-carbon.eu/news/the-navigator-company-and-p2x-europe-have-signed-a-memorandum-of-understanding-to-create-a-unique-joint-venture-in-portugal-to-produce-green-non-fossil-synthetic-efuels/</t>
  </si>
  <si>
    <t>http://www.thenavigatorcompany.com/var/ezdemo_site/storage/original/application/4470a6c498af5b4a766c860dd70cb923.pdf</t>
  </si>
  <si>
    <t>https://www.hypa.at/umsetzung/elektrolyseure#heading-3777-144</t>
  </si>
  <si>
    <t>https://madoquapower2x.com/</t>
  </si>
  <si>
    <t>https://www.fortum.com/media/2023/06/fortum-explores-prerequisites-fossil-free-hydrogen-production-ssabs-site-raahe</t>
  </si>
  <si>
    <t>https://solarquarter.com/2023/04/24/omans-first-green-ammonia-plant-by-acme-to-launch-by-mid-2025-in-duqm-sez/</t>
  </si>
  <si>
    <t>http://www.fuelcellchina.com/Industry_information_details/1454.html</t>
  </si>
  <si>
    <t>https://salcos.salzgitter-ag.com/en/grinhy-20.html</t>
  </si>
  <si>
    <t>https://agencia.fapesp.br/worlds-first-hydrogen-from-ethanol-plant-will-be-built-at-university-of-sao-paulo/42182</t>
  </si>
  <si>
    <t>https://renewablesnow.com/news/rio-grande-do-norte-inks-1-gw-solar-wind-pact-for-green-hydrogen-831478/</t>
  </si>
  <si>
    <t>https://www.horizonshydrogenhub.com/#:~:text=The%20Horizons%20Clean%20Hydrogen%20Hub,%2C%20and%20international%20end%2Dusers.</t>
  </si>
  <si>
    <t>https://www.energy.gov/eere/fuelcells/articles/electrolyzer-installations-united-states</t>
  </si>
  <si>
    <t>Argus Direct (argusmedia.com)</t>
  </si>
  <si>
    <t>https://direct.argusmedia.com/newsandanalysis/Article/2467911</t>
  </si>
  <si>
    <t>https://direct.argusmedia.com/newsandanalysis/Article/2468774</t>
  </si>
  <si>
    <t>https://direct.argusmedia.com/newsandanalysis/Article/2474746</t>
  </si>
  <si>
    <t>https://direct.argusmedia.com/newsandanalysis/Article/2474693</t>
  </si>
  <si>
    <t>https://direct.argusmedia.com/newsandanalysis/Article/2472237</t>
  </si>
  <si>
    <t>https://direct.argusmedia.com/newsandanalysis/Article/2476908</t>
  </si>
  <si>
    <t>https://direct.argusmedia.com/newsandanalysis/Article/2477061</t>
  </si>
  <si>
    <t>https://www.ferrosilva.com/en/wp-content/uploads/2023/07/Gyllenram-et-al-2023-FerroSilva-Creating-a-new-industrial-eco-system-1.pdf</t>
  </si>
  <si>
    <t>https://www.h2-view.com/story/gaznat-inaugurates-hydrogen-and-co2-to-syngas-project-in-switzerland/</t>
  </si>
  <si>
    <t>Platts Hydrogen Daily, 6 September 2023</t>
  </si>
  <si>
    <t>https://www.ssab.com/en/news/2021/03/hybrit-ssab-lkab-and-vattenfall-to-begin-industrialization-of-future-fossilfree-steelmaking-by-estab</t>
  </si>
  <si>
    <t>https://www.reuters.com/business/finance/swedens-h2-green-steel-raises-16-bln-private-placement-2023-09-07/</t>
  </si>
  <si>
    <t>https://fuelcellsworks.com/news/hypster-demonstrator-paves-the-way-for-the-hydrogen-industry-in-europe/</t>
  </si>
  <si>
    <t>https://chariotenergygroup.com/operations/green-hydrogen/</t>
  </si>
  <si>
    <t>https://direct.argusmedia.com/newsandanalysis/article/2470181</t>
  </si>
  <si>
    <t>https://direct.argusmedia.com/newsandanalysis/article/2438394</t>
  </si>
  <si>
    <t>https://direct.argusmedia.com/newsandanalysis/article/2488018</t>
  </si>
  <si>
    <t>https://energynews.biz/copenhagen-infrastructure-partners-to-build-green-hydrogen-plant-in-mexico/</t>
  </si>
  <si>
    <t>https://direct.argusmedia.com/newsandanalysis/article/2455314</t>
  </si>
  <si>
    <t>https://direct.argusmedia.com/newsandanalysis/article/2391838</t>
  </si>
  <si>
    <t>https://direct.argusmedia.com/newsandanalysis/Article/2488273</t>
  </si>
  <si>
    <t>https://direct.argusmedia.com/newsandanalysis/Article/2488999</t>
  </si>
  <si>
    <t>https://direct.argusmedia.com/newsandanalysis/Article/2472537</t>
  </si>
  <si>
    <t>https://direct.argusmedia.com/newsandanalysis/Article/2470398</t>
  </si>
  <si>
    <t>https://direct.argusmedia.com/newsandanalysis/Article/2474138</t>
  </si>
  <si>
    <t>https://direct.argusmedia.com/newsandanalysis/Article/2488641</t>
  </si>
  <si>
    <t>https://research.csiro.au/hyresource/good-earth-green-hydrogen-and-ammonia-project/</t>
  </si>
  <si>
    <t>https://www.gegha.com.au/</t>
  </si>
  <si>
    <t>https://direct.argusmedia.com/newsandanalysis/Article/2492610</t>
  </si>
  <si>
    <t>https://direct.argusmedia.com/newsandanalysis/Article/2492648</t>
  </si>
  <si>
    <t>https://direct.argusmedia.com/newsandanalysis/Article/2472976</t>
  </si>
  <si>
    <t>https://direct.argusmedia.com/newsandanalysis/Article/2487032</t>
  </si>
  <si>
    <t>https://direct.argusmedia.com/newsandanalysis/Article/2487336</t>
  </si>
  <si>
    <t>https://direct.argusmedia.com/newsandanalysis/Article/2482294</t>
  </si>
  <si>
    <t>https://direct.argusmedia.com/newsandanalysis/Article/2485013</t>
  </si>
  <si>
    <t>https://direct.argusmedia.com/newsandanalysis/Article/2477036</t>
  </si>
  <si>
    <t>https://direct.argusmedia.com/newsandanalysis/Article/2486635</t>
  </si>
  <si>
    <t>https://direct.argusmedia.com/newsandanalysis/Article/2489603</t>
  </si>
  <si>
    <t>https://h2-international.com/2021/06/14/element-eins-and-hybridge-stopped/</t>
  </si>
  <si>
    <t>https://direct.argusmedia.com/newsandanalysis/Article/2472952</t>
  </si>
  <si>
    <t>https://direct.argusmedia.com/newsandanalysis/Article/2491133</t>
  </si>
  <si>
    <t>https://direct.argusmedia.com/newsandanalysis/Article/2493292</t>
  </si>
  <si>
    <t>https://direct.argusmedia.com/newsandanalysis/Article/2481001</t>
  </si>
  <si>
    <t>https://direct.argusmedia.com/newsandanalysis/Article/2474890</t>
  </si>
  <si>
    <t>https://direct.argusmedia.com/newsandanalysis/Article/2493360</t>
  </si>
  <si>
    <t>https://private.cedigaz.org/newsreport_pdf/64c3726cd950b_CNR62-14.pdf</t>
  </si>
  <si>
    <t>https://h2ce.ru/en/news/industry-news/thyssenkrupp-uhde-joins-offset-consortium-on-floating-green-hydrogen-and-ammonia-project</t>
  </si>
  <si>
    <t>https://private.cedigaz.org/newsreport_pdf/64e479cd7cb17_CNR62-16.pdf</t>
  </si>
  <si>
    <t>https://www.hydrogeninsight.com/production/chinas-largest-green-hydrogen-project-a-4bn-640mw-ammonia-methanol-facility-begins-construction/2-1-1525815</t>
  </si>
  <si>
    <t>https://direct.argusmedia.com/newsandanalysis/article/2481753</t>
  </si>
  <si>
    <t>https://direct.argusmedia.com/newsandanalysis/Article/2493887</t>
  </si>
  <si>
    <t>https://www.energy-storage.news/chevron-does-u-turn-and-invests-in-utah-green-hydrogen-project/</t>
  </si>
  <si>
    <t>https://renewablesnow.com/news/luxcara-joins-major-green-hydrogen-project-in-hamburg-834397/</t>
  </si>
  <si>
    <t>https://hyrasia.energy/</t>
  </si>
  <si>
    <t>https://www.reuters.com/business/cop/mauritania-bp-explore-green-hydrogen-projects-2022-11-08/</t>
  </si>
  <si>
    <t>https://www.afrik21.africa/en/mauritania-british-oil-company-bp-is-eyeing-the-green-hydrogen-market/</t>
  </si>
  <si>
    <t>https://www.tecnicasreunidas.es/tecnicas-reunidas-s-a-initiates-the-preliminary-scope-for-a-green-hydrogen-and-green-ammonia-production-facilities-in-australia/</t>
  </si>
  <si>
    <t>https://www.hydrogeninsight.com/production/partners-to-spend-more-than-1bn-on-500mw-plus-green-hydrogen-project-in-portugal/2-1-1353788</t>
  </si>
  <si>
    <t>https://mopng.gov.in/files/article/articlefiles/2023Q2.pdf</t>
  </si>
  <si>
    <t>https://www.prnewswire.com/news-releases/air-products-to-invest-about-500-million-to-build-green-hydrogen-production-facility-in-new-york-301642745.html</t>
  </si>
  <si>
    <t>https://www.reuters.com/sustainability/climate-energy/germanys-august-global-investment-plans-build-hydrogen-plant-indonesia-2023-08-28/</t>
  </si>
  <si>
    <t>https://www.euro-petrole.com/totalenergies-et-air-liquide-sassocient-pour-decarboner-la-plateforme-de-normandie-grace-a-lhydrogene-vert-n-f-26045</t>
  </si>
  <si>
    <t>https://www.pv-magazine-australia.com/2023/09/15/hynq-north-queensland-clean-energy-project-gains-a-new-development-partner/</t>
  </si>
  <si>
    <t>https://scottishbusinessnews.net/uks-first-off-grid-green-hydrogen-site-invites-potential-buyers/#:~:text=The%20new%202.5%20megawatt%20site,Hydrogen%20Fund%20earlier%20this%20year.</t>
  </si>
  <si>
    <t>https://renewablesnow.com/news/ewe-plans-320-mw-green-hydrogen-plant-on-germanys-north-sea-coast-803869/</t>
  </si>
  <si>
    <t>https://hystar.com/yara-clean-ammonia-joins-hypilot-project-with-hystar-equinor-and-gassco/</t>
  </si>
  <si>
    <t>https://www.offshore-energy.biz/houston-ship-channel-could-host-large-scale-ammonia-production-and-export-project/</t>
  </si>
  <si>
    <t>https://direct.argusmedia.com/newsandanalysis/Article/2495021</t>
  </si>
  <si>
    <t>[1] [2] [4] [7] [8] [9] [34]</t>
  </si>
  <si>
    <t>[3] [4] [7]</t>
  </si>
  <si>
    <t>[2] [3] [121]</t>
  </si>
  <si>
    <t>[3] [192]</t>
  </si>
  <si>
    <t>[1] [3] [5] [7] [9] [737]</t>
  </si>
  <si>
    <t>[5] [179] [180]</t>
  </si>
  <si>
    <t>[2] [3] [7] [94]</t>
  </si>
  <si>
    <t>[1] [2] [5] [7] [41]</t>
  </si>
  <si>
    <t>[2]</t>
  </si>
  <si>
    <t>[1] [5] [87] [89] [90]</t>
  </si>
  <si>
    <t>[283]</t>
  </si>
  <si>
    <t>[2] [175] [209]</t>
  </si>
  <si>
    <t>[2157]</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</si>
  <si>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</si>
  <si>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orbel"/>
        <family val="2"/>
      </rPr>
      <t>2</t>
    </r>
    <r>
      <rPr>
        <sz val="11"/>
        <color rgb="FF808080"/>
        <rFont val="Corbel"/>
        <family val="2"/>
      </rPr>
      <t xml:space="preserve"> capture, utilisation and storage.</t>
    </r>
  </si>
  <si>
    <r>
      <t>Hydrogen production from natural gas reforming (steam reforming, autothermal reforming or other advanced reforming technologies) coupled with CO</t>
    </r>
    <r>
      <rPr>
        <vertAlign val="subscript"/>
        <sz val="11"/>
        <color rgb="FF808080"/>
        <rFont val="Corbel"/>
        <family val="2"/>
      </rPr>
      <t>2</t>
    </r>
    <r>
      <rPr>
        <sz val="11"/>
        <color rgb="FF808080"/>
        <rFont val="Corbel"/>
        <family val="2"/>
      </rPr>
      <t xml:space="preserve"> capture, utilisation and storage.</t>
    </r>
  </si>
  <si>
    <r>
      <t>Hydrogen production from oil-based processes (reforming, cracking or gasification of oil products) coupled with CO</t>
    </r>
    <r>
      <rPr>
        <vertAlign val="subscript"/>
        <sz val="11"/>
        <color rgb="FF808080"/>
        <rFont val="Corbel"/>
        <family val="2"/>
      </rPr>
      <t xml:space="preserve">2 </t>
    </r>
    <r>
      <rPr>
        <sz val="11"/>
        <color rgb="FF808080"/>
        <rFont val="Corbel"/>
        <family val="2"/>
      </rPr>
      <t>capture, utilisation and storage.</t>
    </r>
  </si>
  <si>
    <r>
      <t>CH</t>
    </r>
    <r>
      <rPr>
        <vertAlign val="subscript"/>
        <sz val="11"/>
        <color rgb="FF808080"/>
        <rFont val="Corbel"/>
        <family val="2"/>
      </rPr>
      <t>4</t>
    </r>
    <r>
      <rPr>
        <sz val="11"/>
        <color rgb="FF808080"/>
        <rFont val="Corbel"/>
        <family val="2"/>
      </rPr>
      <t> </t>
    </r>
  </si>
  <si>
    <r>
      <t>H</t>
    </r>
    <r>
      <rPr>
        <vertAlign val="subscript"/>
        <sz val="11"/>
        <color rgb="FF808080"/>
        <rFont val="Corbel"/>
        <family val="2"/>
      </rPr>
      <t>2</t>
    </r>
  </si>
  <si>
    <r>
      <t>CH</t>
    </r>
    <r>
      <rPr>
        <vertAlign val="subscript"/>
        <sz val="11"/>
        <color rgb="FF808080"/>
        <rFont val="Corbel"/>
        <family val="2"/>
      </rPr>
      <t>4</t>
    </r>
    <r>
      <rPr>
        <sz val="11"/>
        <color rgb="FF808080"/>
        <rFont val="Corbel"/>
        <family val="2"/>
      </rPr>
      <t xml:space="preserve"> grid inj.</t>
    </r>
  </si>
  <si>
    <r>
      <t>CH</t>
    </r>
    <r>
      <rPr>
        <vertAlign val="subscript"/>
        <sz val="11"/>
        <color rgb="FF808080"/>
        <rFont val="Corbel"/>
        <family val="2"/>
      </rPr>
      <t>4</t>
    </r>
    <r>
      <rPr>
        <sz val="11"/>
        <color rgb="FF808080"/>
        <rFont val="Corbel"/>
        <family val="2"/>
      </rPr>
      <t xml:space="preserve"> mobility</t>
    </r>
  </si>
  <si>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</si>
  <si>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r>
      <t>It has not been possible to make definitive judgements of the sources of electricity or the fate of captured CO</t>
    </r>
    <r>
      <rPr>
        <vertAlign val="subscript"/>
        <sz val="11"/>
        <color rgb="FF808080"/>
        <rFont val="Corbel"/>
        <family val="2"/>
      </rPr>
      <t>2</t>
    </r>
    <r>
      <rPr>
        <sz val="11"/>
        <color rgb="FF808080"/>
        <rFont val="Corbel"/>
        <family val="2"/>
      </rPr>
      <t xml:space="preserve"> for all of the projects (i.e. whether or not it is all permanently geologically stored or equivalent). While they are likely to have widely varying CO</t>
    </r>
    <r>
      <rPr>
        <vertAlign val="subscript"/>
        <sz val="11"/>
        <color rgb="FF808080"/>
        <rFont val="Corbel"/>
        <family val="2"/>
      </rPr>
      <t>2</t>
    </r>
    <r>
      <rPr>
        <sz val="11"/>
        <color rgb="FF808080"/>
        <rFont val="Corbel"/>
        <family val="2"/>
      </rPr>
      <t xml:space="preserve"> intensities across their supply chains in practice, all have the potential to be low-carbon.</t>
    </r>
    <r>
      <rPr>
        <sz val="11"/>
        <color rgb="FF000000"/>
        <rFont val="Corbel"/>
        <family val="2"/>
      </rPr>
      <t xml:space="preserve"> </t>
    </r>
  </si>
  <si>
    <t>Synthetic liquid fuels (e.g. gasoline, diesel, jetfuel equivalent).</t>
  </si>
  <si>
    <t>Use of hydrogen in steelmaking (direct reduced iron, injection in blast furnaces, hot finishing and other high-temperature processes).</t>
  </si>
  <si>
    <t>For projects in which size has been announced as production output, the capacity has been estimated assuming the following capacity factors:</t>
  </si>
  <si>
    <t>Ammonia lower heating value: 0.019 PJ/kt.</t>
  </si>
  <si>
    <t>Methanol lower heating value: 0.020 PJ/kt.</t>
  </si>
  <si>
    <t>Methanol density: 792 kg/m³.</t>
  </si>
  <si>
    <t>Kerosene lower heating value: 0.045 PJ/kt.</t>
  </si>
  <si>
    <t>Diesel lower heating value: 0.043 PJ/kt.</t>
  </si>
  <si>
    <t>HEFA/HVO lower heating value: 0.044PJ/kt.</t>
  </si>
  <si>
    <t>Methane lower heating value: 0.050 PJ/kt.</t>
  </si>
  <si>
    <r>
      <t>Specific H</t>
    </r>
    <r>
      <rPr>
        <vertAlign val="subscript"/>
        <sz val="11"/>
        <color rgb="FF808080"/>
        <rFont val="Corbel"/>
        <family val="2"/>
      </rPr>
      <t>2</t>
    </r>
    <r>
      <rPr>
        <sz val="11"/>
        <color rgb="FF808080"/>
        <rFont val="Corbel"/>
        <family val="2"/>
      </rPr>
      <t xml:space="preserve"> requirement for ammonia (t/t): 0.180072; Conversion losses 2%.</t>
    </r>
  </si>
  <si>
    <r>
      <t>Specific H</t>
    </r>
    <r>
      <rPr>
        <vertAlign val="subscript"/>
        <sz val="11"/>
        <color rgb="FF808080"/>
        <rFont val="Corbel"/>
        <family val="2"/>
      </rPr>
      <t>2</t>
    </r>
    <r>
      <rPr>
        <sz val="11"/>
        <color rgb="FF808080"/>
        <rFont val="Corbel"/>
        <family val="2"/>
      </rPr>
      <t xml:space="preserve"> requirement for synthetic methanol (t/t) 0.191327; Conversion losses 2%.</t>
    </r>
  </si>
  <si>
    <r>
      <t>Specific H</t>
    </r>
    <r>
      <rPr>
        <vertAlign val="subscript"/>
        <sz val="11"/>
        <color rgb="FF808080"/>
        <rFont val="Corbel"/>
        <family val="2"/>
      </rPr>
      <t>2</t>
    </r>
    <r>
      <rPr>
        <sz val="11"/>
        <color rgb="FF808080"/>
        <rFont val="Corbel"/>
        <family val="2"/>
      </rPr>
      <t xml:space="preserve"> requirement for fossil methanol (t/t) 0.127551; Conversion losses 2%.</t>
    </r>
  </si>
  <si>
    <r>
      <t>Specific H</t>
    </r>
    <r>
      <rPr>
        <vertAlign val="subscript"/>
        <sz val="11"/>
        <color rgb="FF808080"/>
        <rFont val="Corbel"/>
        <family val="2"/>
      </rPr>
      <t>2</t>
    </r>
    <r>
      <rPr>
        <sz val="11"/>
        <color rgb="FF808080"/>
        <rFont val="Corbel"/>
        <family val="2"/>
      </rPr>
      <t xml:space="preserve"> requirement for DRI: 0.06277 t H</t>
    </r>
    <r>
      <rPr>
        <vertAlign val="subscript"/>
        <sz val="11"/>
        <color rgb="FF808080"/>
        <rFont val="Corbel"/>
        <family val="2"/>
      </rPr>
      <t>2</t>
    </r>
    <r>
      <rPr>
        <sz val="11"/>
        <color rgb="FF808080"/>
        <rFont val="Corbel"/>
        <family val="2"/>
      </rPr>
      <t>/t crude steel.</t>
    </r>
  </si>
  <si>
    <r>
      <t>Specific H</t>
    </r>
    <r>
      <rPr>
        <vertAlign val="subscript"/>
        <sz val="11"/>
        <color rgb="FF808080"/>
        <rFont val="Corbel"/>
        <family val="2"/>
      </rPr>
      <t>2</t>
    </r>
    <r>
      <rPr>
        <sz val="11"/>
        <color rgb="FF808080"/>
        <rFont val="Corbel"/>
        <family val="2"/>
      </rPr>
      <t xml:space="preserve"> requirement for HVO diesel: 12.4 MJ H</t>
    </r>
    <r>
      <rPr>
        <vertAlign val="subscript"/>
        <sz val="11"/>
        <color rgb="FF808080"/>
        <rFont val="Corbel"/>
        <family val="2"/>
      </rPr>
      <t>2</t>
    </r>
    <r>
      <rPr>
        <sz val="11"/>
        <color rgb="FF808080"/>
        <rFont val="Corbel"/>
        <family val="2"/>
      </rPr>
      <t>/MJ HVO.</t>
    </r>
  </si>
  <si>
    <r>
      <t>Specific H</t>
    </r>
    <r>
      <rPr>
        <vertAlign val="subscript"/>
        <sz val="11"/>
        <color rgb="FF808080"/>
        <rFont val="Corbel"/>
        <family val="2"/>
      </rPr>
      <t>2</t>
    </r>
    <r>
      <rPr>
        <sz val="11"/>
        <color rgb="FF808080"/>
        <rFont val="Corbel"/>
        <family val="2"/>
      </rPr>
      <t xml:space="preserve">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</si>
  <si>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lower heating value: 0.12 PJ/kt.</t>
    </r>
  </si>
  <si>
    <r>
      <t>H</t>
    </r>
    <r>
      <rPr>
        <vertAlign val="subscript"/>
        <sz val="11"/>
        <color rgb="FF808080"/>
        <rFont val="Corbel"/>
        <family val="2"/>
      </rPr>
      <t>2</t>
    </r>
    <r>
      <rPr>
        <sz val="11"/>
        <color rgb="FF808080"/>
        <rFont val="Corbel"/>
        <family val="2"/>
      </rPr>
      <t xml:space="preserve"> density in standard conditions: 0.089 kg/m</t>
    </r>
    <r>
      <rPr>
        <vertAlign val="superscript"/>
        <sz val="11"/>
        <color rgb="FF808080"/>
        <rFont val="Corbel"/>
        <family val="2"/>
      </rPr>
      <t>3</t>
    </r>
    <r>
      <rPr>
        <sz val="11"/>
        <color rgb="FF808080"/>
        <rFont val="Corbel"/>
        <family val="2"/>
      </rPr>
      <t>.</t>
    </r>
  </si>
  <si>
    <r>
      <t>Kerosene density: 803 kg/m</t>
    </r>
    <r>
      <rPr>
        <vertAlign val="superscript"/>
        <sz val="11"/>
        <color rgb="FF808080"/>
        <rFont val="Corbel"/>
        <family val="2"/>
      </rPr>
      <t>3</t>
    </r>
    <r>
      <rPr>
        <sz val="11"/>
        <color rgb="FF808080"/>
        <rFont val="Corbel"/>
        <family val="2"/>
      </rPr>
      <t>.</t>
    </r>
  </si>
  <si>
    <r>
      <t>Diesel density: 844 kg/m</t>
    </r>
    <r>
      <rPr>
        <vertAlign val="superscript"/>
        <sz val="11"/>
        <color rgb="FF808080"/>
        <rFont val="Corbel"/>
        <family val="2"/>
      </rPr>
      <t>3</t>
    </r>
    <r>
      <rPr>
        <sz val="11"/>
        <color rgb="FF808080"/>
        <rFont val="Corbel"/>
        <family val="2"/>
      </rPr>
      <t>.</t>
    </r>
  </si>
  <si>
    <t>H24U project (former Proyecto Verne)</t>
  </si>
  <si>
    <t>15 kt H2/y production</t>
  </si>
  <si>
    <t>https://www.energiaestrategica.com/el-primer-proyecto-piloto-de-hidrogeno-verde-de-uruguay-podria-estar-operativo-en-2025/</t>
  </si>
  <si>
    <t>https://exploracionyproduccion.ancap.com.uy/innovaportal/file/14868/1/energy-opportunities-offshore-uruguay---s-ferro-image-2022-houston.pdf</t>
  </si>
  <si>
    <t>https://www.lenergygroup.com/adjudican-licitacion-internacional-para-epc-de-electrolizadores-de-hidrogeno-verde-en-peru/</t>
  </si>
  <si>
    <t>25MW or 50t NH3/d</t>
  </si>
  <si>
    <t>https://fortescue.com/what-we-do/our-projects/holmaneset</t>
  </si>
  <si>
    <t>1000000t CO2/y - 100 kt/y</t>
  </si>
  <si>
    <t>Project Name</t>
  </si>
  <si>
    <t>nm³ H₂/h</t>
  </si>
  <si>
    <t>IEA zero-carbon estimated normalized capacity[nm³ H₂/hour]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</si>
</sst>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4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1"/>
      <color theme="1"/>
      <name val="Calibri"/>
      <family val="2"/>
    </font>
    <font>
      <b/>
      <sz val="14"/>
      <color rgb="FF004BFF"/>
      <name val="Calibri"/>
      <family val="2"/>
      <scheme val="minor"/>
    </font>
    <font>
      <sz val="10"/>
      <color theme="1"/>
      <name val="Arial"/>
      <family val="2"/>
    </font>
    <font>
      <sz val="11"/>
      <color theme="0"/>
      <name val="Calibri"/>
      <family val="2"/>
    </font>
    <font>
      <sz val="11"/>
      <color theme="1"/>
      <name val="Corbel"/>
      <family val="2"/>
    </font>
    <font>
      <sz val="11"/>
      <name val="Corbel"/>
      <family val="2"/>
    </font>
    <font>
      <sz val="11"/>
      <color rgb="FFFF0000"/>
      <name val="Calibri"/>
      <family val="2"/>
      <scheme val="minor"/>
    </font>
    <font>
      <sz val="10"/>
      <color theme="1"/>
      <name val="Corbel"/>
      <family val="2"/>
    </font>
    <font>
      <sz val="10"/>
      <name val="Corbel"/>
      <family val="2"/>
    </font>
    <font>
      <strike/>
      <sz val="10"/>
      <color theme="1"/>
      <name val="Corbel"/>
      <family val="2"/>
    </font>
    <font>
      <vertAlign val="superscript"/>
      <sz val="7"/>
      <color theme="1"/>
      <name val="Corbel"/>
      <family val="2"/>
    </font>
    <font>
      <sz val="7"/>
      <color theme="1"/>
      <name val="Corbel"/>
      <family val="2"/>
    </font>
    <font>
      <vertAlign val="subscript"/>
      <sz val="7"/>
      <color theme="1"/>
      <name val="Corbel"/>
      <family val="2"/>
    </font>
    <font>
      <b/>
      <sz val="11"/>
      <color rgb="FF004BFF"/>
      <name val="Corbel"/>
      <family val="2"/>
    </font>
    <font>
      <sz val="11"/>
      <color rgb="FF004BFF"/>
      <name val="Corbel"/>
      <family val="2"/>
    </font>
    <font>
      <sz val="11"/>
      <color rgb="FF808080"/>
      <name val="Corbel"/>
      <family val="2"/>
    </font>
    <font>
      <sz val="11"/>
      <color rgb="FF0070C0"/>
      <name val="Corbel"/>
      <family val="2"/>
    </font>
    <font>
      <vertAlign val="subscript"/>
      <sz val="11"/>
      <color rgb="FF004BFF"/>
      <name val="Corbel"/>
      <family val="2"/>
    </font>
    <font>
      <vertAlign val="subscript"/>
      <sz val="11"/>
      <color rgb="FF808080"/>
      <name val="Corbel"/>
      <family val="2"/>
    </font>
    <font>
      <u/>
      <sz val="11"/>
      <color theme="10"/>
      <name val="Corbel"/>
      <family val="2"/>
    </font>
    <font>
      <vertAlign val="superscript"/>
      <sz val="11"/>
      <name val="Corbel"/>
      <family val="2"/>
    </font>
    <font>
      <sz val="11"/>
      <color rgb="FF000000"/>
      <name val="Corbel"/>
      <family val="2"/>
    </font>
    <font>
      <vertAlign val="superscript"/>
      <sz val="11"/>
      <color rgb="FF808080"/>
      <name val="Corbe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theme="0"/>
      </left>
      <right style="thin">
        <color theme="0"/>
      </right>
      <top style="thin">
        <color theme="0"/>
      </top>
      <bottom/>
      <diagonal/>
    </border>
    <border>
      <left/>
      <right/>
      <top style="thin">
        <color theme="4" tint="0.39997558519241921"/>
      </top>
      <bottom style="thin">
        <color theme="4" tint="0.39997558519241921"/>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1" fillId="0" borderId="0" applyFont="0" applyFill="0" applyBorder="0" applyAlignment="0" applyProtection="0"/>
    <xf numFmtId="0" fontId="17" fillId="6" borderId="0" applyNumberFormat="0" applyBorder="0" applyAlignment="0" applyProtection="0"/>
    <xf numFmtId="0" fontId="18" fillId="0" borderId="0"/>
  </cellStyleXfs>
  <cellXfs count="128">
    <xf numFmtId="0" fontId="0" fillId="0" borderId="0" xfId="0"/>
    <xf numFmtId="0" fontId="8" fillId="2" borderId="0" xfId="0" applyFont="1" applyFill="1" applyAlignment="1">
      <alignment horizontal="left" vertical="top"/>
    </xf>
    <xf numFmtId="0" fontId="0" fillId="2" borderId="0" xfId="0" applyFill="1" applyAlignment="1">
      <alignment horizontal="left" vertical="top"/>
    </xf>
    <xf numFmtId="0" fontId="5" fillId="2" borderId="0" xfId="0" applyFont="1" applyFill="1" applyAlignment="1">
      <alignment horizontal="left" vertical="top"/>
    </xf>
    <xf numFmtId="0" fontId="2" fillId="2" borderId="0" xfId="0" applyFont="1" applyFill="1" applyAlignment="1">
      <alignment horizontal="left" vertical="top"/>
    </xf>
    <xf numFmtId="0" fontId="0" fillId="2" borderId="0" xfId="5" applyFont="1" applyFill="1" applyAlignment="1">
      <alignment horizontal="left" vertical="top"/>
    </xf>
    <xf numFmtId="0" fontId="0" fillId="2" borderId="0" xfId="0" applyFill="1"/>
    <xf numFmtId="0" fontId="0" fillId="3" borderId="0" xfId="0" applyFill="1"/>
    <xf numFmtId="0" fontId="11" fillId="2" borderId="0" xfId="0" applyFont="1" applyFill="1" applyAlignment="1">
      <alignment horizontal="left" vertical="center" wrapText="1"/>
    </xf>
    <xf numFmtId="0" fontId="12" fillId="2" borderId="0" xfId="0" applyFont="1" applyFill="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Alignment="1">
      <alignment horizontal="left" vertical="top" wrapText="1"/>
    </xf>
    <xf numFmtId="0" fontId="4" fillId="2" borderId="0" xfId="0" applyFont="1" applyFill="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xf numFmtId="0" fontId="3" fillId="6" borderId="0" xfId="1" applyFill="1" applyAlignment="1">
      <alignment wrapText="1"/>
    </xf>
    <xf numFmtId="0" fontId="3" fillId="0" borderId="0" xfId="1" applyAlignment="1">
      <alignment vertical="center"/>
    </xf>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14" fillId="10" borderId="1" xfId="0" applyFont="1" applyFill="1" applyBorder="1" applyAlignment="1">
      <alignment horizontal="center" vertical="center"/>
    </xf>
    <xf numFmtId="0" fontId="14" fillId="10" borderId="1" xfId="0" applyFont="1" applyFill="1" applyBorder="1" applyAlignment="1">
      <alignment horizontal="center" vertical="center" textRotation="90"/>
    </xf>
    <xf numFmtId="0" fontId="14" fillId="10" borderId="1" xfId="0" applyFont="1" applyFill="1" applyBorder="1" applyAlignment="1">
      <alignment vertical="center"/>
    </xf>
    <xf numFmtId="0" fontId="14" fillId="10" borderId="1" xfId="0" applyFont="1" applyFill="1" applyBorder="1" applyAlignment="1">
      <alignment vertical="center" wrapText="1"/>
    </xf>
    <xf numFmtId="0" fontId="0" fillId="2" borderId="0" xfId="0" applyFill="1" applyAlignment="1">
      <alignment horizontal="left" vertical="top" wrapText="1"/>
    </xf>
    <xf numFmtId="0" fontId="19" fillId="12" borderId="0" xfId="0" applyFont="1" applyFill="1" applyAlignment="1">
      <alignment horizontal="left" vertical="center" wrapText="1"/>
    </xf>
    <xf numFmtId="0" fontId="19" fillId="8" borderId="0" xfId="0" applyFont="1" applyFill="1" applyAlignment="1">
      <alignment horizontal="left" vertical="center" wrapText="1"/>
    </xf>
    <xf numFmtId="0" fontId="10" fillId="10" borderId="0" xfId="0" applyFont="1" applyFill="1" applyAlignment="1">
      <alignment horizontal="left" vertical="top" wrapText="1"/>
    </xf>
    <xf numFmtId="0" fontId="20" fillId="2" borderId="0" xfId="0" applyFont="1" applyFill="1" applyAlignment="1">
      <alignment horizontal="left" vertical="top"/>
    </xf>
    <xf numFmtId="0" fontId="21" fillId="0" borderId="0" xfId="0" applyFont="1"/>
    <xf numFmtId="0" fontId="22" fillId="11" borderId="0" xfId="0" applyFont="1" applyFill="1" applyAlignment="1">
      <alignment horizontal="left" vertical="center" wrapText="1"/>
    </xf>
    <xf numFmtId="0" fontId="23" fillId="0" borderId="0" xfId="0" applyFont="1" applyAlignment="1">
      <alignment horizontal="center" vertical="center"/>
    </xf>
    <xf numFmtId="0" fontId="24" fillId="14" borderId="1" xfId="0" applyFont="1" applyFill="1" applyBorder="1" applyAlignment="1">
      <alignment vertical="center" wrapText="1"/>
    </xf>
    <xf numFmtId="0" fontId="26" fillId="8" borderId="0" xfId="0" applyFont="1" applyFill="1" applyAlignment="1">
      <alignment vertical="center"/>
    </xf>
    <xf numFmtId="0" fontId="19" fillId="12" borderId="0" xfId="0" applyFont="1" applyFill="1" applyAlignment="1">
      <alignment horizontal="center" vertical="center" wrapText="1"/>
    </xf>
    <xf numFmtId="1" fontId="19" fillId="12" borderId="0" xfId="0" applyNumberFormat="1" applyFont="1" applyFill="1" applyAlignment="1">
      <alignment horizontal="center" vertical="center" wrapText="1"/>
    </xf>
    <xf numFmtId="0" fontId="26" fillId="5" borderId="0" xfId="0" applyFont="1" applyFill="1" applyAlignment="1">
      <alignment vertical="center"/>
    </xf>
    <xf numFmtId="0" fontId="26" fillId="0" borderId="0" xfId="0" applyFont="1" applyAlignment="1">
      <alignment vertical="center"/>
    </xf>
    <xf numFmtId="0" fontId="22" fillId="11" borderId="0" xfId="0" applyFont="1" applyFill="1" applyAlignment="1">
      <alignment horizontal="center" vertical="center" wrapText="1"/>
    </xf>
    <xf numFmtId="1" fontId="22" fillId="11" borderId="0" xfId="0" applyNumberFormat="1" applyFont="1" applyFill="1" applyAlignment="1">
      <alignment horizontal="center" vertical="center" wrapText="1"/>
    </xf>
    <xf numFmtId="0" fontId="26" fillId="13" borderId="0" xfId="0" applyFont="1" applyFill="1" applyAlignment="1">
      <alignment vertical="center"/>
    </xf>
    <xf numFmtId="0" fontId="27" fillId="13" borderId="0" xfId="0" applyFont="1" applyFill="1" applyAlignment="1">
      <alignment vertical="center"/>
    </xf>
    <xf numFmtId="0" fontId="26" fillId="13" borderId="0" xfId="0" applyFont="1" applyFill="1" applyAlignment="1">
      <alignment horizontal="center" vertical="center"/>
    </xf>
    <xf numFmtId="1" fontId="26" fillId="13" borderId="0" xfId="0" applyNumberFormat="1" applyFont="1" applyFill="1" applyAlignment="1">
      <alignment horizontal="center" vertical="center"/>
    </xf>
    <xf numFmtId="164" fontId="26" fillId="13" borderId="0" xfId="0" applyNumberFormat="1" applyFont="1" applyFill="1" applyAlignment="1">
      <alignment horizontal="center" vertical="center"/>
    </xf>
    <xf numFmtId="0" fontId="26" fillId="13" borderId="0" xfId="0" applyFont="1" applyFill="1" applyAlignment="1">
      <alignment vertical="center" wrapText="1"/>
    </xf>
    <xf numFmtId="0" fontId="28" fillId="0" borderId="0" xfId="0" applyFont="1" applyAlignment="1">
      <alignment vertical="center"/>
    </xf>
    <xf numFmtId="0" fontId="27" fillId="8" borderId="0" xfId="0" applyFont="1" applyFill="1" applyAlignment="1">
      <alignment vertical="center"/>
    </xf>
    <xf numFmtId="0" fontId="26" fillId="8" borderId="0" xfId="0" applyFont="1" applyFill="1" applyAlignment="1">
      <alignment horizontal="center" vertical="center"/>
    </xf>
    <xf numFmtId="1" fontId="26" fillId="8" borderId="0" xfId="0" applyNumberFormat="1" applyFont="1" applyFill="1" applyAlignment="1">
      <alignment horizontal="center" vertical="center"/>
    </xf>
    <xf numFmtId="164" fontId="26" fillId="8" borderId="0" xfId="0" applyNumberFormat="1" applyFont="1" applyFill="1" applyAlignment="1">
      <alignment horizontal="center" vertical="center"/>
    </xf>
    <xf numFmtId="0" fontId="26" fillId="8" borderId="0" xfId="0" applyFont="1" applyFill="1" applyAlignment="1">
      <alignment vertical="center" wrapText="1"/>
    </xf>
    <xf numFmtId="0" fontId="26" fillId="8" borderId="0" xfId="0" applyFont="1" applyFill="1" applyAlignment="1">
      <alignment horizontal="center" vertical="center" wrapText="1"/>
    </xf>
    <xf numFmtId="0" fontId="4" fillId="8" borderId="0" xfId="0" applyFont="1" applyFill="1" applyAlignment="1">
      <alignment horizontal="left" vertical="center" wrapText="1"/>
    </xf>
    <xf numFmtId="0" fontId="26" fillId="7" borderId="0" xfId="0" applyFont="1" applyFill="1" applyAlignment="1">
      <alignment vertical="center"/>
    </xf>
    <xf numFmtId="0" fontId="27" fillId="7" borderId="0" xfId="0" applyFont="1" applyFill="1" applyAlignment="1">
      <alignment vertical="center"/>
    </xf>
    <xf numFmtId="0" fontId="26" fillId="7" borderId="0" xfId="0" applyFont="1" applyFill="1" applyAlignment="1">
      <alignment horizontal="center" vertical="center"/>
    </xf>
    <xf numFmtId="1" fontId="26" fillId="7" borderId="0" xfId="0" applyNumberFormat="1" applyFont="1" applyFill="1" applyAlignment="1">
      <alignment horizontal="center" vertical="center"/>
    </xf>
    <xf numFmtId="164" fontId="26" fillId="7" borderId="0" xfId="0" applyNumberFormat="1" applyFont="1" applyFill="1" applyAlignment="1">
      <alignment horizontal="center" vertical="center"/>
    </xf>
    <xf numFmtId="0" fontId="26" fillId="7" borderId="0" xfId="0" applyFont="1" applyFill="1" applyAlignment="1">
      <alignment vertical="center" wrapText="1"/>
    </xf>
    <xf numFmtId="165" fontId="26" fillId="8" borderId="0" xfId="0" applyNumberFormat="1" applyFont="1" applyFill="1" applyAlignment="1">
      <alignment horizontal="center" vertical="center"/>
    </xf>
    <xf numFmtId="0" fontId="27" fillId="8" borderId="2" xfId="0" applyFont="1" applyFill="1" applyBorder="1" applyAlignment="1">
      <alignment vertical="center"/>
    </xf>
    <xf numFmtId="0" fontId="26" fillId="8" borderId="2" xfId="0" applyFont="1" applyFill="1" applyBorder="1" applyAlignment="1">
      <alignment vertical="center"/>
    </xf>
    <xf numFmtId="2" fontId="26" fillId="8" borderId="0" xfId="0" applyNumberFormat="1" applyFont="1" applyFill="1" applyAlignment="1">
      <alignment horizontal="center" vertical="center"/>
    </xf>
    <xf numFmtId="0" fontId="27" fillId="8" borderId="0" xfId="0" applyFont="1" applyFill="1" applyAlignment="1">
      <alignment vertical="center" wrapText="1"/>
    </xf>
    <xf numFmtId="0" fontId="27" fillId="13" borderId="0" xfId="0" applyFont="1" applyFill="1" applyAlignment="1">
      <alignment horizontal="center" vertical="center"/>
    </xf>
    <xf numFmtId="1" fontId="27" fillId="13" borderId="0" xfId="0" applyNumberFormat="1" applyFont="1" applyFill="1" applyAlignment="1">
      <alignment horizontal="center" vertical="center"/>
    </xf>
    <xf numFmtId="0" fontId="27" fillId="13" borderId="0" xfId="0" applyFont="1" applyFill="1" applyAlignment="1">
      <alignment vertical="center" wrapText="1"/>
    </xf>
    <xf numFmtId="2" fontId="26" fillId="5" borderId="0" xfId="0" applyNumberFormat="1" applyFont="1" applyFill="1" applyAlignment="1">
      <alignment vertical="center"/>
    </xf>
    <xf numFmtId="0" fontId="26" fillId="8" borderId="0" xfId="0" applyFont="1" applyFill="1" applyAlignment="1">
      <alignment horizontal="left" vertical="center"/>
    </xf>
    <xf numFmtId="0" fontId="26" fillId="8" borderId="2" xfId="0" applyFont="1" applyFill="1" applyBorder="1" applyAlignment="1">
      <alignment horizontal="center" vertical="center"/>
    </xf>
    <xf numFmtId="1" fontId="26" fillId="8" borderId="2" xfId="0" applyNumberFormat="1" applyFont="1" applyFill="1" applyBorder="1" applyAlignment="1">
      <alignment horizontal="center" vertical="center"/>
    </xf>
    <xf numFmtId="0" fontId="26" fillId="8" borderId="2" xfId="0" applyFont="1" applyFill="1" applyBorder="1" applyAlignment="1">
      <alignment vertical="center" wrapText="1"/>
    </xf>
    <xf numFmtId="0" fontId="26" fillId="5" borderId="2" xfId="0" applyFont="1" applyFill="1" applyBorder="1" applyAlignment="1">
      <alignment vertical="center"/>
    </xf>
    <xf numFmtId="0" fontId="26" fillId="0" borderId="0" xfId="0" applyFont="1" applyAlignment="1">
      <alignment horizontal="center" vertical="center"/>
    </xf>
    <xf numFmtId="1" fontId="26" fillId="0" borderId="0" xfId="0" applyNumberFormat="1" applyFont="1" applyAlignment="1">
      <alignment horizontal="center" vertical="center"/>
    </xf>
    <xf numFmtId="0" fontId="26" fillId="0" borderId="0" xfId="0" applyFont="1" applyAlignment="1">
      <alignment vertical="center" wrapText="1"/>
    </xf>
    <xf numFmtId="0" fontId="3" fillId="6" borderId="0" xfId="1" applyFill="1"/>
    <xf numFmtId="0" fontId="3" fillId="2" borderId="0" xfId="1" applyFill="1" applyAlignment="1">
      <alignment horizontal="left" vertical="top"/>
    </xf>
    <xf numFmtId="0" fontId="3" fillId="15" borderId="0" xfId="1" applyFill="1" applyBorder="1" applyAlignment="1">
      <alignment horizontal="left" vertical="top"/>
    </xf>
    <xf numFmtId="0" fontId="3" fillId="0" borderId="0" xfId="1" applyFill="1" applyBorder="1" applyAlignment="1">
      <alignment horizontal="left" vertical="top"/>
    </xf>
    <xf numFmtId="0" fontId="14" fillId="10" borderId="1" xfId="0" applyFont="1" applyFill="1" applyBorder="1" applyAlignment="1">
      <alignment horizontal="center" vertical="center" wrapText="1"/>
    </xf>
    <xf numFmtId="0" fontId="4" fillId="12" borderId="0" xfId="0" applyFont="1" applyFill="1" applyAlignment="1">
      <alignment horizontal="left" vertical="center" wrapText="1"/>
    </xf>
    <xf numFmtId="0" fontId="4" fillId="11" borderId="0" xfId="0" applyFont="1" applyFill="1" applyAlignment="1">
      <alignment horizontal="left" vertical="center" wrapText="1"/>
    </xf>
    <xf numFmtId="0" fontId="26" fillId="14" borderId="0" xfId="0" applyFont="1" applyFill="1" applyAlignment="1">
      <alignment vertical="center" wrapText="1"/>
    </xf>
    <xf numFmtId="0" fontId="23" fillId="2" borderId="0" xfId="0" applyFont="1" applyFill="1" applyAlignment="1">
      <alignment horizontal="left" vertical="center"/>
    </xf>
    <xf numFmtId="0" fontId="23" fillId="0" borderId="0" xfId="0" applyFont="1" applyAlignment="1">
      <alignment horizontal="left" vertical="center"/>
    </xf>
    <xf numFmtId="0" fontId="23" fillId="3" borderId="0" xfId="0" applyFont="1" applyFill="1" applyAlignment="1">
      <alignment horizontal="left" vertical="center"/>
    </xf>
    <xf numFmtId="0" fontId="32" fillId="2" borderId="0" xfId="0" applyFont="1" applyFill="1" applyAlignment="1">
      <alignment horizontal="left" vertical="center"/>
    </xf>
    <xf numFmtId="0" fontId="33" fillId="2" borderId="0" xfId="0" applyFont="1" applyFill="1" applyAlignment="1">
      <alignment horizontal="left" vertical="center"/>
    </xf>
    <xf numFmtId="0" fontId="24" fillId="2" borderId="0" xfId="0" applyFont="1" applyFill="1" applyAlignment="1">
      <alignment horizontal="left" vertical="center" wrapText="1"/>
    </xf>
    <xf numFmtId="0" fontId="34" fillId="2" borderId="0" xfId="0" applyFont="1" applyFill="1" applyAlignment="1">
      <alignment horizontal="left" vertical="center"/>
    </xf>
    <xf numFmtId="0" fontId="35" fillId="2" borderId="0" xfId="0" applyFont="1" applyFill="1" applyAlignment="1">
      <alignment horizontal="left" vertical="center" wrapText="1"/>
    </xf>
    <xf numFmtId="0" fontId="38" fillId="2" borderId="0" xfId="1" applyFont="1" applyFill="1" applyAlignment="1" applyProtection="1">
      <alignment horizontal="left" vertical="center"/>
    </xf>
    <xf numFmtId="0" fontId="33" fillId="2" borderId="0" xfId="0" applyFont="1" applyFill="1"/>
    <xf numFmtId="0" fontId="34" fillId="2" borderId="0" xfId="0" applyFont="1" applyFill="1"/>
    <xf numFmtId="0" fontId="39" fillId="2" borderId="0" xfId="0" applyFont="1" applyFill="1" applyAlignment="1">
      <alignment horizontal="left" vertical="center" wrapText="1"/>
    </xf>
    <xf numFmtId="0" fontId="38" fillId="2" borderId="0" xfId="1" applyFont="1" applyFill="1" applyAlignment="1" applyProtection="1">
      <alignment horizontal="left" vertical="center" wrapText="1"/>
    </xf>
    <xf numFmtId="0" fontId="23" fillId="2" borderId="0" xfId="0" applyFont="1" applyFill="1" applyAlignment="1">
      <alignment horizontal="left" vertical="center" wrapText="1"/>
    </xf>
    <xf numFmtId="0" fontId="23" fillId="2" borderId="0" xfId="0" applyFont="1" applyFill="1"/>
    <xf numFmtId="0" fontId="34" fillId="2" borderId="0" xfId="0" applyFont="1" applyFill="1" applyAlignment="1">
      <alignment vertical="center"/>
    </xf>
    <xf numFmtId="0" fontId="32" fillId="2" borderId="0" xfId="0" applyFont="1" applyFill="1"/>
    <xf numFmtId="0" fontId="23" fillId="12" borderId="0" xfId="0" applyFont="1" applyFill="1" applyAlignment="1">
      <alignment horizontal="left" vertical="center"/>
    </xf>
    <xf numFmtId="0" fontId="14" fillId="11" borderId="0" xfId="0" applyFont="1" applyFill="1" applyAlignment="1">
      <alignment horizontal="left" vertical="center"/>
    </xf>
    <xf numFmtId="0" fontId="24" fillId="11" borderId="0" xfId="0" applyFont="1" applyFill="1" applyAlignment="1">
      <alignment horizontal="left" vertical="center"/>
    </xf>
    <xf numFmtId="0" fontId="23" fillId="8" borderId="0" xfId="0" applyFont="1" applyFill="1" applyAlignment="1">
      <alignment vertical="center"/>
    </xf>
    <xf numFmtId="0" fontId="23" fillId="7" borderId="0" xfId="0" applyFont="1" applyFill="1" applyAlignment="1">
      <alignment vertical="center"/>
    </xf>
    <xf numFmtId="0" fontId="23" fillId="13" borderId="0" xfId="0" applyFont="1" applyFill="1" applyAlignment="1">
      <alignment vertical="center"/>
    </xf>
    <xf numFmtId="0" fontId="14" fillId="2" borderId="0" xfId="0" applyFont="1" applyFill="1" applyAlignment="1">
      <alignment horizontal="left" vertical="center" wrapText="1"/>
    </xf>
    <xf numFmtId="2" fontId="34" fillId="2" borderId="0" xfId="0" applyNumberFormat="1" applyFont="1" applyFill="1"/>
    <xf numFmtId="0" fontId="34" fillId="2" borderId="0" xfId="0" applyFont="1" applyFill="1" applyAlignment="1">
      <alignment horizontal="left" wrapText="1"/>
    </xf>
    <xf numFmtId="0" fontId="0" fillId="8" borderId="0" xfId="0" applyFill="1" applyAlignment="1">
      <alignment horizontal="center"/>
    </xf>
    <xf numFmtId="0" fontId="0" fillId="5" borderId="0" xfId="0" applyFill="1" applyAlignment="1">
      <alignment horizontal="center"/>
    </xf>
    <xf numFmtId="0" fontId="14" fillId="9" borderId="1" xfId="0" applyFont="1" applyFill="1" applyBorder="1" applyAlignment="1">
      <alignment vertical="center" wrapText="1"/>
    </xf>
    <xf numFmtId="0" fontId="14" fillId="9" borderId="1" xfId="0" applyFont="1" applyFill="1" applyBorder="1" applyAlignment="1">
      <alignment vertical="center" textRotation="90" wrapText="1"/>
    </xf>
  </cellXfs>
  <cellStyles count="16">
    <cellStyle name="Bad" xfId="14" builtinId="27"/>
    <cellStyle name="Comma 2" xfId="13" xr:uid="{00000000-0005-0000-0000-000001000000}"/>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xr:uid="{00000000-0005-0000-0000-000007000000}"/>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1152">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9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9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center"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B050"/>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rgb="FF000000"/>
        <name val="Corbel"/>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808080"/>
      <color rgb="FF004BFF"/>
      <color rgb="FFFF6600"/>
      <color rgb="FF02889E"/>
      <color rgb="FFFFBD02"/>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31</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342035" cy="5165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commissioned worldwide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low-emissions technology option. Projects in planning or under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to the database first published alongside the report "The future of hydrogen. Seizing today’s opportunities" in 2019.</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the IEA. The IEA wishes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p>
        <a:p>
          <a:pPr algn="just">
            <a:lnSpc>
              <a:spcPts val="1300"/>
            </a:lnSpc>
            <a:spcAft>
              <a:spcPts val="600"/>
            </a:spcAft>
          </a:pPr>
          <a:endParaRPr lang="en-GB" sz="950" b="1" i="0" u="sng" strike="noStrike" baseline="0">
            <a:solidFill>
              <a:schemeClr val="accent5"/>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r>
            <a:rPr lang="en-GB" sz="1100" b="1" i="0" u="none" strike="noStrike">
              <a:solidFill>
                <a:srgbClr val="004BFF"/>
              </a:solidFill>
              <a:effectLst/>
              <a:latin typeface="Corbel" panose="020B0503020204020204" pitchFamily="34" charset="0"/>
              <a:ea typeface="Times New Roman"/>
              <a:cs typeface="Times New Roman"/>
            </a:rPr>
            <a:t>IEA (2023). All rights reserved</a:t>
          </a: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(2023),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2</xdr:col>
      <xdr:colOff>663388</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13ABB8-84A2-41A1-BA15-8971999DAA62}" name="H2ProjectDB4578610" displayName="H2ProjectDB4578610" ref="A2:AG1998" headerRowCount="0" totalsRowShown="0" headerRowDxfId="1150" dataDxfId="1149">
  <tableColumns count="33">
    <tableColumn id="1" xr3:uid="{9E808F09-066F-40A2-91F1-8432A17BA58F}" name="Column1" headerRowDxfId="1083" dataDxfId="1148"/>
    <tableColumn id="2" xr3:uid="{0C31C59B-90FC-483E-B2E3-FC706F569740}" name="Column2" headerRowDxfId="1084" dataDxfId="1147"/>
    <tableColumn id="3" xr3:uid="{949B6E83-335A-457A-8D4A-BB5743EF425E}" name="Column3" headerRowDxfId="1085" dataDxfId="1146"/>
    <tableColumn id="6" xr3:uid="{9BC1F00E-6C68-40F6-B805-4BC727C1755D}" name="Column4" headerRowDxfId="1086" dataDxfId="1145"/>
    <tableColumn id="7" xr3:uid="{0A1C7E0E-EDC0-431D-A126-0C72A418A126}" name="Column5" headerRowDxfId="1087" dataDxfId="1144"/>
    <tableColumn id="8" xr3:uid="{A774AB28-2779-4FC7-8561-C1BD73486DD1}" name="Column6" headerRowDxfId="1088" dataDxfId="1143"/>
    <tableColumn id="9" xr3:uid="{FFB41E6B-0785-47BE-B743-62D375729633}" name="Column7" headerRowDxfId="1089" dataDxfId="1142"/>
    <tableColumn id="10" xr3:uid="{B4292486-6E9E-48BB-85DF-E12B294C07AE}" name="Column8" headerRowDxfId="1090" dataDxfId="1141"/>
    <tableColumn id="11" xr3:uid="{C8B9A02D-51E2-4A2A-8110-828DE21D6272}" name="Column9" headerRowDxfId="1091" dataDxfId="1140">
      <calculatedColumnFormula>IF(AND(G3&lt;&gt;"ALK",G3&lt;&gt;"PEM",G3&lt;&gt;"SOEC",G3&lt;&gt;"Other electrolysis"),"N/A","")</calculatedColumnFormula>
    </tableColumn>
    <tableColumn id="12" xr3:uid="{93FD9500-D31F-4912-B82C-D71AFFC040BD}" name="Column10" headerRowDxfId="1092" dataDxfId="1139">
      <calculatedColumnFormula>IF(I3&lt;&gt;"Dedicated renewable","N/A",)</calculatedColumnFormula>
    </tableColumn>
    <tableColumn id="13" xr3:uid="{43588E34-7391-486A-9C5D-DA46C8DA69D1}" name="Column11" headerRowDxfId="1093" dataDxfId="1138"/>
    <tableColumn id="14" xr3:uid="{6DA655F7-69A1-41E2-8FF3-A8B1042AC187}" name="Column12" headerRowDxfId="1094" dataDxfId="1137"/>
    <tableColumn id="15" xr3:uid="{A2A4D5C9-D9A2-4056-A5F3-13924E56C02A}" name="Column13" headerRowDxfId="1095" dataDxfId="1136"/>
    <tableColumn id="16" xr3:uid="{F967D02B-3BCA-4284-A57A-3DABDC30B61D}" name="Column14" headerRowDxfId="1096" dataDxfId="1135"/>
    <tableColumn id="17" xr3:uid="{4DF34429-646B-447E-8D90-9F6A52648DDD}" name="Column15" headerRowDxfId="1097" dataDxfId="1134"/>
    <tableColumn id="18" xr3:uid="{3C05E1A1-9602-4929-BBB2-791D5F4AA1A6}" name="Column16" headerRowDxfId="1098" dataDxfId="1133"/>
    <tableColumn id="19" xr3:uid="{9FC3E91A-5FA8-4770-B5E4-2518CE79CD8B}" name="Column17" headerRowDxfId="1099" dataDxfId="1132"/>
    <tableColumn id="20" xr3:uid="{18E31A42-DD7C-4905-8E9C-1AD829D98FBF}" name="Column18" headerRowDxfId="1100" dataDxfId="1131"/>
    <tableColumn id="21" xr3:uid="{5800F5CF-59B0-4AA3-8D6E-6B9659A2CA70}" name="Column19" headerRowDxfId="1101" dataDxfId="1130"/>
    <tableColumn id="22" xr3:uid="{C82F4E9A-E854-4092-9F0A-AFFC0FEC250B}" name="Column20" headerRowDxfId="1102" dataDxfId="1129"/>
    <tableColumn id="23" xr3:uid="{B6362DE6-B047-4670-98F8-384495991E2A}" name="Column21" headerRowDxfId="1103" dataDxfId="1128"/>
    <tableColumn id="24" xr3:uid="{20D6A9AE-7931-4FE5-8EF3-DD15DFD9CECE}" name="Column22" headerRowDxfId="1104" dataDxfId="1127"/>
    <tableColumn id="25" xr3:uid="{6FC585FA-4363-43E3-85A7-0FCC369C7AE9}" name="Column23" headerRowDxfId="1105" dataDxfId="1126"/>
    <tableColumn id="26" xr3:uid="{CB7283DC-5563-4D2D-8992-A6468B733AD1}" name="Column24" headerRowDxfId="1106" dataDxfId="1125"/>
    <tableColumn id="97" xr3:uid="{A1E9E33F-BEB6-4E0E-B8C7-20DA3787DFD3}" name="Column25" headerRowDxfId="1107" dataDxfId="1124"/>
    <tableColumn id="28" xr3:uid="{3B0CDA71-7899-4283-993D-E45279EB457D}" name="Column26" headerRowDxfId="1108" dataDxfId="1123"/>
    <tableColumn id="29" xr3:uid="{DE3D093E-45F4-4CD2-811E-8BF0AD705565}" name="Column27" headerRowDxfId="1109" dataDxfId="1122">
      <calculatedColumnFormula>IF(OR(G3="ALK",G3="PEM",G3="SOEC",G3="Other Electrolysis"),
AB3*VLOOKUP(G3,ElectrolysisConvF,3,FALSE),
"")</calculatedColumnFormula>
    </tableColumn>
    <tableColumn id="30" xr3:uid="{12DA3328-AE0F-4626-8441-169DFFF73998}" name="Column28" headerRowDxfId="1110" dataDxfId="1121">
      <calculatedColumnFormula>IF(OR(G3="ALK",G3="PEM",G3="SOEC",G3="Other Electrolysis"),
AA3/VLOOKUP(G3,ElectrolysisConvF,3,FALSE),
AC3*10^6/(H2dens*HoursInYear))</calculatedColumnFormula>
    </tableColumn>
    <tableColumn id="31" xr3:uid="{C4241051-EF9D-4121-9DEC-02166DBBCBA3}" name="Column29" headerRowDxfId="1111" dataDxfId="1120">
      <calculatedColumnFormula>AB3*H2dens*HoursInYear/10^6</calculatedColumnFormula>
    </tableColumn>
    <tableColumn id="32" xr3:uid="{54215F2A-ECCD-4BEC-8A12-E7261AF725DA}" name="Column30" headerRowDxfId="1112" dataDxfId="1119"/>
    <tableColumn id="33" xr3:uid="{0D70BAF1-B8FE-47CC-89B5-A57C5D2CD9F1}" name="Column31" headerRowDxfId="1113" dataDxfId="1118">
      <calculatedColumnFormula>IF(AND(G3&lt;&gt;"NG w CCUS",G3&lt;&gt;"Oil w CCUS",G3&lt;&gt;"Coal w CCUS"),AB3,AD3*10^3/(HoursInYear*IF(G3="NG w CCUS",0.9105,1.9075)))</calculatedColumnFormula>
    </tableColumn>
    <tableColumn id="35" xr3:uid="{669B9DF6-1167-4DB3-9ACA-27A24328D333}" name="Column32" headerRowDxfId="1114" dataDxfId="1117"/>
    <tableColumn id="81" xr3:uid="{7B8F6B59-37F4-4D96-BD23-10B7FF5CDD49}" name="Column33" headerRowDxfId="1115" dataDxfId="11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1151">
  <autoFilter ref="A1:B215" xr:uid="{00000000-0009-0000-0100-000001000000}"/>
  <sortState xmlns:xlrd2="http://schemas.microsoft.com/office/spreadsheetml/2017/richdata2" ref="A2:F215">
    <sortCondition ref="A1:A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H2@Hydro" TargetMode="External"/><Relationship Id="rId1" Type="http://schemas.openxmlformats.org/officeDocument/2006/relationships/hyperlink" Target="https://xfuels.de/hykero/"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1" Type="http://schemas.openxmlformats.org/officeDocument/2006/relationships/hyperlink" Target="https://www.sciencedirect.com/science/article/pii/S1464285919300227" TargetMode="External"/><Relationship Id="rId170" Type="http://schemas.openxmlformats.org/officeDocument/2006/relationships/hyperlink" Target="http://www.mefco2.eu/mefco2.php" TargetMode="External"/><Relationship Id="rId268" Type="http://schemas.openxmlformats.org/officeDocument/2006/relationships/hyperlink" Target="https://www.greentechmedia.com/articles/read/orsted-to-power-decarbonization-hub-for-land-sea-and-air-transport?utm_medium=email&amp;utm_source=Daily&amp;utm_campaign=GTMDaily" TargetMode="External"/><Relationship Id="rId475" Type="http://schemas.openxmlformats.org/officeDocument/2006/relationships/hyperlink" Target="https://cincodias.elpais.com/cincodias/2021/02/05/companias/1612525996_216085.html" TargetMode="External"/><Relationship Id="rId682" Type="http://schemas.openxmlformats.org/officeDocument/2006/relationships/hyperlink" Target="https://www.bdi.fr/en/hygo-the-renewable-hydrogen-production-project-on-the-michelin-site-in-vannes-has-been-launched/" TargetMode="External"/><Relationship Id="rId128" Type="http://schemas.openxmlformats.org/officeDocument/2006/relationships/hyperlink" Target="https://arena.gov.au/news/renewable-hydrogen-could-power-moranbah-ammonia-facility/" TargetMode="External"/><Relationship Id="rId335" Type="http://schemas.openxmlformats.org/officeDocument/2006/relationships/hyperlink" Target="https://www.greentechmedia.com/articles/read/shell-jv-wins-dutch-offshore-wind-tender-with-continuous-power-hybrid-project?utm_medium=email&amp;utm_source=Daily&amp;utm_campaign=GTMDaily" TargetMode="External"/><Relationship Id="rId542" Type="http://schemas.openxmlformats.org/officeDocument/2006/relationships/hyperlink" Target="https://www.offshorewind.biz/2022/05/17/sif-ge-and-pondera-team-up-on-off-grid-offshore-wind-to-hydrogen-project/" TargetMode="External"/><Relationship Id="rId987" Type="http://schemas.openxmlformats.org/officeDocument/2006/relationships/hyperlink" Target="https://hydrogen-central.com/opening-hydrogen-production-plant-kubel-power-plant/" TargetMode="External"/><Relationship Id="rId402" Type="http://schemas.openxmlformats.org/officeDocument/2006/relationships/hyperlink" Target="https://www.spglobal.com/marketintelligence/en/news-insights/latest-news-headlines/fortescue-seeks-to-build-green-hydrogen-plant-in-brazil-8211-reuters-63181918" TargetMode="External"/><Relationship Id="rId847" Type="http://schemas.openxmlformats.org/officeDocument/2006/relationships/hyperlink" Target="https://www.petrofac.com/media/news/petrofac-to-explore-feasibility-of-green-hydrogen-to-ammonia-facility-in-egypt/" TargetMode="External"/><Relationship Id="rId1032" Type="http://schemas.openxmlformats.org/officeDocument/2006/relationships/hyperlink" Target="https://climate.ec.europa.eu/eu-action/funding-climate-action/innovation-fund/large-scale-calls/projects-selected-grant-preparation_en" TargetMode="External"/><Relationship Id="rId707" Type="http://schemas.openxmlformats.org/officeDocument/2006/relationships/hyperlink" Target="https://www.offshore-energy.biz/worlds-first-offshore-green-hydrogen-production-platform-inaugurated-france/" TargetMode="External"/><Relationship Id="rId914" Type="http://schemas.openxmlformats.org/officeDocument/2006/relationships/hyperlink" Target="https://hydrogen-central.com/infinity-power-conjuncta-develop-green-hydrogen-project-mauritania/" TargetMode="External"/><Relationship Id="rId43" Type="http://schemas.openxmlformats.org/officeDocument/2006/relationships/hyperlink" Target="https://hydrogentoday.info/news/4350" TargetMode="External"/><Relationship Id="rId192" Type="http://schemas.openxmlformats.org/officeDocument/2006/relationships/hyperlink" Target="https://www.portofantwerp.com/en/news/port-antwerp-brings-different-players-together-produce-sustainable-methanol" TargetMode="External"/><Relationship Id="rId497" Type="http://schemas.openxmlformats.org/officeDocument/2006/relationships/hyperlink" Target="https://renewablesnow.com/news/douglas-county-pud-launches-5-mw-green-hydrogen-pilot-in-washington-state-734291/" TargetMode="External"/><Relationship Id="rId357" Type="http://schemas.openxmlformats.org/officeDocument/2006/relationships/hyperlink" Target="https://www.hydrogendays.cz/2016/admin/scripts/source/presentations/PL%2005_%20Denis%20Thomas_HDs2016.pdf" TargetMode="External"/><Relationship Id="rId217" Type="http://schemas.openxmlformats.org/officeDocument/2006/relationships/hyperlink" Target="https://www.sciencedirect.com/science/article/pii/S0360319908007027" TargetMode="External"/><Relationship Id="rId564" Type="http://schemas.openxmlformats.org/officeDocument/2006/relationships/hyperlink" Target="https://energycapitalpower.com/h2-industries-receives-preliminary-approval-for-3-billion-waste-to-hydrogen-plant-in-egypt/" TargetMode="External"/><Relationship Id="rId771" Type="http://schemas.openxmlformats.org/officeDocument/2006/relationships/hyperlink" Target="https://www.itm-power.com/news/12mw-electrolyser-sale" TargetMode="External"/><Relationship Id="rId869" Type="http://schemas.openxmlformats.org/officeDocument/2006/relationships/hyperlink" Target="https://www.hydrogeninsight.com/production/ten-fold-expansion-brazilian-chemicals-giant-unveils-1-5bn-growth-plans-for-green-hydrogen-plant/2-1-1390060" TargetMode="External"/><Relationship Id="rId424" Type="http://schemas.openxmlformats.org/officeDocument/2006/relationships/hyperlink" Target="https://www.entsog.eu/sites/default/files/2020-11/ENTSOG_TYNDP_2020_Annex_A_Projects_Details.pdf" TargetMode="External"/><Relationship Id="rId631" Type="http://schemas.openxmlformats.org/officeDocument/2006/relationships/hyperlink" Target="https://www.energymining.sa.gov.au/industry/modern-energy/hydrogen-in-south-australia/the-hydrogen-utility-h2u-eyre-peninsula-gateway" TargetMode="External"/><Relationship Id="rId729" Type="http://schemas.openxmlformats.org/officeDocument/2006/relationships/hyperlink" Target="https://fuelcellsworks.com/news/in-france-the-vhygo-project-grand-ouest-hydrogen-valley-will-deploy-green-hydrogen-in-three-different-regions/?mc_cid=4101eb9ee9&amp;mc_eid=da4624d261" TargetMode="External"/><Relationship Id="rId1054" Type="http://schemas.openxmlformats.org/officeDocument/2006/relationships/hyperlink" Target="https://chariotenergygroup.com/operations/green-hydrogen/" TargetMode="External"/><Relationship Id="rId936" Type="http://schemas.openxmlformats.org/officeDocument/2006/relationships/hyperlink" Target="https://www.enapter.com/newsroom/first-order-placed-for-enapters-aem-multicore-megawatt-class-electrolyser-system" TargetMode="External"/><Relationship Id="rId65" Type="http://schemas.openxmlformats.org/officeDocument/2006/relationships/hyperlink" Target="https://nelhydrogen.com/press-release/nel-asa-received-purchase-order-for-a-1-mw-containerized-pem-electrolyzer-in-the-us/" TargetMode="External"/><Relationship Id="rId281" Type="http://schemas.openxmlformats.org/officeDocument/2006/relationships/hyperlink" Target="https://www.statkraft.com/newsroom/news-and-stories/archive/2020/hydrogen-og-stal/" TargetMode="External"/><Relationship Id="rId141" Type="http://schemas.openxmlformats.org/officeDocument/2006/relationships/hyperlink" Target="https://www.sciencedaily.com/releases/2015/01/150109045544.htm" TargetMode="External"/><Relationship Id="rId379"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586" Type="http://schemas.openxmlformats.org/officeDocument/2006/relationships/hyperlink" Target="https://economictimes.indiatimes.com/industry/renewables/gail-to-set-up-green-hydrogen-plant-at-guna-in-mp/articleshow/91517347.cms" TargetMode="External"/><Relationship Id="rId793" Type="http://schemas.openxmlformats.org/officeDocument/2006/relationships/hyperlink" Target="https://www.businesswire.com/news/home/20210421006131/en/" TargetMode="External"/><Relationship Id="rId7" Type="http://schemas.openxmlformats.org/officeDocument/2006/relationships/hyperlink" Target="https://www.toyota-tsusho.com/english/press/detail/170929_004155.html" TargetMode="External"/><Relationship Id="rId239" Type="http://schemas.openxmlformats.org/officeDocument/2006/relationships/hyperlink" Target="https://www.greencarcongress.com/2016/03/20160304-h2logic.html" TargetMode="External"/><Relationship Id="rId446" Type="http://schemas.openxmlformats.org/officeDocument/2006/relationships/hyperlink" Target="https://energynews.biz/tlou-energy-and-synergen-met-partner-on-green-hydrogen-project-in-botswana/" TargetMode="External"/><Relationship Id="rId653" Type="http://schemas.openxmlformats.org/officeDocument/2006/relationships/hyperlink" Target="https://www.agnespower.com/en/progetto-adriatico/" TargetMode="External"/><Relationship Id="rId1076" Type="http://schemas.openxmlformats.org/officeDocument/2006/relationships/hyperlink" Target="https://direct.argusmedia.com/newsandanalysis/Article/2477036" TargetMode="External"/><Relationship Id="rId306" Type="http://schemas.openxmlformats.org/officeDocument/2006/relationships/hyperlink" Target="https://www.toshiba-energy.com/en/info/info2019_0322.htm" TargetMode="External"/><Relationship Id="rId860" Type="http://schemas.openxmlformats.org/officeDocument/2006/relationships/hyperlink" Target="https://energynews.biz/ssab-and-fortum-explore-hydrogen-reduced-sponge-iron-production/" TargetMode="External"/><Relationship Id="rId958" Type="http://schemas.openxmlformats.org/officeDocument/2006/relationships/hyperlink" Target="https://fuelcellsworks.com/news/hystar-to-supply-its-world-leading-electrolyser-for-polands-largest-private-energy-group/" TargetMode="External"/><Relationship Id="rId87" Type="http://schemas.openxmlformats.org/officeDocument/2006/relationships/hyperlink" Target="https://www.ocap.nl/nl/images/OCAP_Factsheet_English_tcm978-561158.pdf" TargetMode="External"/><Relationship Id="rId513" Type="http://schemas.openxmlformats.org/officeDocument/2006/relationships/hyperlink" Target="https://www.pertamina.com/en/news-room/news-release/supports-the-government.s-energy-transition-plan-this-is-pertamina.s-clean-energy-project" TargetMode="External"/><Relationship Id="rId720" Type="http://schemas.openxmlformats.org/officeDocument/2006/relationships/hyperlink" Target="https://fuelcellsworks.com/news/green-hydrogen-systems-electrolysers-chosen-by-octopus-hydrogen-for-a-project-in-the-uk/?mc_cid=e5c7eff1d8&amp;mc_eid=da4624d261" TargetMode="External"/><Relationship Id="rId818" Type="http://schemas.openxmlformats.org/officeDocument/2006/relationships/hyperlink" Target="https://news.cision.com/aker-horizons/r/aker-horizons-and-vng-sign-letter-of-intent-to-supply-green-ammonia-from-norway-to-germany,c3765868" TargetMode="External"/><Relationship Id="rId1003" Type="http://schemas.openxmlformats.org/officeDocument/2006/relationships/hyperlink" Target="https://vighy.france-hydrogene.org/projets/zero-emission-valley-zev/" TargetMode="External"/><Relationship Id="rId14" Type="http://schemas.openxmlformats.org/officeDocument/2006/relationships/hyperlink" Target="https://www.open-grid-europe.com/cps/rde/oge-internet/hs.xsl/H2morrow-3571.htm" TargetMode="External"/><Relationship Id="rId317" Type="http://schemas.openxmlformats.org/officeDocument/2006/relationships/hyperlink" Target="https://www.idag.dk/article/view/726710/fra_ptxide_til_virkelighed_danmarks_forste_emethanolanlaeg_producerer_flydende_el" TargetMode="External"/><Relationship Id="rId524" Type="http://schemas.openxmlformats.org/officeDocument/2006/relationships/hyperlink" Target="https://research.csiro.au/hyresource/h2kwinana/" TargetMode="External"/><Relationship Id="rId731" Type="http://schemas.openxmlformats.org/officeDocument/2006/relationships/hyperlink" Target="https://www.power-eng.com/gas/national-grid-in-jv-to-build-new-york-green-hydrogen-storage-delivery-project/" TargetMode="External"/><Relationship Id="rId98"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63" Type="http://schemas.openxmlformats.org/officeDocument/2006/relationships/hyperlink" Target="https://www.postauto.ch/en/news/five-years-hydrogen-powered-travel" TargetMode="External"/><Relationship Id="rId370" Type="http://schemas.openxmlformats.org/officeDocument/2006/relationships/hyperlink" Target="http://www.kit.edu/kit/pi_2019_107_kohlendioxidneutrale-kraftstoffe-aus-luft-und-strom.php" TargetMode="External"/><Relationship Id="rId829" Type="http://schemas.openxmlformats.org/officeDocument/2006/relationships/hyperlink" Target="https://www.horisontenergi.no/horisont-energi-equinor-and-var-energi-enter-cooperation-agreement-for-barents-blue-ammonia-plant/" TargetMode="External"/><Relationship Id="rId1014" Type="http://schemas.openxmlformats.org/officeDocument/2006/relationships/hyperlink" Target="https://www.tiwag.at/unternehmen/energiewende/power2x-kufstein/" TargetMode="External"/><Relationship Id="rId230" Type="http://schemas.openxmlformats.org/officeDocument/2006/relationships/hyperlink" Target="https://pale-blu.com/acorn/" TargetMode="External"/><Relationship Id="rId468" Type="http://schemas.openxmlformats.org/officeDocument/2006/relationships/hyperlink" Target="https://cincodias.elpais.com/cincodias/2021/01/29/companias/1611950644_648508.html?id_externo_rsoc=TW_CC" TargetMode="External"/><Relationship Id="rId675" Type="http://schemas.openxmlformats.org/officeDocument/2006/relationships/hyperlink" Target="https://ir.q4europe.com/Tools/newsArticleHTML.aspx?solutionID=3512&amp;customerKey=itmpower&amp;storyID=14682293&amp;language=en" TargetMode="External"/><Relationship Id="rId882" Type="http://schemas.openxmlformats.org/officeDocument/2006/relationships/hyperlink" Target="https://www.hydeal.com/copie-de-hydeal-ambition" TargetMode="External"/><Relationship Id="rId1098" Type="http://schemas.openxmlformats.org/officeDocument/2006/relationships/hyperlink" Target="https://www.tecnicasreunidas.es/tecnicas-reunidas-s-a-initiates-the-preliminary-scope-for-a-green-hydrogen-and-green-ammonia-production-facilities-in-australia/" TargetMode="External"/><Relationship Id="rId25" Type="http://schemas.openxmlformats.org/officeDocument/2006/relationships/hyperlink" Target="https://www.green-industrial-hydrogen.com/" TargetMode="External"/><Relationship Id="rId328" Type="http://schemas.openxmlformats.org/officeDocument/2006/relationships/hyperlink" Target="https://www.reuters.com/article/us-sweden-steel-hydrogen/swedens-hybrit-starts-operations-at-pilot-plant-for-fossil-free-steel-idUSKBN25R1PI" TargetMode="External"/><Relationship Id="rId535" Type="http://schemas.openxmlformats.org/officeDocument/2006/relationships/hyperlink" Target="https://www.energy-saxony.net/fileadmin/Inhalte/Downloads/Veranstaltungen/2022/SUMMIT22/20220119_energy_saxony_EDL_HyKero_Praesentation_de_final.pdf" TargetMode="External"/><Relationship Id="rId742" Type="http://schemas.openxmlformats.org/officeDocument/2006/relationships/hyperlink" Target="https://www.independent.ie/business/irish/ei-h2-and-zenith-announce-plans-for-green-hydrogen-plant-in-bantry-bay-40623074.html" TargetMode="External"/><Relationship Id="rId174" Type="http://schemas.openxmlformats.org/officeDocument/2006/relationships/hyperlink" Target="https://www.engie-cofely.fr/publications/hydrogene-renouvelable-cea-grenoble/" TargetMode="External"/><Relationship Id="rId381" Type="http://schemas.openxmlformats.org/officeDocument/2006/relationships/hyperlink" Target="https://fuelcellsworks.com/news/zsw-green-hydrogen-production-at-power-to-gas-plant-in-grenzach-wyhlen-working-reliably/" TargetMode="External"/><Relationship Id="rId602" Type="http://schemas.openxmlformats.org/officeDocument/2006/relationships/hyperlink" Target="https://fuelcellsworks.com/news/scatec-partners-with-acme-group-to-develop-a-large-scale-green-ammonia-facility-in-oman/?mc_cid=07efbb08b8&amp;mc_eid=da4624d261" TargetMode="External"/><Relationship Id="rId1025" Type="http://schemas.openxmlformats.org/officeDocument/2006/relationships/hyperlink" Target="https://ren-gas.com/en/news/mikkelis-power-to-gas-project-is-progressing-nordic-ren-gas-and-etela-savon-energia-signed-a-project-development-agreement/" TargetMode="External"/><Relationship Id="rId241" Type="http://schemas.openxmlformats.org/officeDocument/2006/relationships/hyperlink" Target="https://www.worldenergy.org/assets/downloads/1Hydrogen-an-enabler-of-the-Grand-Transition_FEL_WEC_2018_Final.pdf" TargetMode="External"/><Relationship Id="rId479" Type="http://schemas.openxmlformats.org/officeDocument/2006/relationships/hyperlink" Target="https://h2argus.com/assets/p1-ponyativka-green-hydrogen_ammonia-pv-wind-hydro_whiter.pdf" TargetMode="External"/><Relationship Id="rId686" Type="http://schemas.openxmlformats.org/officeDocument/2006/relationships/hyperlink" Target="https://hydrogen-central.com/alliander-groenleven-solar-rays-hydrogen-netherlands/" TargetMode="External"/><Relationship Id="rId893" Type="http://schemas.openxmlformats.org/officeDocument/2006/relationships/hyperlink" Target="https://engage.geelongport.com.au/geelonghydrogenhub" TargetMode="External"/><Relationship Id="rId907" Type="http://schemas.openxmlformats.org/officeDocument/2006/relationships/hyperlink" Target="https://energynews.biz/hanyang-and-linde-to-create-blue-hydrogen-production-cluster-in-jeonnam/" TargetMode="External"/><Relationship Id="rId36" Type="http://schemas.openxmlformats.org/officeDocument/2006/relationships/hyperlink" Target="https://www.hysyngas.de/" TargetMode="External"/><Relationship Id="rId339" Type="http://schemas.openxmlformats.org/officeDocument/2006/relationships/hyperlink" Target="https://m.solarbe.com/21-0-330298-1.html?utm_campaign=China%20Clean%20Energy%20Syndicate%20&amp;utm_medium=email&amp;utm_source=Revue%20newsletter" TargetMode="External"/><Relationship Id="rId546" Type="http://schemas.openxmlformats.org/officeDocument/2006/relationships/hyperlink" Target="https://www.rystadenergy.com/newsevents/news/press-releases/COP27-host-Egypt-commits-40bn-to-green-hydrogen-economy-to-attract-foreign-investment/" TargetMode="External"/><Relationship Id="rId753" Type="http://schemas.openxmlformats.org/officeDocument/2006/relationships/hyperlink" Target="https://www.world-nuclear-news.org/Articles/US-DOE-funds-hydrogen-production-from-nuclear-powe" TargetMode="External"/><Relationship Id="rId101" Type="http://schemas.openxmlformats.org/officeDocument/2006/relationships/hyperlink" Target="https://www.gp-joule.de/referenzen/efarm" TargetMode="External"/><Relationship Id="rId185" Type="http://schemas.openxmlformats.org/officeDocument/2006/relationships/hyperlink" Target="https://www.hydrogen4climateaction.eu/programme"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960" Type="http://schemas.openxmlformats.org/officeDocument/2006/relationships/hyperlink" Target="https://newsroom.bloomenergy.com/news/bloom-energy-demonstrates-hydrogen-production-with-the-worlds-largest-and-most-efficient-solid-oxide-electrolyzer" TargetMode="External"/><Relationship Id="rId1036" Type="http://schemas.openxmlformats.org/officeDocument/2006/relationships/hyperlink" Target="https://www.hypa.at/umsetzung/elektrolyseure" TargetMode="External"/><Relationship Id="rId392" Type="http://schemas.openxmlformats.org/officeDocument/2006/relationships/hyperlink" Target="https://www.snam.it/en/Media/Press-releases/2021/Tenaris_Edison_Snam_trial_steelmaking_green_hydrogen_Dalmine_Italy.html" TargetMode="External"/><Relationship Id="rId613" Type="http://schemas.openxmlformats.org/officeDocument/2006/relationships/hyperlink" Target="https://www.argusmedia.com/en/news/2270376-fortescue-plans-argentina-green-hydrogen-project" TargetMode="External"/><Relationship Id="rId697" Type="http://schemas.openxmlformats.org/officeDocument/2006/relationships/hyperlink" Target="https://www.zepak.com.pl/en/clean-poland/hydrogen-production-at-ze-pak-sa.html" TargetMode="External"/><Relationship Id="rId820" Type="http://schemas.openxmlformats.org/officeDocument/2006/relationships/hyperlink" Target="https://cipartners.dk/2022/04/20/european-consortium-madoquapower2x-announces-industrial-scale-power-to-green-hydrogen-and-ammonia-project-in-sines-portugal/" TargetMode="External"/><Relationship Id="rId918" Type="http://schemas.openxmlformats.org/officeDocument/2006/relationships/hyperlink" Target="https://www.energate-messenger.com/news/210798/companies-pool-investments-of-1-3-billion-euros-for-green-hydrogen" TargetMode="External"/><Relationship Id="rId252" Type="http://schemas.openxmlformats.org/officeDocument/2006/relationships/hyperlink" Target="https://ijglobal.com/articles/147180/western-australia-green-hydrogen-project-progressing" TargetMode="External"/><Relationship Id="rId1103" Type="http://schemas.openxmlformats.org/officeDocument/2006/relationships/hyperlink" Target="https://www.euro-petrole.com/totalenergies-et-air-liquide-sassocient-pour-decarboner-la-plateforme-de-normandie-grace-a-lhydrogene-vert-n-f-26045" TargetMode="External"/><Relationship Id="rId47" Type="http://schemas.openxmlformats.org/officeDocument/2006/relationships/hyperlink" Target="https://reneweconomy.com.au/s-a-to-host-australias-first-green-hydrogen-power-plant-89447/" TargetMode="External"/><Relationship Id="rId112" Type="http://schemas.openxmlformats.org/officeDocument/2006/relationships/hyperlink" Target="https://global.toyota/en/detail/17737009/?_ga=2.49045219.475090875.1584111475-24855421.1580488882" TargetMode="External"/><Relationship Id="rId557" Type="http://schemas.openxmlformats.org/officeDocument/2006/relationships/hyperlink" Target="https://energyegypt.net/total-eren-enara-capital-to-build-green-ammonia-facility-in-egypts-sczone/" TargetMode="External"/><Relationship Id="rId764" Type="http://schemas.openxmlformats.org/officeDocument/2006/relationships/hyperlink" Target="https://s29.q4cdn.com/600973483/files/doc_financials/2022/q4/PLUG-4Q22-Investor-Letter-FINAL.pdf" TargetMode="External"/><Relationship Id="rId971" Type="http://schemas.openxmlformats.org/officeDocument/2006/relationships/hyperlink" Target="https://direct.argusmedia.com/newsandanalysis/Article/2404840" TargetMode="External"/><Relationship Id="rId196" Type="http://schemas.openxmlformats.org/officeDocument/2006/relationships/hyperlink" Target="http://www.ptg-bw.de/" TargetMode="External"/><Relationship Id="rId417" Type="http://schemas.openxmlformats.org/officeDocument/2006/relationships/hyperlink" Target="https://mb.cision.com/Main/115/3399294/1455892.pdf" TargetMode="External"/><Relationship Id="rId624" Type="http://schemas.openxmlformats.org/officeDocument/2006/relationships/hyperlink" Target="https://www.expansion.com/empresas/energia/2021/01/10/5ffada9f468aebdd0a8b4611.html" TargetMode="External"/><Relationship Id="rId831" Type="http://schemas.openxmlformats.org/officeDocument/2006/relationships/hyperlink" Target="https://www.atomeplc.com/projects/iceland/" TargetMode="External"/><Relationship Id="rId1047" Type="http://schemas.openxmlformats.org/officeDocument/2006/relationships/hyperlink" Target="https://direct.argusmedia.com/newsandanalysis/Article/2472237" TargetMode="External"/><Relationship Id="rId263" Type="http://schemas.openxmlformats.org/officeDocument/2006/relationships/hyperlink" Target="http://ely4off.eu/wp-content/uploads/2019/12/prd20191_ely4off.pdf" TargetMode="External"/><Relationship Id="rId470" Type="http://schemas.openxmlformats.org/officeDocument/2006/relationships/hyperlink" Target="https://esenergia.es/planta-de-hidrogeno-verde/" TargetMode="External"/><Relationship Id="rId929" Type="http://schemas.openxmlformats.org/officeDocument/2006/relationships/hyperlink" Target="https://direct.argusmedia.com/newsandanalysis/Article/2453115" TargetMode="External"/><Relationship Id="rId1114" Type="http://schemas.openxmlformats.org/officeDocument/2006/relationships/printerSettings" Target="../printerSettings/printerSettings4.bin"/><Relationship Id="rId58" Type="http://schemas.openxmlformats.org/officeDocument/2006/relationships/hyperlink" Target="http://www.renewablessa.sa.gov.au/content/uploads/2019/01/hydrogen-rd-in-sa-report-nov2018.pdf" TargetMode="External"/><Relationship Id="rId123" Type="http://schemas.openxmlformats.org/officeDocument/2006/relationships/hyperlink" Target="http://www.powertogas.info/power-to-gas/pilotprojekte-im-ueberblick/exytron-demonstrationsanlage/" TargetMode="External"/><Relationship Id="rId330" Type="http://schemas.openxmlformats.org/officeDocument/2006/relationships/hyperlink" Target="https://www.reuters.com/article/germany-hydrogen-apex/germanys-apex-energy-launches-hydrogen-plant-near-rostock-idUSL8N2DP3WV" TargetMode="External"/><Relationship Id="rId568" Type="http://schemas.openxmlformats.org/officeDocument/2006/relationships/hyperlink" Target="https://www.ise.fraunhofer.de/en/research-projects/lighthouse-project-power-to-gas.html" TargetMode="External"/><Relationship Id="rId775" Type="http://schemas.openxmlformats.org/officeDocument/2006/relationships/hyperlink" Target="https://www.ir.plugpower.com/press-releases/news-details/2022/Plug-Secures-5-MW-Electrolyzer-Sale-to-Leading-Canadian-Energy-Company-Irving-Oil/default.aspx" TargetMode="External"/><Relationship Id="rId982" Type="http://schemas.openxmlformats.org/officeDocument/2006/relationships/hyperlink" Target="https://h2lac.org/noticias/planta-piloto-movil-de-h2v-permitira-cuantificar-el-potencial-de-generacion-de-la-region-de-antofagasta/" TargetMode="External"/><Relationship Id="rId428" Type="http://schemas.openxmlformats.org/officeDocument/2006/relationships/hyperlink" Target="https://www.h2-view.com/story/russias-novatek-set-to-supply-blue-hydrogen-to-rwe/" TargetMode="External"/><Relationship Id="rId635" Type="http://schemas.openxmlformats.org/officeDocument/2006/relationships/hyperlink" Target="https://www.watoday.com.au/politics/western-australia/wesfarmers-and-mitsui-look-at-1-billion-plus-wa-low-carbon-ammonia-export-20211003-p58wsn.html" TargetMode="External"/><Relationship Id="rId842" Type="http://schemas.openxmlformats.org/officeDocument/2006/relationships/hyperlink" Target="https://www.globalconstructionreview.com/norways-scatec-to-build-450m-green-fuel-plant-in-egypt/" TargetMode="External"/><Relationship Id="rId1058" Type="http://schemas.openxmlformats.org/officeDocument/2006/relationships/hyperlink" Target="https://energynews.biz/copenhagen-infrastructure-partners-to-build-green-hydrogen-plant-in-mexico/" TargetMode="External"/><Relationship Id="rId274" Type="http://schemas.openxmlformats.org/officeDocument/2006/relationships/hyperlink" Target="https://www.bp.com/en/global/corporate/news-and-insights/press-releases/bp-australia-announces-feasibility-study-into-hydrogen-energy-production-facility.html" TargetMode="External"/><Relationship Id="rId481" Type="http://schemas.openxmlformats.org/officeDocument/2006/relationships/hyperlink" Target="https://portodeaveiro.pt/webinar-decarbonising-small-medium-ports/pdfs/session-two/8-Bulgarian-Romanian-Cooperation-Maria-Tzancova-&amp;-Forin-Nemtanu.pdf" TargetMode="External"/><Relationship Id="rId702" Type="http://schemas.openxmlformats.org/officeDocument/2006/relationships/hyperlink" Target="https://www.sunfire.de/en/news/detail/rwe-realizes-electrolysis-project-with-sunfire" TargetMode="External"/><Relationship Id="rId69" Type="http://schemas.openxmlformats.org/officeDocument/2006/relationships/hyperlink" Target="https://www.sunfire.de/en/company/news/detail/first-commercial-plant-for-the-production-of-blue-crude-planned-in-norway" TargetMode="External"/><Relationship Id="rId134" Type="http://schemas.openxmlformats.org/officeDocument/2006/relationships/hyperlink" Target="https://www.energiepark-mainz.de/artikel-detailseite/article/langfristige-zukunft-fuer-den-energiepark-mainz/" TargetMode="External"/><Relationship Id="rId579" Type="http://schemas.openxmlformats.org/officeDocument/2006/relationships/hyperlink" Target="https://totalenergies.com/media/news/press-releases/total-and-engie-to-develop-france-s-largest-site-of-green-hydrogen" TargetMode="External"/><Relationship Id="rId786" Type="http://schemas.openxmlformats.org/officeDocument/2006/relationships/hyperlink" Target="https://www.kaisersesch.de/aktuelles/presse-und-oeffentlichkeitsarbeit/pressemitteilungen/2022/november/12-wasserstofftagung-in-kaisersesch-war-ein-voller-erfolg/2022-11-11-dialogforum-smartquart-kaisersesch.pdf?cid=mcs" TargetMode="External"/><Relationship Id="rId993" Type="http://schemas.openxmlformats.org/officeDocument/2006/relationships/hyperlink" Target="https://vighy.france-hydrogene.org/projets/h2v-saint-clair-du-rhone/" TargetMode="External"/><Relationship Id="rId341" Type="http://schemas.openxmlformats.org/officeDocument/2006/relationships/hyperlink" Target="https://participa.pt/pt/consulta/en-h2-estrategia-nacional-para-o-hidrogenio" TargetMode="External"/><Relationship Id="rId439" Type="http://schemas.openxmlformats.org/officeDocument/2006/relationships/hyperlink" Target="https://www.arabnews.com/node/1876061/business-economy" TargetMode="External"/><Relationship Id="rId646" Type="http://schemas.openxmlformats.org/officeDocument/2006/relationships/hyperlink" Target="https://news.bjx.com.cn/html/20220526/1228289.shtml?utm_campaign=China%20Clean%20Energy%20Syndicate%20&amp;utm_medium=email&amp;utm_source=Revue%20newsletter" TargetMode="External"/><Relationship Id="rId1069" Type="http://schemas.openxmlformats.org/officeDocument/2006/relationships/hyperlink" Target="https://direct.argusmedia.com/newsandanalysis/Article/2492610" TargetMode="External"/><Relationship Id="rId201" Type="http://schemas.openxmlformats.org/officeDocument/2006/relationships/hyperlink" Target="https://www.hzwei.info/blog/2019/04/15/energiewende-als-gemeinschaftsprojekt/" TargetMode="External"/><Relationship Id="rId285" Type="http://schemas.openxmlformats.org/officeDocument/2006/relationships/hyperlink" Target="https://www.h2-view.com/story/repsol-unveils-green-hydrogen-project/" TargetMode="External"/><Relationship Id="rId506" Type="http://schemas.openxmlformats.org/officeDocument/2006/relationships/hyperlink" Target="https://www.h2-view.com/story/50mw-green-hydrogen-facility-one-step-closer-to-completion/" TargetMode="External"/><Relationship Id="rId853" Type="http://schemas.openxmlformats.org/officeDocument/2006/relationships/hyperlink" Target="https://nelhydrogen.com/press-release/nel-asa-everwind-fuels-has-elected-nel-to-participate-in-the-feed-study-for-the-point-tupper-project/" TargetMode="External"/><Relationship Id="rId492" Type="http://schemas.openxmlformats.org/officeDocument/2006/relationships/hyperlink" Target="https://renewablesnow.com/news/edp-to-pour-eur-550m-to-revamp-spanish-coal-fired-plant-into-green-h2-facility-754051/" TargetMode="External"/><Relationship Id="rId713" Type="http://schemas.openxmlformats.org/officeDocument/2006/relationships/hyperlink" Target="https://www.zepak.com.pl/en/about-us/press-office/news/12534-green-hydrogen-in-zepak.html" TargetMode="External"/><Relationship Id="rId797" Type="http://schemas.openxmlformats.org/officeDocument/2006/relationships/hyperlink" Target="https://www.rechargenews.com/energy-transition/us-start-up-to-build-turquoise-hydrogen-pilot-plant-after-securing-funding-from-major-energy-players/2-1-1240970" TargetMode="External"/><Relationship Id="rId920" Type="http://schemas.openxmlformats.org/officeDocument/2006/relationships/hyperlink" Target="https://renewablesnow.com/news/meld-energy-plans-100-mw-hydrogen-project-at-uk-chemicals-park-825189/" TargetMode="External"/><Relationship Id="rId145" Type="http://schemas.openxmlformats.org/officeDocument/2006/relationships/hyperlink" Target="https://www.hytep.cz/projects/visegrad/images/news/hydrogen-mobility-in-visegrad-countries/H2nodes_Riga_transport_CZ_workshop_23_september_2019.pdf" TargetMode="External"/><Relationship Id="rId352" Type="http://schemas.openxmlformats.org/officeDocument/2006/relationships/hyperlink" Target="https://reneweconomy.com.au/neoen-plans-worlds-biggest-solar-wind-powered-hydrogen-hub-in-s-a-53674/" TargetMode="External"/><Relationship Id="rId212" Type="http://schemas.openxmlformats.org/officeDocument/2006/relationships/hyperlink" Target="https://www.uniper.energy/storage/what-we-do/power-to-gas" TargetMode="External"/><Relationship Id="rId657" Type="http://schemas.openxmlformats.org/officeDocument/2006/relationships/hyperlink" Target="https://eng.heroya-industripark.no/latest-news/first-step-towards-full-decarbonisation-of-the-ammonia-plant-at-heroeya" TargetMode="External"/><Relationship Id="rId864" Type="http://schemas.openxmlformats.org/officeDocument/2006/relationships/hyperlink" Target="https://www.ohpsa.sa.gov.au/about-the-project" TargetMode="External"/><Relationship Id="rId296" Type="http://schemas.openxmlformats.org/officeDocument/2006/relationships/hyperlink" Target="https://www.thechemicalengineer.com/news/two-new-large-scale-ccus-facilities-now-in-operation/" TargetMode="External"/><Relationship Id="rId517" Type="http://schemas.openxmlformats.org/officeDocument/2006/relationships/hyperlink" Target="https://www.rwe.com/en/press/rwe-generation/2021-12-20-rwe-working-with-linde-to-develop-electrolyser-plant-in-lingen" TargetMode="External"/><Relationship Id="rId724" Type="http://schemas.openxmlformats.org/officeDocument/2006/relationships/hyperlink" Target="https://www.latribune.fr/entreprises-finance/transitions-ecologiques/hydrogene-les-dix-travaux-d-h2-loire-vallee-881643.html" TargetMode="External"/><Relationship Id="rId931" Type="http://schemas.openxmlformats.org/officeDocument/2006/relationships/hyperlink" Target="https://direct.argusmedia.com/newsandanalysis/Article/2456404" TargetMode="External"/><Relationship Id="rId60" Type="http://schemas.openxmlformats.org/officeDocument/2006/relationships/hyperlink" Target="https://www.csiro.au/en/Do-business/Futures/Reports/Hydrogen-Roadmap" TargetMode="External"/><Relationship Id="rId156" Type="http://schemas.openxmlformats.org/officeDocument/2006/relationships/hyperlink" Target="https://bioenergyinternational.com/storage-logistics/gasunie-invest-first-1-mw-power-gas-installation-netherlands" TargetMode="External"/><Relationship Id="rId363" Type="http://schemas.openxmlformats.org/officeDocument/2006/relationships/hyperlink" Target="https://www.h2-view.com/story/cf-industries-to-construct-green-hydrogen-based-ammonia-facility-in-louisiana/" TargetMode="External"/><Relationship Id="rId570" Type="http://schemas.openxmlformats.org/officeDocument/2006/relationships/hyperlink" Target="https://hydrogen-central.com/portugal-keme-energy-green-hydrogen-plant-sines-5-million-euros-investment/" TargetMode="External"/><Relationship Id="rId1007" Type="http://schemas.openxmlformats.org/officeDocument/2006/relationships/hyperlink" Target="https://elyse.energy/en/our-projects/biotjet" TargetMode="External"/><Relationship Id="rId223" Type="http://schemas.openxmlformats.org/officeDocument/2006/relationships/hyperlink" Target="https://polytech.univ-nantes.fr/une-ecole-sur-3-campus/actualites/le-demonstrateur-power-to-gas-entre-en-service-sur-le-site-de-la-chantrerie--2180311.kjsp" TargetMode="External"/><Relationship Id="rId430" Type="http://schemas.openxmlformats.org/officeDocument/2006/relationships/hyperlink" Target="https://fuelcellsworks.com/news/mauritania-signs-agreement-to-develop-green-hydrogen-production-plant/" TargetMode="External"/><Relationship Id="rId668" Type="http://schemas.openxmlformats.org/officeDocument/2006/relationships/hyperlink" Target="https://fuelcellsworks.com/news/ineos-announces-over-e2-billion-investment-in-green-hydrogen-production/?mc_cid=8a8bc1ef04&amp;mc_eid=da4624d261" TargetMode="External"/><Relationship Id="rId875" Type="http://schemas.openxmlformats.org/officeDocument/2006/relationships/hyperlink" Target="https://fuelcellsworks.com/news/norwegian-hydrogen-as-is-moving-forward-with-its-project-to-establish-green-hydrogen-production-at-hellesylt-within-q4-2023/?mc_cid=790c1a9648&amp;mc_eid=da4624d261" TargetMode="External"/><Relationship Id="rId1060" Type="http://schemas.openxmlformats.org/officeDocument/2006/relationships/hyperlink" Target="https://direct.argusmedia.com/newsandanalysis/article/2391838" TargetMode="External"/><Relationship Id="rId18" Type="http://schemas.openxmlformats.org/officeDocument/2006/relationships/hyperlink" Target="https://hydeploy.co.uk/" TargetMode="External"/><Relationship Id="rId528" Type="http://schemas.openxmlformats.org/officeDocument/2006/relationships/hyperlink" Target="https://www.kellasmidstream.com/news-kellas/kellas-announces-the-development-of-h2northeast-a-low-carbon-blue-hydrogen-production-site-in-teesside-uk" TargetMode="External"/><Relationship Id="rId735" Type="http://schemas.openxmlformats.org/officeDocument/2006/relationships/hyperlink" Target="https://energia.gob.cl/sites/default/files/documentos/green_h2_strategy_chile.pdf" TargetMode="External"/><Relationship Id="rId942" Type="http://schemas.openxmlformats.org/officeDocument/2006/relationships/hyperlink" Target="https://hydronews.it/a-nextchem-lo-studio-di-fattibilita-di-un-impianto-di-produzione-di-metanolo-green-da-h2-co2-in-puglia/" TargetMode="External"/><Relationship Id="rId167" Type="http://schemas.openxmlformats.org/officeDocument/2006/relationships/hyperlink" Target="https://www.hydrogenics.com/2017/04/21/hydrogenics-selected-as-technology-provider-for-sunline-transit-agency/" TargetMode="External"/><Relationship Id="rId374" Type="http://schemas.openxmlformats.org/officeDocument/2006/relationships/hyperlink" Target="https://thecanadian.news/2020/12/08/air-liquide-has-started-industrial-production-of-green-hydrogen-in-becancour/" TargetMode="External"/><Relationship Id="rId581" Type="http://schemas.openxmlformats.org/officeDocument/2006/relationships/hyperlink" Target="https://www.metropole-dijon.fr/Actualites/Production-d-hydrogene2" TargetMode="External"/><Relationship Id="rId1018" Type="http://schemas.openxmlformats.org/officeDocument/2006/relationships/hyperlink" Target="https://www.utilitas.ee/en/the-utilitas-and-ug-investments-green-hydrogen-complete-chain-project-received-a-positive-financing-decision/" TargetMode="External"/><Relationship Id="rId71" Type="http://schemas.openxmlformats.org/officeDocument/2006/relationships/hyperlink" Target="https://www.hamburg-news.hamburg/en/renewable-energy/hydrogen-becoming-technology-future/" TargetMode="External"/><Relationship Id="rId234" Type="http://schemas.openxmlformats.org/officeDocument/2006/relationships/hyperlink" Target="https://news.bloombergenvironment.com/environment-and-energy/chinas-ningxia-plans-198-million-solar-hydrogen-project" TargetMode="External"/><Relationship Id="rId679" Type="http://schemas.openxmlformats.org/officeDocument/2006/relationships/hyperlink" Target="https://djewels.eu/final-permit-for-pioneering-green-hydrogen-project-djewels/" TargetMode="External"/><Relationship Id="rId802" Type="http://schemas.openxmlformats.org/officeDocument/2006/relationships/hyperlink" Target="https://www.yara.com/news-and-media/news/archive/news-2022/yara-acme-and-scatec-sign-term-sheet-for-sale-of-green-ammonia-from-oman/" TargetMode="External"/><Relationship Id="rId886" Type="http://schemas.openxmlformats.org/officeDocument/2006/relationships/hyperlink" Target="https://www.technipenergies.com/en/media/news/hy2gen-ag-commissions-technip-energies-complete-pre-feed-study-its-renewable-hydrogen" TargetMode="External"/><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441" Type="http://schemas.openxmlformats.org/officeDocument/2006/relationships/hyperlink" Target="https://www.ir.plugpower.com/Press-Releases/Press-Release-Details/2021/Plug-Power-Selected-by-Fertiglobes-Green-Hydrogen-Consortium-to-Deliver-100MW-Electrolyzer-for-Green-Ammonia/default.aspx?&amp;utm_source=organic-social-pr&amp;utm_medium=twitter&amp;utm_campaign=oci-egypt-release&amp;utm_term=APR" TargetMode="External"/><Relationship Id="rId539" Type="http://schemas.openxmlformats.org/officeDocument/2006/relationships/hyperlink" Target="https://energynews.biz/funding-secured-for-dalrymple-bay-hydrogen-project-feasibility-studies/" TargetMode="External"/><Relationship Id="rId746" Type="http://schemas.openxmlformats.org/officeDocument/2006/relationships/hyperlink" Target="https://www.spglobal.com/platts/es/market-insights/latest-news/electric-power/012822-linde-engineering-wins-24-mw-electrolyzer-order-from-yara-norge" TargetMode="External"/><Relationship Id="rId1071" Type="http://schemas.openxmlformats.org/officeDocument/2006/relationships/hyperlink" Target="https://direct.argusmedia.com/newsandanalysis/Article/2472976" TargetMode="External"/><Relationship Id="rId178" Type="http://schemas.openxmlformats.org/officeDocument/2006/relationships/hyperlink" Target="https://www.co2value.eu/wp-content/uploads/2019/09/2.-CRI.pdf" TargetMode="External"/><Relationship Id="rId301" Type="http://schemas.openxmlformats.org/officeDocument/2006/relationships/hyperlink" Target="https://www.toshiba-energy.com/en/info/info2020_0123.htm" TargetMode="External"/><Relationship Id="rId953" Type="http://schemas.openxmlformats.org/officeDocument/2006/relationships/hyperlink" Target="https://renewablesnow.com/news/hynfra-plans-200000-tonnes-green-ammonia-plant-in-jordan-827164/" TargetMode="External"/><Relationship Id="rId1029" Type="http://schemas.openxmlformats.org/officeDocument/2006/relationships/hyperlink" Target="https://balkangreenenergynews.com/hidroelectrica-makes-plans-to-enter-green-hydrogen-production/" TargetMode="External"/><Relationship Id="rId82" Type="http://schemas.openxmlformats.org/officeDocument/2006/relationships/hyperlink" Target="https://www.focus.de/wissen/technik/mobilitaet/antriebe/tid-23218/wunderkraftstoff-schadstofffrei-in-die-zukunft_aid_652598.html" TargetMode="External"/><Relationship Id="rId385" Type="http://schemas.openxmlformats.org/officeDocument/2006/relationships/hyperlink" Target="http://www.rtsafrica.co.za/Documents/NEL%20Hydrogen%20Brochure.pdf" TargetMode="External"/><Relationship Id="rId592" Type="http://schemas.openxmlformats.org/officeDocument/2006/relationships/hyperlink" Target="https://svevind.se/en/2021/10/10/roadmap-signed-or-30-gw-green-hydrogen-developments-in-kazakhstan/" TargetMode="External"/><Relationship Id="rId606" Type="http://schemas.openxmlformats.org/officeDocument/2006/relationships/hyperlink" Target="http://mecc.sinosteel.com/En/news_content.aspx?id=3778" TargetMode="External"/><Relationship Id="rId813" Type="http://schemas.openxmlformats.org/officeDocument/2006/relationships/hyperlink" Target="https://catalinaptx.com/" TargetMode="External"/><Relationship Id="rId245" Type="http://schemas.openxmlformats.org/officeDocument/2006/relationships/hyperlink" Target="https://blog.topsoe.com/topsoe-to-build-demonstration-plant-to-produce-cost-competitive-co2-neutral-methanol-from-biogas-and-green-electricity" TargetMode="External"/><Relationship Id="rId452" Type="http://schemas.openxmlformats.org/officeDocument/2006/relationships/hyperlink" Target="https://ir.fusion-fuel.eu/static-files/1992cf1f-fe4e-4479-8ac4-e62b81eda238" TargetMode="External"/><Relationship Id="rId897" Type="http://schemas.openxmlformats.org/officeDocument/2006/relationships/hyperlink" Target="https://fuelcellsworks.com/news/petronas-partners-eneos-for-first-commercial-scale-hydrogen-to-mch-project/?mc_cid=07efbb08b8&amp;mc_eid=da4624d261" TargetMode="External"/><Relationship Id="rId1082" Type="http://schemas.openxmlformats.org/officeDocument/2006/relationships/hyperlink" Target="https://direct.argusmedia.com/newsandanalysis/Article/2493292" TargetMode="External"/><Relationship Id="rId105" Type="http://schemas.openxmlformats.org/officeDocument/2006/relationships/hyperlink" Target="https://www.sharecast.com/news/aim-bulletin/itm-power-sells-electrolyser-to-toyota-australia--3798013.html" TargetMode="External"/><Relationship Id="rId312" Type="http://schemas.openxmlformats.org/officeDocument/2006/relationships/hyperlink" Target="https://energies.airliquide.com/air-liquide-build-first-world-scale-liquid-hydrogen-production-plant-dedicated-supply-hydrogen" TargetMode="External"/><Relationship Id="rId757" Type="http://schemas.openxmlformats.org/officeDocument/2006/relationships/hyperlink" Target="https://www.octohydrogen.com/press-releases/octopus-hydrogen-wins-net-zero-hydrogen-funding-for-15-mw-scotland-electrolysis-project" TargetMode="External"/><Relationship Id="rId964" Type="http://schemas.openxmlformats.org/officeDocument/2006/relationships/hyperlink" Target="https://direct.argusmedia.com/newsandanalysis/Article/2412656" TargetMode="External"/><Relationship Id="rId93" Type="http://schemas.openxmlformats.org/officeDocument/2006/relationships/hyperlink" Target="https://www.lakecharlesmethanol.com/" TargetMode="External"/><Relationship Id="rId189" Type="http://schemas.openxmlformats.org/officeDocument/2006/relationships/hyperlink" Target="https://www.solarserver.de/2020/02/05/industrielle-power-to-gas-anlage-in-der-schweiz/" TargetMode="External"/><Relationship Id="rId396" Type="http://schemas.openxmlformats.org/officeDocument/2006/relationships/hyperlink" Target="https://www.originenergy.com.au/about/investors-media/media-centre/origin_to_investigate_export_scale_green_hydrogen_project_in_tasmania.html" TargetMode="External"/><Relationship Id="rId617" Type="http://schemas.openxmlformats.org/officeDocument/2006/relationships/hyperlink" Target="https://www.norsk-e-fuel.com/articles/coming-soon-green-jet-fuel-from-mosjoen" TargetMode="External"/><Relationship Id="rId824" Type="http://schemas.openxmlformats.org/officeDocument/2006/relationships/hyperlink" Target="https://www.upstreamonline.com/hydrogen/baofeng-energy-brings-worlds-largest-green-hydrogen-project-on-line-in-china/2-1-1161221" TargetMode="External"/><Relationship Id="rId256" Type="http://schemas.openxmlformats.org/officeDocument/2006/relationships/hyperlink" Target="https://www.ogauthority.co.uk/media/6220/ogauthoritysharepointcom-ssl-davwwwroot-sites-ecm-tbw3-documents-files-exchange-malcolm-workshop-slides-301019-neptune.pdf" TargetMode="External"/><Relationship Id="rId463" Type="http://schemas.openxmlformats.org/officeDocument/2006/relationships/hyperlink" Target="https://www.reuters.com/business/sustainable-business/chinas-sinopec-targets-500000-t-green-hydrogen-capacity-by-2025-2021-06-09/" TargetMode="External"/><Relationship Id="rId670" Type="http://schemas.openxmlformats.org/officeDocument/2006/relationships/hyperlink" Target="https://ens.dk/sites/ens.dk/files/ptx/strategy_ptx.pdf" TargetMode="External"/><Relationship Id="rId1093" Type="http://schemas.openxmlformats.org/officeDocument/2006/relationships/hyperlink" Target="https://www.energy-storage.news/chevron-does-u-turn-and-invests-in-utah-green-hydrogen-project/" TargetMode="External"/><Relationship Id="rId1107" Type="http://schemas.openxmlformats.org/officeDocument/2006/relationships/hyperlink" Target="https://hystar.com/yara-clean-ammonia-joins-hypilot-project-with-hystar-equinor-and-gassco/" TargetMode="External"/><Relationship Id="rId116" Type="http://schemas.openxmlformats.org/officeDocument/2006/relationships/hyperlink" Target="https://www.tennet.eu/news/detail/gasunie-tennet-and-thyssengas-reveal-detailed-green-sector-coupling-plans-using-power-to-gas-tec/" TargetMode="External"/><Relationship Id="rId323" Type="http://schemas.openxmlformats.org/officeDocument/2006/relationships/hyperlink" Target="https://www.h2-view.com/story/avias-first-hydrogen-station-opens-in-switzerland/" TargetMode="External"/><Relationship Id="rId530" Type="http://schemas.openxmlformats.org/officeDocument/2006/relationships/hyperlink" Target="https://wintershalldea.com/en/newsroom/wintershall-dea-helps-shape-wilhelmshaven-energy-hub" TargetMode="External"/><Relationship Id="rId768" Type="http://schemas.openxmlformats.org/officeDocument/2006/relationships/hyperlink" Target="https://en.newsroom.engie.com/news/engie-has-reached-an-important-milestone-in-the-australian-renewable-hydrogen-project-with-yara-8e5c-314df.html" TargetMode="External"/><Relationship Id="rId975" Type="http://schemas.openxmlformats.org/officeDocument/2006/relationships/hyperlink" Target="https://fuelcellsworks.com/news/walmart-chile-initiates-plan-to-operate-100-of-its-green-hydrogen-logistics-network/?mc_cid=be1ca95ecf&amp;mc_eid=da4624d261" TargetMode="External"/><Relationship Id="rId20" Type="http://schemas.openxmlformats.org/officeDocument/2006/relationships/hyperlink" Target="https://press.siemens.com/global/en/pressrelease/siemens-delivers-pem-electrolyzer-salzgitter-ag" TargetMode="External"/><Relationship Id="rId628" Type="http://schemas.openxmlformats.org/officeDocument/2006/relationships/hyperlink" Target="https://www.euractiv.com/section/energy/opinion/why-green-ammonia-will-be-the-workhorse-of-eus-future-hydrogen-economy/" TargetMode="External"/><Relationship Id="rId835" Type="http://schemas.openxmlformats.org/officeDocument/2006/relationships/hyperlink" Target="https://www.ammoniaenergy.org/articles/trafigura-plans-new-green-export-project-in-south-australia/" TargetMode="External"/><Relationship Id="rId267" Type="http://schemas.openxmlformats.org/officeDocument/2006/relationships/hyperlink" Target="https://www.h2-view.com/story/new-project-to-deploy-100-hydrogen-buses-in-australian-cities/" TargetMode="External"/><Relationship Id="rId474" Type="http://schemas.openxmlformats.org/officeDocument/2006/relationships/hyperlink" Target="https://elvagonpurpura.com/heilbronn-quiere-enviar-trenes-llenos-de-hidrogeno-verde-a-karlsruhe/" TargetMode="External"/><Relationship Id="rId1020" Type="http://schemas.openxmlformats.org/officeDocument/2006/relationships/hyperlink" Target="https://h2cluster.fi/projects/" TargetMode="External"/><Relationship Id="rId127" Type="http://schemas.openxmlformats.org/officeDocument/2006/relationships/hyperlink" Target="https://www.australiangasnetworks.com.au/our-business/about-us/media-releases/gas-groups-hydrogen-push-moves-into-queensland" TargetMode="External"/><Relationship Id="rId681" Type="http://schemas.openxmlformats.org/officeDocument/2006/relationships/hyperlink" Target="https://www.linde.com/news-media/press-releases/2022/linde-inaugurates-world-s-first-hydrogen-refueling-system-for-passenger-trains" TargetMode="External"/><Relationship Id="rId779" Type="http://schemas.openxmlformats.org/officeDocument/2006/relationships/hyperlink" Target="https://www.greenhydrogennz.com/" TargetMode="External"/><Relationship Id="rId902" Type="http://schemas.openxmlformats.org/officeDocument/2006/relationships/hyperlink" Target="https://ausfutureenergy.com/project/gladstone-energy-and-ammonia-project/" TargetMode="External"/><Relationship Id="rId986" Type="http://schemas.openxmlformats.org/officeDocument/2006/relationships/hyperlink" Target="https://www.mynewsdesk.com/se/strandmoellen-ab/pressreleases/strandmoellen-ab-has-placed-a-purchase-order-for-a-3mw-electrolyser-from-fest-gmbh-3172967" TargetMode="External"/><Relationship Id="rId31" Type="http://schemas.openxmlformats.org/officeDocument/2006/relationships/hyperlink" Target="http://h2v59-concertation.net/comprendre-projet/" TargetMode="External"/><Relationship Id="rId334" Type="http://schemas.openxmlformats.org/officeDocument/2006/relationships/hyperlink" Target="https://greenhydrogen.dk/danish-minister-for-transport-officially-opens-ghs-hydrogen-refueling-station/" TargetMode="External"/><Relationship Id="rId541" Type="http://schemas.openxmlformats.org/officeDocument/2006/relationships/hyperlink" Target="https://reneweconomy.com.au/south-australia-renewable-hydrogen-export-plan-wins-japanese-backing/" TargetMode="External"/><Relationship Id="rId639" Type="http://schemas.openxmlformats.org/officeDocument/2006/relationships/hyperlink" Target="https://www.pv-magazine.com/2021/01/29/solar-powered-hydrogen-for-masdar-city/" TargetMode="External"/><Relationship Id="rId180" Type="http://schemas.openxmlformats.org/officeDocument/2006/relationships/hyperlink" Target="https://www.yara.com/news-and-media/news/archive/2019/yara-and-nel-carbon-free-hydrogen-for-fertilizer-production/" TargetMode="External"/><Relationship Id="rId278" Type="http://schemas.openxmlformats.org/officeDocument/2006/relationships/hyperlink" Target="https://fuelcellsworks.com/news/swedish-housing-powered-100-percent-by-sun-and-hydrogen/" TargetMode="External"/><Relationship Id="rId401" Type="http://schemas.openxmlformats.org/officeDocument/2006/relationships/hyperlink" Target="https://co2re.co/FacilityData" TargetMode="External"/><Relationship Id="rId846" Type="http://schemas.openxmlformats.org/officeDocument/2006/relationships/hyperlink" Target="https://www.acwapower.com/news/acwa-power-to-develop-uzbekistans-first-green-hydrogen-and-green-ammonia-projects/" TargetMode="External"/><Relationship Id="rId1031" Type="http://schemas.openxmlformats.org/officeDocument/2006/relationships/hyperlink" Target="https://www.globenewswire.com/en/news-release/2023/02/16/2609396/0/en/Fusion-Fuel-Signs-Terms-of-Acceptance-with-Portuguese-Prime-Minister-Antonio-Costa-for-10-Million-Component-14-Grant.html" TargetMode="External"/><Relationship Id="rId485" Type="http://schemas.openxmlformats.org/officeDocument/2006/relationships/hyperlink" Target="https://grande-region-hydrogen.eu/en/projects/h2v-warndt-naborien-h2v-wn/" TargetMode="External"/><Relationship Id="rId692" Type="http://schemas.openxmlformats.org/officeDocument/2006/relationships/hyperlink" Target="https://www.nrel.gov/aries/annual-report-2021/index.html" TargetMode="External"/><Relationship Id="rId706" Type="http://schemas.openxmlformats.org/officeDocument/2006/relationships/hyperlink" Target="https://climate.ec.europa.eu/system/files/2022-07/if_pf_2021_h2valcamonica_en.pdf" TargetMode="External"/><Relationship Id="rId913" Type="http://schemas.openxmlformats.org/officeDocument/2006/relationships/hyperlink" Target="https://energynews.biz/mytilineos-invests-in-rosedale-green-hydrogen-project/" TargetMode="External"/><Relationship Id="rId42" Type="http://schemas.openxmlformats.org/officeDocument/2006/relationships/hyperlink" Target="https://www.hybridge.net/index-2.html" TargetMode="External"/><Relationship Id="rId138" Type="http://schemas.openxmlformats.org/officeDocument/2006/relationships/hyperlink" Target="https://www.energate-messenger.de/news/200507/power-to-gas-micro-pyros-geht-in-die-insolvenz" TargetMode="External"/><Relationship Id="rId345" Type="http://schemas.openxmlformats.org/officeDocument/2006/relationships/hyperlink" Target="https://www.repsol.com/en/press-room/press-releases/2020/repsol-to-build-spains-first-advanced-biofuels-plant-in-cartagena.cshtml" TargetMode="External"/><Relationship Id="rId552" Type="http://schemas.openxmlformats.org/officeDocument/2006/relationships/hyperlink" Target="https://renewablesnow.com/news/plug-power-to-create-green-hydrogen-jv-with-olin-build-plant-in-louisiana-782996/" TargetMode="External"/><Relationship Id="rId997" Type="http://schemas.openxmlformats.org/officeDocument/2006/relationships/hyperlink" Target="https://vighy.france-hydrogene.org/projets/dephy2a-ajaccio/" TargetMode="External"/><Relationship Id="rId191" Type="http://schemas.openxmlformats.org/officeDocument/2006/relationships/hyperlink" Target="https://www.h-tec.com/anwendungen/stromlueckenfueller/" TargetMode="External"/><Relationship Id="rId205" Type="http://schemas.openxmlformats.org/officeDocument/2006/relationships/hyperlink" Target="https://stad.gent/sites/default/files/media/documents/20191106_PU_CCUhub_Rapport%20A4%20EN.pdf" TargetMode="External"/><Relationship Id="rId412" Type="http://schemas.openxmlformats.org/officeDocument/2006/relationships/hyperlink" Target="https://www.pv-magazine-australia.com/press-releases/fortescue-future-industries-signs-collaboration-agreement-regarding-a-potential-large-scale-renewable-green-hydrogen-plant-in-new-zealand/" TargetMode="External"/><Relationship Id="rId857" Type="http://schemas.openxmlformats.org/officeDocument/2006/relationships/hyperlink" Target="https://igeh2.com/" TargetMode="External"/><Relationship Id="rId1042" Type="http://schemas.openxmlformats.org/officeDocument/2006/relationships/hyperlink" Target="https://www.hydrogeninsight.com/industrial/indian-steel-giant-to-start-using-green-hydrogen-within-two-years/2-1-1492967" TargetMode="External"/><Relationship Id="rId289" Type="http://schemas.openxmlformats.org/officeDocument/2006/relationships/hyperlink" Target="https://www.fluxys.com/en/news/fluxys-belgium/2020/200422_news_gas_for_climate_study" TargetMode="External"/><Relationship Id="rId496" Type="http://schemas.openxmlformats.org/officeDocument/2006/relationships/hyperlink" Target="https://www.sustainable-bus.com/fuel-cell-bus/tmb-barcelona-hydrogen-bus-on-the-road/" TargetMode="External"/><Relationship Id="rId717" Type="http://schemas.openxmlformats.org/officeDocument/2006/relationships/hyperlink" Target="https://www.planetaryhydrogen.com/news/" TargetMode="External"/><Relationship Id="rId924" Type="http://schemas.openxmlformats.org/officeDocument/2006/relationships/hyperlink" Target="https://www.greencarcongress.com/2021/11/20211118-neste.html"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www.afhypac.org/documents/divers/AFHYPAC_H2regions_2017-06-09_web.pdf" TargetMode="External"/><Relationship Id="rId356" Type="http://schemas.openxmlformats.org/officeDocument/2006/relationships/hyperlink" Target="https://engineered.thyssenkrupp.com/en/climateprotection-carbon2chem-when-emissions-become-valuable-substances/" TargetMode="External"/><Relationship Id="rId563" Type="http://schemas.openxmlformats.org/officeDocument/2006/relationships/hyperlink" Target="https://h2-industries.com/en/waste-to-energy/" TargetMode="External"/><Relationship Id="rId770" Type="http://schemas.openxmlformats.org/officeDocument/2006/relationships/hyperlink" Target="https://research.csiro.au/hyresource/clean-energy-innovation-park/" TargetMode="External"/><Relationship Id="rId216" Type="http://schemas.openxmlformats.org/officeDocument/2006/relationships/hyperlink" Target="http://www.h2susbuild.ntua.gr/Default.aspx" TargetMode="External"/><Relationship Id="rId423" Type="http://schemas.openxmlformats.org/officeDocument/2006/relationships/hyperlink" Target="https://www.cbc.ca/news/canada/calgary/suncor-atco-hydrogen-project-alberta-1.6021796" TargetMode="External"/><Relationship Id="rId868" Type="http://schemas.openxmlformats.org/officeDocument/2006/relationships/hyperlink" Target="https://portocentral.com.br/en/cei-energetica-e-porto-central-assinam-para-o-desenvolvimento-de-projeto-de-hidrogenio-verde/" TargetMode="External"/><Relationship Id="rId1053" Type="http://schemas.openxmlformats.org/officeDocument/2006/relationships/hyperlink" Target="https://fuelcellsworks.com/news/hypster-demonstrator-paves-the-way-for-the-hydrogen-industry-in-europe/" TargetMode="External"/><Relationship Id="rId630" Type="http://schemas.openxmlformats.org/officeDocument/2006/relationships/hyperlink" Target="https://hydrogenisland.dk/en" TargetMode="External"/><Relationship Id="rId728" Type="http://schemas.openxmlformats.org/officeDocument/2006/relationships/hyperlink" Target="https://fuelcellsworks.com/news/basque-hydrogen-corridor-unveiled-a-e1-3billion-hydrogen-project/" TargetMode="External"/><Relationship Id="rId935" Type="http://schemas.openxmlformats.org/officeDocument/2006/relationships/hyperlink" Target="https://www.enapter.com/newsroom/dutch-energy-company-orders-megawatt-class-electrolyser" TargetMode="External"/><Relationship Id="rId64" Type="http://schemas.openxmlformats.org/officeDocument/2006/relationships/hyperlink" Target="https://nelhydrogen.com/press-release/nel-asa-awarded-multi-billion-nok-electrolyzer-and-fueling-station-contract-by-nikola/" TargetMode="External"/><Relationship Id="rId367" Type="http://schemas.openxmlformats.org/officeDocument/2006/relationships/hyperlink" Target="https://www.h2-view.com/story/ghs-to-supply-electrolyser-to-p2x-project/" TargetMode="External"/><Relationship Id="rId574" Type="http://schemas.openxmlformats.org/officeDocument/2006/relationships/hyperlink" Target="https://renewablesnow.com/news/avangrid-has-green-hydrogen-plans-ready-for-doe-rfi-747452/" TargetMode="External"/><Relationship Id="rId227" Type="http://schemas.openxmlformats.org/officeDocument/2006/relationships/hyperlink" Target="https://slideplayer.com/slide/4218317/" TargetMode="External"/><Relationship Id="rId781" Type="http://schemas.openxmlformats.org/officeDocument/2006/relationships/hyperlink" Target="https://topsectorenergie.nl/documents/99/TKI_Nieuw_Gas-Overview_Hydrogen_projects_in_the_Netherlands_-_version_-_220627.pdf" TargetMode="External"/><Relationship Id="rId879" Type="http://schemas.openxmlformats.org/officeDocument/2006/relationships/hyperlink" Target="https://www.maersk.com/news/articles/2022/03/28/maersk-explores-new-ways-to-accelerate-green-fuel-production" TargetMode="External"/><Relationship Id="rId434" Type="http://schemas.openxmlformats.org/officeDocument/2006/relationships/hyperlink" Target="https://www.rechargenews.com/energy-transition/new-10gw-green-hydrogen-project-in-mauritania-could-include-africas-first-offshore-wind-farm/2-1-1074316" TargetMode="External"/><Relationship Id="rId641" Type="http://schemas.openxmlformats.org/officeDocument/2006/relationships/hyperlink" Target="https://www.ammoniaenergy.org/articles/cwp-global-taps-bechtel-to-help-develop-african-ammonia-projects/" TargetMode="External"/><Relationship Id="rId739" Type="http://schemas.openxmlformats.org/officeDocument/2006/relationships/hyperlink" Target="https://research.csiro.au/hyresource/desert-bloom-hydrogen/" TargetMode="External"/><Relationship Id="rId1064" Type="http://schemas.openxmlformats.org/officeDocument/2006/relationships/hyperlink" Target="https://direct.argusmedia.com/newsandanalysis/Article/2470398" TargetMode="External"/><Relationship Id="rId280" Type="http://schemas.openxmlformats.org/officeDocument/2006/relationships/hyperlink" Target="https://www.thyssenkrupp.com/en/newsroom/press-releases/pressdetailpage/green-hydrogen-for-steel-production--rwe-and-thyssenkrupp-plan-partnership-82841" TargetMode="External"/><Relationship Id="rId501" Type="http://schemas.openxmlformats.org/officeDocument/2006/relationships/hyperlink" Target="https://www.indrastra.com/2022/01/china-completes-first-megaton-scale-ccs.html" TargetMode="External"/><Relationship Id="rId946" Type="http://schemas.openxmlformats.org/officeDocument/2006/relationships/hyperlink" Target="https://www.lainformacion.com/empresas/siemens-gamesa-hiperbaric-ariema-hidrogeno-navarra/2885011/" TargetMode="External"/><Relationship Id="rId75" Type="http://schemas.openxmlformats.org/officeDocument/2006/relationships/hyperlink" Target="https://www.supergen-bioenergy.net/wp-content/uploads/2019/06/Bioenergy-and-waste-gasification-report-2019.pdf" TargetMode="External"/><Relationship Id="rId140" Type="http://schemas.openxmlformats.org/officeDocument/2006/relationships/hyperlink" Target="https://www.rh2-wka.de/chronik.html" TargetMode="External"/><Relationship Id="rId378" Type="http://schemas.openxmlformats.org/officeDocument/2006/relationships/hyperlink" Target="https://www.umweltbundesamt.de/sites/default/files/medien/377/dokumente/19_session_i_5_becker.pdf" TargetMode="External"/><Relationship Id="rId585" Type="http://schemas.openxmlformats.org/officeDocument/2006/relationships/hyperlink" Target="https://press.siemens-energy.com/eu/en/pressrelease/siemens-energy-and-messer-group-cooperate-hydrogen-electrolysis-integrated-hub-concept" TargetMode="External"/><Relationship Id="rId792" Type="http://schemas.openxmlformats.org/officeDocument/2006/relationships/hyperlink" Target="https://fuelcellsworks.com/news/sgh2-greener-than-green-hydrogen-plant-gets-green-light/" TargetMode="External"/><Relationship Id="rId806" Type="http://schemas.openxmlformats.org/officeDocument/2006/relationships/hyperlink" Target="https://www.gasunie.nl/en/projects/supercritical-water-gasification"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www.rtsafrica.co.za/Documents/NEL%20Hydrogen%20Brochure.pdf" TargetMode="External"/><Relationship Id="rId445" Type="http://schemas.openxmlformats.org/officeDocument/2006/relationships/hyperlink" Target="https://africa-energy-portal.org/news/kepsa-signs-large-scale-green-energy-projects-mou-kenya" TargetMode="External"/><Relationship Id="rId652" Type="http://schemas.openxmlformats.org/officeDocument/2006/relationships/hyperlink" Target="https://www.power-technology.com/comment/dhofar-green-hydrogen-scheme/" TargetMode="External"/><Relationship Id="rId1075" Type="http://schemas.openxmlformats.org/officeDocument/2006/relationships/hyperlink" Target="https://direct.argusmedia.com/newsandanalysis/Article/2485013" TargetMode="External"/><Relationship Id="rId291" Type="http://schemas.openxmlformats.org/officeDocument/2006/relationships/hyperlink" Target="https://fuelcellsworks.com/news/sun-metals-to-build-queensland-first-renewable-hydrogen-plant/" TargetMode="External"/><Relationship Id="rId305" Type="http://schemas.openxmlformats.org/officeDocument/2006/relationships/hyperlink" Target="https://www.toshiba.co.jp/about/press/2017_07/pr1301.htm" TargetMode="External"/><Relationship Id="rId512" Type="http://schemas.openxmlformats.org/officeDocument/2006/relationships/hyperlink" Target="https://www.pertamina.com/id/news-room/energia-news/pertamina-optimalkan-manfaat-geotermal" TargetMode="External"/><Relationship Id="rId957" Type="http://schemas.openxmlformats.org/officeDocument/2006/relationships/hyperlink" Target="https://www.hydrogeninsight.com/production/worlds-largest-construction-begins-at-chinas-biggest-green-ammonia-plant/2-1-1484607" TargetMode="External"/><Relationship Id="rId86" Type="http://schemas.openxmlformats.org/officeDocument/2006/relationships/hyperlink" Target="https://www.ocap.nl/nl/" TargetMode="External"/><Relationship Id="rId151" Type="http://schemas.openxmlformats.org/officeDocument/2006/relationships/hyperlink" Target="https://p2gconference.com/news/north-america%E2%80%99s-first-power-to-gas-energy-storage-facility-using-hydrogen.html" TargetMode="External"/><Relationship Id="rId389" Type="http://schemas.openxmlformats.org/officeDocument/2006/relationships/hyperlink" Target="https://www.ir.plugpower.com/Press-Releases/Press-Release-Details/2021/Plug-Power-to-Build-North-Americas-Largest-Green-Hydrogen-Production-Facility-in-Western-New-York/default.aspx" TargetMode="External"/><Relationship Id="rId596" Type="http://schemas.openxmlformats.org/officeDocument/2006/relationships/hyperlink" Target="https://reneweconomy.com.au/massive-15bn-desert-bloom-green-hydrogen-project-gets-planning-fast-track/" TargetMode="External"/><Relationship Id="rId817" Type="http://schemas.openxmlformats.org/officeDocument/2006/relationships/hyperlink" Target="https://h2-international.com/2023/02/14/cummins-engine-harnessing-the-power-of-niagara-falls-for-hydrogen/" TargetMode="External"/><Relationship Id="rId1002" Type="http://schemas.openxmlformats.org/officeDocument/2006/relationships/hyperlink" Target="https://vighy.france-hydrogene.org/projets/usine-trange/" TargetMode="External"/><Relationship Id="rId249" Type="http://schemas.openxmlformats.org/officeDocument/2006/relationships/hyperlink" Target="https://www.pv-magazine.com/2019/10/08/siemens-backs-5-gw-green-hydrogen-plan-for-australia/" TargetMode="External"/><Relationship Id="rId456" Type="http://schemas.openxmlformats.org/officeDocument/2006/relationships/hyperlink" Target="https://www.swb.de/ueber-swb/unternehmen/nachhaltigkeit/wasserstoff/clean-hydrogen-coastline" TargetMode="External"/><Relationship Id="rId663" Type="http://schemas.openxmlformats.org/officeDocument/2006/relationships/hyperlink" Target="http://h2est.ee/wp-content/uploads/2021/07/8_NeptHyne_from-Innovation-to-International-Cooperation_Tomasz-Pelc.pdf" TargetMode="External"/><Relationship Id="rId870" Type="http://schemas.openxmlformats.org/officeDocument/2006/relationships/hyperlink" Target="https://www.edpr.com/en/news/2023/01/30/edp-and-cepsa-sign-alliance-promote-andalusian-green-hydrogen-valley" TargetMode="External"/><Relationship Id="rId1086" Type="http://schemas.openxmlformats.org/officeDocument/2006/relationships/hyperlink" Target="https://private.cedigaz.org/newsreport_pdf/61766c96eb575_CNR60-21.pdf"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www.deme-group.com/news/deme-and-partners-present-hyportrduqm-large-scale-green-hydrogen-project-oman-1" TargetMode="External"/><Relationship Id="rId316" Type="http://schemas.openxmlformats.org/officeDocument/2006/relationships/hyperlink" Target="https://www.7sur7.be/ecologie/des-bus-du-tec-charleroi-vont-rouler-a-l-hydrogene~aacd0a8a/" TargetMode="External"/><Relationship Id="rId523" Type="http://schemas.openxmlformats.org/officeDocument/2006/relationships/hyperlink" Target="https://www.hoganlovells.com/-/media/hogan-lovells/global/knowledge/publications/files/2020/australian-hydrogen-projects-paper.pdf" TargetMode="External"/><Relationship Id="rId968" Type="http://schemas.openxmlformats.org/officeDocument/2006/relationships/hyperlink" Target="https://totalenergies.com/media/news/press-releases/united-states-totalenergies-and-tes-join-forces-develop-large-scale-e-ng" TargetMode="External"/><Relationship Id="rId97" Type="http://schemas.openxmlformats.org/officeDocument/2006/relationships/hyperlink" Target="https://hy-gro.net/en/newsitem/stadsdistributie-op-waterstof-stap-dichterbij-door-bouw-tankstation-in-alkmaar" TargetMode="External"/><Relationship Id="rId730" Type="http://schemas.openxmlformats.org/officeDocument/2006/relationships/hyperlink" Target="https://www.irishtimes.com/business/ireland-s-first-green-hydrogen-project-to-come-on-stream-in-weeks-1.4399291" TargetMode="External"/><Relationship Id="rId828" Type="http://schemas.openxmlformats.org/officeDocument/2006/relationships/hyperlink" Target="https://www.dawn.com/news/1653735" TargetMode="External"/><Relationship Id="rId1013" Type="http://schemas.openxmlformats.org/officeDocument/2006/relationships/hyperlink" Target="https://www.hydrogen.energy.gov/pdfs/review23/ta045_pal_2023_o.pdf" TargetMode="External"/><Relationship Id="rId162" Type="http://schemas.openxmlformats.org/officeDocument/2006/relationships/hyperlink" Target="https://www.ademe.fr/sites/default/files/assets/documents/02_the_japanese_policy-t_nagai.pdf" TargetMode="External"/><Relationship Id="rId467" Type="http://schemas.openxmlformats.org/officeDocument/2006/relationships/hyperlink" Target="https://www.durofelguera.com/index.asp?MP=11&amp;MS=36&amp;TR=A&amp;IDR=19&amp;tipo=2&amp;id=519&amp;fecha=20/01/2021" TargetMode="External"/><Relationship Id="rId1097" Type="http://schemas.openxmlformats.org/officeDocument/2006/relationships/hyperlink" Target="https://www.afrik21.africa/en/mauritania-british-oil-company-bp-is-eyeing-the-green-hydrogen-market/" TargetMode="External"/><Relationship Id="rId674" Type="http://schemas.openxmlformats.org/officeDocument/2006/relationships/hyperlink" Target="https://eng.heroya-industripark.no/latest-news/another-green-hydrogen-investment-for-heroeya-this-could-be-big" TargetMode="External"/><Relationship Id="rId881" Type="http://schemas.openxmlformats.org/officeDocument/2006/relationships/hyperlink" Target="https://renewablesnow.com/news/brazils-cactus-energia-signs-h2-mou-in-ceara-backed-by-36-gw-of-solar-offshore-wind-772305/" TargetMode="External"/><Relationship Id="rId979" Type="http://schemas.openxmlformats.org/officeDocument/2006/relationships/hyperlink" Target="https://tci-gecomp.com/en/project/arichile-h2-en/" TargetMode="External"/><Relationship Id="rId24" Type="http://schemas.openxmlformats.org/officeDocument/2006/relationships/hyperlink" Target="https://hydrogenenergysupplychain.com/" TargetMode="External"/><Relationship Id="rId327" Type="http://schemas.openxmlformats.org/officeDocument/2006/relationships/hyperlink" Target="https://www.worldoil.com/news/2020/8/19/siemens-energy-launches-its-first-megawatt-green-hydrogen-production-project-in-china" TargetMode="External"/><Relationship Id="rId534" Type="http://schemas.openxmlformats.org/officeDocument/2006/relationships/hyperlink" Target="https://xfuels.de/hykero/" TargetMode="External"/><Relationship Id="rId741" Type="http://schemas.openxmlformats.org/officeDocument/2006/relationships/hyperlink" Target="https://renewablesnow.com/news/eew-unveils-massive-green-hydrogen-solar-project-in-australia-734022/" TargetMode="External"/><Relationship Id="rId839" Type="http://schemas.openxmlformats.org/officeDocument/2006/relationships/hyperlink" Target="https://renewablesnow.com/news/statkraft-awarded-funds-to-study-green-h2-ammonia-production-at-chilean-solar-farm-756144/" TargetMode="External"/><Relationship Id="rId173" Type="http://schemas.openxmlformats.org/officeDocument/2006/relationships/hyperlink" Target="https://mcphy.com/fr/realisations/fahyence/" TargetMode="External"/><Relationship Id="rId380" Type="http://schemas.openxmlformats.org/officeDocument/2006/relationships/hyperlink" Target="https://localhy.de/" TargetMode="External"/><Relationship Id="rId601" Type="http://schemas.openxmlformats.org/officeDocument/2006/relationships/hyperlink" Target="https://www.h2-view.com/story/25gw-hydrogen-mega-project-set-for-oman/" TargetMode="External"/><Relationship Id="rId1024" Type="http://schemas.openxmlformats.org/officeDocument/2006/relationships/hyperlink" Target="https://p2x.fi/p2x-solutions-selvittaa-savon-voiman-kanssa-mahdollisuutta-vihrean-vedyn-ja-sahkopolttoaineiden-tuotantoon-joensuussa/" TargetMode="External"/><Relationship Id="rId240" Type="http://schemas.openxmlformats.org/officeDocument/2006/relationships/hyperlink" Target="http://www.lifesciencesite.com/lsj/life0904/028_10515life0904_191_196.pdf" TargetMode="External"/><Relationship Id="rId478" Type="http://schemas.openxmlformats.org/officeDocument/2006/relationships/hyperlink" Target="https://energy-utilities.com/international-firms-sign-agreement-with-oman-for-news114757.html" TargetMode="External"/><Relationship Id="rId685" Type="http://schemas.openxmlformats.org/officeDocument/2006/relationships/hyperlink" Target="https://research.csiro.au/hyresource/renewable-hydrogen-production-and-refuelling-project/" TargetMode="External"/><Relationship Id="rId892" Type="http://schemas.openxmlformats.org/officeDocument/2006/relationships/hyperlink" Target="https://www.nrf.ac.za/sasols-energy-transition-collaboration-on-the-hydrogen-economy/" TargetMode="External"/><Relationship Id="rId906" Type="http://schemas.openxmlformats.org/officeDocument/2006/relationships/hyperlink" Target="https://www.linkedin.com/feed/update/urn:li:activity:7078990234830471168/" TargetMode="External"/><Relationship Id="rId35" Type="http://schemas.openxmlformats.org/officeDocument/2006/relationships/hyperlink" Target="https://arena.gov.au/news/hydrogen-to-be-trialled-in-nsw-gas-networks/" TargetMode="External"/><Relationship Id="rId100" Type="http://schemas.openxmlformats.org/officeDocument/2006/relationships/hyperlink" Target="https://hydrospider.ch/en/production_niedergoesgen/" TargetMode="External"/><Relationship Id="rId338" Type="http://schemas.openxmlformats.org/officeDocument/2006/relationships/hyperlink" Target="http://www.itm-power.com/news-item/100mw-power-to-gas-p2g-energy-storage-feasibility-study" TargetMode="External"/><Relationship Id="rId545" Type="http://schemas.openxmlformats.org/officeDocument/2006/relationships/hyperlink" Target="https://fuelcellsworks.com/news/hazer-group-enters-mou-for-developing-hydrogen-production-facility-in-canada/?mc_cid=8d7926e8c4&amp;mc_eid=da4624d261" TargetMode="External"/><Relationship Id="rId752" Type="http://schemas.openxmlformats.org/officeDocument/2006/relationships/hyperlink" Target="https://www.enagas.es/stfls/ENAGAS/Notas%20de%20prensa/Nota%20de%20prensa%20conjunta%20MoU%20H2%20(bp%20Iberdrola%20Enagas)%2028042021_EN_pr.pdf" TargetMode="External"/><Relationship Id="rId184" Type="http://schemas.openxmlformats.org/officeDocument/2006/relationships/hyperlink" Target="https://www.hydrogen4climateaction.eu/programme" TargetMode="External"/><Relationship Id="rId391" Type="http://schemas.openxmlformats.org/officeDocument/2006/relationships/hyperlink" Target="https://www.chemnews.com.cn/c/2020-11-18/667602.shtml?utm_campaign=China%20Clean%20Energy%20Syndicate%20&amp;utm_medium=email&amp;utm_source=Revue%20newsletter" TargetMode="External"/><Relationship Id="rId405" Type="http://schemas.openxmlformats.org/officeDocument/2006/relationships/hyperlink" Target="https://www.ssme.gov.py/vmme/index.php?option=com_content&amp;view=article&amp;id=2020:proyecto-qla-ruta-del-hidrogeno-h2-en-paraguay&amp;catid=96:sample-news&amp;Itemid=552" TargetMode="External"/><Relationship Id="rId612" Type="http://schemas.openxmlformats.org/officeDocument/2006/relationships/hyperlink" Target="https://fuelcellsworks.com/news/woodside-signs-hydrogen-mou-with-tasmanian-government-on-renewable-hydrogen-production-facility/" TargetMode="External"/><Relationship Id="rId1035" Type="http://schemas.openxmlformats.org/officeDocument/2006/relationships/hyperlink" Target="http://www.thenavigatorcompany.com/var/ezdemo_site/storage/original/application/4470a6c498af5b4a766c860dd70cb923.pdf" TargetMode="External"/><Relationship Id="rId251" Type="http://schemas.openxmlformats.org/officeDocument/2006/relationships/hyperlink" Target="http://www.haeolus.eu/wp-content/uploads/2020/04/SINTEF-2020-00179.pdf" TargetMode="External"/><Relationship Id="rId489" Type="http://schemas.openxmlformats.org/officeDocument/2006/relationships/hyperlink" Target="https://www.usinenouvelle.com/article/h2v-produira-de-l-hydrogene-vert-sur-le-site-de-l-ancienne-acierie-de-gandrange.N1073449" TargetMode="External"/><Relationship Id="rId696" Type="http://schemas.openxmlformats.org/officeDocument/2006/relationships/hyperlink" Target="https://www.dhnet.be/regions/liege/2022/02/19/production-dhydrogene-a-liege-airport-en-2023-QJZNVKUWPNFMHP7N6W2QIPRM7E/" TargetMode="External"/><Relationship Id="rId917" Type="http://schemas.openxmlformats.org/officeDocument/2006/relationships/hyperlink" Target="https://www.energate-messenger.com/news/232487/ewe-becomes-hydrogen-supplier-for-salzgitter" TargetMode="External"/><Relationship Id="rId1102" Type="http://schemas.openxmlformats.org/officeDocument/2006/relationships/hyperlink" Target="https://www.reuters.com/sustainability/climate-energy/germanys-august-global-investment-plans-build-hydrogen-plant-indonesia-2023-08-28/" TargetMode="External"/><Relationship Id="rId46" Type="http://schemas.openxmlformats.org/officeDocument/2006/relationships/hyperlink" Target="https://www.get-h2.de/en/project-lingen/" TargetMode="External"/><Relationship Id="rId349" Type="http://schemas.openxmlformats.org/officeDocument/2006/relationships/hyperlink" Target="https://www.siemens.com/innovation/en/home/pictures-of-the-future/energy-and-efficiency/smart-grids-and-energy-storage-electrolyzers-energy-storage-for-the-future.html" TargetMode="External"/><Relationship Id="rId556" Type="http://schemas.openxmlformats.org/officeDocument/2006/relationships/hyperlink" Target="https://www.bp.com/en/global/corporate/news-and-insights/press-releases/abu-dhabis-adnoc-and-masdar-to-join-bps-uk-hydrogen-projects.html" TargetMode="External"/><Relationship Id="rId763" Type="http://schemas.openxmlformats.org/officeDocument/2006/relationships/hyperlink" Target="https://www.mukran-port.de/en/press/lesen/cooperation-launched-in-hydrogen-region.html" TargetMode="External"/><Relationship Id="rId111" Type="http://schemas.openxmlformats.org/officeDocument/2006/relationships/hyperlink" Target="https://www.cenews.com.cn/company/201912/t20191227_923699.html" TargetMode="External"/><Relationship Id="rId195" Type="http://schemas.openxmlformats.org/officeDocument/2006/relationships/hyperlink" Target="https://group.vattenfall.com/press-and-media/news--press-releases/pressreleases/2019/hybrit-orders-norwegain-electrolyzers-for-fossil-free-steel-production-in-lulea" TargetMode="External"/><Relationship Id="rId209" Type="http://schemas.openxmlformats.org/officeDocument/2006/relationships/hyperlink" Target="https://nelhydrogen.com/press-release/press-release-nel-receives-purchase-order-for-a-3-5-mw-electrolyser-from-engie/"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970" Type="http://schemas.openxmlformats.org/officeDocument/2006/relationships/hyperlink" Target="https://www.constructionweekonline.in/business/a-p-moller-maersk-sungas-renewables-sign-strategic-green-methanol-partnership" TargetMode="External"/><Relationship Id="rId1046" Type="http://schemas.openxmlformats.org/officeDocument/2006/relationships/hyperlink" Target="https://direct.argusmedia.com/newsandanalysis/Article/2474693" TargetMode="External"/><Relationship Id="rId623" Type="http://schemas.openxmlformats.org/officeDocument/2006/relationships/hyperlink" Target="https://www.rechargenews.com/wind/deep-purple-seabed-hydrogen-storage-for-offshore-wind-plan/2-1-617947" TargetMode="External"/><Relationship Id="rId830" Type="http://schemas.openxmlformats.org/officeDocument/2006/relationships/hyperlink" Target="https://ntepa.nt.gov.au/__data/assets/pdf_file/0018/1122741/provaris-tiwi-h2-project-referral.pdf" TargetMode="External"/><Relationship Id="rId928" Type="http://schemas.openxmlformats.org/officeDocument/2006/relationships/hyperlink" Target="https://hydrogen-central.com/hazer-advances-collaboration-engie-hazer-facility-france-hydrogen-production/" TargetMode="External"/><Relationship Id="rId57" Type="http://schemas.openxmlformats.org/officeDocument/2006/relationships/hyperlink" Target="https://crystalbrookenergypark.com.au/" TargetMode="External"/><Relationship Id="rId262" Type="http://schemas.openxmlformats.org/officeDocument/2006/relationships/hyperlink" Target="https://fuelcellsworks.com/news/poland-pgnig-launches-new-hydrogen-program/" TargetMode="External"/><Relationship Id="rId567" Type="http://schemas.openxmlformats.org/officeDocument/2006/relationships/hyperlink" Target="https://energynews.biz/green-hydrogen-systems-electrolysers-chosen-for-green-hydrogen-project-in-germany/" TargetMode="External"/><Relationship Id="rId1113" Type="http://schemas.openxmlformats.org/officeDocument/2006/relationships/hyperlink" Target="https://fortescue.com/what-we-do/our-projects/holmaneset" TargetMode="External"/><Relationship Id="rId122" Type="http://schemas.openxmlformats.org/officeDocument/2006/relationships/hyperlink" Target="https://www.storeandgo.info/about-the-project/" TargetMode="External"/><Relationship Id="rId774" Type="http://schemas.openxmlformats.org/officeDocument/2006/relationships/hyperlink" Target="https://hydrogen-central.com/fusion-fuel-signs-green-hydrogen-offtake-agreement-portuguese-gas-utility-dourogas/" TargetMode="External"/><Relationship Id="rId981" Type="http://schemas.openxmlformats.org/officeDocument/2006/relationships/hyperlink" Target="https://www.fishfarmingexpert.com/green-hydrogen-generation-hydroelectric-power-mowi-chile/mowi-seeks-to-run-farms-on-home-made-hydrogen/1283091" TargetMode="External"/><Relationship Id="rId1057" Type="http://schemas.openxmlformats.org/officeDocument/2006/relationships/hyperlink" Target="https://direct.argusmedia.com/newsandanalysis/article/2488018" TargetMode="External"/><Relationship Id="rId427" Type="http://schemas.openxmlformats.org/officeDocument/2006/relationships/hyperlink" Target="https://www.youtube.com/watch?v=Hkub341JQxA" TargetMode="External"/><Relationship Id="rId634" Type="http://schemas.openxmlformats.org/officeDocument/2006/relationships/hyperlink" Target="https://libertyhydrogen.com.au/liberty-hydrogen-launches-today/" TargetMode="External"/><Relationship Id="rId841" Type="http://schemas.openxmlformats.org/officeDocument/2006/relationships/hyperlink" Target="https://www.offshore-energy.biz/cepsa-and-getec-sign-green-hydrogen-agreement/" TargetMode="External"/><Relationship Id="rId273" Type="http://schemas.openxmlformats.org/officeDocument/2006/relationships/hyperlink" Target="https://reneweconomy.com.au/massive-1000mw-baseload-wind-solar-and-hydrogen-plant-pitched-for-nsw-16049/" TargetMode="External"/><Relationship Id="rId480" Type="http://schemas.openxmlformats.org/officeDocument/2006/relationships/hyperlink" Target="https://www.adodunav.org/en/news/vodorodniiat-proiekt-v-rusie-prieminava-km-faza-na-osshchiestviavanie" TargetMode="External"/><Relationship Id="rId701" Type="http://schemas.openxmlformats.org/officeDocument/2006/relationships/hyperlink" Target="https://energynews.biz/race-to-lead-in-hydrogen-technology-has-intensified/" TargetMode="External"/><Relationship Id="rId939" Type="http://schemas.openxmlformats.org/officeDocument/2006/relationships/hyperlink" Target="http://www.asianmetal.com/news/data/1649670/7/HBIS%20to%20put%20hydrogen-based%20DRI%20plant%20phase%20I%20into%20operation%20by%20late%202021" TargetMode="External"/><Relationship Id="rId68" Type="http://schemas.openxmlformats.org/officeDocument/2006/relationships/hyperlink" Target="https://industry.airliquide.ca/air-liquide-invests-worlds-largest-membrane-based-electrolyzer-develop-its-carbon-free-hydrogen" TargetMode="External"/><Relationship Id="rId133" Type="http://schemas.openxmlformats.org/officeDocument/2006/relationships/hyperlink" Target="https://www.next-kraftwerke.com/company/case-studies/electrolysis-hydrogen-with-excess-renewables" TargetMode="External"/><Relationship Id="rId340" Type="http://schemas.openxmlformats.org/officeDocument/2006/relationships/hyperlink" Target="https://www.energias-renovables.com/eolica/como-producir-hidrogeno-con-energia-eolica-20200417" TargetMode="External"/><Relationship Id="rId578" Type="http://schemas.openxmlformats.org/officeDocument/2006/relationships/hyperlink" Target="https://hydrogen-central.com/gh2-port-bordeaux-largest-hydrogen-production-unit-project/" TargetMode="External"/><Relationship Id="rId785" Type="http://schemas.openxmlformats.org/officeDocument/2006/relationships/hyperlink" Target="https://www.group.sener/project/electrolyzer-petronor-refinery-muskiz/?lang=en" TargetMode="External"/><Relationship Id="rId992" Type="http://schemas.openxmlformats.org/officeDocument/2006/relationships/hyperlink" Target="https://www.france-hydrogene.org/magazine/hydom-un-projet-a-85-mw-dans-la-vallee-de-la-chimie/?cn-reloaded=1" TargetMode="External"/><Relationship Id="rId200" Type="http://schemas.openxmlformats.org/officeDocument/2006/relationships/hyperlink" Target="https://oge.net/en/us/projects/westkueste-100" TargetMode="External"/><Relationship Id="rId438" Type="http://schemas.openxmlformats.org/officeDocument/2006/relationships/hyperlink" Target="https://www.lavieeco.com/economie/lhydrogene-vert-sera-bientot-produit-au-maroc/" TargetMode="External"/><Relationship Id="rId645" Type="http://schemas.openxmlformats.org/officeDocument/2006/relationships/hyperlink" Target="https://www.rechargenews.com/energy-transition/another-aussie-green-hydrogen-hub-in-the-works-as-total-eren-eyes-1gw-darwin-project/2-1-1278144" TargetMode="External"/><Relationship Id="rId852" Type="http://schemas.openxmlformats.org/officeDocument/2006/relationships/hyperlink" Target="https://www.h2bulletin.com/mmex-resources-corp-to-produce-green-hydrogen-in-rio-grande-argentina/" TargetMode="External"/><Relationship Id="rId1068" Type="http://schemas.openxmlformats.org/officeDocument/2006/relationships/hyperlink" Target="https://www.gegha.com.au/" TargetMode="External"/><Relationship Id="rId284" Type="http://schemas.openxmlformats.org/officeDocument/2006/relationships/hyperlink" Target="https://www.lavenir.net/cnt/dmf20200529_01478987/feu-vert-de-l-executif-regional-pour-une-station-d-hydrogene" TargetMode="External"/><Relationship Id="rId491" Type="http://schemas.openxmlformats.org/officeDocument/2006/relationships/hyperlink" Target="https://hexagonresources.com/wp-content/uploads/2021/03/HXG4335_Draft4_Roadshow-Presentation_FINAL-LGv2_full-version.pdf" TargetMode="External"/><Relationship Id="rId505" Type="http://schemas.openxmlformats.org/officeDocument/2006/relationships/hyperlink" Target="https://www.spglobal.com/marketintelligence/en/news-insights/latest-news-headlines/new-jersey-resources-starts-up-1st-east-coast-green-hydrogen-blending-project-67570888" TargetMode="External"/><Relationship Id="rId712" Type="http://schemas.openxmlformats.org/officeDocument/2006/relationships/hyperlink" Target="http://www.chinapower.hk/en/media/news-p210412a.php" TargetMode="External"/><Relationship Id="rId79" Type="http://schemas.openxmlformats.org/officeDocument/2006/relationships/hyperlink" Target="https://www.smart-energy.com/renewable-energy/engie-signs-cooperation-deal-to-participate-in-hygreen-provence-project-air-liquede/" TargetMode="External"/><Relationship Id="rId144" Type="http://schemas.openxmlformats.org/officeDocument/2006/relationships/hyperlink" Target="http://h2b2.es/h2b2-has-finished-the-delivery-and-commissioning-of-an-electrolyser-system-to-vtt-technical-research-centre-of-finland-ltd/" TargetMode="External"/><Relationship Id="rId589" Type="http://schemas.openxmlformats.org/officeDocument/2006/relationships/hyperlink" Target="https://www.china5e.com/news/news-1107445-1.html" TargetMode="External"/><Relationship Id="rId796" Type="http://schemas.openxmlformats.org/officeDocument/2006/relationships/hyperlink" Target="https://energynews.biz/hydrogen-utopia-in-waste-plastic-to-hydrogen-project-in-poland/" TargetMode="External"/><Relationship Id="rId351" Type="http://schemas.openxmlformats.org/officeDocument/2006/relationships/hyperlink" Target="https://bioenergyinternational.com/storage-logistics/everfuel-and-shell-enter-into-strategic-collaboration-on-a-large-scale-hydrogen-plant" TargetMode="External"/><Relationship Id="rId449" Type="http://schemas.openxmlformats.org/officeDocument/2006/relationships/hyperlink" Target="http://calumetspecialty.investorroom.com/download/CLMT+-+Corp+Pres+2022.01.04+vFINAL.pdf" TargetMode="External"/><Relationship Id="rId656"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863" Type="http://schemas.openxmlformats.org/officeDocument/2006/relationships/hyperlink" Target="https://www.prnewswire.com/news-releases/air-products-and-aes-announce-plans-to-invest-approximately-4-billion-to-build-first-mega-scale-green-hydrogen-production-facility-in-texas-301697873.html" TargetMode="External"/><Relationship Id="rId1079" Type="http://schemas.openxmlformats.org/officeDocument/2006/relationships/hyperlink" Target="https://h2-international.com/2021/06/14/element-eins-and-hybridge-stopped/" TargetMode="External"/><Relationship Id="rId211" Type="http://schemas.openxmlformats.org/officeDocument/2006/relationships/hyperlink" Target="http://www.westkueste100.de/" TargetMode="External"/><Relationship Id="rId295" Type="http://schemas.openxmlformats.org/officeDocument/2006/relationships/hyperlink" Target="https://www.toshiba-energy.com/en/hydrogen/results/index.htm" TargetMode="External"/><Relationship Id="rId309" Type="http://schemas.openxmlformats.org/officeDocument/2006/relationships/hyperlink" Target="https://www.powermag.com/worlds-first-integrated-hydrogen-power-to-power-demonstration-launched/" TargetMode="External"/><Relationship Id="rId516" Type="http://schemas.openxmlformats.org/officeDocument/2006/relationships/hyperlink" Target="https://www.exeloncorp.com/newsroom/Pages/DOE-Grant-to-Support-Hydrogen-Production-Project-at-Nine-Mile-Point.aspx" TargetMode="External"/><Relationship Id="rId723" Type="http://schemas.openxmlformats.org/officeDocument/2006/relationships/hyperlink" Target="https://www.fronius.com/en/solar-energy/about-us/news/solhub-san-venture-reference-11062021" TargetMode="External"/><Relationship Id="rId930" Type="http://schemas.openxmlformats.org/officeDocument/2006/relationships/hyperlink" Target="https://direct.argusmedia.com/newsandanalysis/Article/2439283" TargetMode="External"/><Relationship Id="rId1006" Type="http://schemas.openxmlformats.org/officeDocument/2006/relationships/hyperlink" Target="https://vighy.france-hydrogene.org/projets/h2-bordeaux/" TargetMode="External"/><Relationship Id="rId155" Type="http://schemas.openxmlformats.org/officeDocument/2006/relationships/hyperlink" Target="https://www.spglobal.com/platts/es/market-insights/latest-news/electric-power/012420-dutch-20-mw-green-hydrogen-electrolyzer-project-secures-eu-funding" TargetMode="External"/><Relationship Id="rId362" Type="http://schemas.openxmlformats.org/officeDocument/2006/relationships/hyperlink" Target="https://www.cfindustries.com/newsroom/2020/commitment-to-clean-energy-economy" TargetMode="External"/><Relationship Id="rId222" Type="http://schemas.openxmlformats.org/officeDocument/2006/relationships/hyperlink" Target="https://www.lemoniteur.fr/article/un-demonstrateur-power-to-gas-en-service-a-nantes.1949184" TargetMode="External"/><Relationship Id="rId667" Type="http://schemas.openxmlformats.org/officeDocument/2006/relationships/hyperlink" Target="https://www.argusmedia.com/en/news/2337598-sk-es-plug-power-aim-to-grow-h2-business-supply-asia" TargetMode="External"/><Relationship Id="rId874" Type="http://schemas.openxmlformats.org/officeDocument/2006/relationships/hyperlink" Target="https://www.sasol.com/media-centre/media-releases/sasol-explore-potential-cleaner-aviation-fuels-world-class-partners" TargetMode="External"/><Relationship Id="rId17" Type="http://schemas.openxmlformats.org/officeDocument/2006/relationships/hyperlink" Target="http://www.carboncapturejournal.com/ViewNews.aspx?NewsID=4220" TargetMode="External"/><Relationship Id="rId527" Type="http://schemas.openxmlformats.org/officeDocument/2006/relationships/hyperlink" Target="https://research.csiro.au/hyresource/h2-hub-gladstone/" TargetMode="External"/><Relationship Id="rId734" Type="http://schemas.openxmlformats.org/officeDocument/2006/relationships/hyperlink" Target="https://www.wiva.at/v2/portfolio-item/h2pioneer-pave-the-way-for-green-hydrogen-for-early-adopters-in-the-light-industry/?lang=en" TargetMode="External"/><Relationship Id="rId941" Type="http://schemas.openxmlformats.org/officeDocument/2006/relationships/hyperlink" Target="https://www.ammoniaenergy.org/articles/fertiliser-giant-ocp-group-to-go-fully-renewable-eliminate-ammonia-imports-to-morocco/" TargetMode="External"/><Relationship Id="rId70" Type="http://schemas.openxmlformats.org/officeDocument/2006/relationships/hyperlink" Target="https://www.toshiba-energy.com/en/info/info2018_0809.htm" TargetMode="External"/><Relationship Id="rId166" Type="http://schemas.openxmlformats.org/officeDocument/2006/relationships/hyperlink" Target="https://www.sciencedirect.com/science/article/pii/S1464285918300506" TargetMode="External"/><Relationship Id="rId373" Type="http://schemas.openxmlformats.org/officeDocument/2006/relationships/hyperlink" Target="https://www.topsectorenergie.nl/sites/default/files/uploads/TKI%20Gas/nieuws/Overview%20of%20Hydrogen%20project%20in%20the%20Netherlands.pdf" TargetMode="External"/><Relationship Id="rId580" Type="http://schemas.openxmlformats.org/officeDocument/2006/relationships/hyperlink" Target="https://mcphy.com/en/achievements/hydrogen-mobility-en/dijon-metropole-smart-energhy-dmse/?cn-reloaded=1" TargetMode="External"/><Relationship Id="rId801" Type="http://schemas.openxmlformats.org/officeDocument/2006/relationships/hyperlink" Target="https://energynews.biz/production-of-blue-hydrogen-begins-in-changwon-city/?utm_source=rss&amp;utm_medium=rss&amp;utm_campaign=production-of-blue-hydrogen-begins-in-changwon-city" TargetMode="External"/><Relationship Id="rId1017" Type="http://schemas.openxmlformats.org/officeDocument/2006/relationships/hyperlink" Target="https://www.hypa.at/umsetzung/elektrolyseure" TargetMode="External"/><Relationship Id="rId1" Type="http://schemas.openxmlformats.org/officeDocument/2006/relationships/hyperlink" Target="https://www.energate-messenger.de/news/186936/reallabor-fuer-wasserstoff-grossprojekt" TargetMode="External"/><Relationship Id="rId233" Type="http://schemas.openxmlformats.org/officeDocument/2006/relationships/hyperlink" Target="https://www.lemvigbiogas.com/MeGa-stoREfinalreport.pdf" TargetMode="External"/><Relationship Id="rId440" Type="http://schemas.openxmlformats.org/officeDocument/2006/relationships/hyperlink" Target="https://www.man-es.com/company/press-releases/press-details/2021/08/12/taqa-arabia-signs-mou-with-man-energy-solutions-for-egyptian-green-hydrogen-project" TargetMode="External"/><Relationship Id="rId678" Type="http://schemas.openxmlformats.org/officeDocument/2006/relationships/hyperlink" Target="https://www.hysolar.nl/nieuws/groene-waterstof-krijgt-vaart/" TargetMode="External"/><Relationship Id="rId885" Type="http://schemas.openxmlformats.org/officeDocument/2006/relationships/hyperlink" Target="https://www.reuters.com/business/sustainable-business/egypt-india-sign-mou-build-green-hydrogen-factory-worth-8-bln-2022-07-27/" TargetMode="External"/><Relationship Id="rId1070" Type="http://schemas.openxmlformats.org/officeDocument/2006/relationships/hyperlink" Target="https://direct.argusmedia.com/newsandanalysis/Article/2492648" TargetMode="External"/><Relationship Id="rId28" Type="http://schemas.openxmlformats.org/officeDocument/2006/relationships/hyperlink" Target="https://fuelcellsworks.com/news/hydrogen-pilot-project-h2morrow-to-support-deep-decarbonization-of-german-industry/" TargetMode="External"/><Relationship Id="rId300" Type="http://schemas.openxmlformats.org/officeDocument/2006/relationships/hyperlink" Target="https://www.toshiba-energy.com/en/info/info2020_0610.htm" TargetMode="External"/><Relationship Id="rId538" Type="http://schemas.openxmlformats.org/officeDocument/2006/relationships/hyperlink" Target="https://www.chemengonline.com/austrian-consortium-unveils-major-decarbonization-project-focused-on-co2-capture-green-hydrogen/" TargetMode="External"/><Relationship Id="rId745" Type="http://schemas.openxmlformats.org/officeDocument/2006/relationships/hyperlink" Target="https://volth2.com/projects/" TargetMode="External"/><Relationship Id="rId952" Type="http://schemas.openxmlformats.org/officeDocument/2006/relationships/hyperlink" Target="https://fuelcellsworks.com/news/lhyfe-and-duisport-plan-first-green-hydrogen-production-plant-in-duisburg-harbor-the-largest-inland-port-in-the-world/?mc_cid=cb7d9f94fc&amp;mc_eid=da4624d261" TargetMode="External"/><Relationship Id="rId81" Type="http://schemas.openxmlformats.org/officeDocument/2006/relationships/hyperlink" Target="https://new.siemens.com/mea/en/company/stories/energy/a-trailblazer-of-green-hydrogen.html" TargetMode="External"/><Relationship Id="rId177" Type="http://schemas.openxmlformats.org/officeDocument/2006/relationships/hyperlink" Target="https://mnre.gov.in/sites/default/files/uploads/Shrinet-ERDA.pdf" TargetMode="External"/><Relationship Id="rId384" Type="http://schemas.openxmlformats.org/officeDocument/2006/relationships/hyperlink" Target="https://www.eqmagpro.com/wp-content/uploads/2016/10/Annexure-IV-Report-on-Hydrogen-Production.pdf" TargetMode="External"/><Relationship Id="rId591" Type="http://schemas.openxmlformats.org/officeDocument/2006/relationships/hyperlink" Target="https://www.mitsubishicorp.com/jp/en/pr/archive/2021/html/0000046720.html" TargetMode="External"/><Relationship Id="rId605" Type="http://schemas.openxmlformats.org/officeDocument/2006/relationships/hyperlink" Target="https://www.seetao.com/details/111344.html" TargetMode="External"/><Relationship Id="rId812" Type="http://schemas.openxmlformats.org/officeDocument/2006/relationships/hyperlink" Target="https://w3.windfair.net/wind-energy/pr/41036-statkraft-h2-green-steel-renewables-electricity-sweden-price-hydropower-green-steel-production-industry" TargetMode="External"/><Relationship Id="rId1028" Type="http://schemas.openxmlformats.org/officeDocument/2006/relationships/hyperlink" Target="https://www.entsog.eu/sites/default/files/2023-04/web_entsog_230311_CHA_Learnbook_230405.pdf" TargetMode="External"/><Relationship Id="rId244" Type="http://schemas.openxmlformats.org/officeDocument/2006/relationships/hyperlink" Target="https://www.hitachizosen.co.jp/english/news/2019/10/003405.html" TargetMode="External"/><Relationship Id="rId689" Type="http://schemas.openxmlformats.org/officeDocument/2006/relationships/hyperlink" Target="https://oge.net/en/sustainable/projects/our-hydrogen-projects/get-h2-nukleus" TargetMode="External"/><Relationship Id="rId896" Type="http://schemas.openxmlformats.org/officeDocument/2006/relationships/hyperlink" Target="https://www.norsk-e-fuel.com/about-us" TargetMode="External"/><Relationship Id="rId1081" Type="http://schemas.openxmlformats.org/officeDocument/2006/relationships/hyperlink" Target="https://direct.argusmedia.com/newsandanalysis/Article/2491133" TargetMode="External"/><Relationship Id="rId39" Type="http://schemas.openxmlformats.org/officeDocument/2006/relationships/hyperlink" Target="https://www.agig.com.au/pioneering-sa-hydrogen-facility" TargetMode="External"/><Relationship Id="rId451" Type="http://schemas.openxmlformats.org/officeDocument/2006/relationships/hyperlink" Target="https://www.reuters.com/business/environment/portugals-top-cement-glass-makers-join-new-consortium-green-hydrogen-plant-2022-02-22/" TargetMode="External"/><Relationship Id="rId549" Type="http://schemas.openxmlformats.org/officeDocument/2006/relationships/hyperlink" Target="https://newsbeezer.com/portugaleng/producing-hydrogen-at-alandroal-this-can-be-possible-after-an-investment-of-more-than-e-300-million/" TargetMode="External"/><Relationship Id="rId756" Type="http://schemas.openxmlformats.org/officeDocument/2006/relationships/hyperlink" Target="https://carboncopy.eco/initiatives/herne-bay-green-hydrogen-production-plant" TargetMode="External"/><Relationship Id="rId104" Type="http://schemas.openxmlformats.org/officeDocument/2006/relationships/hyperlink" Target="https://www.gasworld.com/toyota-to-build-74m-hydrogen-hub/2016842.article" TargetMode="External"/><Relationship Id="rId188" Type="http://schemas.openxmlformats.org/officeDocument/2006/relationships/hyperlink" Target="https://www.remote-euproject.eu/remote-project/" TargetMode="External"/><Relationship Id="rId311"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95" Type="http://schemas.openxmlformats.org/officeDocument/2006/relationships/hyperlink" Target="https://www.h2-mobile.fr/actus/hygo-station-hydrogene-vannes-ouvrira-octobre-2021/" TargetMode="External"/><Relationship Id="rId409" Type="http://schemas.openxmlformats.org/officeDocument/2006/relationships/hyperlink" Target="https://www.airproducts.com/news-center/2021/06/0609-air-products-net-zero-hydrogen-energy-complex-in-edmonton-alberta-canada" TargetMode="External"/><Relationship Id="rId963" Type="http://schemas.openxmlformats.org/officeDocument/2006/relationships/hyperlink" Target="https://www.maritime-executive.com/article/maersk-invests-in-green-methanol-production-in-south-dakota" TargetMode="External"/><Relationship Id="rId1039" Type="http://schemas.openxmlformats.org/officeDocument/2006/relationships/hyperlink" Target="https://solarquarter.com/2023/04/24/omans-first-green-ammonia-plant-by-acme-to-launch-by-mid-2025-in-duqm-sez/" TargetMode="External"/><Relationship Id="rId92" Type="http://schemas.openxmlformats.org/officeDocument/2006/relationships/hyperlink" Target="https://sequestration.mit.edu/tools/projects/quest.html" TargetMode="External"/><Relationship Id="rId616" Type="http://schemas.openxmlformats.org/officeDocument/2006/relationships/hyperlink" Target="https://www.awi.de/en/about-us/service/press/single-view/co2-neutral-auf-der-nordsee.html" TargetMode="External"/><Relationship Id="rId823" Type="http://schemas.openxmlformats.org/officeDocument/2006/relationships/hyperlink" Target="https://fuelcellsworks.com/news/enegix-energy-partners-with-black-veatch-on-green-hydrogen-plant-in-ceara-brazil/?mc_cid=fbb2a1bb9c&amp;mc_eid=da4624d261" TargetMode="External"/><Relationship Id="rId255" Type="http://schemas.openxmlformats.org/officeDocument/2006/relationships/hyperlink" Target="https://allesoverwaterstof.nl/film-nederlands-offshore-waterstofinstallatie-poshydon/" TargetMode="External"/><Relationship Id="rId462" Type="http://schemas.openxmlformats.org/officeDocument/2006/relationships/hyperlink" Target="https://www.rwe.com/en/press/rwe-ag/2022-03-24-oge-and-rwe-present-national-infrastructure-concept--h2ercules" TargetMode="External"/><Relationship Id="rId1092" Type="http://schemas.openxmlformats.org/officeDocument/2006/relationships/hyperlink" Target="https://direct.argusmedia.com/newsandanalysis/Article/2493887" TargetMode="External"/><Relationship Id="rId1106" Type="http://schemas.openxmlformats.org/officeDocument/2006/relationships/hyperlink" Target="https://renewablesnow.com/news/ewe-plans-320-mw-green-hydrogen-plant-on-germanys-north-sea-coast-803869/" TargetMode="External"/><Relationship Id="rId115" Type="http://schemas.openxmlformats.org/officeDocument/2006/relationships/hyperlink" Target="https://www.spglobal.com/platts/en/market-insights/latest-news/coal/031020-cea-led-consortium-launches-26-mw-rotterdam-green-h2-project" TargetMode="External"/><Relationship Id="rId322" Type="http://schemas.openxmlformats.org/officeDocument/2006/relationships/hyperlink" Target="https://fuelcellsworks.com/news/mcphy-selected-to-equip-a-new-zero-carbon-hydrogen-station/" TargetMode="External"/><Relationship Id="rId767" Type="http://schemas.openxmlformats.org/officeDocument/2006/relationships/hyperlink" Target="https://h2-tech.com/news/2022/10-2022/danish-power-to-x-partnership-breaks-ground-on-first-of-its-kind-green-ammonia-project/" TargetMode="External"/><Relationship Id="rId974" Type="http://schemas.openxmlformats.org/officeDocument/2006/relationships/hyperlink" Target="https://hydrogen.johncockerill.com/en/markets/power-to-gas/" TargetMode="External"/><Relationship Id="rId199" Type="http://schemas.openxmlformats.org/officeDocument/2006/relationships/hyperlink" Target="https://www.lemvigbiogas.com/MeGa-stoREfinalreport.pdf" TargetMode="External"/><Relationship Id="rId627" Type="http://schemas.openxmlformats.org/officeDocument/2006/relationships/hyperlink" Target="https://gravithy.eu/" TargetMode="External"/><Relationship Id="rId834" Type="http://schemas.openxmlformats.org/officeDocument/2006/relationships/hyperlink" Target="https://www.hydrogenfuelnews.com/green-hydrogen-production-ireland/8550229/" TargetMode="External"/><Relationship Id="rId266" Type="http://schemas.openxmlformats.org/officeDocument/2006/relationships/hyperlink" Target="https://www.environmentalleader.com/2020/05/lancaster-renewable-hydrogen-project/" TargetMode="External"/><Relationship Id="rId473" Type="http://schemas.openxmlformats.org/officeDocument/2006/relationships/hyperlink" Target="https://fptaximadrid.es/la-fptm-impulsa-el-mayor-proyecto-de-movilidad-publica-con-hidrogeno-verde/" TargetMode="External"/><Relationship Id="rId680" Type="http://schemas.openxmlformats.org/officeDocument/2006/relationships/hyperlink" Target="https://www.wiva.at/project/uphy-i-ii/?lang=en" TargetMode="External"/><Relationship Id="rId901" Type="http://schemas.openxmlformats.org/officeDocument/2006/relationships/hyperlink" Target="https://www.energias-renovables.com/hidrogeno/ansasol-elige-castilla-y-leon-para-desarrollar-20220408" TargetMode="External"/><Relationship Id="rId30" Type="http://schemas.openxmlformats.org/officeDocument/2006/relationships/hyperlink" Target="http://h2vnormandy-concertation.net/comprendre-projet/" TargetMode="External"/><Relationship Id="rId126" Type="http://schemas.openxmlformats.org/officeDocument/2006/relationships/hyperlink" Target="https://www.demo4grid.eu/project/" TargetMode="External"/><Relationship Id="rId333" Type="http://schemas.openxmlformats.org/officeDocument/2006/relationships/hyperlink" Target="https://fuelcellsworks.com/news/siemens-to-build-large-co2-free-hydrogen-production-plant-in-southern-germany/" TargetMode="External"/><Relationship Id="rId540" Type="http://schemas.openxmlformats.org/officeDocument/2006/relationships/hyperlink" Target="https://www.upstreamonline.com/hydrogen/santos-looking-to-supply-blue-hydrogen-to-new-south-wales-in-study-with-qenos/2-1-1093360" TargetMode="External"/><Relationship Id="rId778" Type="http://schemas.openxmlformats.org/officeDocument/2006/relationships/hyperlink" Target="https://europeanenergy.com/2023/03/27/european-energy-orders-electrolyzer-from-stiesdal/" TargetMode="External"/><Relationship Id="rId985" Type="http://schemas.openxmlformats.org/officeDocument/2006/relationships/hyperlink" Target="https://hydrogen-central.com/environmental-permit-given-ovako-hydrogen-plant-steel-production/" TargetMode="External"/><Relationship Id="rId638" Type="http://schemas.openxmlformats.org/officeDocument/2006/relationships/hyperlink" Target="https://www.spglobal.com/platts/en/market-insights/latest-news/electric-power/050621-siemens-energy-masdar-to-build-pilot-uae-hydrogen-plant-by-2022-with-focus-on-saf" TargetMode="External"/><Relationship Id="rId845" Type="http://schemas.openxmlformats.org/officeDocument/2006/relationships/hyperlink" Target="https://energyindustryreview.com/renewables/omv-petrom-gets-financing-to-produce-green-h2-at-the-petrobrazi-refinery/" TargetMode="External"/><Relationship Id="rId1030" Type="http://schemas.openxmlformats.org/officeDocument/2006/relationships/hyperlink" Target="https://winpowersa.com/2022/05/winpower-wins-the-project-to-provide-consultancy-services-for-the-construction-and-licensing-of-a-green-hydrogen-production-unit-called-sinesgh2-solar-in-sines-portugal/" TargetMode="External"/><Relationship Id="rId277" Type="http://schemas.openxmlformats.org/officeDocument/2006/relationships/hyperlink" Target="https://fuelcellsworks.com/news/canada-macquarie-capital-to-finance-new-200-plus-million-renewable-hydrogen-plant-in-chetwynd/" TargetMode="External"/><Relationship Id="rId400" Type="http://schemas.openxmlformats.org/officeDocument/2006/relationships/hyperlink" Target="https://www.h2-view.com/story/leading-us-carbon-capture-project-set-to-produce-clean-hydrogen/" TargetMode="External"/><Relationship Id="rId484" Type="http://schemas.openxmlformats.org/officeDocument/2006/relationships/hyperlink" Target="https://h2v.net/projet/projet-h2v-marseille-fos/" TargetMode="External"/><Relationship Id="rId705" Type="http://schemas.openxmlformats.org/officeDocument/2006/relationships/hyperlink" Target="https://www.h2bulletin.com/eu-approves-e122-million-for-decarbonisation-projects-including-hydrogen/" TargetMode="External"/><Relationship Id="rId137" Type="http://schemas.openxmlformats.org/officeDocument/2006/relationships/hyperlink" Target="http://www.surfnturf.org.uk/page/hydrogen" TargetMode="External"/><Relationship Id="rId344" Type="http://schemas.openxmlformats.org/officeDocument/2006/relationships/hyperlink" Target="https://www.h2-view.com/story/construction-begins-on-antwerps-first-hydrogen-station/" TargetMode="External"/><Relationship Id="rId691" Type="http://schemas.openxmlformats.org/officeDocument/2006/relationships/hyperlink" Target="https://www.brusselstimes.com/149604/charleroi-hydrogen-bus-project-postponed-due-to-lack-of-funding-waste-to-wheels-jumet-philippe-henry" TargetMode="External"/><Relationship Id="rId789" Type="http://schemas.openxmlformats.org/officeDocument/2006/relationships/hyperlink" Target="https://www.princegeorgecitizen.com/local-news/prince-george-breaks-ground-on-worlds-largest-hydrogen-refuelling-station-5848061" TargetMode="External"/><Relationship Id="rId912" Type="http://schemas.openxmlformats.org/officeDocument/2006/relationships/hyperlink" Target="https://www.enerdata.net/publications/daily-energy-news/statera-plans-3-gw-hydrogen-plant-scotland-uk.html" TargetMode="External"/><Relationship Id="rId996" Type="http://schemas.openxmlformats.org/officeDocument/2006/relationships/hyperlink" Target="https://vighy.france-hydrogene.org/projets/hycor/" TargetMode="External"/><Relationship Id="rId41" Type="http://schemas.openxmlformats.org/officeDocument/2006/relationships/hyperlink" Target="https://ramboll.com/media/rgr/carbon-capture-and-e-fuel-production-in-greenland" TargetMode="External"/><Relationship Id="rId551" Type="http://schemas.openxmlformats.org/officeDocument/2006/relationships/hyperlink" Target="https://www.canarymedia.com/articles/hydrogen/massive-green-hydrogen-hub-in-utah-wins-504m-federal-loan-guarantee" TargetMode="External"/><Relationship Id="rId649" Type="http://schemas.openxmlformats.org/officeDocument/2006/relationships/hyperlink" Target="https://www.offshore-energy.biz/getech-starts-work-at-scottish-green-hydrogen-hub-in-inverness/" TargetMode="External"/><Relationship Id="rId856" Type="http://schemas.openxmlformats.org/officeDocument/2006/relationships/hyperlink" Target="https://hxgenergymaterials.com.au/wp-content/uploads/2022/03/Hexagons-West-Australian-Blue-Ammonia-Project.pdf" TargetMode="External"/><Relationship Id="rId190" Type="http://schemas.openxmlformats.org/officeDocument/2006/relationships/hyperlink" Target="https://www.erneuerbareenergien.de/1-spatenstich-fuer-buergerwindpark-mit-speicherloesung" TargetMode="External"/><Relationship Id="rId204" Type="http://schemas.openxmlformats.org/officeDocument/2006/relationships/hyperlink" Target="https://opwegmetwaterstof.nl/wp-content/uploads/2019/12/NEC_Hydrogen-Valley-Noord-Nederland.pdf" TargetMode="External"/><Relationship Id="rId288" Type="http://schemas.openxmlformats.org/officeDocument/2006/relationships/hyperlink" Target="https://participa.pt/contents/consultationdocument/Estrate%CC%81gia%20Nacional%20para%20o%20Hidroge%CC%81nio%20DRAFT%20publicac%CC%A7ao.pdf" TargetMode="External"/><Relationship Id="rId411" Type="http://schemas.openxmlformats.org/officeDocument/2006/relationships/hyperlink" Target="https://www.cfindustries.com/newsroom/2021/donaldsonville-electrolyzer" TargetMode="External"/><Relationship Id="rId509" Type="http://schemas.openxmlformats.org/officeDocument/2006/relationships/hyperlink" Target="http://www.eog-asia.com/sumitomo-starts-hydrogen-demonstration-experiment-using-megawatt-class-water-electrolyser/" TargetMode="External"/><Relationship Id="rId1041" Type="http://schemas.openxmlformats.org/officeDocument/2006/relationships/hyperlink" Target="https://salcos.salzgitter-ag.com/en/grinhy-20.html" TargetMode="External"/><Relationship Id="rId495" Type="http://schemas.openxmlformats.org/officeDocument/2006/relationships/hyperlink" Target="https://mcphy.com/en/press-releases/power_to_gas_mcphy_hebei_delivery/?cn-reloaded=1" TargetMode="External"/><Relationship Id="rId716" Type="http://schemas.openxmlformats.org/officeDocument/2006/relationships/hyperlink" Target="https://nelhydrogen.com/wp-content/uploads/2021/02/Nel_2020_Q4_Presentation.pdf" TargetMode="External"/><Relationship Id="rId923" Type="http://schemas.openxmlformats.org/officeDocument/2006/relationships/hyperlink" Target="https://www.neste.com/releases-and-news/sustainability/neste-moves-forward-its-renewable-hydrogen-project-porvoo-finland" TargetMode="External"/><Relationship Id="rId52" Type="http://schemas.openxmlformats.org/officeDocument/2006/relationships/hyperlink" Target="https://www.pv-magazine.com/2020/03/02/hydrogen-production-coupled-to-solar-and-storage-to-debut-in-spain/" TargetMode="External"/><Relationship Id="rId148" Type="http://schemas.openxmlformats.org/officeDocument/2006/relationships/hyperlink" Target="https://www.engie.com/wp-content/uploads/2018/05/tap_engie.pdf" TargetMode="External"/><Relationship Id="rId355" Type="http://schemas.openxmlformats.org/officeDocument/2006/relationships/hyperlink" Target="https://www.itm-power.com/news/first-project-to-deliver-a-10mw-electrolyser-to-glasgow-facility" TargetMode="External"/><Relationship Id="rId562" Type="http://schemas.openxmlformats.org/officeDocument/2006/relationships/hyperlink" Target="https://news.cision.com/nel-asa/r/nel-asa--receives-purchase-order-for-an-alkaline-electrolyser-system-from-glencore-nikkelverk,c3576789" TargetMode="External"/><Relationship Id="rId215" Type="http://schemas.openxmlformats.org/officeDocument/2006/relationships/hyperlink" Target="https://www.hydrogenics.com/2017/04/06/hydrogenics-awarded-funding-to-build-two-hydrogen-fueling-stations-for-the-greater-toronto-area-gta/" TargetMode="External"/><Relationship Id="rId422" Type="http://schemas.openxmlformats.org/officeDocument/2006/relationships/hyperlink" Target="https://www.icis.com/explore/resources/news/2021/08/04/10670520/uk-cluster-sequencing-could-support-8gw-of-hydrogen-capacity" TargetMode="External"/><Relationship Id="rId867" Type="http://schemas.openxmlformats.org/officeDocument/2006/relationships/hyperlink" Target="https://www.bloomenergy.com/news/xcel-energy-and-bloom-energy-to-produce-zero-carbon-hydrogen-at-nuclear-facility/" TargetMode="External"/><Relationship Id="rId1052" Type="http://schemas.openxmlformats.org/officeDocument/2006/relationships/hyperlink" Target="https://ec.europa.eu/clima/system/files/2021-11/policy_funding_innovation-fund_large-scale_successful_projects_en.pdf" TargetMode="External"/><Relationship Id="rId299" Type="http://schemas.openxmlformats.org/officeDocument/2006/relationships/hyperlink" Target="https://www.h2-view.com/story/itm-power-provides-trading-update/" TargetMode="External"/><Relationship Id="rId727" Type="http://schemas.openxmlformats.org/officeDocument/2006/relationships/hyperlink" Target="https://enertrag.com/en/news-german/etail/enertrag-plans-green-hydrogen-project-in-the-tacuarembo-region-of-uruguay" TargetMode="External"/><Relationship Id="rId934" Type="http://schemas.openxmlformats.org/officeDocument/2006/relationships/hyperlink" Target="https://www.enapter.com/newsroom/enapter-receives-canadian-order-for-two-1-megawatt-electrolysers" TargetMode="External"/><Relationship Id="rId63" Type="http://schemas.openxmlformats.org/officeDocument/2006/relationships/hyperlink" Target="https://www.ammoniaenergy.org/articles/renewable-hydrogen-in-fukushima-and-a-bridge-to-the-future/" TargetMode="External"/><Relationship Id="rId159" Type="http://schemas.openxmlformats.org/officeDocument/2006/relationships/hyperlink" Target="https://www.reflex-energy.eu/" TargetMode="External"/><Relationship Id="rId366" Type="http://schemas.openxmlformats.org/officeDocument/2006/relationships/hyperlink" Target="https://www.spglobal.com/platts/en/market-insights/latest-news/metals/061120-n-china-hydrogen-push-led-by-hydrogen-as-by-product-renewables" TargetMode="External"/><Relationship Id="rId573" Type="http://schemas.openxmlformats.org/officeDocument/2006/relationships/hyperlink" Target="https://www.offshore-energy.biz/woodside-starts-engineering-activities-on-h2ok-hydrogen-project/" TargetMode="External"/><Relationship Id="rId780" Type="http://schemas.openxmlformats.org/officeDocument/2006/relationships/hyperlink" Target="https://fuelcellsworks.com/news/line-hydrogen-announces-first-commercial-scale-green-hydrogen-plant-in-tasmania/" TargetMode="External"/><Relationship Id="rId226" Type="http://schemas.openxmlformats.org/officeDocument/2006/relationships/hyperlink" Target="http://www.afhypac.org/documents/tout-savoir/Fiche%209.5%20-%20Power-to-gas%20-%20rev%20mars2017%20ThA.pdf" TargetMode="External"/><Relationship Id="rId433" Type="http://schemas.openxmlformats.org/officeDocument/2006/relationships/hyperlink" Target="https://www.ammoniaenergy.org/articles/mauritania-ammonia-mega-project-enters-next-phase/" TargetMode="External"/><Relationship Id="rId878" Type="http://schemas.openxmlformats.org/officeDocument/2006/relationships/hyperlink" Target="https://intercontinentalenergy.com/western-green-energy-hub" TargetMode="External"/><Relationship Id="rId1063" Type="http://schemas.openxmlformats.org/officeDocument/2006/relationships/hyperlink" Target="https://direct.argusmedia.com/newsandanalysis/Article/2472537" TargetMode="External"/><Relationship Id="rId640" Type="http://schemas.openxmlformats.org/officeDocument/2006/relationships/hyperlink" Target="https://www.h2-view.com/story/1bn-abu-dhabi-project-will-produce-200000-tonnes-of-green-ammonia-from-hydrogen/" TargetMode="External"/><Relationship Id="rId738" Type="http://schemas.openxmlformats.org/officeDocument/2006/relationships/hyperlink" Target="https://energyiceberg.com/china-renewable-green-hydrogen/" TargetMode="External"/><Relationship Id="rId945" Type="http://schemas.openxmlformats.org/officeDocument/2006/relationships/hyperlink" Target="https://www.hydrogeninsight.com/innovation/korean-conglomerates-plan-to-produce-clean-hydrogen-from-an-ultra-safe-micro-nuclear-reactor-in-the-heart-of-seoul/2-1-1439877" TargetMode="External"/><Relationship Id="rId74" Type="http://schemas.openxmlformats.org/officeDocument/2006/relationships/hyperlink" Target="https://methycentre.eu/" TargetMode="External"/><Relationship Id="rId377" Type="http://schemas.openxmlformats.org/officeDocument/2006/relationships/hyperlink" Target="https://open.alberta.ca/dataset/f74375f3-3c73-4b9c-af2b-ef44e59b7890/resource/ff260985-e616-4d2e-92e0-9b91f5590136/download/energy-quest-annual-summary-alberta-department-of-energy-2019.pdf" TargetMode="External"/><Relationship Id="rId500" Type="http://schemas.openxmlformats.org/officeDocument/2006/relationships/hyperlink" Target="https://fuelcellsworks.com/news/germany-city-of-esslingen-inaugurates-green-hydrogen-lighthouse-project/" TargetMode="External"/><Relationship Id="rId584" Type="http://schemas.openxmlformats.org/officeDocument/2006/relationships/hyperlink" Target="https://hammarshillenergy.co.uk/type-news/media-release/" TargetMode="External"/><Relationship Id="rId805" Type="http://schemas.openxmlformats.org/officeDocument/2006/relationships/hyperlink" Target="https://www.canarygreen.org/seafuels-refuelling-station/" TargetMode="External"/><Relationship Id="rId5" Type="http://schemas.openxmlformats.org/officeDocument/2006/relationships/hyperlink" Target="https://www.wvresc.com/" TargetMode="External"/><Relationship Id="rId237" Type="http://schemas.openxmlformats.org/officeDocument/2006/relationships/hyperlink" Target="https://www.zerocarbonhumber.co.uk/wp-content/uploads/2019/11/HUMBER-DIGITAL-V4.6-reduced.pdf" TargetMode="External"/><Relationship Id="rId791" Type="http://schemas.openxmlformats.org/officeDocument/2006/relationships/hyperlink" Target="https://www.norsk-e-fuel.com/articles/partnership_with_norwegian" TargetMode="External"/><Relationship Id="rId889" Type="http://schemas.openxmlformats.org/officeDocument/2006/relationships/hyperlink" Target="https://www.h2v.eu/hydrogen-valleys/wiva-pg-wasserstoffinitiative-vorzeigeregion-austria-power-gas" TargetMode="External"/><Relationship Id="rId1074" Type="http://schemas.openxmlformats.org/officeDocument/2006/relationships/hyperlink" Target="https://direct.argusmedia.com/newsandanalysis/Article/2482294" TargetMode="External"/><Relationship Id="rId444" Type="http://schemas.openxmlformats.org/officeDocument/2006/relationships/hyperlink" Target="https://www.rtbf.be/info/belgique/detail_cop26-la-belgique-importera-de-l-hydrogene-vert-produit-en-namibie?id=10873065" TargetMode="External"/><Relationship Id="rId651" Type="http://schemas.openxmlformats.org/officeDocument/2006/relationships/hyperlink" Target="https://www.linde.com/news-media/press-releases/2022/linde-to-increase-green-hydrogen-production-in-the-united-states" TargetMode="External"/><Relationship Id="rId749" Type="http://schemas.openxmlformats.org/officeDocument/2006/relationships/hyperlink" Target="https://www.offshore-energy.biz/getech-starts-work-at-scottish-green-hydrogen-hub-in-inverness/" TargetMode="External"/><Relationship Id="rId290" Type="http://schemas.openxmlformats.org/officeDocument/2006/relationships/hyperlink" Target="https://www.engie.cl/enaex-engie-la-transicion-hacia-el-cero-carbono-en-la-mineria-chilena/" TargetMode="External"/><Relationship Id="rId304" Type="http://schemas.openxmlformats.org/officeDocument/2006/relationships/hyperlink" Target="https://www.toshiba.co.jp/about/press/2016_04/pr2101.htm" TargetMode="External"/><Relationship Id="rId388" Type="http://schemas.openxmlformats.org/officeDocument/2006/relationships/hyperlink" Target="https://www.smartenergy.net/100mw-green-hydrogen-project-to-decarbonize-the-full-value-chain-of-one-of-the-major-european-ceramic-clusters/" TargetMode="External"/><Relationship Id="rId511" Type="http://schemas.openxmlformats.org/officeDocument/2006/relationships/hyperlink" Target="https://sghydrogen.com/" TargetMode="External"/><Relationship Id="rId609" Type="http://schemas.openxmlformats.org/officeDocument/2006/relationships/hyperlink" Target="https://fuelcellsworks.com/news/gev-to-develop-2-8-gw-green-hydrogen-export-project-tiwi-islands-australia/" TargetMode="External"/><Relationship Id="rId956" Type="http://schemas.openxmlformats.org/officeDocument/2006/relationships/hyperlink" Target="https://k-rep.com.au/" TargetMode="External"/><Relationship Id="rId85" Type="http://schemas.openxmlformats.org/officeDocument/2006/relationships/hyperlink" Target="https://www.h2future-project.eu/" TargetMode="External"/><Relationship Id="rId150" Type="http://schemas.openxmlformats.org/officeDocument/2006/relationships/hyperlink" Target="https://www.businesswire.com/news/home/20161220005202/en/Proton-OnSite-Awarded-13-Megawatt-Electrolyzers" TargetMode="External"/><Relationship Id="rId595" Type="http://schemas.openxmlformats.org/officeDocument/2006/relationships/hyperlink" Target="https://www.pv-magazine.com/2020/11/17/danish-investment-fund-backs-5-gw-australian-renewable-hydrogen-project/" TargetMode="External"/><Relationship Id="rId816" Type="http://schemas.openxmlformats.org/officeDocument/2006/relationships/hyperlink" Target="https://phynix-energy.eu/phynix-selecciona-a-duro-felguera-green-tech-para-el-contrato-epcde-su-planta-de-produccion-de-hidrogeno-renovable-vitale-de-10mw/" TargetMode="External"/><Relationship Id="rId1001" Type="http://schemas.openxmlformats.org/officeDocument/2006/relationships/hyperlink" Target="https://vighy.france-hydrogene.org/projets/h2v-valenciennes/" TargetMode="External"/><Relationship Id="rId248" Type="http://schemas.openxmlformats.org/officeDocument/2006/relationships/hyperlink" Target="https://asianrehub.com/about/" TargetMode="External"/><Relationship Id="rId455" Type="http://schemas.openxmlformats.org/officeDocument/2006/relationships/hyperlink" Target="https://www.elecnor.com/noticias/enerfin-construira-una-planta-de-hidrogeno-verde-en-el-puerto-exterior-de-a-coruna" TargetMode="External"/><Relationship Id="rId662" Type="http://schemas.openxmlformats.org/officeDocument/2006/relationships/hyperlink" Target="http://www.energyglobalnews.com/taiwan-air-liquide-far-eastern-opens-new-hydrogen-plant-in-tainan/" TargetMode="External"/><Relationship Id="rId1085" Type="http://schemas.openxmlformats.org/officeDocument/2006/relationships/hyperlink" Target="https://direct.argusmedia.com/newsandanalysis/Article/2493360"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arena.gov.au/news/hydrogen-gives-new-life-to-toyotas-altona-car-manufacturing-plant/" TargetMode="External"/><Relationship Id="rId315" Type="http://schemas.openxmlformats.org/officeDocument/2006/relationships/hyperlink" Target="https://www.electrive.com/2020/06/17/barcelona-releases-tender-for-8-hydrogen-buses/" TargetMode="External"/><Relationship Id="rId522" Type="http://schemas.openxmlformats.org/officeDocument/2006/relationships/hyperlink" Target="https://www.wa.gov.au/system/files/2022-04/City%20of%20Cockburn%20-%20Green%20Hydrogen%20-%20Final%20Knowledge%20Sharing%20Report.pdf" TargetMode="External"/><Relationship Id="rId967" Type="http://schemas.openxmlformats.org/officeDocument/2006/relationships/hyperlink" Target="https://direct.argusmedia.com/newsandanalysis/Article/2421394" TargetMode="External"/><Relationship Id="rId96" Type="http://schemas.openxmlformats.org/officeDocument/2006/relationships/hyperlink" Target="https://hy-gro.net/en/duwaal" TargetMode="External"/><Relationship Id="rId161" Type="http://schemas.openxmlformats.org/officeDocument/2006/relationships/hyperlink" Target="https://www.vtt.fi/sites/bioeconomyplus/en/contacts" TargetMode="External"/><Relationship Id="rId399" Type="http://schemas.openxmlformats.org/officeDocument/2006/relationships/hyperlink" Target="https://fuelcellsworks.com/news/danish-company-greenlab-to-create-worlds-largest-scale-production-facility-for-green-hydrogen/" TargetMode="External"/><Relationship Id="rId827" Type="http://schemas.openxmlformats.org/officeDocument/2006/relationships/hyperlink" Target="https://adnoc.ae/en/news-and-media/press-releases/2021/adnoc-to-build-world-scale-blue-ammonia-project" TargetMode="External"/><Relationship Id="rId1012" Type="http://schemas.openxmlformats.org/officeDocument/2006/relationships/hyperlink" Target="https://www.hydrogen.energy.gov/pdfs/review23/sdi002_prabakar_2023_o.pdf" TargetMode="External"/><Relationship Id="rId259" Type="http://schemas.openxmlformats.org/officeDocument/2006/relationships/hyperlink" Target="https://www.h2-view.com/story/shell-wants-to-create-a-green-hydrogen-hub-in-the-port-of-rotterdam/" TargetMode="External"/><Relationship Id="rId466" Type="http://schemas.openxmlformats.org/officeDocument/2006/relationships/hyperlink" Target="https://fuelcellsworks.com/news/green-hydrogen-air-liquide-electrolysis-with-h2v/?mc_cid=97c6cd5d96&amp;mc_eid=da4624d261" TargetMode="External"/><Relationship Id="rId673" Type="http://schemas.openxmlformats.org/officeDocument/2006/relationships/hyperlink" Target="https://www.pv-magazine.com/2022/09/13/the-hydrogen-stream-worlds-largest-electrolyzer-to-be-deployed-in-norway/" TargetMode="External"/><Relationship Id="rId880" Type="http://schemas.openxmlformats.org/officeDocument/2006/relationships/hyperlink" Target="https://exploracionyproduccion.ancap.com.uy/innovaportal/file/14868/1/energy-opportunities-offshore-uruguay---s-ferro-image-2022-houston.pdf" TargetMode="External"/><Relationship Id="rId1096" Type="http://schemas.openxmlformats.org/officeDocument/2006/relationships/hyperlink" Target="https://www.reuters.com/business/cop/mauritania-bp-explore-green-hydrogen-projects-2022-11-08/"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www.act-ccs.eu/elegancy" TargetMode="External"/><Relationship Id="rId326" Type="http://schemas.openxmlformats.org/officeDocument/2006/relationships/hyperlink" Target="https://www.rechargenews.com/transition/world-s-first-carbon-negative-hydrogen-project-gets-green-light/2-1-850916" TargetMode="External"/><Relationship Id="rId533" Type="http://schemas.openxmlformats.org/officeDocument/2006/relationships/hyperlink" Target="https://energiepark-bad-lauchstaedt.de/" TargetMode="External"/><Relationship Id="rId978" Type="http://schemas.openxmlformats.org/officeDocument/2006/relationships/hyperlink" Target="https://www.airproducts.com/company/news-center/2022/11/1108-air-products-receive-475-million-cad-net-zero-hydrogen-complex-funding" TargetMode="External"/><Relationship Id="rId740" Type="http://schemas.openxmlformats.org/officeDocument/2006/relationships/hyperlink" Target="https://research.csiro.au/hyresource/abel-energy-bell-bay-powerfuels-project/" TargetMode="External"/><Relationship Id="rId838" Type="http://schemas.openxmlformats.org/officeDocument/2006/relationships/hyperlink" Target="https://www.offshore-energy.biz/japanese-looking-to-produce-e-methane-utilising-cameron-lng/" TargetMode="External"/><Relationship Id="rId1023" Type="http://schemas.openxmlformats.org/officeDocument/2006/relationships/hyperlink" Target="https://www.both2nia.com/application/files/6816/7949/3478/Pre-study_on_transition_to_hydrogen_economy_specifically_in_Northern_Ostrobothnia_final_16_3.pdf" TargetMode="External"/><Relationship Id="rId172" Type="http://schemas.openxmlformats.org/officeDocument/2006/relationships/hyperlink" Target="https://energyandmines.com/2017/06/worlds-first-247-solar-hydrogen-lithium-energy-storage-microgrid-comes-online/" TargetMode="External"/><Relationship Id="rId477" Type="http://schemas.openxmlformats.org/officeDocument/2006/relationships/hyperlink" Target="https://www.rechargenews.com/energy-transition/-we-will-produce-carbon-negative-green-hydrogen-from-non-recyclable-waste-at-zero-or-below-zero-cost-/2-1-1162744" TargetMode="External"/><Relationship Id="rId600" Type="http://schemas.openxmlformats.org/officeDocument/2006/relationships/hyperlink" Target="https://www.theguardian.com/world/2021/may/27/oman-plans-to-build-worlds-largest-green-hydrogen-plant" TargetMode="External"/><Relationship Id="rId684" Type="http://schemas.openxmlformats.org/officeDocument/2006/relationships/hyperlink" Target="https://www.regionalgateway.net/airbus-and-hyport-to-advance-green-hydrogen-availability-at-airports/" TargetMode="External"/><Relationship Id="rId337" Type="http://schemas.openxmlformats.org/officeDocument/2006/relationships/hyperlink" Target="https://www.green-industrial-hydrogen.com/project/news/sunfire-delivers-the-worlds-largest-high-temperatur-electrolyzer-to-salzgitter-flachstahl" TargetMode="External"/><Relationship Id="rId891" Type="http://schemas.openxmlformats.org/officeDocument/2006/relationships/hyperlink" Target="https://www.spglobal.com/commodityinsights/en/market-insights/latest-news/electric-power/111521-h2-green-to-develop-hydrogen-and-ammonia-hub-in-shoreham-uk-to-decarbonize-port" TargetMode="External"/><Relationship Id="rId905" Type="http://schemas.openxmlformats.org/officeDocument/2006/relationships/hyperlink" Target="https://www.cleanhydrogenworks.com/_files/ugd/9b794f_71f2bbea67dc4ebb8ab789194a19132a.pdf" TargetMode="External"/><Relationship Id="rId989" Type="http://schemas.openxmlformats.org/officeDocument/2006/relationships/hyperlink" Target="https://www.hvnplus.co.uk/news/arbikie-distillery-begins-work-on-hydrogen-heating-installation-02-02-2023/" TargetMode="External"/><Relationship Id="rId34" Type="http://schemas.openxmlformats.org/officeDocument/2006/relationships/hyperlink" Target="https://jemena.com.au/about/innovation/power-to-gas-trial" TargetMode="External"/><Relationship Id="rId544" Type="http://schemas.openxmlformats.org/officeDocument/2006/relationships/hyperlink" Target="https://www.h2-view.com/story/exxonmobil-unveils-ambitious-blue-hydrogen-targets-for-integrated-refining-and-petrochemical-site/" TargetMode="External"/><Relationship Id="rId751" Type="http://schemas.openxmlformats.org/officeDocument/2006/relationships/hyperlink" Target="https://cincodias.elpais.com/cincodias/2021/04/28/companias/1619600656_589151.html" TargetMode="External"/><Relationship Id="rId849" Type="http://schemas.openxmlformats.org/officeDocument/2006/relationships/hyperlink" Target="https://www.pv-magazine.com/2021/01/26/sumitomo-reveals-hydrogen-plans-in-australia-oman/" TargetMode="External"/><Relationship Id="rId183" Type="http://schemas.openxmlformats.org/officeDocument/2006/relationships/hyperlink" Target="https://cordis.europa.eu/project/id/875123/pl" TargetMode="External"/><Relationship Id="rId390" Type="http://schemas.openxmlformats.org/officeDocument/2006/relationships/hyperlink" Target="https://www.lavanguardia.com/vida/20201210/6109974/comunidad-madrid-construira-planta-hidrogeno-verde.html" TargetMode="External"/><Relationship Id="rId404" Type="http://schemas.openxmlformats.org/officeDocument/2006/relationships/hyperlink" Target="https://www.energiaestrategica.com/estos-son-los-siete-proyectos-clave-en-hidrogeno-verde-del-sector-privado-en-chile/" TargetMode="External"/><Relationship Id="rId611" Type="http://schemas.openxmlformats.org/officeDocument/2006/relationships/hyperlink" Target="https://www.ammoniaenergy.org/articles/maire-tecnimont-plans-million-tonne-per-year-blue-ammonia-plant-in-the-us/" TargetMode="External"/><Relationship Id="rId1034" Type="http://schemas.openxmlformats.org/officeDocument/2006/relationships/hyperlink" Target="https://renewable-carbon.eu/news/the-navigator-company-and-p2x-europe-have-signed-a-memorandum-of-understanding-to-create-a-unique-joint-venture-in-portugal-to-produce-green-non-fossil-synthetic-efuels/" TargetMode="External"/><Relationship Id="rId250" Type="http://schemas.openxmlformats.org/officeDocument/2006/relationships/hyperlink" Target="https://www.rechargenews.com/transition/portugal-plans-5bn-green-hydrogen-plant-to-lead-covid-fightback-report/2-1-801284" TargetMode="External"/><Relationship Id="rId488" Type="http://schemas.openxmlformats.org/officeDocument/2006/relationships/hyperlink" Target="https://www.h2-mobile.fr/actus/hydrogene-region-occitanie-revele-laureats-corridor-h2/" TargetMode="External"/><Relationship Id="rId695" Type="http://schemas.openxmlformats.org/officeDocument/2006/relationships/hyperlink" Target="https://www.hyflexpower.eu/" TargetMode="External"/><Relationship Id="rId709" Type="http://schemas.openxmlformats.org/officeDocument/2006/relationships/hyperlink" Target="https://www.marubeni.com/en/news/2022/info/00025.html" TargetMode="External"/><Relationship Id="rId916" Type="http://schemas.openxmlformats.org/officeDocument/2006/relationships/hyperlink" Target="https://hydrogen-central.com/provaris-pleased-collaborate-norwegian-hydrogen-developing-norway-largest-production-facility-for-green-hydrogen/" TargetMode="External"/><Relationship Id="rId1101" Type="http://schemas.openxmlformats.org/officeDocument/2006/relationships/hyperlink" Target="https://www.prnewswire.com/news-releases/air-products-to-invest-about-500-million-to-build-green-hydrogen-production-facility-in-new-york-301642745.html" TargetMode="External"/><Relationship Id="rId45" Type="http://schemas.openxmlformats.org/officeDocument/2006/relationships/hyperlink" Target="https://www.thechemicalengineer.com/news/world-s-largest-dynamic-hydrogen-electrolysis-plant-inaugurated/" TargetMode="External"/><Relationship Id="rId110" Type="http://schemas.openxmlformats.org/officeDocument/2006/relationships/hyperlink" Target="http://chuneng.bjx.com.cn/news/20200310/1052255.shtml" TargetMode="External"/><Relationship Id="rId348" Type="http://schemas.openxmlformats.org/officeDocument/2006/relationships/hyperlink" Target="http://www.powertogas.info/power-to-gas/pilotprojekte-im-ueberblick/co2rrect/" TargetMode="External"/><Relationship Id="rId555" Type="http://schemas.openxmlformats.org/officeDocument/2006/relationships/hyperlink" Target="https://www.afrik21.africa/en/egypt-with-hassan-allam-masdar-wants-to-convert-4-gw-of-electricity-into-hydrogen/" TargetMode="External"/><Relationship Id="rId762" Type="http://schemas.openxmlformats.org/officeDocument/2006/relationships/hyperlink" Target="https://hydrogen-central.com/environmental-permit-given-ovako-hydrogen-plant-steel-production/" TargetMode="External"/><Relationship Id="rId194" Type="http://schemas.openxmlformats.org/officeDocument/2006/relationships/hyperlink" Target="https://www.portofoostende.be/sites/default/files/PPT-Facts%26Myths-2019_09_17-02_Dennis-Thomas_Hydrogenics.pdf" TargetMode="External"/><Relationship Id="rId208" Type="http://schemas.openxmlformats.org/officeDocument/2006/relationships/hyperlink" Target="https://www.fluxys.com/en/press-releases/fluxys-group/2020/200227_press_hyoffwind_installation"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622" Type="http://schemas.openxmlformats.org/officeDocument/2006/relationships/hyperlink" Target="https://www.technipfmc.com/en/what-we-do/subsea/energy-transition-deep-purple/" TargetMode="External"/><Relationship Id="rId1045" Type="http://schemas.openxmlformats.org/officeDocument/2006/relationships/hyperlink" Target="https://direct.argusmedia.com/newsandanalysis/Article/2474746" TargetMode="External"/><Relationship Id="rId261" Type="http://schemas.openxmlformats.org/officeDocument/2006/relationships/hyperlink" Target="https://hy-gro.net/en/newsitem/press-release-hydrogen-turbine-construction-starts?" TargetMode="External"/><Relationship Id="rId499" Type="http://schemas.openxmlformats.org/officeDocument/2006/relationships/hyperlink" Target="https://www.agerpres.ro/english/2020/11/12/romgaz-petrom-set-to-produce-hydrogen-at-wind-farm-in-dobrogea--608063" TargetMode="External"/><Relationship Id="rId927" Type="http://schemas.openxmlformats.org/officeDocument/2006/relationships/hyperlink" Target="https://fuelcellsworks.com/news/glenfarne-energy-transition-to-collaborate-with-samsung-engineering-on-green-hydrogen-and-ammonia-initiatives-in-chile/" TargetMode="External"/><Relationship Id="rId1112" Type="http://schemas.openxmlformats.org/officeDocument/2006/relationships/hyperlink" Target="https://www.lenergygroup.com/adjudican-licitacion-internacional-para-epc-de-electrolizadores-de-hidrogeno-verde-en-peru/" TargetMode="External"/><Relationship Id="rId56" Type="http://schemas.openxmlformats.org/officeDocument/2006/relationships/hyperlink" Target="https://www.energymatters.com.au/renewable-news/hydrogen-from-solar-power/" TargetMode="External"/><Relationship Id="rId359" Type="http://schemas.openxmlformats.org/officeDocument/2006/relationships/hyperlink" Target="https://www.nrel.gov/aries/" TargetMode="External"/><Relationship Id="rId566" Type="http://schemas.openxmlformats.org/officeDocument/2006/relationships/hyperlink" Target="https://www.dena.de/en/newsroom/news/2019-1/global-alliance-powerfuels-partners-are-advancing-the-market-development-of-powerfuels-in-german-regulatory-sandboxes-of-energiewende/" TargetMode="External"/><Relationship Id="rId773" Type="http://schemas.openxmlformats.org/officeDocument/2006/relationships/hyperlink" Target="https://time.news/asturias-receives-39-million-eu-funds-to-promote-3-hydrogen-projects/" TargetMode="External"/><Relationship Id="rId121" Type="http://schemas.openxmlformats.org/officeDocument/2006/relationships/hyperlink" Target="https://cordis.europa.eu/project/id/700092" TargetMode="External"/><Relationship Id="rId219" Type="http://schemas.openxmlformats.org/officeDocument/2006/relationships/hyperlink" Target="https://www.dnvgl.com/oilgas/perspectives/heating-dutch-homes-with-hydrogen.html" TargetMode="External"/><Relationship Id="rId426" Type="http://schemas.openxmlformats.org/officeDocument/2006/relationships/hyperlink" Target="https://www.total-eren.com/wp-content/uploads/2021/12/PR-Chile_H2_02122021_EN_FINAL-TC_pp_V2.pdf" TargetMode="External"/><Relationship Id="rId633" Type="http://schemas.openxmlformats.org/officeDocument/2006/relationships/hyperlink" Target="https://www.h2-view.com/story/pure-hydrogen-targets-port-anthony-victoria-for-hydrogen-hub/" TargetMode="External"/><Relationship Id="rId980" Type="http://schemas.openxmlformats.org/officeDocument/2006/relationships/hyperlink" Target="https://www.biobiochile.cl/especial/aqui-tierra/noticias/2022/11/23/podria-operar-en-2024-chile-estrenara-su-primer-tren-cero-emisiones-con-100-hidrogeno-verde.shtml" TargetMode="External"/><Relationship Id="rId1056" Type="http://schemas.openxmlformats.org/officeDocument/2006/relationships/hyperlink" Target="https://direct.argusmedia.com/newsandanalysis/article/2438394" TargetMode="External"/><Relationship Id="rId840" Type="http://schemas.openxmlformats.org/officeDocument/2006/relationships/hyperlink" Target="https://www.cepsa.com/en/press/first-green-hydrogen-corridor" TargetMode="External"/><Relationship Id="rId938" Type="http://schemas.openxmlformats.org/officeDocument/2006/relationships/hyperlink" Target="https://fuelcellsworks.com/news/partnership-behind-green-fuels-for-denmark-accelerates-project-and-investigates-production-of-green-jet-fuel-by-2025/?mc_cid=d03ba51fd9&amp;mc_eid=da4624d261" TargetMode="External"/><Relationship Id="rId67" Type="http://schemas.openxmlformats.org/officeDocument/2006/relationships/hyperlink" Target="https://nelhydrogen.com/press-release/press-release-everfuel-awarded-grant-for-the-establishment-of-a-large-scale-hydrogen-production-facility-in-denmark/" TargetMode="External"/><Relationship Id="rId272" Type="http://schemas.openxmlformats.org/officeDocument/2006/relationships/hyperlink" Target="https://cordis.europa.eu/project/id/884229/es" TargetMode="External"/><Relationship Id="rId577" Type="http://schemas.openxmlformats.org/officeDocument/2006/relationships/hyperlink" Target="https://gh2.eu/news/gh2-increases-the-capacity-of-its-green-hydrogen-based-efuel-production-plant-project-in-the-port-of" TargetMode="External"/><Relationship Id="rId700" Type="http://schemas.openxmlformats.org/officeDocument/2006/relationships/hyperlink" Target="https://www.chemengonline.com/repsol-to-begin-operating-2-5-mw-electrolyzer-at-petronor-refinery/?printmode=1" TargetMode="External"/><Relationship Id="rId132" Type="http://schemas.openxmlformats.org/officeDocument/2006/relationships/hyperlink" Target="https://www.gasunie.nl/en/news/europes-largest-green-hydrogen-project-starts-in-groningen" TargetMode="External"/><Relationship Id="rId784" Type="http://schemas.openxmlformats.org/officeDocument/2006/relationships/hyperlink" Target="https://news.cision.com/nel-asa/r/nel-asa--receives-purchase-order-for-a-containerized-pem-water-electrolyser-in-australia,c3600097" TargetMode="External"/><Relationship Id="rId991" Type="http://schemas.openxmlformats.org/officeDocument/2006/relationships/hyperlink" Target="https://vighy.france-hydrogene.org/projets/dijon-metropole-smart-energy-dmse/" TargetMode="External"/><Relationship Id="rId1067" Type="http://schemas.openxmlformats.org/officeDocument/2006/relationships/hyperlink" Target="https://research.csiro.au/hyresource/good-earth-green-hydrogen-and-ammonia-project/" TargetMode="External"/><Relationship Id="rId437" Type="http://schemas.openxmlformats.org/officeDocument/2006/relationships/hyperlink" Target="https://www.energie.fraunhofer.de/en/press-media/press-release/press-releases-2020/PI-200729-fraunhofer-igb-Fraunhofer-research-for-German-Moroccan-hydrogen-initiative.html" TargetMode="External"/><Relationship Id="rId644" Type="http://schemas.openxmlformats.org/officeDocument/2006/relationships/hyperlink" Target="https://renewablesnow.com/news/first-hydrogen-seeks-uk-govt-grants-for-80-mw-of-hydrogen-projects-790594/" TargetMode="External"/><Relationship Id="rId851" Type="http://schemas.openxmlformats.org/officeDocument/2006/relationships/hyperlink" Target="https://www.elconfidencial.com/espana/andalucia/2022-01-23/primera-planta-comercial-hidrogeno-verde-algeciras_3362444/" TargetMode="External"/><Relationship Id="rId283" Type="http://schemas.openxmlformats.org/officeDocument/2006/relationships/hyperlink" Target="https://www.hydrogenics.com/2019/04/09/hydrogenics-to-deliver-first-green-hydrogen-production-station-to-new-zealand/" TargetMode="External"/><Relationship Id="rId490" Type="http://schemas.openxmlformats.org/officeDocument/2006/relationships/hyperlink" Target="https://fuelcellsworks.com/news/hexagon-energy-and-air-products-team-up-on-blue-hydrogen-project-in-australia/?mc_cid=0dec0e5c1a&amp;mc_eid=da4624d261" TargetMode="External"/><Relationship Id="rId504" Type="http://schemas.openxmlformats.org/officeDocument/2006/relationships/hyperlink" Target="https://fuelcellsworks.com/news/fm-logistic-completes-successful-test-of-hydrogen-generator/" TargetMode="External"/><Relationship Id="rId711" Type="http://schemas.openxmlformats.org/officeDocument/2006/relationships/hyperlink" Target="https://www.centerpointenergy.com/en-us/business/services/clean-energy-innovation/renewable-hydrogen?sa=tx" TargetMode="External"/><Relationship Id="rId949" Type="http://schemas.openxmlformats.org/officeDocument/2006/relationships/hyperlink" Target="https://www.climatecouncil.ie/media/climatechangeadvisorycouncil/contentassets/publications/Hydrogen%20in%20Ireland%20web%20version.pdf" TargetMode="External"/><Relationship Id="rId78" Type="http://schemas.openxmlformats.org/officeDocument/2006/relationships/hyperlink" Target="https://fr.media.airliquide.com/actualites/premiere-mondiale-air-liquide-inaugure-cryocaptm-une-technologie-de-captage-de-co2-par-le-froid-aadd-1ba6d.html" TargetMode="External"/><Relationship Id="rId143" Type="http://schemas.openxmlformats.org/officeDocument/2006/relationships/hyperlink" Target="https://www.sciencedirect.com/science/article/pii/S1464285919300239" TargetMode="External"/><Relationship Id="rId350" Type="http://schemas.openxmlformats.org/officeDocument/2006/relationships/hyperlink" Target="https://news.cision.com/nel-asa/r/nel-signs-loi-with-statkraft-for-a-green-hydrogen-project-with-up-to-50mw-of-electrolyser-capacity,c3228323" TargetMode="External"/><Relationship Id="rId588" Type="http://schemas.openxmlformats.org/officeDocument/2006/relationships/hyperlink" Target="https://www.sohu.com/a/421783419_703050" TargetMode="External"/><Relationship Id="rId795" Type="http://schemas.openxmlformats.org/officeDocument/2006/relationships/hyperlink" Target="https://www.businesswire.com/news/home/20220811005309/en/INNIO-to-Power-Raven-SR%E2%80%99s-First-Waste-to-Hydrogen-Plant-With-100-Renewable-Energy" TargetMode="External"/><Relationship Id="rId809" Type="http://schemas.openxmlformats.org/officeDocument/2006/relationships/hyperlink" Target="https://www.hifglobal.com/"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oge.net/en/us/projects/westkueste-100" TargetMode="External"/><Relationship Id="rId448" Type="http://schemas.openxmlformats.org/officeDocument/2006/relationships/hyperlink" Target="https://www.wyoenergy.org/wp-content/uploads/2022/01/2022-01-20-CCUS-RFP-PR-Final.pdf" TargetMode="External"/><Relationship Id="rId655" Type="http://schemas.openxmlformats.org/officeDocument/2006/relationships/hyperlink" Target="https://www.traffordgreenhydrogen.co.uk/news/carlton-power-secures-government-backing-to-develop-trafford-green-hydrogen-project" TargetMode="External"/><Relationship Id="rId862" Type="http://schemas.openxmlformats.org/officeDocument/2006/relationships/hyperlink" Target="https://www.aesandes.com/en/aes-andes-launches-first-green-hydrogen-open-season-chile-its-adelaida-project" TargetMode="External"/><Relationship Id="rId1078" Type="http://schemas.openxmlformats.org/officeDocument/2006/relationships/hyperlink" Target="https://direct.argusmedia.com/newsandanalysis/Article/2489603" TargetMode="External"/><Relationship Id="rId294" Type="http://schemas.openxmlformats.org/officeDocument/2006/relationships/hyperlink" Target="https://en.media.airliquide.com/news/air-liquide-will-build-the-first-high-pressure-hydrogen-refueling-station-for-long-haul-trucks-in-europe-803c-56033.html" TargetMode="External"/><Relationship Id="rId308" Type="http://schemas.openxmlformats.org/officeDocument/2006/relationships/hyperlink" Target="https://www.toshiba-energy.com/en/info/info2019_1030.htm" TargetMode="External"/><Relationship Id="rId515" Type="http://schemas.openxmlformats.org/officeDocument/2006/relationships/hyperlink" Target="https://www.energy.gov/sites/prod/files/2020/10/f79/h2iq_10082020_h2scale.pdf" TargetMode="External"/><Relationship Id="rId722" Type="http://schemas.openxmlformats.org/officeDocument/2006/relationships/hyperlink" Target="https://www.world-energy.org/article/29081.html" TargetMode="External"/><Relationship Id="rId89" Type="http://schemas.openxmlformats.org/officeDocument/2006/relationships/hyperlink" Target="https://www.hydrogen.energy.gov/pdfs/htac_dec18_05_brown.pdf" TargetMode="External"/><Relationship Id="rId154" Type="http://schemas.openxmlformats.org/officeDocument/2006/relationships/hyperlink" Target="https://www.proactiveinvestors.co.uk/companies/news/222913/itm-power-announces-opening-of-gasunies-hystock-green-hydrogen-plant-222913.html" TargetMode="External"/><Relationship Id="rId361" Type="http://schemas.openxmlformats.org/officeDocument/2006/relationships/hyperlink" Target="https://cordis.europa.eu/project/rcn/94279_fr.html" TargetMode="External"/><Relationship Id="rId599" Type="http://schemas.openxmlformats.org/officeDocument/2006/relationships/hyperlink" Target="https://fuelcellsworks.com/news/angola-set-to-become-first-supplier-of-green-hydrogen-for-germany/" TargetMode="External"/><Relationship Id="rId1005" Type="http://schemas.openxmlformats.org/officeDocument/2006/relationships/hyperlink" Target="https://vighy.france-hydrogene.org/projets/em-lacq/" TargetMode="External"/><Relationship Id="rId459" Type="http://schemas.openxmlformats.org/officeDocument/2006/relationships/hyperlink" Target="https://www.horisontenergi.no/horisont-energi-chooses-hammerfest-norway-to-build-europes-first-large-scale-carbon-neutral-ammonia-plant/" TargetMode="External"/><Relationship Id="rId666" Type="http://schemas.openxmlformats.org/officeDocument/2006/relationships/hyperlink" Target="https://www.h2-view.com/story/octopus-hydrogen-granted-environmental-permit-for-green-hydrogen-production/" TargetMode="External"/><Relationship Id="rId873" Type="http://schemas.openxmlformats.org/officeDocument/2006/relationships/hyperlink" Target="https://www.offshore-mag.com/renewable-energy/article/14286224/tes-ewe-sign-green-hydrogen-accord-for-wilhelmshaven-hub" TargetMode="External"/><Relationship Id="rId1089" Type="http://schemas.openxmlformats.org/officeDocument/2006/relationships/hyperlink" Target="https://private.cedigaz.org/newsreport_pdf/64e479cd7cb17_CNR62-16.pdf"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universita.corsica/en/research/myrte/" TargetMode="External"/><Relationship Id="rId319" Type="http://schemas.openxmlformats.org/officeDocument/2006/relationships/hyperlink" Target="https://www.ft.com/content/19d3e1ff-748b-4e86-957a-8fe018f64b9b" TargetMode="External"/><Relationship Id="rId526" Type="http://schemas.openxmlformats.org/officeDocument/2006/relationships/hyperlink" Target="https://research.csiro.au/hyresource/edify-green-hydrogen-project/" TargetMode="External"/><Relationship Id="rId733" Type="http://schemas.openxmlformats.org/officeDocument/2006/relationships/hyperlink" Targe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TargetMode="External"/><Relationship Id="rId940" Type="http://schemas.openxmlformats.org/officeDocument/2006/relationships/hyperlink" Target="https://www.businesswire.com/news/home/20221121005294/en/Babcock-Wilcox-Announces-Agreement-to-Study-Development-of-Biomass-to-Hydrogen-Project-in-South-Korea-Using-BrightLoop%E2%84%A2-Technology" TargetMode="External"/><Relationship Id="rId1016" Type="http://schemas.openxmlformats.org/officeDocument/2006/relationships/hyperlink" Target="https://www.hysnowgroomer.com/projektinformationen-2/" TargetMode="External"/><Relationship Id="rId165" Type="http://schemas.openxmlformats.org/officeDocument/2006/relationships/hyperlink" Target="https://www.engie.com/en/news/using-hydrogen-to-reach-self-sufficiency/" TargetMode="External"/><Relationship Id="rId372" Type="http://schemas.openxmlformats.org/officeDocument/2006/relationships/hyperlink" Target="https://www.deltalinqs.nl/h-vision-en" TargetMode="External"/><Relationship Id="rId677" Type="http://schemas.openxmlformats.org/officeDocument/2006/relationships/hyperlink" Target="https://energynews.biz/douglas-county-pud-proceeding-with-construction-of-hydrogen-plant/" TargetMode="External"/><Relationship Id="rId800" Type="http://schemas.openxmlformats.org/officeDocument/2006/relationships/hyperlink" Target="https://www.zawya.com/en/business/hyport-duqm-project-eyes-1mln-mtpa-of-green-ammonia-at-full-capacity-rkpnzt5c" TargetMode="External"/><Relationship Id="rId232" Type="http://schemas.openxmlformats.org/officeDocument/2006/relationships/hyperlink" Target="https://www.navy.mil/submit/display.asp?story_id=92948" TargetMode="External"/><Relationship Id="rId884" Type="http://schemas.openxmlformats.org/officeDocument/2006/relationships/hyperlink" Target="https://www.pv-magazine-latam.com/2022/05/24/la-petrolera-colombiana-ecopetrol-sella-alianza-con-seis-empresas-internacionales-para-desarrollo-de-hidrogeno/" TargetMode="External"/><Relationship Id="rId27" Type="http://schemas.openxmlformats.org/officeDocument/2006/relationships/hyperlink" Target="https://hynet.co.uk/" TargetMode="External"/><Relationship Id="rId537" Type="http://schemas.openxmlformats.org/officeDocument/2006/relationships/hyperlink" Target="https://www.rabbalshedekraft.com/en/green-hydrogen/" TargetMode="External"/><Relationship Id="rId744" Type="http://schemas.openxmlformats.org/officeDocument/2006/relationships/hyperlink" Target="https://www.volth2.com/persbericht-delfzijl-2-juni-2022/" TargetMode="External"/><Relationship Id="rId951" Type="http://schemas.openxmlformats.org/officeDocument/2006/relationships/hyperlink" Target="https://eih2.ie/e120m-green-energy-facility-planned-for-cork-creating-85-jobs/" TargetMode="External"/><Relationship Id="rId80" Type="http://schemas.openxmlformats.org/officeDocument/2006/relationships/hyperlink" Target="https://www.engie.com/business-case/engie-x-hygreen" TargetMode="External"/><Relationship Id="rId176" Type="http://schemas.openxmlformats.org/officeDocument/2006/relationships/hyperlink" Target="https://www.businesswire.com/news/home/20161220005202/en/Proton-OnSite-Awarded-13-Megawatt-Electrolyzers" TargetMode="External"/><Relationship Id="rId383" Type="http://schemas.openxmlformats.org/officeDocument/2006/relationships/hyperlink" Target="http://www.electropowersystems.com/portfolio-item/1mwh-with-h2-microgrid-in-the-atacama-desert-chile/" TargetMode="External"/><Relationship Id="rId590" Type="http://schemas.openxmlformats.org/officeDocument/2006/relationships/hyperlink" Target="https://www.enagas.es/enagas/es/Comunicacion/NotasPrensa/15_02_2022_NP_HyDeal_Espan%CC%83a" TargetMode="External"/><Relationship Id="rId604" Type="http://schemas.openxmlformats.org/officeDocument/2006/relationships/hyperlink" Target="https://renews.biz/66655/cip-unveils-plans-for-esbjerg-green-ammonia-plant/" TargetMode="External"/><Relationship Id="rId811" Type="http://schemas.openxmlformats.org/officeDocument/2006/relationships/hyperlink" Target="https://twitter.com/H2GreenSteel/status/1548942476026822656?s=20&amp;t=gLuxq_kzs2E6wDNArSo1YQ" TargetMode="External"/><Relationship Id="rId1027" Type="http://schemas.openxmlformats.org/officeDocument/2006/relationships/hyperlink" Target="https://flexens.com/flexens-and-hydre-collaborate-to-launch-hydrogen-transport-in-finland-letter-of-intent-signed-with-lempaalan-energia/" TargetMode="External"/><Relationship Id="rId243" Type="http://schemas.openxmlformats.org/officeDocument/2006/relationships/hyperlink" Target="https://www.arci.res.in/facilities-cfct" TargetMode="External"/><Relationship Id="rId450" Type="http://schemas.openxmlformats.org/officeDocument/2006/relationships/hyperlink" Target="https://www.businesswire.com/news/home/20220203005153/en/Leading-Companies-Launch-Initiative-to-Support-Low-Carbon-and-Hydrogen-Industrial-Hub-in-Ohio-Pennsylvania-and-West-Virginia" TargetMode="External"/><Relationship Id="rId688" Type="http://schemas.openxmlformats.org/officeDocument/2006/relationships/hyperlink" Target="https://hidrogeno-verde.es/primera-planta-de-hidrogeno-en-un-almacen-logistico-en-espana/" TargetMode="External"/><Relationship Id="rId895" Type="http://schemas.openxmlformats.org/officeDocument/2006/relationships/hyperlink" Target="https://ir.fusion-fuel.eu/news-releases/news-release-details/fusion-fuel-supply-hevo-solar-technology-hive-energy-green" TargetMode="External"/><Relationship Id="rId909" Type="http://schemas.openxmlformats.org/officeDocument/2006/relationships/hyperlink" Target="https://www.linde.com/news-media/press-releases/2023/linde-to-supply-green-hydrogen-to-evonik-in-singapore" TargetMode="External"/><Relationship Id="rId1080" Type="http://schemas.openxmlformats.org/officeDocument/2006/relationships/hyperlink" Target="https://direct.argusmedia.com/newsandanalysis/Article/2472952" TargetMode="External"/><Relationship Id="rId38" Type="http://schemas.openxmlformats.org/officeDocument/2006/relationships/hyperlink" Target="https://www.yara.com/news-and-media/news/archive/2019/yara-and-engie-to-test-green-hydrogen-technology-in-fertilizer-production/" TargetMode="External"/><Relationship Id="rId103" Type="http://schemas.openxmlformats.org/officeDocument/2006/relationships/hyperlink" Target="https://fuelcellsworks.com/news/first-hydrogen-bus-arrives-in-wuppertal-hydrogen-plant-completed-in-february-2020/" TargetMode="External"/><Relationship Id="rId310" Type="http://schemas.openxmlformats.org/officeDocument/2006/relationships/hyperlink" Target="https://www.engie-solutions.com/fr/actualites/hydrogene-michelin-morbihan" TargetMode="External"/><Relationship Id="rId548" Type="http://schemas.openxmlformats.org/officeDocument/2006/relationships/hyperlink" Target="https://ecubes.si/zero-emission-mobility-corridor-project-in-slovenia/" TargetMode="External"/><Relationship Id="rId755" Type="http://schemas.openxmlformats.org/officeDocument/2006/relationships/hyperlink" Target="https://www.woodplc.com/news/latest-press-releases/2021/Wood-and-HYGEN-Energy-to-accelerate-green-hydrogen-production-in-the-UK" TargetMode="External"/><Relationship Id="rId962" Type="http://schemas.openxmlformats.org/officeDocument/2006/relationships/hyperlink" Target="https://direct.argusmedia.com/newsandanalysis/Article/2395369" TargetMode="External"/><Relationship Id="rId91" Type="http://schemas.openxmlformats.org/officeDocument/2006/relationships/hyperlink" Target="https://nwrsturgeonrefinery.com/" TargetMode="External"/><Relationship Id="rId187" Type="http://schemas.openxmlformats.org/officeDocument/2006/relationships/hyperlink" Target="https://cordis.europa.eu/project/id/826089" TargetMode="External"/><Relationship Id="rId394" Type="http://schemas.openxmlformats.org/officeDocument/2006/relationships/hyperlink" Target="https://www.liquidwind.se/flagships" TargetMode="External"/><Relationship Id="rId408" Type="http://schemas.openxmlformats.org/officeDocument/2006/relationships/hyperlink" Target="https://globalnews.ca/news/7714950/proposed-alberta-methanol-project-carbon-capture/" TargetMode="External"/><Relationship Id="rId615" Type="http://schemas.openxmlformats.org/officeDocument/2006/relationships/hyperlink" Target="https://hydrogen-central.com/hydrogen-lab-leuna-starts-operations-germany/" TargetMode="External"/><Relationship Id="rId822" Type="http://schemas.openxmlformats.org/officeDocument/2006/relationships/hyperlink" Target="https://hydrogen-central.com/h2biscus-project-samsung-lotte-posco-hydrogen-plant-malaysia/" TargetMode="External"/><Relationship Id="rId1038" Type="http://schemas.openxmlformats.org/officeDocument/2006/relationships/hyperlink" Target="https://www.fortum.com/media/2023/06/fortum-explores-prerequisites-fossil-free-hydrogen-production-ssabs-site-raahe" TargetMode="External"/><Relationship Id="rId254" Type="http://schemas.openxmlformats.org/officeDocument/2006/relationships/hyperlink" Target="https://allesoverwaterstof.nl/mega-waterstofproject-opgestart-in-nieuwegein/" TargetMode="External"/><Relationship Id="rId699" Type="http://schemas.openxmlformats.org/officeDocument/2006/relationships/hyperlink" Target="https://forbes.co/2022/05/31/editors-picks/asi-es-el-primer-carro-de-hidrogeno-que-circula-por-las-calles-de-colombia" TargetMode="External"/><Relationship Id="rId1091" Type="http://schemas.openxmlformats.org/officeDocument/2006/relationships/hyperlink" Target="https://direct.argusmedia.com/newsandanalysis/article/2481753" TargetMode="External"/><Relationship Id="rId1105" Type="http://schemas.openxmlformats.org/officeDocument/2006/relationships/hyperlink" Target="https://scottishbusinessnews.net/uks-first-off-grid-green-hydrogen-site-invites-potential-buyers/"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cpuc.ca.gov/uploadedFiles/CPUC_Website/Content/Utilities_and_Industries/Energy/Energy_Programs/Gas/Natural_Gas_Market/Nov13LADWP.pdf" TargetMode="External"/><Relationship Id="rId461" Type="http://schemas.openxmlformats.org/officeDocument/2006/relationships/hyperlink" Target="https://www.h2-view.com/story/e3-5bn-project-to-create-1500km-hydrogen-backbone-pipeline-for-germany/" TargetMode="External"/><Relationship Id="rId559" Type="http://schemas.openxmlformats.org/officeDocument/2006/relationships/hyperlink" Target="https://www.reuters.com/markets/commodities/vietnam-company-invest-840-mln-countrys-first-green-hydrogen-plant-2022-05-25/" TargetMode="External"/><Relationship Id="rId766" Type="http://schemas.openxmlformats.org/officeDocument/2006/relationships/hyperlink" Target="https://www.greenlab.dk/knowledge/greenhyscale-project-enter-grant-agreement-preparation-phase/" TargetMode="External"/><Relationship Id="rId198" Type="http://schemas.openxmlformats.org/officeDocument/2006/relationships/hyperlink" Target="http://h2est.ee/wp-content/uploads/2017/09/H2Nodes-NT-Bene-Raigo-Pert.pdf" TargetMode="External"/><Relationship Id="rId321" Type="http://schemas.openxmlformats.org/officeDocument/2006/relationships/hyperlink" Target="https://fuelcellsworks.com/news/enagas-receives-eu-support-for-the-development-of-hydrogen-station-in-madrid/" TargetMode="External"/><Relationship Id="rId419" Type="http://schemas.openxmlformats.org/officeDocument/2006/relationships/hyperlink" Target="https://www.concrete-chemicals.eu/project" TargetMode="External"/><Relationship Id="rId626" Type="http://schemas.openxmlformats.org/officeDocument/2006/relationships/hyperlink" Target="https://news.cision.com/nel-asa/r/nel-asa--nel-to-supply-an-alkaline-electrolyser-system-for-solar-foods,c3526086" TargetMode="External"/><Relationship Id="rId973" Type="http://schemas.openxmlformats.org/officeDocument/2006/relationships/hyperlink" Target="https://www.reuters.com/business/energy/sinopecs-first-green-hydrogen-plant-xinjiang-starts-production-xinhua-2023-06-30/" TargetMode="External"/><Relationship Id="rId1049" Type="http://schemas.openxmlformats.org/officeDocument/2006/relationships/hyperlink" Target="https://direct.argusmedia.com/newsandanalysis/Article/2477061" TargetMode="External"/><Relationship Id="rId833" Type="http://schemas.openxmlformats.org/officeDocument/2006/relationships/hyperlink" Target="https://www.rechargenews.com/energy-transition/enterprize-plans-4gw-offshore-wind-farm-off-ireland-to-power-3-2gw-green-hydrogen-project/2-1-1104575" TargetMode="External"/><Relationship Id="rId265"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72" Type="http://schemas.openxmlformats.org/officeDocument/2006/relationships/hyperlink" Target="https://espana.edp.com/en/news/2021/05/21/edp-presents-its-energy-transition-projects-asturias-offshore-wind-farm-and" TargetMode="External"/><Relationship Id="rId900" Type="http://schemas.openxmlformats.org/officeDocument/2006/relationships/hyperlink" Target="https://www.ghi-corp.com/projects/fleur-de-lys" TargetMode="External"/><Relationship Id="rId125" Type="http://schemas.openxmlformats.org/officeDocument/2006/relationships/hyperlink" Target="https://www.balance-project.org/projects" TargetMode="External"/><Relationship Id="rId332" Type="http://schemas.openxmlformats.org/officeDocument/2006/relationships/hyperlink" Target="../../AppData/Roaming/AppData/Local/Microsoft/Windows/INetCache/group4/sto/etp/ETP2020/Projects/ETP2020/Numbers%20and%20analysis/SUPPLY/HYDROGEN/References/Thyssenkrupp%20presentation.pdf" TargetMode="External"/><Relationship Id="rId777" Type="http://schemas.openxmlformats.org/officeDocument/2006/relationships/hyperlink" Target="https://maritime-executive.com/editorials/e-methanol-and-the-future-of-marine" TargetMode="External"/><Relationship Id="rId984" Type="http://schemas.openxmlformats.org/officeDocument/2006/relationships/hyperlink" Target="https://renewablesnow.com/news/austrias-first-green-hydrogen-production-plant-goes-live-822650/" TargetMode="External"/><Relationship Id="rId637" Type="http://schemas.openxmlformats.org/officeDocument/2006/relationships/hyperlink" Target="https://www.qamarenergy.com/sites/default/files/The%20UAE%27s%20Role%20in%20the%20Global%20Hydrogen%20Economy.pdf" TargetMode="External"/><Relationship Id="rId844" Type="http://schemas.openxmlformats.org/officeDocument/2006/relationships/hyperlink" Target="https://www.nucnet.org/news/danish-companies-sign-agreement-for-usd4-billion-thorium-smr-in-borneo-5-1-2023" TargetMode="External"/><Relationship Id="rId276" Type="http://schemas.openxmlformats.org/officeDocument/2006/relationships/hyperlink" Target="http://www.renewableh2canada.ca/" TargetMode="External"/><Relationship Id="rId483" Type="http://schemas.openxmlformats.org/officeDocument/2006/relationships/hyperlink" Target="https://h2v.net/projet/projet-h2v-59/" TargetMode="External"/><Relationship Id="rId690" Type="http://schemas.openxmlformats.org/officeDocument/2006/relationships/hyperlink" Target="https://www.fusion-fuel.eu/projects/europe-middle-east-africa/portugal/hevo-sul/" TargetMode="External"/><Relationship Id="rId704" Type="http://schemas.openxmlformats.org/officeDocument/2006/relationships/hyperlink" Target="https://fuelcellsworks.com/news/empire-state-development-announces-linde-to-invest-17-million-in-first-north-american-pem-electrolyzer-plant-in-new-york-state/?mc_cid=77e2194253&amp;mc_eid=da4624d261" TargetMode="External"/><Relationship Id="rId911" Type="http://schemas.openxmlformats.org/officeDocument/2006/relationships/hyperlink" Target="https://www.argusmedia.com/en/news/2422050-scottish-300mw-h2-plant-to-decarbonise-whisky-industry" TargetMode="External"/><Relationship Id="rId40" Type="http://schemas.openxmlformats.org/officeDocument/2006/relationships/hyperlink" Target="https://fuelcellsworks.com/news/arcadis-hoogeveen-and-livefree-realize-the-first-hydrogen-based-residential-area-in-the-netherlands/" TargetMode="External"/><Relationship Id="rId136" Type="http://schemas.openxmlformats.org/officeDocument/2006/relationships/hyperlink" Target="https://www.tennet.eu/news/detail/gasunie-tennet-and-thyssengas-reveal-detailed-green-sector-coupling-plans-using-power-to-gas-tec/" TargetMode="External"/><Relationship Id="rId343" Type="http://schemas.openxmlformats.org/officeDocument/2006/relationships/hyperlink" Target="https://www.goeree-overflakkee.nl/duurzaam-go/waterstof_46733/item/h2go-programma_232204.html" TargetMode="External"/><Relationship Id="rId550" Type="http://schemas.openxmlformats.org/officeDocument/2006/relationships/hyperlink" Target="https://reneweconomy.com.au/world-first-super-hybrid-wind-hydro-and-hydrogen-project-planned-for-queensland/" TargetMode="External"/><Relationship Id="rId788" Type="http://schemas.openxmlformats.org/officeDocument/2006/relationships/hyperlink" Target="https://mcphy.com/en/achievements/hydrogen-mobility-en/zero-emission-valley-zev/" TargetMode="External"/><Relationship Id="rId995" Type="http://schemas.openxmlformats.org/officeDocument/2006/relationships/hyperlink" Target="https://vighy.france-hydrogene.org/projets/ecoh2-breizh2/" TargetMode="External"/><Relationship Id="rId203" Type="http://schemas.openxmlformats.org/officeDocument/2006/relationships/hyperlink" Target="https://www.efzn.de/fileadmin/documents/Niedersaechsische_Energietage/Vortr%C3%A4ge/2019/NET2019_FF4_04_Veldkamp.pdf" TargetMode="External"/><Relationship Id="rId648" Type="http://schemas.openxmlformats.org/officeDocument/2006/relationships/hyperlink" Target="https://www.mairetecnimont.com/en/media/press-releases/maire-tecnimont-group-reaches-agreement-greenfield-nitrogen-llc-development-green-ammonia-plant" TargetMode="External"/><Relationship Id="rId855" Type="http://schemas.openxmlformats.org/officeDocument/2006/relationships/hyperlink" Target="https://research.csiro.au/hyresource/portland-renewable-hydrogen-project/" TargetMode="External"/><Relationship Id="rId1040" Type="http://schemas.openxmlformats.org/officeDocument/2006/relationships/hyperlink" Target="http://www.fuelcellchina.com/Industry_information_details/1454.html" TargetMode="External"/><Relationship Id="rId287" Type="http://schemas.openxmlformats.org/officeDocument/2006/relationships/hyperlink" Target="https://expresso.pt/economia/2019-12-11-EDP-avanca-com-dois-projetos-inovadores-para-produzir-hidrogenio" TargetMode="External"/><Relationship Id="rId410" Type="http://schemas.openxmlformats.org/officeDocument/2006/relationships/hyperlink" Target="http://41.222.168.85/NewsDetails.aspx?id=34" TargetMode="External"/><Relationship Id="rId494" Type="http://schemas.openxmlformats.org/officeDocument/2006/relationships/hyperlink" Target="https://ax.legal/2021/12/07/chiles-hydrogen-project-pipeline/" TargetMode="External"/><Relationship Id="rId508" Type="http://schemas.openxmlformats.org/officeDocument/2006/relationships/hyperlink" Target="https://www.h2-view.com/story/itm-power-makes-first-sale-in-japan-sells-1-4mw-electrolyser-to-sumitomo-corp/" TargetMode="External"/><Relationship Id="rId715" Type="http://schemas.openxmlformats.org/officeDocument/2006/relationships/hyperlink" Target="https://research.csiro.au/hyresource/manilla-solar-phase-2-hydrogen-energy-storage-system/" TargetMode="External"/><Relationship Id="rId922" Type="http://schemas.openxmlformats.org/officeDocument/2006/relationships/hyperlink" Target="https://renewablesnow.com/news/ric-energy-unveils-green-h2-project-it-is-developing-alone-in-spain-782794/" TargetMode="External"/><Relationship Id="rId147" Type="http://schemas.openxmlformats.org/officeDocument/2006/relationships/hyperlink" Target="https://www.engie.com/en/journalists/press-releases/largest-hydrogen-utility-fleet-alternative-multi-fuel-station" TargetMode="External"/><Relationship Id="rId354" Type="http://schemas.openxmlformats.org/officeDocument/2006/relationships/hyperlink" Target="https://www.tyseleyenergy.co.uk/tyseley-refuelling-hub/" TargetMode="External"/><Relationship Id="rId799" Type="http://schemas.openxmlformats.org/officeDocument/2006/relationships/hyperlink" Target="https://fuelcellsworks.com/news/hyvia-installs-first-electrolyzer-in-flins-plant-accelerating-hydrogen-mobility-ecosystem/?mc_cid=12e0faa137&amp;mc_eid=da4624d261" TargetMode="External"/><Relationship Id="rId51" Type="http://schemas.openxmlformats.org/officeDocument/2006/relationships/hyperlink" Target="https://fuelcellsworks.com/news/1-28m-arena-backing-for-agn-to-establish-the-australian-hydrogen-centre/" TargetMode="External"/><Relationship Id="rId561" Type="http://schemas.openxmlformats.org/officeDocument/2006/relationships/hyperlink" Target="https://www.pv-magazine.com/2021/11/22/giant-green-hydrogen-project-powered-by-6-gw-of-off-grid-solar-and-wind-proposed-for-south-australia/" TargetMode="External"/><Relationship Id="rId659" Type="http://schemas.openxmlformats.org/officeDocument/2006/relationships/hyperlink" Targe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TargetMode="External"/><Relationship Id="rId866" Type="http://schemas.openxmlformats.org/officeDocument/2006/relationships/hyperlink" Target="https://research.csiro.au/hyresource/mid-west-clean-energy-project/" TargetMode="External"/><Relationship Id="rId214" Type="http://schemas.openxmlformats.org/officeDocument/2006/relationships/hyperlink" Target="https://mcphy.com/fr/communiques/hydrogene-industriel-projet-20-mw-aux-pays-bas/" TargetMode="External"/><Relationship Id="rId298" Type="http://schemas.openxmlformats.org/officeDocument/2006/relationships/hyperlink" Target="https://www.spglobal.com/platts/en/market-insights/latest-news/electric-power/062620-swiss-based-hydrospider-goes-operational-for-mobility-sector" TargetMode="External"/><Relationship Id="rId421" Type="http://schemas.openxmlformats.org/officeDocument/2006/relationships/hyperlink" Target="https://www.h2-view.com/story/neptune-energy-and-partners-to-develop-blue-hydrogen-plant-in-the-uk/" TargetMode="External"/><Relationship Id="rId519" Type="http://schemas.openxmlformats.org/officeDocument/2006/relationships/hyperlink" Target="https://www.infiniteblueenergy.com/projects/arrowsmith-hydrogen-plant-stage-1/" TargetMode="External"/><Relationship Id="rId1051" Type="http://schemas.openxmlformats.org/officeDocument/2006/relationships/hyperlink" Target="https://www.hydeal.com/copie-de-hydeal-ambition" TargetMode="External"/><Relationship Id="rId158" Type="http://schemas.openxmlformats.org/officeDocument/2006/relationships/hyperlink" Target="https://mcphy.com/en/press-releases/power_plant_cooling_on_site_hydrogen_production/" TargetMode="External"/><Relationship Id="rId726" Type="http://schemas.openxmlformats.org/officeDocument/2006/relationships/hyperlink" Target="https://fuelcellsworks.com/news/mitsubishi-heavy-industries-shell-vattenfall-and-warme-hamburg-sign-letter-of-intent-for-100-mw-hydrogen-project-at-moorburg-in-hamburg/?mc_cid=fa471ff86a&amp;mc_eid=da4624d261" TargetMode="External"/><Relationship Id="rId933" Type="http://schemas.openxmlformats.org/officeDocument/2006/relationships/hyperlink" Target="https://direct.argusmedia.com/newsandanalysis/Article/2453086" TargetMode="External"/><Relationship Id="rId1009" Type="http://schemas.openxmlformats.org/officeDocument/2006/relationships/hyperlink" Target="https://ek.fi/tutkittua-tietoa/vihreat-investoinnit/" TargetMode="External"/><Relationship Id="rId62" Type="http://schemas.openxmlformats.org/officeDocument/2006/relationships/hyperlink" Target="https://www.sciencedirect.com/science/article/pii/S1464285918303328" TargetMode="External"/><Relationship Id="rId365" Type="http://schemas.openxmlformats.org/officeDocument/2006/relationships/hyperlink" Target="https://www.h2-international.com/2017/12/01/hypos-from-storage-to-distribution/" TargetMode="External"/><Relationship Id="rId572" Type="http://schemas.openxmlformats.org/officeDocument/2006/relationships/hyperlink" Target="https://www.kochprojectsolutions.com/news/2021/louisiana-to-get-9-2-billion-renewables-complex-after-koch-fidelis-infrastructure-deal" TargetMode="External"/><Relationship Id="rId225" Type="http://schemas.openxmlformats.org/officeDocument/2006/relationships/hyperlink" Target="https://diamondlite.com/wp-content/uploads/2017/06/EFCF-2015_Paper_B1505_Hybrid-plant-Aarmatt-a-novel-concept-applying-PEM-electrolysis_Rindlisbacher_Marcel_01.pdf" TargetMode="External"/><Relationship Id="rId432" Type="http://schemas.openxmlformats.org/officeDocument/2006/relationships/hyperlink" Target="https://fuelcellsworks.com/news/mauritania-signs-agreement-to-develop-green-hydrogen-production-plant/?mc_cid=670c7701d2&amp;mc_eid=da4624d261" TargetMode="External"/><Relationship Id="rId877" Type="http://schemas.openxmlformats.org/officeDocument/2006/relationships/hyperlink" Target="https://madoquaventures.com/projects/" TargetMode="External"/><Relationship Id="rId1062" Type="http://schemas.openxmlformats.org/officeDocument/2006/relationships/hyperlink" Target="https://direct.argusmedia.com/newsandanalysis/Article/2488999" TargetMode="External"/><Relationship Id="rId737" Type="http://schemas.openxmlformats.org/officeDocument/2006/relationships/hyperlink" Target="https://news.solarbe.com/202001/08/319050.html" TargetMode="External"/><Relationship Id="rId944" Type="http://schemas.openxmlformats.org/officeDocument/2006/relationships/hyperlink" Target="https://fuelcellsworks.com/news/carbonloop-and-haffner-energy-announce-order-for-hynoca-equipment-for-first-two-hydrogen-and-biochar-production-sites-from-biomass/?mc_cid=0c0b824e23&amp;mc_eid=da4624d261" TargetMode="External"/><Relationship Id="rId73" Type="http://schemas.openxmlformats.org/officeDocument/2006/relationships/hyperlink" Target="https://www.green-industrial-hydrogen.com/" TargetMode="External"/><Relationship Id="rId169" Type="http://schemas.openxmlformats.org/officeDocument/2006/relationships/hyperlink" Target="https://etipwind.eu/wp-content/uploads/A2-Hydrogenics_v2.pdf" TargetMode="External"/><Relationship Id="rId376" Type="http://schemas.openxmlformats.org/officeDocument/2006/relationships/hyperlink" Target="https://www.reuters.com/article/idUSL4N2IO1KX" TargetMode="External"/><Relationship Id="rId583" Type="http://schemas.openxmlformats.org/officeDocument/2006/relationships/hyperlink" Target="https://www.argusmedia.com/en/news/2254679-uniper-targets-green-hydrogen-production-in-uk" TargetMode="External"/><Relationship Id="rId790" Type="http://schemas.openxmlformats.org/officeDocument/2006/relationships/hyperlink" Target="https://www.castanet.net/news/BC/416117/Hydra-Energys-62M-hydrogen-production-plant-approved-in-Prince-George" TargetMode="External"/><Relationship Id="rId804" Type="http://schemas.openxmlformats.org/officeDocument/2006/relationships/hyperlink" Target="https://www.straitstimes.com/business/economy/china-approves-renewable-mega-project-for-green-hydrogen" TargetMode="External"/><Relationship Id="rId4" Type="http://schemas.openxmlformats.org/officeDocument/2006/relationships/hyperlink" Target="https://www.drax.com/press_release/energy-companies-announce-new-zero-carbon-uk-partnership-ccus-hydrogen-beccs-humber-equinor-national-grid/" TargetMode="External"/><Relationship Id="rId236" Type="http://schemas.openxmlformats.org/officeDocument/2006/relationships/hyperlink" Target="https://windeurope.org/wp-content/uploads/files/misc/20190130-p2g-workshop/190129-4-Wind2hydrogen-OMV.pdf" TargetMode="External"/><Relationship Id="rId443" Type="http://schemas.openxmlformats.org/officeDocument/2006/relationships/hyperlink" Target="https://www.h2-view.com/story/9-4bn-hydrogen-megaproject-set-for-namibia/" TargetMode="External"/><Relationship Id="rId650" Type="http://schemas.openxmlformats.org/officeDocument/2006/relationships/hyperlink" Target="https://cen.acs.org/business/Chemical-makers-plan-blue-ammonia/100/i16" TargetMode="External"/><Relationship Id="rId888" Type="http://schemas.openxmlformats.org/officeDocument/2006/relationships/hyperlink" Target="https://fuelcellsworks.com/news/ammpower-to-work-with-port-of-south-louisiana-to-develop-a-green-hydrogen-ammonia-production-facility-for-shipping-fuel-energy-transfer/?mc_cid=d03ba51fd9&amp;mc_eid=da4624d261" TargetMode="External"/><Relationship Id="rId1073" Type="http://schemas.openxmlformats.org/officeDocument/2006/relationships/hyperlink" Target="https://direct.argusmedia.com/newsandanalysis/Article/2487336" TargetMode="External"/><Relationship Id="rId303" Type="http://schemas.openxmlformats.org/officeDocument/2006/relationships/hyperlink" Target="https://www.toshiba.co.jp/about/press/2016_03/pr1402.htm" TargetMode="External"/><Relationship Id="rId748" Type="http://schemas.openxmlformats.org/officeDocument/2006/relationships/hyperlink" Target="https://www.thyssenkrupp.com/en/newsroom/press-releases/pressdetailpage/second-joint-project-under-strategic-partnership-agreement--thyssenkrupp-nucera-to-deliver-electrolyzers-for-air-products-hydrogen-facility-in-arizona--usa-130204" TargetMode="External"/><Relationship Id="rId955" Type="http://schemas.openxmlformats.org/officeDocument/2006/relationships/hyperlink" Target="http://daystarenergy.com.au/" TargetMode="External"/><Relationship Id="rId84" Type="http://schemas.openxmlformats.org/officeDocument/2006/relationships/hyperlink" Target="https://netl.doe.gov/sites/default/files/netl-file/1130-Wabash-CarbonSAFE-Christopher-Korose-Weds-1130am.pdf" TargetMode="External"/><Relationship Id="rId387" Type="http://schemas.openxmlformats.org/officeDocument/2006/relationships/hyperlink" Target="https://www.klimaatakkoord.nl/binaries/klimaatakkoord/documenten/publicaties/2020/10/22/koplopersprogramma-cluster-smart-delta/SDR-Regioplan+2030-2050.pdf" TargetMode="External"/><Relationship Id="rId510" Type="http://schemas.openxmlformats.org/officeDocument/2006/relationships/hyperlink" Target="https://www.e15.cz/byznys/prumysl-a-energetika/skupina-solar-global-spusti-vyrobu-prvniho-zeleneho-vodiku-v-cesku-1379128" TargetMode="External"/><Relationship Id="rId594" Type="http://schemas.openxmlformats.org/officeDocument/2006/relationships/hyperlink" Target="https://asia.nikkei.com/Business/Energy/Itochu-s-blue-ammonia-from-Canada-to-power-Japan-s-green-future" TargetMode="External"/><Relationship Id="rId608" Type="http://schemas.openxmlformats.org/officeDocument/2006/relationships/hyperlink" Target="https://renewablesnow.com/news/fortescue-plans-usd-6bn-green-hydrogen-project-at-brazils-pecem-port-746992/" TargetMode="External"/><Relationship Id="rId815" Type="http://schemas.openxmlformats.org/officeDocument/2006/relationships/hyperlink" Target="https://www.h2v.eu/hydrogen-valleys/crystal-brook-hydrogen-superhub" TargetMode="External"/><Relationship Id="rId247" Type="http://schemas.openxmlformats.org/officeDocument/2006/relationships/hyperlink" Target="https://www.greencarcongress.com/2020/02/20200219-gigastack.html" TargetMode="External"/><Relationship Id="rId899" Type="http://schemas.openxmlformats.org/officeDocument/2006/relationships/hyperlink" Target="https://www.ghi-corp.com/projects/nova-scotia" TargetMode="External"/><Relationship Id="rId1000" Type="http://schemas.openxmlformats.org/officeDocument/2006/relationships/hyperlink" Target="https://vighy.france-hydrogene.org/projets/h2v-thionville/" TargetMode="External"/><Relationship Id="rId1084" Type="http://schemas.openxmlformats.org/officeDocument/2006/relationships/hyperlink" Target="https://direct.argusmedia.com/newsandanalysis/Article/2474890" TargetMode="External"/><Relationship Id="rId107" Type="http://schemas.openxmlformats.org/officeDocument/2006/relationships/hyperlink" Target="https://www.sarawakenergy.com/media-info/media-releases/2019/sarawak-launches-south-east-asias-first-integrated-hydrogen-production-plant-and-refueling-station-unveils-hydrogen-buses" TargetMode="External"/><Relationship Id="rId454" Type="http://schemas.openxmlformats.org/officeDocument/2006/relationships/hyperlink" Target="https://www.biofuelsdigest.com/bdigest/2021/12/15/wood-waste-to-hydrogen-motes-h2-gambit-in-california-announced/" TargetMode="External"/><Relationship Id="rId661" Type="http://schemas.openxmlformats.org/officeDocument/2006/relationships/hyperlink" Target="https://hydrogen-central.com/developers-behind-controversial-hydrogen-plant-set-clydebank-waterfront-explained-the-reason-for-withdrawing-their-controversial-plans/" TargetMode="External"/><Relationship Id="rId759" Type="http://schemas.openxmlformats.org/officeDocument/2006/relationships/hyperlink" Target="https://fuelcellsworks.com/news/petrofac-to-evaluate-green-hydrogen-development-on-sakhalin-island/?mc_cid=8d7926e8c4&amp;mc_eid=da4624d261" TargetMode="External"/><Relationship Id="rId966" Type="http://schemas.openxmlformats.org/officeDocument/2006/relationships/hyperlink" Target="https://direct.argusmedia.com/newsandanalysis/Article/2431937" TargetMode="External"/><Relationship Id="rId11" Type="http://schemas.openxmlformats.org/officeDocument/2006/relationships/hyperlink" Target="https://www.toshiba.co.jp/about/press/2016_03/pr2403.htm" TargetMode="External"/><Relationship Id="rId314"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398" Type="http://schemas.openxmlformats.org/officeDocument/2006/relationships/hyperlink" Target="https://www.topsectorenergie.nl/sites/default/files/uploads/TKI%20Gas/publicaties/Overview%20Hydrogen%20projects%20in%20the%20Netherlands%20-%20version%2018%20May%202021.pdf" TargetMode="External"/><Relationship Id="rId521" Type="http://schemas.openxmlformats.org/officeDocument/2006/relationships/hyperlink" Target="https://research.csiro.au/hyresource/green-hydrogen-for-city-of-cockburn/" TargetMode="External"/><Relationship Id="rId619" Type="http://schemas.openxmlformats.org/officeDocument/2006/relationships/hyperlink" Target="https://www.mynewsdesk.com/se/uniper/news/uniper-aer-med-och-bygger-en-vaetgashubb-i-luleaa-429036" TargetMode="External"/><Relationship Id="rId95" Type="http://schemas.openxmlformats.org/officeDocument/2006/relationships/hyperlink" Target="https://www.moreland.vic.gov.au/about-us/projects/environmental-projects/renewable-hydrogen-waste-truck/" TargetMode="External"/><Relationship Id="rId160" Type="http://schemas.openxmlformats.org/officeDocument/2006/relationships/hyperlink" Target="http://www.prensa.naturgy.com/en/gas-natural-fenosa-launches-pilot-project-to-produce-renewable-gas-in-catalonia/" TargetMode="External"/><Relationship Id="rId826" Type="http://schemas.openxmlformats.org/officeDocument/2006/relationships/hyperlink" Target="https://hyphenafrica.com/news/hyphen-hydrogen-energy-progresses-its-planned-us10-bn-namibian-green-hydrogen-project/" TargetMode="External"/><Relationship Id="rId1011" Type="http://schemas.openxmlformats.org/officeDocument/2006/relationships/hyperlink" Target="https://www.hydrogen.energy.gov/pdfs/review23/ta039_ghezel-ayagh_2023_o.pdf" TargetMode="External"/><Relationship Id="rId1109" Type="http://schemas.openxmlformats.org/officeDocument/2006/relationships/hyperlink" Target="https://www.offshore-energy.biz/houston-ship-channel-could-host-large-scale-ammonia-production-and-export-project/" TargetMode="External"/><Relationship Id="rId258"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65" Type="http://schemas.openxmlformats.org/officeDocument/2006/relationships/hyperlink" Target="https://www.power-technology.com/marketdata/sinopec-ordos-solar-pv-park-china/" TargetMode="External"/><Relationship Id="rId672" Type="http://schemas.openxmlformats.org/officeDocument/2006/relationships/hyperlink" Target="https://thyssenkrupp-nucera.com/2022/07/26/unigel-installs-the-first-industrial-scale-green-hydrogen-production-site-in-brazil-using-thyssenkrupp-nucera-technology/" TargetMode="External"/><Relationship Id="rId1095" Type="http://schemas.openxmlformats.org/officeDocument/2006/relationships/hyperlink" Target="https://hyrasia.energy/" TargetMode="External"/><Relationship Id="rId22" Type="http://schemas.openxmlformats.org/officeDocument/2006/relationships/hyperlink" Target="http://www.renewablessa.sa.gov.au/topic/hydrogen/hydrogen-projects" TargetMode="External"/><Relationship Id="rId118" Type="http://schemas.openxmlformats.org/officeDocument/2006/relationships/hyperlink" Target="https://www.deme-group.com/news/hyportr-green-hydrogen-plant-ostend" TargetMode="External"/><Relationship Id="rId325" Type="http://schemas.openxmlformats.org/officeDocument/2006/relationships/hyperlink" Target="https://www.reuters.com/article/us-germany-hydrogen-heide/german-oil-refinery-to-build-30-mw-hydrogen-electrolysis-plant-idUSKBN24Z1FO" TargetMode="External"/><Relationship Id="rId532" Type="http://schemas.openxmlformats.org/officeDocument/2006/relationships/hyperlink" Target="https://blog.topsoe.com/haldor-topsoe-and-aquamarine-enters-into-a-memorandum-of-understanding-with-the-purpose-of-building-a-green-ammonia-facility-based-on-soec-electrolysis?hsLang=en-us" TargetMode="External"/><Relationship Id="rId977" Type="http://schemas.openxmlformats.org/officeDocument/2006/relationships/hyperlink" Target="https://www.s-ge.com/en/system/files?file=event/downloads/20220525%20Green%20Hydrogen%20projects%20Chile.pdf&amp;ct" TargetMode="External"/><Relationship Id="rId171" Type="http://schemas.openxmlformats.org/officeDocument/2006/relationships/hyperlink" Target="https://public.tableau.com/views/HydrogenPowerProjects/Dashboard1?:embed=y&amp;:display_count=yes&amp;publish=yes&amp;:origin=viz_share_link&amp;:showVizHome=no" TargetMode="External"/><Relationship Id="rId837" Type="http://schemas.openxmlformats.org/officeDocument/2006/relationships/hyperlink" Target="https://www.argusmedia.com/en/news/2426650-osaka-gas-santos-eye-emethane-production-in-australia" TargetMode="External"/><Relationship Id="rId1022" Type="http://schemas.openxmlformats.org/officeDocument/2006/relationships/hyperlink" Target="https://ren-gas.com/en/news/lahti-energia-and-nordic-ren-gas-signed-a-project-development-agreement-for-the-lahti-power-to-gas-project/" TargetMode="External"/><Relationship Id="rId269" Type="http://schemas.openxmlformats.org/officeDocument/2006/relationships/hyperlink" Target="https://www.akersolutions.com/news/news-archive/2020/aker-solutions-starts-ccs-test-program-at-preem-refinery-in-sweden/" TargetMode="External"/><Relationship Id="rId476" Type="http://schemas.openxmlformats.org/officeDocument/2006/relationships/hyperlink" Target="https://fuelcellsworks.com/news/spain-reganosa-edp-renovaveis-investment-of-780-million-in-galicia-includes-a-100-mw-electrolysis-hydrogen-h2-production-plant/" TargetMode="External"/><Relationship Id="rId683" Type="http://schemas.openxmlformats.org/officeDocument/2006/relationships/hyperlink" Target="https://vighy.france-hydrogene.org/projets/effi-h2-vannes/" TargetMode="External"/><Relationship Id="rId890" Type="http://schemas.openxmlformats.org/officeDocument/2006/relationships/hyperlink" Target="https://www.h2v.eu/hydrogen-valleys/hy-fi-hydrogen-facility-initiative" TargetMode="External"/><Relationship Id="rId904" Type="http://schemas.openxmlformats.org/officeDocument/2006/relationships/hyperlink" Target="https://www.ammoniaenergy.org/articles/mauritania-ammonia-mega-project-enters-next-phase/"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www.bloomberg.com/news/articles/2019-10-08/siemens-backs-mega-green-power-hydrogen-project-in-australia" TargetMode="External"/><Relationship Id="rId336" Type="http://schemas.openxmlformats.org/officeDocument/2006/relationships/hyperlink" Target="https://www.topagrar.com/energie/news/neue-elektrolyse-eingeweiht-12107191.html" TargetMode="External"/><Relationship Id="rId543" Type="http://schemas.openxmlformats.org/officeDocument/2006/relationships/hyperlink" Target="https://www.bp.com/en/global/corporate/news-and-insights/press-releases/bp-and-linde-plan-major-ccs-project-to-advance-decarbonization-efforts-across-texas-gulf-coast.html" TargetMode="External"/><Relationship Id="rId988" Type="http://schemas.openxmlformats.org/officeDocument/2006/relationships/hyperlink" Target="https://bioenergyinternational.com/hzi-to-develop-first-small-scale-waste-to-hydrogen/" TargetMode="External"/><Relationship Id="rId182" Type="http://schemas.openxmlformats.org/officeDocument/2006/relationships/hyperlink" Target="https://cordis.europa.eu/project/id/779430" TargetMode="External"/><Relationship Id="rId403" Type="http://schemas.openxmlformats.org/officeDocument/2006/relationships/hyperlink" Target="https://portodoacu.com.br/en/fortescue-future-industries%E2%80%AFand-port-of-acu%E2%80%AFjoin-forces-to-develop-green-hydrogen-plant-in%E2%80%AFbrazil/" TargetMode="External"/><Relationship Id="rId750" Type="http://schemas.openxmlformats.org/officeDocument/2006/relationships/hyperlink" Target="https://hydrogen-central.com/cf-industries-signs-mou-jera-supply-500000-metric-tonnes-per-year-clean-ammonia/" TargetMode="External"/><Relationship Id="rId848" Type="http://schemas.openxmlformats.org/officeDocument/2006/relationships/hyperlink" Target="https://www.spglobal.com/platts/en/market-insights/latest-news/electric-power/061521-bavarias-six-ipcei-shortlisted-hydrogen-projects-may-get-eur1-billion" TargetMode="External"/><Relationship Id="rId1033" Type="http://schemas.openxmlformats.org/officeDocument/2006/relationships/hyperlink" Target="https://www.san-group.com/news/opening-of-first-green-hydrogen-production-in-lower-austria" TargetMode="External"/><Relationship Id="rId487" Type="http://schemas.openxmlformats.org/officeDocument/2006/relationships/hyperlink" Target="https://vighy.france-hydrogene.org/projets/projet-h2-pierre-benite/" TargetMode="External"/><Relationship Id="rId610" Type="http://schemas.openxmlformats.org/officeDocument/2006/relationships/hyperlink" Target="https://environmental.pasenategop.com/wp-content/uploads/sites/34/2021/03/03.10.2021-Babb-Perry-KeyState-Senate-Energy-Comm.-Hearing-3.10.21.pdf" TargetMode="External"/><Relationship Id="rId694" Type="http://schemas.openxmlformats.org/officeDocument/2006/relationships/hyperlink" Target="https://research.csiro.au/hyresource/sun-metals-hydrogen-queensland-sunhq-project/" TargetMode="External"/><Relationship Id="rId708" Type="http://schemas.openxmlformats.org/officeDocument/2006/relationships/hyperlink" Target="https://hydrogensolutions.no/en/starter-gronn-hydrogenproduksjon-vestlandet/" TargetMode="External"/><Relationship Id="rId915" Type="http://schemas.openxmlformats.org/officeDocument/2006/relationships/hyperlink" Target="https://www.argusmedia.com/pt/news/2457061-enit-eyes-300mw-renewable-hydrogen-plant-in-brazil?backToResults=true" TargetMode="External"/><Relationship Id="rId347" Type="http://schemas.openxmlformats.org/officeDocument/2006/relationships/hyperlink" Target="https://www.now-gmbh.de/en/national-innovation-programme/projektfinder/verkehr/h2-tankstelle-schnackenburgallee-hamburg" TargetMode="External"/><Relationship Id="rId999" Type="http://schemas.openxmlformats.org/officeDocument/2006/relationships/hyperlink" Target="https://vighy.france-hydrogene.org/projets/vhya-lorraine/" TargetMode="External"/><Relationship Id="rId1100" Type="http://schemas.openxmlformats.org/officeDocument/2006/relationships/hyperlink" Target="https://mopng.gov.in/files/article/articlefiles/2023Q2.pdf" TargetMode="External"/><Relationship Id="rId44" Type="http://schemas.openxmlformats.org/officeDocument/2006/relationships/hyperlink" Target="https://refhyne.eu/about/" TargetMode="External"/><Relationship Id="rId554" Type="http://schemas.openxmlformats.org/officeDocument/2006/relationships/hyperlink" Target="https://renewablesnow.com/news/amea-power-inks-mou-for-large-scale-green-ammonia-production-in-egypt-781715/" TargetMode="External"/><Relationship Id="rId761" Type="http://schemas.openxmlformats.org/officeDocument/2006/relationships/hyperlink" Target="https://www.enelgreenpower.com/media/press/2022/09/egp-saras-green-hydrogen-ipcei-hy2use" TargetMode="External"/><Relationship Id="rId859" Type="http://schemas.openxmlformats.org/officeDocument/2006/relationships/hyperlink" Target="https://www.offshore-energy.biz/everwind-fuels-receives-environmental-approval-for-point-tupper-project/" TargetMode="External"/><Relationship Id="rId193" Type="http://schemas.openxmlformats.org/officeDocument/2006/relationships/hyperlink" Target="https://hydrogeneurope.eu/sites/default/files/2019-09/2019Q3_HYDROGENICS_Renewable%20Hydrogen-compressed.pdf" TargetMode="External"/><Relationship Id="rId207" Type="http://schemas.openxmlformats.org/officeDocument/2006/relationships/hyperlink" Target="https://www.liquidwind.se/" TargetMode="External"/><Relationship Id="rId414" Type="http://schemas.openxmlformats.org/officeDocument/2006/relationships/hyperlink" Target="https://ijglobal.com/articles/157261/india-to-pilot-green-hydrogen-at-hospital" TargetMode="External"/><Relationship Id="rId498" Type="http://schemas.openxmlformats.org/officeDocument/2006/relationships/hyperlink" Target="https://hydrogen-central.com/alliander-groenleven-solar-rays-hydrogen-netherlands/" TargetMode="External"/><Relationship Id="rId621" Type="http://schemas.openxmlformats.org/officeDocument/2006/relationships/hyperlink" Target="https://www.eleconomista.es/empresas-finanzas/noticias/10896511/11/20/Repsol-invertira-hasta-2900-millones-en-hidrogeno-en-cinco-anos-.html" TargetMode="External"/><Relationship Id="rId1044" Type="http://schemas.openxmlformats.org/officeDocument/2006/relationships/hyperlink" Target="https://direct.argusmedia.com/newsandanalysis/Article/2468774" TargetMode="External"/><Relationship Id="rId260" Type="http://schemas.openxmlformats.org/officeDocument/2006/relationships/hyperlink" Target="https://www.chemengonline.com/new-power-to-methanol-project-announced-by-inovyn/?printmode=1" TargetMode="External"/><Relationship Id="rId719" Type="http://schemas.openxmlformats.org/officeDocument/2006/relationships/hyperlink" Target="https://www.equinor.com/news/archive/20211215-launch-h2be-project-hydrogen-belgium" TargetMode="External"/><Relationship Id="rId926" Type="http://schemas.openxmlformats.org/officeDocument/2006/relationships/hyperlink" Target="https://www.doinghydrogen.com/partner/enertrag-ag/" TargetMode="External"/><Relationship Id="rId1111" Type="http://schemas.openxmlformats.org/officeDocument/2006/relationships/hyperlink" Target="https://co2re.co/FacilityData" TargetMode="External"/><Relationship Id="rId55" Type="http://schemas.openxmlformats.org/officeDocument/2006/relationships/hyperlink" Target="https://static1.squarespace.com/static/5d3f0387728026000121b2a2/t/5d9f24f459c7f056aca5a74f/1570710781671/4.A+Green+Spider+project.pdf" TargetMode="External"/><Relationship Id="rId120" Type="http://schemas.openxmlformats.org/officeDocument/2006/relationships/hyperlink" Target="https://www.jupiter1000.eu/english" TargetMode="External"/><Relationship Id="rId358" Type="http://schemas.openxmlformats.org/officeDocument/2006/relationships/hyperlink" Target="https://nelhydrogen.com/wp-content/uploads/2019/10/nel-q3-2014-presentation.pdf" TargetMode="External"/><Relationship Id="rId565" Type="http://schemas.openxmlformats.org/officeDocument/2006/relationships/hyperlink" Target="https://energynews.biz/energypark-emden-enters-the-second-stage/" TargetMode="External"/><Relationship Id="rId772" Type="http://schemas.openxmlformats.org/officeDocument/2006/relationships/hyperlink" Target="https://www.publicpower.org/periodical/article/douglas-county-pud-moves-phase-two-green-hydrogen-project?s=03" TargetMode="External"/><Relationship Id="rId218" Type="http://schemas.openxmlformats.org/officeDocument/2006/relationships/hyperlink" Target="https://www.sciencedirect.com/science/article/pii/S0360319908015619" TargetMode="External"/><Relationship Id="rId425" Type="http://schemas.openxmlformats.org/officeDocument/2006/relationships/hyperlink" Target="https://www.northerngasnetworks.co.uk/wp-content/uploads/2018/11/H21-Meeting-UK-Climate-Change-Obligations.pdf" TargetMode="External"/><Relationship Id="rId632" Type="http://schemas.openxmlformats.org/officeDocument/2006/relationships/hyperlink" Target="https://www.greenport.com/news101/australasia/hydrogen-project-planned-for-port-anthony" TargetMode="External"/><Relationship Id="rId1055" Type="http://schemas.openxmlformats.org/officeDocument/2006/relationships/hyperlink" Target="https://direct.argusmedia.com/newsandanalysis/article/2470181" TargetMode="External"/><Relationship Id="rId271" Type="http://schemas.openxmlformats.org/officeDocument/2006/relationships/hyperlink" Target="https://fuelcellsworks.com/news/hyflexpower-the-worlds-first-integrated-power-to-x-to-power-hydrogen-gas-turbine-demonstrator/" TargetMode="External"/><Relationship Id="rId937" Type="http://schemas.openxmlformats.org/officeDocument/2006/relationships/hyperlink" Target="https://direct.argusmedia.com/newsandanalysis/Article/2399721" TargetMode="External"/><Relationship Id="rId66" Type="http://schemas.openxmlformats.org/officeDocument/2006/relationships/hyperlink" Target="https://nelhydrogen.com/press-release/nel-asa-receives-purchase-order-for-h2station-fueling-station-solution-for-taxis-in-copenhagen/" TargetMode="External"/><Relationship Id="rId131" Type="http://schemas.openxmlformats.org/officeDocument/2006/relationships/hyperlink" Target="https://www.klimaatakkoord.nl/documenten/publicaties/2019/06/28/national-climate-agreement-the-netherlands" TargetMode="External"/><Relationship Id="rId369" Type="http://schemas.openxmlformats.org/officeDocument/2006/relationships/hyperlink" Target="https://dieselprogress.com/cummins-to-supply-5-mw-hydrogen-electrolyzer-34112/" TargetMode="External"/><Relationship Id="rId576" Type="http://schemas.openxmlformats.org/officeDocument/2006/relationships/hyperlink" Target="https://libertysteelgroup.com/news/liberty-develop-hydrogen-steel-making-plant/" TargetMode="External"/><Relationship Id="rId783" Type="http://schemas.openxmlformats.org/officeDocument/2006/relationships/hyperlink" Target="https://www.mynewsdesk.com/se/strandmoellen-ab/pressreleases/strandmoellen-ab-has-placed-a-purchase-order-for-a-3mw-electrolyser-from-fest-gmbh-3172967" TargetMode="External"/><Relationship Id="rId990" Type="http://schemas.openxmlformats.org/officeDocument/2006/relationships/hyperlink" Target="https://vighy.france-hydrogene.org/projets/hynovera/" TargetMode="External"/><Relationship Id="rId229" Type="http://schemas.openxmlformats.org/officeDocument/2006/relationships/hyperlink" Target="http://www.teessidecollective.co.uk/project/what-we-do/" TargetMode="External"/><Relationship Id="rId436" Type="http://schemas.openxmlformats.org/officeDocument/2006/relationships/hyperlink" Target="https://www.zawya.com/mena/en/business/story/Moroccos_first_green_hydrogen_project_to_start_production_in_2025-ZAWYA20210524060307/" TargetMode="External"/><Relationship Id="rId643" Type="http://schemas.openxmlformats.org/officeDocument/2006/relationships/hyperlink" Target="https://resourceworld.com/first-hydrogen-identifies-four-u-k-sites-for-hydrogen-projects/" TargetMode="External"/><Relationship Id="rId1066" Type="http://schemas.openxmlformats.org/officeDocument/2006/relationships/hyperlink" Target="https://direct.argusmedia.com/newsandanalysis/Article/2488641" TargetMode="External"/><Relationship Id="rId850" Type="http://schemas.openxmlformats.org/officeDocument/2006/relationships/hyperlink" Target="https://www.sasol.com/media-centre/media-releases/sasol-announces-lead-role-feasibility-study-boegoebaai-green-hydrogen" TargetMode="External"/><Relationship Id="rId948" Type="http://schemas.openxmlformats.org/officeDocument/2006/relationships/hyperlink" Target="https://thecurrency.news/articles/80215/bord-na-mona-enrols-boc-for-green-hydrogen-business/" TargetMode="External"/><Relationship Id="rId77" Type="http://schemas.openxmlformats.org/officeDocument/2006/relationships/hyperlink" Target="https://www.certifhy.eu/project-description/pilot-projects.html" TargetMode="External"/><Relationship Id="rId282" Type="http://schemas.openxmlformats.org/officeDocument/2006/relationships/hyperlink" Target="https://www.engie-solutions.com/fr/actualites/station-hyport-toulouse-blagnac" TargetMode="External"/><Relationship Id="rId503" Type="http://schemas.openxmlformats.org/officeDocument/2006/relationships/hyperlink" Target="https://noticiaslogisticaytransporte.com/nuevas-tendencias/01/03/2021/fm-logistic-y-h2b2-podran-en-marcha-una-estacion-de-servicio-de-hidrogeno/163313.html" TargetMode="External"/><Relationship Id="rId587" Type="http://schemas.openxmlformats.org/officeDocument/2006/relationships/hyperlink" Target="https://energyiceberg.com/ten-chinese-green-hydrogen-companies/" TargetMode="External"/><Relationship Id="rId710" Type="http://schemas.openxmlformats.org/officeDocument/2006/relationships/hyperlink" Target="https://www.gprectifier.com/news/2000nm3-h-green-power-intelligent-rectifier-h-63514189.html" TargetMode="External"/><Relationship Id="rId808" Type="http://schemas.openxmlformats.org/officeDocument/2006/relationships/hyperlink" Target="https://www.reflau.com/projekt" TargetMode="External"/><Relationship Id="rId8" Type="http://schemas.openxmlformats.org/officeDocument/2006/relationships/hyperlink" Target="https://www.japanccs.com/en/" TargetMode="External"/><Relationship Id="rId142" Type="http://schemas.openxmlformats.org/officeDocument/2006/relationships/hyperlink" Target="http://www.don-quichote.eu/" TargetMode="External"/><Relationship Id="rId447" Type="http://schemas.openxmlformats.org/officeDocument/2006/relationships/hyperlink" Target="https://www.mitsubishicorp.com/jp/en/pr/archive/2021/html/0000047790.html" TargetMode="External"/><Relationship Id="rId794" Type="http://schemas.openxmlformats.org/officeDocument/2006/relationships/hyperlink" Target="https://bayotech.us/bayotech-partners-with-ranken-technical-college/" TargetMode="External"/><Relationship Id="rId1077" Type="http://schemas.openxmlformats.org/officeDocument/2006/relationships/hyperlink" Target="https://direct.argusmedia.com/newsandanalysis/Article/2486635" TargetMode="External"/><Relationship Id="rId654" Type="http://schemas.openxmlformats.org/officeDocument/2006/relationships/hyperlink" Target="https://www.traffordgreenhydrogen.co.uk/theproject" TargetMode="External"/><Relationship Id="rId861" Type="http://schemas.openxmlformats.org/officeDocument/2006/relationships/hyperlink" Target="https://fuelcellsworks.com/news/acwa-power-signs-mou-with-pupuk-indonesia-for-large-scale-green-hydrogen-project/" TargetMode="External"/><Relationship Id="rId959" Type="http://schemas.openxmlformats.org/officeDocument/2006/relationships/hyperlink" Target="https://hycamite.com/" TargetMode="External"/><Relationship Id="rId293" Type="http://schemas.openxmlformats.org/officeDocument/2006/relationships/hyperlink" Target="https://www.equinor.com/en/what-we-do/h2hsaltend.html" TargetMode="External"/><Relationship Id="rId307" Type="http://schemas.openxmlformats.org/officeDocument/2006/relationships/hyperlink" Target="https://www.toshiba-energy.com/en/info/info2019_0614.htm" TargetMode="External"/><Relationship Id="rId514" Type="http://schemas.openxmlformats.org/officeDocument/2006/relationships/hyperlink" Target="https://www.energy.gov/eere/fuelcells/articles/us-hydrogen-electrolyzer-locations-and-capacity" TargetMode="External"/><Relationship Id="rId721" Type="http://schemas.openxmlformats.org/officeDocument/2006/relationships/hyperlink" Target="https://www.linde.com/news-media/press-releases/2020/linde-to-produce-green-hydrogen-for-mobility-market-in-california" TargetMode="External"/><Relationship Id="rId88" Type="http://schemas.openxmlformats.org/officeDocument/2006/relationships/hyperlink" Target="http://documents.ieaghg.org/index.php/s/4hyafrmhu2bobOs/download" TargetMode="External"/><Relationship Id="rId153" Type="http://schemas.openxmlformats.org/officeDocument/2006/relationships/hyperlink" Target="https://www.energystock.com/about-energystock/the-hydrogen-project-hystock" TargetMode="External"/><Relationship Id="rId360" Type="http://schemas.openxmlformats.org/officeDocument/2006/relationships/hyperlink" Target="https://www.sciencedirect.com/science/article/pii/0360319992901702" TargetMode="External"/><Relationship Id="rId598" Type="http://schemas.openxmlformats.org/officeDocument/2006/relationships/hyperlink" Target="https://www.oilreviewafrica.com/exploration/industry/sonangol-works-on-producing-green-hydrogen" TargetMode="External"/><Relationship Id="rId819" Type="http://schemas.openxmlformats.org/officeDocument/2006/relationships/hyperlink" Target="https://www.constellationenergy.com/newsroom/2023/Constellation-Starts-Production-at-Nations-First-One-Megawatt-Demonstration-Scale-Nuclear-Powered-Clean-Hydrogen-Facility.html" TargetMode="External"/><Relationship Id="rId1004" Type="http://schemas.openxmlformats.org/officeDocument/2006/relationships/hyperlink" Target="https://www.caissedesdepots.fr/sites/default/files/2021-02/CP%20CEF%20-%20TBF%20-%20HYDROGEN%20FUEL%20FOR%20PARIS%20HYSETCO%2016022021.pdf" TargetMode="External"/><Relationship Id="rId220" Type="http://schemas.openxmlformats.org/officeDocument/2006/relationships/hyperlink" Target="https://www.actaspa.com/projects/hydrogen-generator-demonstrated-by-abengoa/" TargetMode="External"/><Relationship Id="rId458" Type="http://schemas.openxmlformats.org/officeDocument/2006/relationships/hyperlink" Target="https://www.rechargenews.com/energy-transition/growing-ambition-the-worlds-20-largest-green-hydrogen-projects/2-1-933755" TargetMode="External"/><Relationship Id="rId665" Type="http://schemas.openxmlformats.org/officeDocument/2006/relationships/hyperlink" Target="https://www.liquidwind.se/news/liquid-wind-announces-full-ownership-transition-to-orsted-of-flagshipone" TargetMode="External"/><Relationship Id="rId872" Type="http://schemas.openxmlformats.org/officeDocument/2006/relationships/hyperlink" Target="https://energynews.biz/danish-renewables-giant-unveils-bold-green-hydrogen-project-in-eyre-peninsula/" TargetMode="External"/><Relationship Id="rId1088" Type="http://schemas.openxmlformats.org/officeDocument/2006/relationships/hyperlink" Target="https://h2ce.ru/en/news/industry-news/thyssenkrupp-uhde-joins-offset-consortium-on-floating-green-hydrogen-and-ammonia-project" TargetMode="External"/><Relationship Id="rId15" Type="http://schemas.openxmlformats.org/officeDocument/2006/relationships/hyperlink" Target="https://www.norled.no/en/news/partners-receive-pilot-e-support-to-develop-liquid-hydrogen-supply-chain-for-maritime-applications-in-norway/" TargetMode="External"/><Relationship Id="rId318" Type="http://schemas.openxmlformats.org/officeDocument/2006/relationships/hyperlink" Target="https://www.obayashi.co.jp/news/detail/news20200709_1.html" TargetMode="External"/><Relationship Id="rId525" Type="http://schemas.openxmlformats.org/officeDocument/2006/relationships/hyperlink" Target="https://cooperativeresearch.org.au/ceo-appointed-to-lead-the-kwinana-energy-transformation-hub-keth/" TargetMode="External"/><Relationship Id="rId732" Type="http://schemas.openxmlformats.org/officeDocument/2006/relationships/hyperlink" Target="https://www.rechargenews.com/transition/linde-to-build-world-s-largest-electrolyser-to-produce-green-hydrogen/2-1-944080?utm_source=emailsharing" TargetMode="External"/><Relationship Id="rId99" Type="http://schemas.openxmlformats.org/officeDocument/2006/relationships/hyperlink" Target="https://h2energy.ch/en/nel-asa-awarded-purchase-order-for-a-2-mw-pem-electrolyzer-in-switzerland-and-enters-a-30-mw-framework-contract/" TargetMode="External"/><Relationship Id="rId164" Type="http://schemas.openxmlformats.org/officeDocument/2006/relationships/hyperlink" Target="http://www.hydrogenics.com/2016/12/29/hydrogenics-chosen-for-fuel-cell-award-in-china/" TargetMode="External"/><Relationship Id="rId371" Type="http://schemas.openxmlformats.org/officeDocument/2006/relationships/hyperlink" Target="https://www.umweltfoerderung.at/fileadmin/user_upload/pics/allgemein/News/Innovation_Fund_092019/7_Langhammer_D_OMV_UpHy.pdf" TargetMode="External"/><Relationship Id="rId1015" Type="http://schemas.openxmlformats.org/officeDocument/2006/relationships/hyperlink" Target="https://www.ots.at/presseaussendung/OTS_20230330_OTS0130/linde-und-plansee-arbeiten-zusammen-co2-freier-wasserstoff-in-reutte-durch-einen-der-ersten-industrie-elektrolyseure-ueberhaupt-in-europa-bild" TargetMode="External"/><Relationship Id="rId469" Type="http://schemas.openxmlformats.org/officeDocument/2006/relationships/hyperlink" Target="https://www.endesa.com/es/prensa/sala-de-prensa/noticias/transicion-energetica/endesa-contempla-desarrollo-23-proyectos-hidrogeno-verde-espana" TargetMode="External"/><Relationship Id="rId676" Type="http://schemas.openxmlformats.org/officeDocument/2006/relationships/hyperlink" Target="https://multiplhy-project.eu/Pages/Latest-News.aspx" TargetMode="External"/><Relationship Id="rId883" Type="http://schemas.openxmlformats.org/officeDocument/2006/relationships/hyperlink" Target="https://reneweconomy.com.au/origin-teams-with-orica-to-propose-hunter-green-hydrogen-hub/" TargetMode="External"/><Relationship Id="rId1099" Type="http://schemas.openxmlformats.org/officeDocument/2006/relationships/hyperlink" Target="https://www.hydrogeninsight.com/production/partners-to-spend-more-than-1bn-on-500mw-plus-green-hydrogen-project-in-portugal/2-1-1353788"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nelhydrogen.com/press-release/nel-asa-awarded-contract-with-asko-for-hydrogen-production-and-fueling-solution-in-trondheim/" TargetMode="External"/><Relationship Id="rId329" Type="http://schemas.openxmlformats.org/officeDocument/2006/relationships/hyperlink" Target="https://cadenaser.com/ser/2020/09/02/ciencia/1599038500_420120.html" TargetMode="External"/><Relationship Id="rId536" Type="http://schemas.openxmlformats.org/officeDocument/2006/relationships/hyperlink" Target="https://vatgas.se/2021/09/07/strandmollen-ab-far-investeringsstod-fran-klimatklivet-for-vatgasproduktion/" TargetMode="External"/><Relationship Id="rId175" Type="http://schemas.openxmlformats.org/officeDocument/2006/relationships/hyperlink" Target="http://www.energy-observer.org/en/" TargetMode="External"/><Relationship Id="rId743" Type="http://schemas.openxmlformats.org/officeDocument/2006/relationships/hyperlink" Target="https://www.spglobal.com/commodityinsights/en/market-insights/latest-news/electric-power/030623-volth2-targets-mid-sized-green-hydrogen-projects-to-optimize-offshore-wind" TargetMode="External"/><Relationship Id="rId950" Type="http://schemas.openxmlformats.org/officeDocument/2006/relationships/hyperlink" Target="https://hydrogen-central.com/esb-green-energy-hub-hydrogen-moneypoint-ireland/" TargetMode="External"/><Relationship Id="rId1026" Type="http://schemas.openxmlformats.org/officeDocument/2006/relationships/hyperlink" Target="https://ren-gas.com/en/news/significant-investment-in-the-production-of-green-hydrogen-and-renewable-finnish-gas-planned-for-the-kaanaa-district-of-pori/" TargetMode="External"/><Relationship Id="rId382" Type="http://schemas.openxmlformats.org/officeDocument/2006/relationships/hyperlink" Target="http://energystorageexchange.org/projects/2349" TargetMode="External"/><Relationship Id="rId603" Type="http://schemas.openxmlformats.org/officeDocument/2006/relationships/hyperlink" Target="https://www.spglobal.com/platts/en/market-insights/podcasts/oil/012722-good-bad-ugly-asian-oil-markets-2022-gasoline-gasoil-jet-fuel" TargetMode="External"/><Relationship Id="rId687" Type="http://schemas.openxmlformats.org/officeDocument/2006/relationships/hyperlink" Target="https://p2x.fi/en/the-foundation-stone-of-p2x-solutions-green-hydrogen-production-plant-was-laid-in-harjavalta/" TargetMode="External"/><Relationship Id="rId810" Type="http://schemas.openxmlformats.org/officeDocument/2006/relationships/hyperlink" Target="https://www.zukunftsheizen.de/fileadmin/user_upload/Downloads/BET_2021_Vortrag_Tremel_Siemens_Chiles_wind_to_Europe.pdf" TargetMode="External"/><Relationship Id="rId908" Type="http://schemas.openxmlformats.org/officeDocument/2006/relationships/hyperlink" Target="https://www.hydrogeninsight.com/production/linde-to-invest-1-8bn-in-new-blue-hydrogen-plant-in-texas-with-start-up-in-2025/2-1-1399822" TargetMode="External"/><Relationship Id="rId242" Type="http://schemas.openxmlformats.org/officeDocument/2006/relationships/hyperlink" Target="http://www.amm-mcrc.org/Download/source/MCRCBrouchure.pdf" TargetMode="External"/><Relationship Id="rId894" Type="http://schemas.openxmlformats.org/officeDocument/2006/relationships/hyperlink" Target="https://fuelcellsworks.com/news/first-milestone-reached-for-fortescue-future-industries-and-incitec-pivots-green-ammonia-hydrogen-collaboration-in-queensland/?mc_cid=768757ae05&amp;mc_eid=da4624d261" TargetMode="External"/><Relationship Id="rId37" Type="http://schemas.openxmlformats.org/officeDocument/2006/relationships/hyperlink" Target="https://thewest.com.au/business/energy/yara-aims-to-move-wa-into-green-hydrogen-ng-b881106808z" TargetMode="External"/><Relationship Id="rId102" Type="http://schemas.openxmlformats.org/officeDocument/2006/relationships/hyperlink" Target="https://www.hydrogenics.com/2018/10/15/hydrogenics-to-supply-large-scale-pem-electrolyzer-for-hydrogen-fueling-station-in-europe/" TargetMode="External"/><Relationship Id="rId547" Type="http://schemas.openxmlformats.org/officeDocument/2006/relationships/hyperlink" Target="https://fuelcellsworks.com/news/hydrogen-greek-companies-participating-in-the-5-major-eu-projects-get-greek-govt-approval/" TargetMode="External"/><Relationship Id="rId754" Type="http://schemas.openxmlformats.org/officeDocument/2006/relationships/hyperlink" Target="https://www.airliquide.com/group/press-releases-news/2021-07-29/air-liquide-transforms-its-network-germany-connecting-large-electrolyzer-producing-renewable" TargetMode="External"/><Relationship Id="rId961" Type="http://schemas.openxmlformats.org/officeDocument/2006/relationships/hyperlink" Target="https://direct.argusmedia.com/newsandanalysis/Article/2397690" TargetMode="External"/><Relationship Id="rId90" Type="http://schemas.openxmlformats.org/officeDocument/2006/relationships/hyperlink" Target="https://actl.ca/" TargetMode="External"/><Relationship Id="rId186" Type="http://schemas.openxmlformats.org/officeDocument/2006/relationships/hyperlink" Target="https://newenergycoalition.org/en/gzi-next-plan-for-construction-of-hydrogen-plant-in-emmen-parties-sign-letter-of-intent/" TargetMode="External"/><Relationship Id="rId393" Type="http://schemas.openxmlformats.org/officeDocument/2006/relationships/hyperlink" Target="https://renewablesnow.com/news/plug-power-to-produce-green-hydrogen-with-power-from-brookfield-renewable-715248/" TargetMode="External"/><Relationship Id="rId407" Type="http://schemas.openxmlformats.org/officeDocument/2006/relationships/hyperlink" Target="https://www.northerngasnetworks.co.uk/event/h21-launches-national/" TargetMode="External"/><Relationship Id="rId614" Type="http://schemas.openxmlformats.org/officeDocument/2006/relationships/hyperlink" Target="https://www.energiaestrategica.com/el-primer-proyecto-piloto-de-hidrogeno-verde-de-uruguay-podria-estar-operativo-en-2025/" TargetMode="External"/><Relationship Id="rId821" Type="http://schemas.openxmlformats.org/officeDocument/2006/relationships/hyperlink" Target="https://www.h2-view.com/story/australia-to-gain-hydrogen-production-project-with-a-900-tonne-per-day-capacity-by-2031/" TargetMode="External"/><Relationship Id="rId1037" Type="http://schemas.openxmlformats.org/officeDocument/2006/relationships/hyperlink" Target="https://madoquapower2x.com/" TargetMode="External"/><Relationship Id="rId253" Type="http://schemas.openxmlformats.org/officeDocument/2006/relationships/hyperlink" Target="https://www.pv-magazine.com/2020/04/30/chinese-coal-miner-starts-work-on-worlds-biggest-green-hydrogen-facility/" TargetMode="External"/><Relationship Id="rId460" Type="http://schemas.openxmlformats.org/officeDocument/2006/relationships/hyperlink" Target="https://mcphy.com/en/press-releases/cooperation-agreement-with-enel-green-power/?cn-reloaded=1&amp;cn-reloaded=1" TargetMode="External"/><Relationship Id="rId698" Type="http://schemas.openxmlformats.org/officeDocument/2006/relationships/hyperlink" Target="https://www.h2stations.org/station/?id=2531" TargetMode="External"/><Relationship Id="rId919" Type="http://schemas.openxmlformats.org/officeDocument/2006/relationships/hyperlink" Target="https://www.acciona.com/updates/news/acciona-energia-plug-power-present-valle-h2v-navarra-project-government-navarra/?_adin=02021864894" TargetMode="External"/><Relationship Id="rId1090" Type="http://schemas.openxmlformats.org/officeDocument/2006/relationships/hyperlink" Target="https://www.hydrogeninsight.com/production/chinas-largest-green-hydrogen-project-a-4bn-640mw-ammonia-methanol-facility-begins-construction/2-1-1525815" TargetMode="External"/><Relationship Id="rId1104" Type="http://schemas.openxmlformats.org/officeDocument/2006/relationships/hyperlink" Target="https://www.pv-magazine-australia.com/2023/09/15/hynq-north-queensland-clean-energy-project-gains-a-new-development-partner/"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www.eqmagpro.com/wp-content/uploads/2016/10/Annexure-IV-Report-on-Hydrogen-Production.pdf" TargetMode="External"/><Relationship Id="rId320" Type="http://schemas.openxmlformats.org/officeDocument/2006/relationships/hyperlink" Target="https://www.theguardian.com/environment/2020/jul/19/can-a-hydrogen-boom-fuel-a-green-recovery-for-britain" TargetMode="External"/><Relationship Id="rId558" Type="http://schemas.openxmlformats.org/officeDocument/2006/relationships/hyperlink" Target="https://www.reuters.com/world/middle-east/egypt-agrees-5-bln-deal-with-norways-scatec-green-ammonia-project-2022-03-10/" TargetMode="External"/><Relationship Id="rId765" Type="http://schemas.openxmlformats.org/officeDocument/2006/relationships/hyperlink" Target="https://www.h2-view.com/story/new-24mw-electrolysis-plant-set-for-large-scale-green-hydrogen-production/" TargetMode="External"/><Relationship Id="rId972" Type="http://schemas.openxmlformats.org/officeDocument/2006/relationships/hyperlink" Target="https://www.spglobal.com/commodityinsights/en/market-insights/latest-news/energy-transition/063023-two-green-hydrogen-projects-totaling-30000-mtyear-of-capacity-start-up-in-china" TargetMode="External"/><Relationship Id="rId197" Type="http://schemas.openxmlformats.org/officeDocument/2006/relationships/hyperlink" Target="http://www.ieabioenergy.com/wp-content/uploads/2017/10/4_Hybridwerk_Aarmatt_A.Lochbrunner.pdf" TargetMode="External"/><Relationship Id="rId418" Type="http://schemas.openxmlformats.org/officeDocument/2006/relationships/hyperlink" Target="https://www.greencarcongress.com/2021/08/20210819-bakken.html" TargetMode="External"/><Relationship Id="rId625" Type="http://schemas.openxmlformats.org/officeDocument/2006/relationships/hyperlink" Target="https://www.renewstable-sumba.com/" TargetMode="External"/><Relationship Id="rId832" Type="http://schemas.openxmlformats.org/officeDocument/2006/relationships/hyperlink" Target="https://www.masen.ma/fr/actualites-masen/masen-prepare-un-mega-projet-dans-lhydrogene-vert-une-1ere-en-afrique" TargetMode="External"/><Relationship Id="rId1048" Type="http://schemas.openxmlformats.org/officeDocument/2006/relationships/hyperlink" Target="https://direct.argusmedia.com/newsandanalysis/Article/2476908" TargetMode="External"/><Relationship Id="rId264" Type="http://schemas.openxmlformats.org/officeDocument/2006/relationships/hyperlink" Target="http://www.seafuel.eu/es/inicio/" TargetMode="External"/><Relationship Id="rId471" Type="http://schemas.openxmlformats.org/officeDocument/2006/relationships/hyperlink" Target="https://www.lavozdeasturias.es/noticia/asturias/2021/10/14/edppretende-crear-valle-hidrogeno-asturias/00031634225270324999555.htm" TargetMode="External"/><Relationship Id="rId59" Type="http://schemas.openxmlformats.org/officeDocument/2006/relationships/hyperlink" Target="https://thewest.com.au/business/energy/hazer-group-wants-to-make-clean-hydrogen-from-perth-sewerage-ng-b881217005z" TargetMode="External"/><Relationship Id="rId124" Type="http://schemas.openxmlformats.org/officeDocument/2006/relationships/hyperlink" Target="https://exytron.online/en/news/" TargetMode="External"/><Relationship Id="rId569" Type="http://schemas.openxmlformats.org/officeDocument/2006/relationships/hyperlink" Target="https://fuelcellsworks.com/news/romanias-hidroelectrica-plans-green-hydrogen-production-on-the-danube/" TargetMode="External"/><Relationship Id="rId776" Type="http://schemas.openxmlformats.org/officeDocument/2006/relationships/hyperlink" Target="https://www.offshore-energy.biz/multiplhy-project-sunfire-installs-worlds-largest-soec-electrolyser/" TargetMode="External"/><Relationship Id="rId983" Type="http://schemas.openxmlformats.org/officeDocument/2006/relationships/hyperlink" Target="https://chile.hyvolution.com/en/2023/06/20/mae-exhibits-at-hyvolution-and-brings-its-experience-in-the-development-of-a-pioneering-green-hydrogen-project-in-chile/" TargetMode="External"/><Relationship Id="rId331" Type="http://schemas.openxmlformats.org/officeDocument/2006/relationships/hyperlink" Target="https://www.eugcc-cleanergy.net/sites/default/files/3._session_1_damien_sage_engie.pdf" TargetMode="External"/><Relationship Id="rId429" Type="http://schemas.openxmlformats.org/officeDocument/2006/relationships/hyperlink" Target="https://www.gasnetworks.ie/corporate/gas-regulation/service-for-suppliers/code-of-operations/code-modifications/code-modification-forum-meetings/2019_cmf_meetings/20190612_Cod_Mod_Forum_CCS__H2-Slide-Presentation.pdf" TargetMode="External"/><Relationship Id="rId636" Type="http://schemas.openxmlformats.org/officeDocument/2006/relationships/hyperlink" Target="https://renewablesnow.com/news/h2-industries-plans-usd-14bn-waste-to-hydrogen-facility-in-oman-781651/" TargetMode="External"/><Relationship Id="rId1059" Type="http://schemas.openxmlformats.org/officeDocument/2006/relationships/hyperlink" Target="https://direct.argusmedia.com/newsandanalysis/article/2455314" TargetMode="External"/><Relationship Id="rId843" Type="http://schemas.openxmlformats.org/officeDocument/2006/relationships/hyperlink" Target="https://ec.europa.eu/commission/presscorner/detail/en/ip_22_5968" TargetMode="External"/><Relationship Id="rId275" Type="http://schemas.openxmlformats.org/officeDocument/2006/relationships/hyperlink" Target="https://www.norsk-e-fuel.com/en/" TargetMode="External"/><Relationship Id="rId482" Type="http://schemas.openxmlformats.org/officeDocument/2006/relationships/hyperlink" Target="https://balkanengineer.com/news/bulgarian-city-builds-charging-station-green-hydrogen" TargetMode="External"/><Relationship Id="rId703" Type="http://schemas.openxmlformats.org/officeDocument/2006/relationships/hyperlink" Target="https://www.reuters.com/business/cf-industries-sees-roughly-2-bln-price-tag-us-blue-ammonia-facility-2022-05-05/" TargetMode="External"/><Relationship Id="rId910" Type="http://schemas.openxmlformats.org/officeDocument/2006/relationships/hyperlink" Target="https://www.linde.com/news-media/press-releases/2023/linde-to-increase-green-hydrogen-production-in-california" TargetMode="External"/><Relationship Id="rId135" Type="http://schemas.openxmlformats.org/officeDocument/2006/relationships/hyperlink" Target="https://www.nouryon.com/news-and-events/news-overview/2019/bp-nouryon-and-port-of-rotterdam-partner-on-green-hydrogen-study/" TargetMode="External"/><Relationship Id="rId342" Type="http://schemas.openxmlformats.org/officeDocument/2006/relationships/hyperlink" Target="https://www.foederal-erneuerbar.de/best-practice-detailseite/items/power-to-gas-anlage-speist-biomethan-ins-erdgasnetz" TargetMode="External"/><Relationship Id="rId787" Type="http://schemas.openxmlformats.org/officeDocument/2006/relationships/hyperlink" Target="https://assets.ctfassets.net/ztehsn2qe34u/3m5XSgBaBPkbfBQVoJWmd5/fee525778dc177352b9b1831bfa3db0a/Communique-de-presse-terega-solutions-hydrogene.pdf" TargetMode="External"/><Relationship Id="rId994" Type="http://schemas.openxmlformats.org/officeDocument/2006/relationships/hyperlink" Target="https://vighy.france-hydrogene.org/projets/ecoh2-breizh1/" TargetMode="External"/><Relationship Id="rId202" Type="http://schemas.openxmlformats.org/officeDocument/2006/relationships/hyperlink" Target="https://cordis.europa.eu/project/id/875090/pl" TargetMode="External"/><Relationship Id="rId647" Type="http://schemas.openxmlformats.org/officeDocument/2006/relationships/hyperlink" Target="https://www.news24.com/fin24/economy/prieska-green-hydrogen-project-gets-funding-boost-20220614" TargetMode="External"/><Relationship Id="rId854" Type="http://schemas.openxmlformats.org/officeDocument/2006/relationships/hyperlink" Target="https://research.csiro.au/hyresource/ord-hydrogen/" TargetMode="External"/><Relationship Id="rId286" Type="http://schemas.openxmlformats.org/officeDocument/2006/relationships/hyperlink" Target="https://www.caranddriver.com/es/coches/planeta-motor/a32864845/combustible-sintetico-repsol/" TargetMode="External"/><Relationship Id="rId493" Type="http://schemas.openxmlformats.org/officeDocument/2006/relationships/hyperlink" Target="https://www.capitalenergetico.cl/wp-content/uploads/2021/03/La-Economia-Verde-Final-Plug-Power.pdf" TargetMode="External"/><Relationship Id="rId507" Type="http://schemas.openxmlformats.org/officeDocument/2006/relationships/hyperlink" Target="https://www.spglobal.com/marketintelligence/en/news-insights/latest-news-headlines/new-jersey-resources-plots-new-strategy-focused-on-renewable-energy-61510875" TargetMode="External"/><Relationship Id="rId714" Type="http://schemas.openxmlformats.org/officeDocument/2006/relationships/hyperlink" Target="https://www.pertamina.com/en/news-room/news-release/pertamina-nre-krakatau-steel-and-raja-collaborate-to-develop-hydrogen-pipelines" TargetMode="External"/><Relationship Id="rId921" Type="http://schemas.openxmlformats.org/officeDocument/2006/relationships/hyperlink" Target="https://fuelcellsworks.com/news/sk-eco-plant-partners-with-canadas-world-energy-gh2-in-a-4-5-billion-green-hydrogen-commercialization-project/" TargetMode="External"/><Relationship Id="rId50" Type="http://schemas.openxmlformats.org/officeDocument/2006/relationships/hyperlink" Target="http://www.abc.net.au/news/2017-08-08/trial-to-inject-hydrogen-into-gas-lines/8782956" TargetMode="External"/><Relationship Id="rId146" Type="http://schemas.openxmlformats.org/officeDocument/2006/relationships/hyperlink" Target="https://www.h2nodes.eu/" TargetMode="External"/><Relationship Id="rId353" Type="http://schemas.openxmlformats.org/officeDocument/2006/relationships/hyperlink" Target="https://www.brightgreenhydrogen.org.uk/levenmouth-community-energy-project/" TargetMode="External"/><Relationship Id="rId560" Type="http://schemas.openxmlformats.org/officeDocument/2006/relationships/hyperlink" Target="https://lapisenergy.com/lapis-energy-to-develop-carbon-capture-sequestration-project-with-lsb-industries/" TargetMode="External"/><Relationship Id="rId798" Type="http://schemas.openxmlformats.org/officeDocument/2006/relationships/hyperlink" Target="https://statements.qld.gov.au/statements/97085" TargetMode="External"/><Relationship Id="rId213" Type="http://schemas.openxmlformats.org/officeDocument/2006/relationships/hyperlink" Target="https://zenodo.org/record/3464775" TargetMode="External"/><Relationship Id="rId420" Type="http://schemas.openxmlformats.org/officeDocument/2006/relationships/hyperlink" Target="https://www.grupofertiberia.com/media/605649/20211015-np-planta-fertiberia-suecia_def_en-1.pdf" TargetMode="External"/><Relationship Id="rId658" Type="http://schemas.openxmlformats.org/officeDocument/2006/relationships/hyperlink" Target="https://mcphy.com/en/press-releases/greenh2atlantic-project/?cn-reloaded=1" TargetMode="External"/><Relationship Id="rId865" Type="http://schemas.openxmlformats.org/officeDocument/2006/relationships/hyperlink" Target="https://research.csiro.au/hyresource/bristol-springs-solar-hydrogen-project/" TargetMode="External"/><Relationship Id="rId1050" Type="http://schemas.openxmlformats.org/officeDocument/2006/relationships/hyperlink" Target="https://investor.fce.com/press-releases/press-release-details/2023/FuelCell-Energy-and-Toyota-Announce-Completion-of-Worlds-First-Tri-gen-Production-System/default.aspx" TargetMode="External"/><Relationship Id="rId297"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518" Type="http://schemas.openxmlformats.org/officeDocument/2006/relationships/hyperlink" Target="https://fuelcellsworks.com/news/infinite-blue-energy-signs-mou-with-strike-energys-project-haber/?mc_cid=e014ff7079&amp;mc_eid=da4624d261" TargetMode="External"/><Relationship Id="rId725" Type="http://schemas.openxmlformats.org/officeDocument/2006/relationships/hyperlink" Target="https://www.lexlatin.com/noticias/paraguay-planta-hidrogeno-amoniaco-verde-NeoGreen-Hydrogen" TargetMode="External"/><Relationship Id="rId932" Type="http://schemas.openxmlformats.org/officeDocument/2006/relationships/hyperlink" Target="https://direct.argusmedia.com/newsandanalysis/Article/2451404" TargetMode="External"/><Relationship Id="rId157" Type="http://schemas.openxmlformats.org/officeDocument/2006/relationships/hyperlink" Target="https://www.underground-sun-storage.at/en.html" TargetMode="External"/><Relationship Id="rId364" Type="http://schemas.openxmlformats.org/officeDocument/2006/relationships/hyperlink" Target="https://www.methquest.de/ueber-methquest/methfuel/" TargetMode="External"/><Relationship Id="rId1008" Type="http://schemas.openxmlformats.org/officeDocument/2006/relationships/hyperlink" Target="https://www.wiva.at/wp-content/uploads/2022/10/05_UpHy_Uitz.pdf" TargetMode="External"/><Relationship Id="rId61" Type="http://schemas.openxmlformats.org/officeDocument/2006/relationships/hyperlink" Target="https://www.greencarcongress.com/2020/03/20200308-fh2r.html" TargetMode="External"/><Relationship Id="rId571" Type="http://schemas.openxmlformats.org/officeDocument/2006/relationships/hyperlink" Target="https://energynews.biz/hhi-to-build-pilot-green-hydrogen-production-plant/" TargetMode="External"/><Relationship Id="rId669" Type="http://schemas.openxmlformats.org/officeDocument/2006/relationships/hyperlink" Target="https://www.eleconomista.es/energia/noticias/11594929/02/22/El-fondo-de-Copenhague-lanza-un-megaproyecto-de-hidrogeno-con-Naturgy-Enagas-Fertiberia-y-Vestas.html" TargetMode="External"/><Relationship Id="rId876" Type="http://schemas.openxmlformats.org/officeDocument/2006/relationships/hyperlink" Target="https://energynews.biz/morocco-fourth-in-worlds-hydrogen-race-total-eren-launches-10-69bln-hydrogen-megaproject/"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ife.no/en/laboratory/n-fch-systems-laboratory/" TargetMode="External"/><Relationship Id="rId431" Type="http://schemas.openxmlformats.org/officeDocument/2006/relationships/hyperlink" Target="https://www.rechargenews.com/energy-transition/global-green-hydrogen-pipeline-exceeds-200gw-heres-the-25-largest-gigawatt-scale-projects/2-1-933755" TargetMode="External"/><Relationship Id="rId529" Type="http://schemas.openxmlformats.org/officeDocument/2006/relationships/hyperlink" Target="https://www.business-live.co.uk/manufacturing/energy-giants-uniper-shell-unite-23666723" TargetMode="External"/><Relationship Id="rId736" Type="http://schemas.openxmlformats.org/officeDocument/2006/relationships/hyperlink" Target="https://www.energyintel.com/00000186-b241-dc3c-a9b6-fb5361720000" TargetMode="External"/><Relationship Id="rId1061" Type="http://schemas.openxmlformats.org/officeDocument/2006/relationships/hyperlink" Target="https://direct.argusmedia.com/newsandanalysis/Article/2488273" TargetMode="External"/><Relationship Id="rId168" Type="http://schemas.openxmlformats.org/officeDocument/2006/relationships/hyperlink" Target="https://www.hydrogenics.com/2016/11/01/hydrogenics-enters-into-strategic-collaboration-with-stratosfuel-for-2-5-mw-power-to-gas-project-in-california/" TargetMode="External"/><Relationship Id="rId943" Type="http://schemas.openxmlformats.org/officeDocument/2006/relationships/hyperlink" Target="https://fuelcellsworks.com/news/hydrogen-utopia-explores-opportunities-for-converting-plastic-waste-into-hydrogen-in-estonia/?mc_cid=44d2eee315&amp;mc_eid=da4624d261" TargetMode="External"/><Relationship Id="rId1019" Type="http://schemas.openxmlformats.org/officeDocument/2006/relationships/hyperlink" Target="https://www.epressi.com/tiedotteet/energia/koppo-energys-leading-energy-transition-project-of-green-hydrogen-and-sustainable-liquefied-synthetic-methane-is-progressing-in-kristinestad.html" TargetMode="External"/><Relationship Id="rId72" Type="http://schemas.openxmlformats.org/officeDocument/2006/relationships/hyperlink" Target="https://new4-0.erneuerbare-energien-hamburg.de/de/new-40-blog/details/wind-to-gas-energy-bau-der-power-to-heat-anlage-ist-gestartet.html" TargetMode="External"/><Relationship Id="rId375" Type="http://schemas.openxmlformats.org/officeDocument/2006/relationships/hyperlink" Target="http://www.automotores-rev.com/estrategias-de-cummins-para-producir-hidrogeno-y-celdas-de-combustible/" TargetMode="External"/><Relationship Id="rId582" Type="http://schemas.openxmlformats.org/officeDocument/2006/relationships/hyperlink" Target="https://www.ofgem.gov.uk/sites/default/files/docs/2019/04/nic_isp_vattenfall_ng.pdf" TargetMode="External"/><Relationship Id="rId803" Type="http://schemas.openxmlformats.org/officeDocument/2006/relationships/hyperlink" Target="http://www.rmlt.com.cn/2022/0424/645540.shtml" TargetMode="External"/><Relationship Id="rId3" Type="http://schemas.openxmlformats.org/officeDocument/2006/relationships/hyperlink" Target="https://www.e-bridge.com/wp-content/uploads/2019/04/reNEWS_April-2019.pdf" TargetMode="External"/><Relationship Id="rId235" Type="http://schemas.openxmlformats.org/officeDocument/2006/relationships/hyperlink" Target="https://www.sciencedirect.com/science/article/pii/S1464285915301243" TargetMode="External"/><Relationship Id="rId442" Type="http://schemas.openxmlformats.org/officeDocument/2006/relationships/hyperlink" Target="https://fuelcellsworks.com/news/scatecs-green-hydrogen-consortium-in-egypt-selects-plug-power-for-delivery-of-100-mw-electrolyser/?mc_cid=01cbc66a8c&amp;mc_eid=da4624d261" TargetMode="External"/><Relationship Id="rId887" Type="http://schemas.openxmlformats.org/officeDocument/2006/relationships/hyperlink" Target="https://www.constructionweekonline.in/projects-tenders/hygenco-installs-indias-first-green-hydrogen-demo-plant-in-ujjain" TargetMode="External"/><Relationship Id="rId1072" Type="http://schemas.openxmlformats.org/officeDocument/2006/relationships/hyperlink" Target="https://direct.argusmedia.com/newsandanalysis/Article/2487032" TargetMode="External"/><Relationship Id="rId302" Type="http://schemas.openxmlformats.org/officeDocument/2006/relationships/hyperlink" Target="https://www.toshiba-energy.com/en/info/info2019_1226.htm" TargetMode="External"/><Relationship Id="rId747" Type="http://schemas.openxmlformats.org/officeDocument/2006/relationships/hyperlink" Target="https://www.axios.com/2022/03/10/plug-power-taps-abb-for-300m-hydrogen-plants" TargetMode="External"/><Relationship Id="rId954" Type="http://schemas.openxmlformats.org/officeDocument/2006/relationships/hyperlink" Target="https://www.hydrogeninsight.com/industrial/pioneer-heineken-and-siemens-launch-joint-venture-to-decarbonise-eu-fertiliser-production-with-green-hydrogen/2-1-1479482" TargetMode="External"/><Relationship Id="rId83" Type="http://schemas.openxmlformats.org/officeDocument/2006/relationships/hyperlink" Target="https://group.vattenfall.com/press-and-media/news--press-releases/pressreleases/2019/hybrit-sek-200-million-invested-in-pilot-plant-for-storage-of-fossil-free-hydrogen-in-lulea" TargetMode="External"/><Relationship Id="rId179" Type="http://schemas.openxmlformats.org/officeDocument/2006/relationships/hyperlink" Target="https://www.dena.de/fileadmin/dena/Dokumente/Veranstaltungen/PtG-Dialogforum_III/Praesentationen/6_Karl_Hauptmeier_sunfire_GmbH.pdf" TargetMode="External"/><Relationship Id="rId386" Type="http://schemas.openxmlformats.org/officeDocument/2006/relationships/hyperlink" Target="https://hynet.co.uk/app/uploads/2020/10/HyNet_NW-Vision-Document-2020_FINAL.pdf" TargetMode="External"/><Relationship Id="rId593" Type="http://schemas.openxmlformats.org/officeDocument/2006/relationships/hyperlink" Target="https://research.csiro.au/hyresource/sun-metals-hydrogen-queensland-sunhq-project/" TargetMode="External"/><Relationship Id="rId607" Type="http://schemas.openxmlformats.org/officeDocument/2006/relationships/hyperlink" Target="https://www.aquaventus.org/" TargetMode="External"/><Relationship Id="rId814" Type="http://schemas.openxmlformats.org/officeDocument/2006/relationships/hyperlink" Target="https://www.reuters.com/business/energy/portugals-galp-moves-green-hydrogen-refinery-eyes-12-bln-investment-2021-06-14/" TargetMode="External"/><Relationship Id="rId246" Type="http://schemas.openxmlformats.org/officeDocument/2006/relationships/hyperlink" Target="https://futuregas.dk/wp-content/uploads/2018/06/FutureGas-WP1-Deliverable-1.1.1.-Technologies-and-status-of-methanation-of-biogas-2017_Final.pdf" TargetMode="External"/><Relationship Id="rId453" Type="http://schemas.openxmlformats.org/officeDocument/2006/relationships/hyperlink" Target="https://www.greentechmedia.com/articles/read/nextera-energy-to-build-its-first-green-hydrogen-plant-in-florida" TargetMode="External"/><Relationship Id="rId660" Type="http://schemas.openxmlformats.org/officeDocument/2006/relationships/hyperlink" Target="https://renewablesnow.com/news/white-martins-signs-pact-for-green-h2-project-in-rio-grande-do-sul-765821/" TargetMode="External"/><Relationship Id="rId898" Type="http://schemas.openxmlformats.org/officeDocument/2006/relationships/hyperlink" Target="https://h2lac.org/h2lac-review/peru-tendra-su-primer-proyecto-de-hidrogeno-verde-con-energia-solar-y-eolica/" TargetMode="External"/><Relationship Id="rId1083" Type="http://schemas.openxmlformats.org/officeDocument/2006/relationships/hyperlink" Target="https://direct.argusmedia.com/newsandanalysis/Article/2481001" TargetMode="External"/><Relationship Id="rId106" Type="http://schemas.openxmlformats.org/officeDocument/2006/relationships/hyperlink" Target="https://www.sarawakenergy.com/media-info/media-releases/2018/sarawak-energy-pilots-hydrogen-production-plant-refuelling-station-for-transportation-sector" TargetMode="External"/><Relationship Id="rId313" Type="http://schemas.openxmlformats.org/officeDocument/2006/relationships/hyperlink" Target="https://www.airliquide.com/united-states-america/air-liquide-committed-producing-renewable-hydrogen-west-coast-mobility-market" TargetMode="External"/><Relationship Id="rId758" Type="http://schemas.openxmlformats.org/officeDocument/2006/relationships/hyperlink" Target="https://www.spglobal.com/commodityinsights/en/market-insights/latest-news/electric-power/020123-interview-uks-octopus-hydrogen-seeks-to-unseat-conventional-production-diesel-in-transport" TargetMode="External"/><Relationship Id="rId965" Type="http://schemas.openxmlformats.org/officeDocument/2006/relationships/hyperlink" Target="https://direct.argusmedia.com/newsandanalysis/Article/2442717" TargetMode="External"/><Relationship Id="rId10" Type="http://schemas.openxmlformats.org/officeDocument/2006/relationships/hyperlink" Target="https://www.toshiba.co.jp/about/press/2016_07/pr1401.htm" TargetMode="External"/><Relationship Id="rId94" Type="http://schemas.openxmlformats.org/officeDocument/2006/relationships/hyperlink" Target="https://www.energy.gov/sites/prod/files/2015/01/f19/EIS-0464-FEIS-Volume-1-2013.pdf" TargetMode="External"/><Relationship Id="rId397" Type="http://schemas.openxmlformats.org/officeDocument/2006/relationships/hyperlink" Target="https://www.energyvoice.com/renewables-energy-transition/314698/origin-signs-pact-for-australian-green-hydrogen-export-project/" TargetMode="External"/><Relationship Id="rId520" Type="http://schemas.openxmlformats.org/officeDocument/2006/relationships/hyperlink" Target="https://files.woodside/docs/default-source/media-releases/woodside%27s-h2perth-to-make-western-australia-a-hydrogen-powerhouse.pdf?sfvrsn=3857b154_2" TargetMode="External"/><Relationship Id="rId618" Type="http://schemas.openxmlformats.org/officeDocument/2006/relationships/hyperlink" Target="https://ec.europa.eu/clima/document/75e0ade9-12f3-435a-8875-f5afd9b92ed8_en" TargetMode="External"/><Relationship Id="rId825" Type="http://schemas.openxmlformats.org/officeDocument/2006/relationships/hyperlink" Target="https://chuneng.bjx.com.cn/news/20210326/1144111.shtml" TargetMode="External"/><Relationship Id="rId257" Type="http://schemas.openxmlformats.org/officeDocument/2006/relationships/hyperlink" Target="https://douglaspud.org/Pages/Bid-Document.aspx?biddocumentnumber=20-08-D" TargetMode="External"/><Relationship Id="rId464" Type="http://schemas.openxmlformats.org/officeDocument/2006/relationships/hyperlink" Target="https://fuelcellsworks.com/news/sinopec-to-launch-first-green-hydrogen-project-in-2022/" TargetMode="External"/><Relationship Id="rId1010" Type="http://schemas.openxmlformats.org/officeDocument/2006/relationships/hyperlink" Target="https://nelhydrogen.com/press-release/nel-asa-receives-purchase-order-for-40-mw-electrolyser-equipment-from-bondalti/" TargetMode="External"/><Relationship Id="rId1094" Type="http://schemas.openxmlformats.org/officeDocument/2006/relationships/hyperlink" Target="https://renewablesnow.com/news/luxcara-joins-major-green-hydrogen-project-in-hamburg-834397/" TargetMode="External"/><Relationship Id="rId1108" Type="http://schemas.openxmlformats.org/officeDocument/2006/relationships/hyperlink" Target="https://direct.argusmedia.com/newsandanalysis/Article/2486874" TargetMode="External"/><Relationship Id="rId117" Type="http://schemas.openxmlformats.org/officeDocument/2006/relationships/hyperlink" Target="https://www.portofamsterdam.com/en/press-release/nouryon-tata-steel-and-port-amsterdam-partner-develop-largest-green-hydrogen-cluster" TargetMode="External"/><Relationship Id="rId671" Type="http://schemas.openxmlformats.org/officeDocument/2006/relationships/hyperlink" Target="https://www.salzgitter-ag.com/en/newsroom/press-releases/details/green-light-for-green-steel-19904.html" TargetMode="External"/><Relationship Id="rId769" Type="http://schemas.openxmlformats.org/officeDocument/2006/relationships/hyperlink" Target="https://infrastructurepipeline.org/project/h2tas-bell-bay-hydrogen-plant" TargetMode="External"/><Relationship Id="rId976" Type="http://schemas.openxmlformats.org/officeDocument/2006/relationships/hyperlink" Target="https://indho.cl/en/projects/pv-h2-kalisaya/" TargetMode="External"/><Relationship Id="rId324" Type="http://schemas.openxmlformats.org/officeDocument/2006/relationships/hyperlink" Target="https://renews.biz/61966/iberdrola-unveils-green-hydrogen-partnership/" TargetMode="External"/><Relationship Id="rId531" Type="http://schemas.openxmlformats.org/officeDocument/2006/relationships/hyperlink" Target="https://www.viessmann.family/en/what-we-offer/climate-solutions/hydrogen/smartquart-a-complete-hydrogen-infrastructure-is-being-built-in-kaisersesch" TargetMode="External"/><Relationship Id="rId629" Type="http://schemas.openxmlformats.org/officeDocument/2006/relationships/hyperlink" Target="https://hy2gen.com/" TargetMode="External"/><Relationship Id="rId836" Type="http://schemas.openxmlformats.org/officeDocument/2006/relationships/hyperlink" Target="https://www.ammoniaenergy.org/articles/ammonia-exports-from-brazil-taking-shape/" TargetMode="External"/><Relationship Id="rId1021" Type="http://schemas.openxmlformats.org/officeDocument/2006/relationships/hyperlink" Target="https://www.st1.fi/st1-suunnittelee-synteettisen-metanolin-pilottilaitosta-lappeenrantaan" TargetMode="External"/><Relationship Id="rId903" Type="http://schemas.openxmlformats.org/officeDocument/2006/relationships/hyperlink" Target="https://www.h2-view.com/story/sse-siemens-partner-to-convert-100mw-of-scottish-wind-energy-into-green-hydrogen/" TargetMode="External"/><Relationship Id="rId32" Type="http://schemas.openxmlformats.org/officeDocument/2006/relationships/hyperlink" Target="https://arena.gov.au/projects/atco-hydrogen-microgrid/" TargetMode="External"/><Relationship Id="rId181" Type="http://schemas.openxmlformats.org/officeDocument/2006/relationships/hyperlink" Target="https://static1.squarespace.com/static/5d3f0387728026000121b2a2/t/5e2061aff0b63e06cfe3bfa5/1579180467000/13_200115_GreenFlamingo_IPCEI+Workshop+15+Jan20+V7.1.pdf" TargetMode="External"/><Relationship Id="rId279" Type="http://schemas.openxmlformats.org/officeDocument/2006/relationships/hyperlink" Target="https://www.linkedin.com/pulse/swedish-public-housing-project-goes-off-grid-solar-h2-michael-jensen/" TargetMode="External"/><Relationship Id="rId486" Type="http://schemas.openxmlformats.org/officeDocument/2006/relationships/hyperlink" Target="https://h2v.net/projet/projet-h2v-idf/" TargetMode="External"/><Relationship Id="rId693" Type="http://schemas.openxmlformats.org/officeDocument/2006/relationships/hyperlink" Target="https://www.edp.com/en/innovation/flexnconfu-power-to-increase-the-flexibility-of-thermal-plants" TargetMode="External"/><Relationship Id="rId139" Type="http://schemas.openxmlformats.org/officeDocument/2006/relationships/hyperlink" Target="http://www.renewableenergyfocus.com/view/42805/rwe-starts-up-power-to-gas-plant-in-germany-featuring-itm-power-electrolyser/" TargetMode="External"/><Relationship Id="rId346" Type="http://schemas.openxmlformats.org/officeDocument/2006/relationships/hyperlink" Target="https://www.sunfire.de/de/unternehmen/news/detail/naechste-generation-der-hochtemperatur-elektrolyse-gestartet" TargetMode="External"/><Relationship Id="rId553" Type="http://schemas.openxmlformats.org/officeDocument/2006/relationships/hyperlink" Target="https://www.ir.plugpower.com/press-releases/news-details/2022/MOL-GROUP-Launches-Green-Hydrogen-Production-Using-Plug-Electrolyzers/default.aspx" TargetMode="External"/><Relationship Id="rId760" Type="http://schemas.openxmlformats.org/officeDocument/2006/relationships/hyperlink" Target="https://www.eni.com/en-IT/media/press-release/2022/10/green-hydrogen-projects-gela-taranto.html" TargetMode="External"/><Relationship Id="rId998" Type="http://schemas.openxmlformats.org/officeDocument/2006/relationships/hyperlink" Target="https://vighy.france-hydrogene.org/projets/dephy2a-bastia/" TargetMode="External"/><Relationship Id="rId206" Type="http://schemas.openxmlformats.org/officeDocument/2006/relationships/hyperlink" Target="https://meltwater.pressify.io/publication/5e79bf403083780004d7cb4c/5df7589de3f2f21000aa4852?&amp;sh=false" TargetMode="External"/><Relationship Id="rId413" Type="http://schemas.openxmlformats.org/officeDocument/2006/relationships/hyperlink" Target="https://www.iene.eu/japans-largest-green-hydrogen-plant-powered-by-wind-set-to-open-in-2024-p6361.html" TargetMode="External"/><Relationship Id="rId858" Type="http://schemas.openxmlformats.org/officeDocument/2006/relationships/hyperlink" Target="https://everwindfuels.com/projects/point_tupper" TargetMode="External"/><Relationship Id="rId1043" Type="http://schemas.openxmlformats.org/officeDocument/2006/relationships/hyperlink" Target="https://direct.argusmedia.com/newsandanalysis/Article/2466217" TargetMode="External"/><Relationship Id="rId620" Type="http://schemas.openxmlformats.org/officeDocument/2006/relationships/hyperlink" Target="https://fuelcellsworks.com/news/australian-company-signs-mou-with-innu-nation-to-look-at-feasbility-of-green-hydrogen-at-gull-island/?mc_cid=d03ba51fd9&amp;mc_eid=da4624d261" TargetMode="External"/><Relationship Id="rId718" Type="http://schemas.openxmlformats.org/officeDocument/2006/relationships/hyperlink" Target="https://research.csiro.au/hyresource/swinburne-university-of-technology-victorian-hydrogen-hub-csiro-hydrogen-refuelling-station/" TargetMode="External"/><Relationship Id="rId925" Type="http://schemas.openxmlformats.org/officeDocument/2006/relationships/hyperlink" Target="https://energynews.biz/power2x-and-soto-solar-to-build-1-2-gw-pv-and-green-hydrogen-plant-in-spain/" TargetMode="External"/><Relationship Id="rId1110" Type="http://schemas.openxmlformats.org/officeDocument/2006/relationships/hyperlink" Target="https://direct.argusmedia.com/newsandanalysis/Article/2495021" TargetMode="External"/><Relationship Id="rId54" Type="http://schemas.openxmlformats.org/officeDocument/2006/relationships/hyperlink" Target="https://energiepark-bad-lauchstaedt.de/" TargetMode="External"/><Relationship Id="rId270" Type="http://schemas.openxmlformats.org/officeDocument/2006/relationships/hyperlink" Target="https://www.prnewswire.co.uk/news-releases/launch-of-sweden-s-largest-carbon-capture-and-storage-plant-801623131.html" TargetMode="External"/><Relationship Id="rId130" Type="http://schemas.openxmlformats.org/officeDocument/2006/relationships/hyperlink" Target="https://new.siemens.com/au/en/company/press-centre/2019/murchison-renewable-hydrogen-project.html" TargetMode="External"/><Relationship Id="rId368" Type="http://schemas.openxmlformats.org/officeDocument/2006/relationships/hyperlink" Target="https://monolithmaterials.com/news/monolith-materials-carbon-free-ammonia-plant" TargetMode="External"/><Relationship Id="rId575" Type="http://schemas.openxmlformats.org/officeDocument/2006/relationships/hyperlink" Target="https://www.bloomberg.com/press-releases/2021-07-08/avangrid-poised-to-build-green-hydrogen-future" TargetMode="External"/><Relationship Id="rId782" Type="http://schemas.openxmlformats.org/officeDocument/2006/relationships/hyperlink" Target="https://mfgt.hu/en/Akvamarin" TargetMode="External"/><Relationship Id="rId228" Type="http://schemas.openxmlformats.org/officeDocument/2006/relationships/hyperlink" Target="http://www.labtech-hydrogen.com/index.php?page=IHAVU" TargetMode="External"/><Relationship Id="rId435" Type="http://schemas.openxmlformats.org/officeDocument/2006/relationships/hyperlink" Target="https://www.h2-view.com/story/five-hydrogen-plants-planned-for-italy-and-the-mediterranean-basis/" TargetMode="External"/><Relationship Id="rId642" Type="http://schemas.openxmlformats.org/officeDocument/2006/relationships/hyperlink" Target="https://energycapitalpower.com/cwp-massive-renewables-projects-in-africa/" TargetMode="External"/><Relationship Id="rId1065" Type="http://schemas.openxmlformats.org/officeDocument/2006/relationships/hyperlink" Target="https://direct.argusmedia.com/newsandanalysis/Article/2474138" TargetMode="External"/><Relationship Id="rId502" Type="http://schemas.openxmlformats.org/officeDocument/2006/relationships/hyperlink" Target="https://chuneng.bjx.com.cn/news/20201015/1110001.shtml" TargetMode="External"/><Relationship Id="rId947" Type="http://schemas.openxmlformats.org/officeDocument/2006/relationships/hyperlink" Target="https://www.eolasmagazine.ie/indaver-is-ready-to-contribute-to-a-new-hydrogen-economy/" TargetMode="External"/><Relationship Id="rId76" Type="http://schemas.openxmlformats.org/officeDocument/2006/relationships/hyperlink" Target="http://news.cision.com/nel-asa/r/nel-asa--enters-into-exclusive-nok-450-million-industrial-scale-power-to-gas-framework-agreement-wit,c2286835" TargetMode="External"/><Relationship Id="rId807" Type="http://schemas.openxmlformats.org/officeDocument/2006/relationships/hyperlink" Target="https://www.seafuel.eu/h2-station/" TargetMode="External"/><Relationship Id="rId292" Type="http://schemas.openxmlformats.org/officeDocument/2006/relationships/hyperlink" Target="https://www.h2-view.com/story/plans-unveiled-for-north-queenslands-first-renewable-hydrogen-facility/" TargetMode="External"/><Relationship Id="rId597" Type="http://schemas.openxmlformats.org/officeDocument/2006/relationships/hyperlink" Target="https://hh2e.de/en/news/hh2e-and-met-group-establish-a-joint-project-company-to-develop-one-of-europes-largest-green-hydrogen-production-plants-in-lubmin-germany/" TargetMode="External"/><Relationship Id="rId152" Type="http://schemas.openxmlformats.org/officeDocument/2006/relationships/hyperlink" Target="https://www.nvnom.com/homepage/power-gas-plant-delfzijl/" TargetMode="External"/><Relationship Id="rId457" Type="http://schemas.openxmlformats.org/officeDocument/2006/relationships/hyperlink" Target="https://www.spglobal.com/platts/en/market-insights/latest-news/electric-power/052821-germany-shortlists-62-hydrogen-projects-with-2-gw-capacity-for-ipcei-state-aid" TargetMode="External"/><Relationship Id="rId1087" Type="http://schemas.openxmlformats.org/officeDocument/2006/relationships/hyperlink" Target="https://private.cedigaz.org/newsreport_pdf/64c3726cd950b_CNR62-14.pdf" TargetMode="External"/><Relationship Id="rId664" Type="http://schemas.openxmlformats.org/officeDocument/2006/relationships/hyperlink" Target="http://www.fuelcellchina.com/Industry_information_details/130.html" TargetMode="External"/><Relationship Id="rId871" Type="http://schemas.openxmlformats.org/officeDocument/2006/relationships/hyperlink" Target="https://www.businesswire.com/news/home/20230529005164/en/Pembina-Pipeline-Announces-Agreement-with-Marubeni-Corporation-to-Develop-a-Low-Carbon-Ammonia-Project-and-Outlines-Vision-for-Pembina-Low-Carbon-Complex" TargetMode="External"/><Relationship Id="rId969" Type="http://schemas.openxmlformats.org/officeDocument/2006/relationships/hyperlink" Target="https://fuelcellsworks.com/news/port-of-grays-harbor-commission-approves-leasing-option-to-invenergy-for-potential-green-hydrogen-project/?mc_cid=850deae301&amp;mc_eid=da4624d2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120" zoomScaleNormal="120" workbookViewId="0">
      <selection activeCell="A6" sqref="A6"/>
    </sheetView>
  </sheetViews>
  <sheetFormatPr defaultColWidth="0" defaultRowHeight="15" customHeight="1" zeroHeight="1" x14ac:dyDescent="0.3"/>
  <cols>
    <col min="1" max="24" width="9.44140625" style="6" customWidth="1"/>
    <col min="25" max="16384" width="9.44140625" style="6" hidden="1"/>
  </cols>
  <sheetData>
    <row r="1" spans="1:26" ht="14.4" x14ac:dyDescent="0.3"/>
    <row r="2" spans="1:26" ht="14.4" x14ac:dyDescent="0.3"/>
    <row r="3" spans="1:26" ht="14.4" x14ac:dyDescent="0.3"/>
    <row r="4" spans="1:26" ht="14.4" x14ac:dyDescent="0.3">
      <c r="A4" s="7"/>
      <c r="B4" s="7"/>
      <c r="C4" s="7"/>
      <c r="D4" s="7"/>
      <c r="E4" s="7"/>
      <c r="F4" s="7"/>
      <c r="G4" s="7"/>
      <c r="H4" s="7"/>
      <c r="I4" s="7"/>
      <c r="J4" s="7"/>
      <c r="K4" s="7"/>
      <c r="L4" s="7"/>
      <c r="M4" s="7"/>
      <c r="N4" s="7"/>
      <c r="O4" s="7"/>
      <c r="P4" s="7"/>
      <c r="Q4" s="7"/>
      <c r="R4" s="7"/>
      <c r="S4" s="7"/>
      <c r="T4" s="7"/>
      <c r="U4" s="7"/>
      <c r="V4" s="7"/>
      <c r="W4" s="7"/>
      <c r="X4" s="7"/>
      <c r="Y4" s="7"/>
      <c r="Z4" s="7"/>
    </row>
    <row r="5" spans="1:26" ht="14.4" x14ac:dyDescent="0.3">
      <c r="A5" s="7"/>
      <c r="Q5" s="7"/>
      <c r="R5" s="7"/>
      <c r="S5" s="7"/>
      <c r="T5" s="7"/>
      <c r="U5" s="7"/>
      <c r="V5" s="7"/>
      <c r="W5" s="7"/>
      <c r="X5" s="7"/>
      <c r="Y5" s="7"/>
      <c r="Z5" s="7"/>
    </row>
    <row r="6" spans="1:26" ht="14.4" x14ac:dyDescent="0.3">
      <c r="A6" s="7"/>
      <c r="B6" s="8"/>
      <c r="C6" s="8"/>
      <c r="D6" s="8"/>
      <c r="E6" s="8"/>
      <c r="F6" s="8"/>
      <c r="G6" s="8"/>
      <c r="H6" s="8"/>
      <c r="I6" s="8"/>
      <c r="J6" s="8"/>
      <c r="K6" s="8"/>
      <c r="L6" s="8"/>
      <c r="M6" s="8"/>
      <c r="N6" s="8"/>
      <c r="O6" s="8"/>
      <c r="P6" s="8"/>
      <c r="Q6" s="7"/>
      <c r="R6" s="7"/>
      <c r="S6" s="7"/>
      <c r="T6" s="7"/>
      <c r="U6" s="7"/>
      <c r="V6" s="7"/>
      <c r="W6" s="7"/>
      <c r="X6" s="7"/>
      <c r="Y6" s="7"/>
      <c r="Z6" s="7"/>
    </row>
    <row r="7" spans="1:26" ht="14.4" x14ac:dyDescent="0.3">
      <c r="A7" s="7"/>
      <c r="B7" s="9"/>
      <c r="C7" s="9"/>
      <c r="D7" s="9"/>
      <c r="E7" s="9"/>
      <c r="F7" s="9"/>
      <c r="G7" s="9"/>
      <c r="H7" s="9"/>
      <c r="I7" s="9"/>
      <c r="J7" s="9"/>
      <c r="K7" s="9"/>
      <c r="L7" s="9"/>
      <c r="M7" s="9"/>
      <c r="N7" s="9"/>
      <c r="O7" s="9"/>
      <c r="P7" s="9"/>
      <c r="Q7" s="7"/>
      <c r="R7" s="7"/>
      <c r="S7" s="7"/>
      <c r="T7" s="7"/>
      <c r="U7" s="7"/>
      <c r="V7" s="7"/>
      <c r="W7" s="7"/>
      <c r="X7" s="7"/>
      <c r="Y7" s="7"/>
      <c r="Z7" s="7"/>
    </row>
    <row r="8" spans="1:26" ht="14.4" x14ac:dyDescent="0.3">
      <c r="A8" s="7"/>
      <c r="B8" s="9"/>
      <c r="C8" s="9"/>
      <c r="D8" s="9"/>
      <c r="E8" s="9"/>
      <c r="F8" s="9"/>
      <c r="G8" s="9"/>
      <c r="H8" s="9"/>
      <c r="I8" s="9"/>
      <c r="J8" s="9"/>
      <c r="K8" s="9"/>
      <c r="L8" s="9"/>
      <c r="M8" s="9"/>
      <c r="N8" s="9"/>
      <c r="O8" s="9"/>
      <c r="P8" s="9"/>
      <c r="Q8" s="7"/>
      <c r="R8" s="7"/>
      <c r="S8" s="7"/>
      <c r="T8" s="7"/>
      <c r="U8" s="7"/>
      <c r="V8" s="7"/>
      <c r="W8" s="7"/>
      <c r="X8" s="7"/>
      <c r="Y8" s="7"/>
      <c r="Z8" s="7"/>
    </row>
    <row r="9" spans="1:26" ht="14.4" x14ac:dyDescent="0.3">
      <c r="A9" s="7"/>
      <c r="B9" s="9"/>
      <c r="C9" s="9"/>
      <c r="D9" s="9"/>
      <c r="E9" s="9"/>
      <c r="F9" s="9"/>
      <c r="G9" s="9"/>
      <c r="H9" s="9"/>
      <c r="I9" s="9"/>
      <c r="J9" s="9"/>
      <c r="K9" s="9"/>
      <c r="L9" s="9"/>
      <c r="M9" s="9"/>
      <c r="N9" s="9"/>
      <c r="O9" s="9"/>
      <c r="P9" s="9"/>
      <c r="Q9" s="7"/>
      <c r="R9" s="7"/>
      <c r="S9" s="7"/>
      <c r="T9" s="7"/>
      <c r="U9" s="7"/>
      <c r="V9" s="7"/>
      <c r="W9" s="7"/>
      <c r="X9" s="7"/>
      <c r="Y9" s="7"/>
      <c r="Z9" s="7"/>
    </row>
    <row r="10" spans="1:26" ht="14.4" x14ac:dyDescent="0.3">
      <c r="A10" s="7"/>
      <c r="B10" s="8"/>
      <c r="C10" s="8"/>
      <c r="D10" s="8"/>
      <c r="E10" s="8"/>
      <c r="F10" s="8"/>
      <c r="G10" s="8"/>
      <c r="H10" s="8"/>
      <c r="I10" s="8"/>
      <c r="J10" s="8"/>
      <c r="K10" s="8"/>
      <c r="L10" s="8"/>
      <c r="M10" s="8"/>
      <c r="N10" s="8"/>
      <c r="O10" s="8"/>
      <c r="P10" s="8"/>
      <c r="Q10" s="7"/>
      <c r="R10" s="7"/>
      <c r="S10" s="7"/>
      <c r="T10" s="7"/>
      <c r="U10" s="7"/>
      <c r="V10" s="7"/>
      <c r="W10" s="7"/>
      <c r="X10" s="7"/>
      <c r="Y10" s="7"/>
      <c r="Z10" s="7"/>
    </row>
    <row r="11" spans="1:26" ht="14.4" x14ac:dyDescent="0.3">
      <c r="A11" s="7"/>
      <c r="B11" s="8"/>
      <c r="C11" s="8"/>
      <c r="D11" s="8"/>
      <c r="E11" s="8"/>
      <c r="F11" s="8"/>
      <c r="G11" s="8"/>
      <c r="H11" s="8"/>
      <c r="I11" s="8"/>
      <c r="J11" s="8"/>
      <c r="K11" s="8"/>
      <c r="L11" s="8"/>
      <c r="M11" s="8"/>
      <c r="N11" s="8"/>
      <c r="O11" s="8"/>
      <c r="P11" s="8"/>
      <c r="Q11" s="7"/>
      <c r="R11" s="7"/>
      <c r="S11" s="7"/>
      <c r="T11" s="7"/>
      <c r="U11" s="7"/>
      <c r="V11" s="7"/>
      <c r="W11" s="7"/>
      <c r="X11" s="7"/>
      <c r="Y11" s="7"/>
      <c r="Z11" s="7"/>
    </row>
    <row r="12" spans="1:26" ht="14.4" x14ac:dyDescent="0.3">
      <c r="A12" s="7"/>
      <c r="B12" s="8"/>
      <c r="C12" s="8"/>
      <c r="D12" s="8"/>
      <c r="E12" s="8"/>
      <c r="F12" s="8"/>
      <c r="G12" s="8"/>
      <c r="H12" s="8"/>
      <c r="I12" s="8"/>
      <c r="J12" s="8"/>
      <c r="K12" s="8"/>
      <c r="L12" s="8"/>
      <c r="M12" s="8"/>
      <c r="N12" s="8"/>
      <c r="O12" s="8"/>
      <c r="P12" s="8"/>
      <c r="Q12" s="7"/>
      <c r="R12" s="7"/>
      <c r="S12" s="7"/>
      <c r="T12" s="7"/>
      <c r="U12" s="7"/>
      <c r="V12" s="7"/>
      <c r="W12" s="7"/>
      <c r="X12" s="7"/>
      <c r="Y12" s="7"/>
      <c r="Z12" s="7"/>
    </row>
    <row r="13" spans="1:26" ht="14.4" x14ac:dyDescent="0.3">
      <c r="A13" s="7"/>
      <c r="B13" s="8"/>
      <c r="C13" s="8"/>
      <c r="D13" s="8"/>
      <c r="E13" s="8"/>
      <c r="F13" s="8"/>
      <c r="G13" s="8"/>
      <c r="H13" s="8"/>
      <c r="I13" s="8"/>
      <c r="J13" s="8"/>
      <c r="K13" s="8"/>
      <c r="L13" s="8"/>
      <c r="M13" s="8"/>
      <c r="N13" s="8"/>
      <c r="O13" s="8"/>
      <c r="P13" s="8"/>
      <c r="Q13" s="7"/>
      <c r="R13" s="7"/>
      <c r="S13" s="7"/>
      <c r="T13" s="7"/>
      <c r="U13" s="7"/>
      <c r="V13" s="7"/>
      <c r="W13" s="7"/>
      <c r="X13" s="7"/>
      <c r="Y13" s="7"/>
      <c r="Z13" s="7"/>
    </row>
    <row r="14" spans="1:26" ht="14.4" x14ac:dyDescent="0.3">
      <c r="A14" s="7"/>
      <c r="Q14" s="7"/>
      <c r="R14" s="7"/>
      <c r="S14" s="7"/>
      <c r="T14" s="7"/>
      <c r="U14" s="7"/>
      <c r="V14" s="7"/>
      <c r="W14" s="7"/>
      <c r="X14" s="7"/>
      <c r="Y14" s="7"/>
      <c r="Z14" s="7"/>
    </row>
    <row r="15" spans="1:26" ht="14.4" x14ac:dyDescent="0.3">
      <c r="A15" s="7"/>
      <c r="C15" s="7"/>
      <c r="D15" s="10"/>
      <c r="E15" s="10"/>
      <c r="F15" s="10"/>
      <c r="G15" s="10"/>
      <c r="H15" s="10"/>
      <c r="I15" s="10"/>
      <c r="J15" s="10"/>
      <c r="K15" s="10"/>
      <c r="L15" s="10"/>
      <c r="M15" s="10"/>
      <c r="N15" s="10"/>
      <c r="O15" s="10"/>
      <c r="P15" s="10"/>
      <c r="Q15" s="7"/>
      <c r="R15" s="7"/>
      <c r="S15" s="7"/>
      <c r="T15" s="7"/>
      <c r="U15" s="7"/>
      <c r="V15" s="7"/>
      <c r="W15" s="7"/>
      <c r="X15" s="7"/>
      <c r="Y15" s="7"/>
      <c r="Z15" s="7"/>
    </row>
    <row r="16" spans="1:26" ht="14.4" x14ac:dyDescent="0.3">
      <c r="A16" s="7"/>
      <c r="B16" s="11"/>
      <c r="C16" s="7"/>
      <c r="D16" s="10"/>
      <c r="E16" s="10"/>
      <c r="F16" s="10"/>
      <c r="G16" s="10"/>
      <c r="H16" s="10"/>
      <c r="I16" s="10"/>
      <c r="J16" s="10"/>
      <c r="K16" s="10"/>
      <c r="L16" s="10"/>
      <c r="M16" s="10"/>
      <c r="N16" s="10"/>
      <c r="O16" s="10"/>
      <c r="P16" s="10"/>
      <c r="Q16" s="7"/>
      <c r="R16" s="7"/>
      <c r="S16" s="7"/>
      <c r="T16" s="7"/>
      <c r="U16" s="7"/>
      <c r="V16" s="7"/>
      <c r="W16" s="7"/>
      <c r="X16" s="7"/>
      <c r="Y16" s="7"/>
      <c r="Z16" s="7"/>
    </row>
    <row r="17" spans="1:26" ht="14.4" x14ac:dyDescent="0.3">
      <c r="A17" s="7"/>
      <c r="B17" s="11"/>
      <c r="C17" s="7"/>
      <c r="D17" s="10"/>
      <c r="E17" s="10"/>
      <c r="F17" s="10"/>
      <c r="G17" s="10"/>
      <c r="H17" s="10"/>
      <c r="I17" s="10"/>
      <c r="J17" s="10"/>
      <c r="K17" s="10"/>
      <c r="L17" s="10"/>
      <c r="M17" s="10"/>
      <c r="N17" s="10"/>
      <c r="O17" s="10"/>
      <c r="P17" s="10"/>
      <c r="Q17" s="7"/>
      <c r="R17" s="7"/>
      <c r="S17" s="7"/>
      <c r="T17" s="7"/>
      <c r="U17" s="7"/>
      <c r="V17" s="7"/>
      <c r="W17" s="7"/>
      <c r="X17" s="7"/>
      <c r="Y17" s="7"/>
      <c r="Z17" s="7"/>
    </row>
    <row r="18" spans="1:26" ht="14.4" x14ac:dyDescent="0.3">
      <c r="A18" s="7"/>
      <c r="B18" s="11"/>
      <c r="C18" s="7"/>
      <c r="D18" s="10"/>
      <c r="E18" s="10"/>
      <c r="F18" s="10"/>
      <c r="G18" s="10"/>
      <c r="H18" s="10"/>
      <c r="I18" s="10"/>
      <c r="J18" s="10"/>
      <c r="K18" s="10"/>
      <c r="L18" s="10"/>
      <c r="M18" s="10"/>
      <c r="N18" s="10"/>
      <c r="O18" s="10"/>
      <c r="P18" s="10"/>
      <c r="Q18" s="7"/>
      <c r="R18" s="7"/>
      <c r="S18" s="7"/>
      <c r="T18" s="7"/>
      <c r="U18" s="7"/>
      <c r="V18" s="7"/>
      <c r="W18" s="7"/>
      <c r="X18" s="7"/>
      <c r="Y18" s="7"/>
      <c r="Z18" s="7"/>
    </row>
    <row r="19" spans="1:26" ht="14.4" x14ac:dyDescent="0.3">
      <c r="A19" s="7"/>
      <c r="B19" s="11"/>
      <c r="C19" s="7"/>
      <c r="D19" s="10"/>
      <c r="E19" s="10"/>
      <c r="F19" s="10"/>
      <c r="G19" s="10"/>
      <c r="H19" s="10"/>
      <c r="I19" s="10"/>
      <c r="J19" s="10"/>
      <c r="K19" s="10"/>
      <c r="L19" s="10"/>
      <c r="M19" s="10"/>
      <c r="N19" s="10"/>
      <c r="O19" s="10"/>
      <c r="P19" s="10"/>
      <c r="Q19" s="7"/>
      <c r="R19" s="7"/>
      <c r="S19" s="7"/>
      <c r="T19" s="7"/>
      <c r="U19" s="7"/>
      <c r="V19" s="7"/>
      <c r="W19" s="7"/>
      <c r="X19" s="7"/>
      <c r="Y19" s="7"/>
      <c r="Z19" s="7"/>
    </row>
    <row r="20" spans="1:26" ht="14.4" x14ac:dyDescent="0.3">
      <c r="A20" s="7"/>
      <c r="B20" s="11"/>
      <c r="C20" s="11"/>
      <c r="D20" s="11"/>
      <c r="E20" s="11"/>
      <c r="F20" s="11"/>
      <c r="G20" s="11"/>
      <c r="H20" s="11"/>
      <c r="I20" s="11"/>
      <c r="J20" s="11"/>
      <c r="K20" s="11"/>
      <c r="L20" s="11"/>
      <c r="M20" s="11"/>
      <c r="N20" s="11"/>
      <c r="O20" s="11"/>
      <c r="P20" s="11"/>
      <c r="Q20" s="7"/>
      <c r="R20" s="7"/>
      <c r="S20" s="7"/>
      <c r="T20" s="7"/>
      <c r="U20" s="7"/>
      <c r="V20" s="7"/>
      <c r="W20" s="7"/>
      <c r="X20" s="7"/>
      <c r="Y20" s="7"/>
      <c r="Z20" s="7"/>
    </row>
    <row r="21" spans="1:26" ht="14.4" x14ac:dyDescent="0.3">
      <c r="A21" s="7"/>
      <c r="B21" s="11"/>
      <c r="C21" s="11"/>
      <c r="D21" s="11"/>
      <c r="E21" s="11"/>
      <c r="F21" s="11"/>
      <c r="G21" s="11"/>
      <c r="H21" s="11"/>
      <c r="I21" s="11"/>
      <c r="J21" s="11"/>
      <c r="K21" s="11"/>
      <c r="L21" s="11"/>
      <c r="M21" s="11"/>
      <c r="N21" s="11"/>
      <c r="O21" s="11"/>
      <c r="P21" s="11"/>
      <c r="Q21" s="7"/>
      <c r="R21" s="7"/>
      <c r="S21" s="7"/>
      <c r="T21" s="7"/>
      <c r="U21" s="7"/>
      <c r="V21" s="7"/>
      <c r="W21" s="7"/>
      <c r="X21" s="7"/>
      <c r="Y21" s="7"/>
      <c r="Z21" s="7"/>
    </row>
    <row r="22" spans="1:26" x14ac:dyDescent="0.3">
      <c r="A22" s="7"/>
      <c r="B22" s="12"/>
      <c r="C22" s="7"/>
      <c r="D22" s="7"/>
      <c r="E22" s="7"/>
      <c r="Q22" s="7"/>
      <c r="R22" s="7"/>
      <c r="S22" s="7"/>
      <c r="T22" s="7"/>
      <c r="U22" s="7"/>
      <c r="V22" s="7"/>
      <c r="W22" s="7"/>
      <c r="X22" s="7"/>
      <c r="Y22" s="7"/>
      <c r="Z22" s="7"/>
    </row>
    <row r="23" spans="1:26" x14ac:dyDescent="0.3">
      <c r="A23" s="7"/>
      <c r="B23" s="12"/>
      <c r="C23" s="13"/>
      <c r="D23" s="13"/>
      <c r="E23" s="13"/>
      <c r="F23" s="13"/>
      <c r="J23" s="14"/>
      <c r="K23" s="14"/>
      <c r="L23" s="14"/>
      <c r="M23" s="14"/>
      <c r="N23" s="14"/>
      <c r="O23" s="14"/>
      <c r="P23" s="14"/>
      <c r="Q23" s="7"/>
      <c r="R23" s="7"/>
      <c r="S23" s="7"/>
      <c r="T23" s="7"/>
      <c r="U23" s="7"/>
      <c r="V23" s="7"/>
      <c r="W23" s="7"/>
      <c r="X23" s="7"/>
      <c r="Y23" s="7"/>
      <c r="Z23" s="7"/>
    </row>
    <row r="24" spans="1:26" ht="14.4" x14ac:dyDescent="0.3">
      <c r="A24" s="7"/>
      <c r="Q24" s="7"/>
      <c r="R24" s="7"/>
      <c r="S24" s="7"/>
      <c r="T24" s="7"/>
      <c r="U24" s="7"/>
      <c r="V24" s="7"/>
      <c r="W24" s="7"/>
      <c r="X24" s="7"/>
      <c r="Y24" s="7"/>
      <c r="Z24" s="7"/>
    </row>
    <row r="25" spans="1:26" ht="14.4" x14ac:dyDescent="0.3">
      <c r="A25" s="7"/>
      <c r="Q25" s="7"/>
      <c r="R25" s="7"/>
      <c r="S25" s="7"/>
      <c r="T25" s="7"/>
      <c r="U25" s="7"/>
      <c r="V25" s="7"/>
      <c r="W25" s="7"/>
      <c r="X25" s="7"/>
      <c r="Y25" s="7"/>
      <c r="Z25" s="7"/>
    </row>
    <row r="26" spans="1:26" ht="14.4" x14ac:dyDescent="0.3"/>
    <row r="27" spans="1:26" ht="14.4" x14ac:dyDescent="0.3"/>
    <row r="28" spans="1:26" ht="14.4" x14ac:dyDescent="0.3"/>
    <row r="29" spans="1:26" ht="14.4" x14ac:dyDescent="0.3"/>
    <row r="30" spans="1:26" ht="14.4" x14ac:dyDescent="0.3"/>
    <row r="31" spans="1:26" ht="14.4" x14ac:dyDescent="0.3"/>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XFC123"/>
  <sheetViews>
    <sheetView topLeftCell="A16" zoomScaleNormal="100" workbookViewId="0">
      <selection activeCell="A7" sqref="A7"/>
    </sheetView>
  </sheetViews>
  <sheetFormatPr defaultColWidth="0" defaultRowHeight="15" customHeight="1" zeroHeight="1" x14ac:dyDescent="0.3"/>
  <cols>
    <col min="1" max="25" width="11.44140625" style="98" customWidth="1"/>
    <col min="26" max="27" width="0" style="98" hidden="1" customWidth="1"/>
    <col min="28" max="16383" width="9.44140625" style="98" hidden="1"/>
    <col min="16384" max="16384" width="10.21875" style="98" hidden="1"/>
  </cols>
  <sheetData>
    <row r="1" spans="1:27" ht="14.4" x14ac:dyDescent="0.3">
      <c r="C1" s="99"/>
      <c r="D1" s="99"/>
    </row>
    <row r="2" spans="1:27" ht="14.4" x14ac:dyDescent="0.3"/>
    <row r="3" spans="1:27" ht="14.4" x14ac:dyDescent="0.3"/>
    <row r="4" spans="1:27" ht="14.4" x14ac:dyDescent="0.3">
      <c r="A4" s="100"/>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row>
    <row r="5" spans="1:27" ht="14.4" x14ac:dyDescent="0.3">
      <c r="A5" s="100"/>
      <c r="B5" s="101" t="s">
        <v>593</v>
      </c>
      <c r="Q5" s="100"/>
      <c r="R5" s="100"/>
      <c r="S5" s="100"/>
      <c r="T5" s="100"/>
      <c r="U5" s="100"/>
      <c r="V5" s="100"/>
      <c r="W5" s="100"/>
      <c r="X5" s="100"/>
      <c r="Y5" s="100"/>
      <c r="Z5" s="100"/>
      <c r="AA5" s="100"/>
    </row>
    <row r="6" spans="1:27" ht="14.4" x14ac:dyDescent="0.3">
      <c r="A6" s="100"/>
      <c r="B6" s="102" t="s">
        <v>594</v>
      </c>
      <c r="C6" s="103"/>
      <c r="D6" s="103"/>
      <c r="E6" s="103"/>
      <c r="F6" s="103"/>
      <c r="G6" s="103"/>
      <c r="H6" s="103"/>
      <c r="I6" s="103"/>
      <c r="J6" s="103"/>
      <c r="K6" s="103"/>
      <c r="L6" s="103"/>
      <c r="M6" s="103"/>
      <c r="N6" s="103"/>
      <c r="O6" s="103"/>
      <c r="P6" s="103"/>
      <c r="Q6" s="100"/>
      <c r="R6" s="100"/>
      <c r="S6" s="100"/>
      <c r="T6" s="100"/>
      <c r="U6" s="100"/>
      <c r="V6" s="100"/>
      <c r="W6" s="100"/>
      <c r="X6" s="100"/>
      <c r="Y6" s="100"/>
      <c r="Z6" s="100"/>
      <c r="AA6" s="100"/>
    </row>
    <row r="7" spans="1:27" ht="14.4" x14ac:dyDescent="0.3">
      <c r="A7" s="100"/>
      <c r="B7" s="104" t="s">
        <v>3</v>
      </c>
      <c r="E7" s="104" t="s">
        <v>595</v>
      </c>
      <c r="F7" s="105"/>
      <c r="G7" s="105"/>
      <c r="H7" s="105"/>
      <c r="I7" s="105"/>
      <c r="J7" s="105"/>
      <c r="K7" s="105"/>
      <c r="L7" s="105"/>
      <c r="M7" s="105"/>
      <c r="N7" s="105"/>
      <c r="O7" s="105"/>
      <c r="P7" s="105"/>
      <c r="Q7" s="100"/>
      <c r="R7" s="100"/>
      <c r="S7" s="100"/>
      <c r="T7" s="100"/>
      <c r="U7" s="100"/>
      <c r="V7" s="100"/>
      <c r="W7" s="100"/>
      <c r="X7" s="100"/>
      <c r="Y7" s="100"/>
      <c r="Z7" s="100"/>
      <c r="AA7" s="100"/>
    </row>
    <row r="8" spans="1:27" ht="14.4" x14ac:dyDescent="0.3">
      <c r="A8" s="100"/>
      <c r="B8" s="104" t="s">
        <v>1</v>
      </c>
      <c r="E8" s="104" t="s">
        <v>596</v>
      </c>
      <c r="F8" s="105"/>
      <c r="G8" s="105"/>
      <c r="H8" s="105"/>
      <c r="I8" s="105"/>
      <c r="J8" s="105"/>
      <c r="K8" s="105"/>
      <c r="L8" s="105"/>
      <c r="M8" s="105"/>
      <c r="N8" s="105"/>
      <c r="O8" s="105"/>
      <c r="P8" s="105"/>
      <c r="Q8" s="100"/>
      <c r="R8" s="100"/>
      <c r="S8" s="100"/>
      <c r="T8" s="100"/>
      <c r="U8" s="100"/>
      <c r="V8" s="100"/>
      <c r="W8" s="100"/>
      <c r="X8" s="100"/>
      <c r="Y8" s="100"/>
      <c r="Z8" s="100"/>
      <c r="AA8" s="100"/>
    </row>
    <row r="9" spans="1:27" ht="14.4" x14ac:dyDescent="0.3">
      <c r="A9" s="100"/>
      <c r="B9" s="104" t="s">
        <v>2</v>
      </c>
      <c r="E9" s="104" t="s">
        <v>597</v>
      </c>
      <c r="F9" s="105"/>
      <c r="G9" s="105"/>
      <c r="H9" s="105"/>
      <c r="I9" s="105"/>
      <c r="J9" s="105"/>
      <c r="K9" s="105"/>
      <c r="L9" s="105"/>
      <c r="M9" s="105"/>
      <c r="N9" s="105"/>
      <c r="O9" s="105"/>
      <c r="P9" s="105"/>
      <c r="Q9" s="100"/>
      <c r="R9" s="100"/>
      <c r="S9" s="100"/>
      <c r="T9" s="100"/>
      <c r="U9" s="100"/>
      <c r="V9" s="100"/>
      <c r="W9" s="100"/>
      <c r="X9" s="100"/>
      <c r="Y9" s="100"/>
      <c r="Z9" s="100"/>
      <c r="AA9" s="100"/>
    </row>
    <row r="10" spans="1:27" ht="14.4" x14ac:dyDescent="0.3">
      <c r="A10" s="100"/>
      <c r="B10" s="104" t="s">
        <v>592</v>
      </c>
      <c r="E10" s="104" t="s">
        <v>598</v>
      </c>
      <c r="F10" s="103"/>
      <c r="G10" s="103"/>
      <c r="H10" s="103"/>
      <c r="I10" s="103"/>
      <c r="J10" s="103"/>
      <c r="K10" s="103"/>
      <c r="L10" s="103"/>
      <c r="M10" s="103"/>
      <c r="N10" s="103"/>
      <c r="O10" s="103"/>
      <c r="P10" s="103"/>
      <c r="Q10" s="100"/>
      <c r="R10" s="100"/>
      <c r="S10" s="100"/>
      <c r="T10" s="100"/>
      <c r="U10" s="100"/>
      <c r="V10" s="100"/>
      <c r="W10" s="100"/>
      <c r="X10" s="100"/>
      <c r="Y10" s="100"/>
      <c r="Z10" s="100"/>
      <c r="AA10" s="100"/>
    </row>
    <row r="11" spans="1:27" ht="14.4" x14ac:dyDescent="0.3">
      <c r="A11" s="100"/>
      <c r="B11" s="103"/>
      <c r="C11" s="103"/>
      <c r="D11" s="103"/>
      <c r="E11" s="103"/>
      <c r="F11" s="103"/>
      <c r="G11" s="103"/>
      <c r="H11" s="103"/>
      <c r="I11" s="103"/>
      <c r="J11" s="103"/>
      <c r="K11" s="103"/>
      <c r="L11" s="103"/>
      <c r="M11" s="103"/>
      <c r="N11" s="103"/>
      <c r="O11" s="103"/>
      <c r="P11" s="103"/>
      <c r="Q11" s="100"/>
      <c r="R11" s="100"/>
      <c r="S11" s="100"/>
      <c r="T11" s="100"/>
      <c r="U11" s="100"/>
      <c r="V11" s="100"/>
      <c r="W11" s="100"/>
      <c r="X11" s="100"/>
      <c r="Y11" s="100"/>
      <c r="Z11" s="100"/>
      <c r="AA11" s="100"/>
    </row>
    <row r="12" spans="1:27" ht="15.6" x14ac:dyDescent="0.3">
      <c r="A12" s="100"/>
      <c r="B12" s="102" t="s">
        <v>7190</v>
      </c>
      <c r="F12" s="103"/>
      <c r="G12" s="103"/>
      <c r="H12" s="103"/>
      <c r="I12" s="103"/>
      <c r="J12" s="103"/>
      <c r="K12" s="103"/>
      <c r="L12" s="103"/>
      <c r="M12" s="103"/>
      <c r="N12" s="103"/>
      <c r="O12" s="103"/>
      <c r="P12" s="103"/>
      <c r="Q12" s="100"/>
      <c r="R12" s="100"/>
      <c r="S12" s="100"/>
      <c r="T12" s="100"/>
      <c r="U12" s="100"/>
      <c r="V12" s="100"/>
      <c r="W12" s="100"/>
      <c r="X12" s="100"/>
      <c r="Y12" s="100"/>
      <c r="Z12" s="100"/>
      <c r="AA12" s="100"/>
    </row>
    <row r="13" spans="1:27" ht="15.6" x14ac:dyDescent="0.3">
      <c r="A13" s="100"/>
      <c r="B13" s="104" t="s">
        <v>160</v>
      </c>
      <c r="E13" s="104" t="s">
        <v>7191</v>
      </c>
      <c r="F13" s="103"/>
      <c r="G13" s="103"/>
      <c r="H13" s="103"/>
      <c r="I13" s="103"/>
      <c r="J13" s="103"/>
      <c r="K13" s="103"/>
      <c r="L13" s="103"/>
      <c r="M13" s="103"/>
      <c r="N13" s="103"/>
      <c r="O13" s="103"/>
      <c r="P13" s="103"/>
      <c r="Q13" s="100"/>
      <c r="R13" s="100"/>
      <c r="S13" s="100"/>
      <c r="T13" s="100"/>
      <c r="U13" s="100"/>
      <c r="V13" s="100"/>
      <c r="W13" s="100"/>
      <c r="X13" s="100"/>
      <c r="Y13" s="100"/>
      <c r="Z13" s="100"/>
      <c r="AA13" s="100"/>
    </row>
    <row r="14" spans="1:27" ht="15.6" x14ac:dyDescent="0.3">
      <c r="A14" s="100"/>
      <c r="B14" s="104" t="s">
        <v>161</v>
      </c>
      <c r="E14" s="104" t="s">
        <v>7192</v>
      </c>
      <c r="Q14" s="100"/>
      <c r="R14" s="100"/>
      <c r="S14" s="100"/>
      <c r="T14" s="100"/>
      <c r="U14" s="100"/>
      <c r="V14" s="100"/>
      <c r="W14" s="100"/>
      <c r="X14" s="100"/>
      <c r="Y14" s="100"/>
      <c r="Z14" s="100"/>
      <c r="AA14" s="100"/>
    </row>
    <row r="15" spans="1:27" ht="15.6" x14ac:dyDescent="0.3">
      <c r="A15" s="100"/>
      <c r="B15" s="104" t="s">
        <v>162</v>
      </c>
      <c r="E15" s="104" t="s">
        <v>7193</v>
      </c>
      <c r="F15" s="106"/>
      <c r="G15" s="106"/>
      <c r="H15" s="106"/>
      <c r="I15" s="106"/>
      <c r="J15" s="106"/>
      <c r="K15" s="106"/>
      <c r="L15" s="106"/>
      <c r="M15" s="106"/>
      <c r="N15" s="106"/>
      <c r="O15" s="106"/>
      <c r="P15" s="106"/>
      <c r="Q15" s="100"/>
      <c r="R15" s="100"/>
      <c r="S15" s="100"/>
      <c r="T15" s="100"/>
      <c r="U15" s="100"/>
      <c r="V15" s="100"/>
      <c r="W15" s="100"/>
      <c r="X15" s="100"/>
      <c r="Y15" s="100"/>
      <c r="Z15" s="100"/>
      <c r="AA15" s="100"/>
    </row>
    <row r="16" spans="1:27" ht="14.4" x14ac:dyDescent="0.3">
      <c r="B16" s="103"/>
      <c r="D16" s="106"/>
      <c r="E16" s="106"/>
      <c r="F16" s="106"/>
      <c r="G16" s="106"/>
      <c r="H16" s="106"/>
      <c r="I16" s="106"/>
      <c r="J16" s="106"/>
      <c r="K16" s="106"/>
      <c r="L16" s="106"/>
      <c r="M16" s="106"/>
      <c r="N16" s="106"/>
      <c r="O16" s="106"/>
      <c r="P16" s="106"/>
      <c r="Q16" s="100"/>
      <c r="R16" s="100"/>
      <c r="S16" s="100"/>
      <c r="T16" s="100"/>
      <c r="U16" s="100"/>
      <c r="V16" s="100"/>
      <c r="W16" s="100"/>
      <c r="X16" s="100"/>
      <c r="Y16" s="100"/>
      <c r="Z16" s="100"/>
      <c r="AA16" s="100"/>
    </row>
    <row r="17" spans="1:27" ht="14.4" x14ac:dyDescent="0.3">
      <c r="B17" s="107" t="s">
        <v>163</v>
      </c>
      <c r="D17" s="106"/>
      <c r="E17" s="106"/>
      <c r="F17" s="106"/>
      <c r="G17" s="106"/>
      <c r="H17" s="106"/>
      <c r="I17" s="106"/>
      <c r="J17" s="106"/>
      <c r="K17" s="106"/>
      <c r="L17" s="106"/>
      <c r="M17" s="106"/>
      <c r="N17" s="106"/>
      <c r="O17" s="106"/>
      <c r="P17" s="106"/>
      <c r="Q17" s="100"/>
      <c r="R17" s="100"/>
      <c r="S17" s="100"/>
      <c r="T17" s="100"/>
      <c r="U17" s="100"/>
      <c r="V17" s="100"/>
      <c r="W17" s="100"/>
      <c r="X17" s="100"/>
      <c r="Y17" s="100"/>
      <c r="Z17" s="100"/>
      <c r="AA17" s="100"/>
    </row>
    <row r="18" spans="1:27" ht="14.4" x14ac:dyDescent="0.3">
      <c r="B18" s="108" t="s">
        <v>626</v>
      </c>
      <c r="D18" s="106"/>
      <c r="E18" s="106"/>
      <c r="F18" s="106"/>
      <c r="G18" s="106"/>
      <c r="H18" s="106"/>
      <c r="I18" s="106"/>
      <c r="J18" s="106"/>
      <c r="K18" s="106"/>
      <c r="L18" s="106"/>
      <c r="M18" s="106"/>
      <c r="N18" s="106"/>
      <c r="O18" s="106"/>
      <c r="P18" s="106"/>
      <c r="Q18" s="100"/>
      <c r="R18" s="100"/>
      <c r="S18" s="100"/>
      <c r="T18" s="100"/>
      <c r="U18" s="100"/>
      <c r="V18" s="100"/>
      <c r="W18" s="100"/>
      <c r="X18" s="100"/>
      <c r="Y18" s="100"/>
      <c r="Z18" s="100"/>
      <c r="AA18" s="100"/>
    </row>
    <row r="19" spans="1:27" ht="14.4" x14ac:dyDescent="0.3">
      <c r="D19" s="106"/>
      <c r="E19" s="106"/>
      <c r="F19" s="106"/>
      <c r="G19" s="106"/>
      <c r="H19" s="106"/>
      <c r="I19" s="106"/>
      <c r="J19" s="106"/>
      <c r="K19" s="106"/>
      <c r="L19" s="106"/>
      <c r="M19" s="106"/>
      <c r="N19" s="106"/>
      <c r="O19" s="106"/>
      <c r="P19" s="106"/>
      <c r="Q19" s="100"/>
      <c r="R19" s="100"/>
      <c r="S19" s="100"/>
      <c r="T19" s="100"/>
      <c r="U19" s="100"/>
      <c r="V19" s="100"/>
      <c r="W19" s="100"/>
      <c r="X19" s="100"/>
      <c r="Y19" s="100"/>
      <c r="Z19" s="100"/>
      <c r="AA19" s="100"/>
    </row>
    <row r="20" spans="1:27" ht="14.4" x14ac:dyDescent="0.3">
      <c r="B20" s="107" t="s">
        <v>153</v>
      </c>
      <c r="C20" s="103"/>
      <c r="D20" s="103"/>
      <c r="E20" s="103"/>
      <c r="F20" s="103"/>
      <c r="G20" s="103"/>
      <c r="H20" s="103"/>
      <c r="I20" s="103"/>
      <c r="J20" s="103"/>
      <c r="K20" s="103"/>
      <c r="L20" s="103"/>
      <c r="M20" s="103"/>
      <c r="N20" s="103"/>
      <c r="O20" s="103"/>
      <c r="P20" s="103"/>
      <c r="Q20" s="100"/>
      <c r="R20" s="100"/>
      <c r="S20" s="100"/>
      <c r="T20" s="100"/>
      <c r="U20" s="100"/>
      <c r="V20" s="100"/>
      <c r="W20" s="100"/>
      <c r="X20" s="100"/>
      <c r="Y20" s="100"/>
      <c r="Z20" s="100"/>
      <c r="AA20" s="100"/>
    </row>
    <row r="21" spans="1:27" ht="14.4" x14ac:dyDescent="0.3">
      <c r="B21" s="108" t="s">
        <v>627</v>
      </c>
      <c r="C21" s="103"/>
      <c r="D21" s="103"/>
      <c r="E21" s="103"/>
      <c r="F21" s="103"/>
      <c r="G21" s="103"/>
      <c r="H21" s="103"/>
      <c r="I21" s="103"/>
      <c r="J21" s="103"/>
      <c r="K21" s="103"/>
      <c r="L21" s="103"/>
      <c r="M21" s="103"/>
      <c r="N21" s="103"/>
      <c r="O21" s="103"/>
      <c r="P21" s="103"/>
      <c r="Q21" s="100"/>
      <c r="R21" s="100"/>
      <c r="S21" s="100"/>
      <c r="T21" s="100"/>
      <c r="U21" s="100"/>
      <c r="V21" s="100"/>
      <c r="W21" s="100"/>
      <c r="X21" s="100"/>
      <c r="Y21" s="100"/>
      <c r="Z21" s="100"/>
      <c r="AA21" s="100"/>
    </row>
    <row r="22" spans="1:27" ht="16.2" x14ac:dyDescent="0.3">
      <c r="B22" s="109"/>
      <c r="D22" s="100"/>
      <c r="E22" s="100"/>
      <c r="Q22" s="100"/>
      <c r="R22" s="100"/>
      <c r="S22" s="100"/>
      <c r="T22" s="100"/>
      <c r="U22" s="100"/>
      <c r="V22" s="100"/>
      <c r="W22" s="100"/>
      <c r="X22" s="100"/>
      <c r="Y22" s="100"/>
      <c r="Z22" s="100"/>
      <c r="AA22" s="100"/>
    </row>
    <row r="23" spans="1:27" ht="16.2" x14ac:dyDescent="0.3">
      <c r="B23" s="109"/>
      <c r="C23" s="110"/>
      <c r="D23" s="110"/>
      <c r="E23" s="110"/>
      <c r="F23" s="110"/>
      <c r="J23" s="111"/>
      <c r="K23" s="111"/>
      <c r="L23" s="111"/>
      <c r="M23" s="111"/>
      <c r="N23" s="111"/>
      <c r="O23" s="111"/>
      <c r="P23" s="111"/>
      <c r="Q23" s="100"/>
      <c r="R23" s="100"/>
      <c r="S23" s="100"/>
      <c r="T23" s="100"/>
      <c r="U23" s="100"/>
      <c r="V23" s="100"/>
      <c r="W23" s="100"/>
      <c r="X23" s="100"/>
      <c r="Y23" s="100"/>
      <c r="Z23" s="100"/>
      <c r="AA23" s="100"/>
    </row>
    <row r="24" spans="1:27" ht="14.4" x14ac:dyDescent="0.3">
      <c r="A24" s="100"/>
      <c r="B24" s="101" t="s">
        <v>599</v>
      </c>
      <c r="C24" s="112"/>
      <c r="D24" s="112"/>
      <c r="E24" s="112"/>
      <c r="Q24" s="100"/>
      <c r="R24" s="100"/>
      <c r="S24" s="100"/>
      <c r="T24" s="100"/>
      <c r="U24" s="100"/>
      <c r="V24" s="100"/>
      <c r="W24" s="100"/>
      <c r="X24" s="100"/>
      <c r="Y24" s="100"/>
      <c r="Z24" s="100"/>
      <c r="AA24" s="100"/>
    </row>
    <row r="25" spans="1:27" ht="14.4" x14ac:dyDescent="0.3">
      <c r="A25" s="100"/>
      <c r="B25" s="102" t="s">
        <v>600</v>
      </c>
      <c r="C25" s="112"/>
      <c r="D25" s="112"/>
      <c r="E25" s="112"/>
      <c r="Q25" s="100"/>
      <c r="R25" s="100"/>
      <c r="S25" s="100"/>
      <c r="T25" s="100"/>
      <c r="U25" s="100"/>
      <c r="V25" s="100"/>
      <c r="W25" s="100"/>
      <c r="X25" s="100"/>
      <c r="Y25" s="100"/>
      <c r="Z25" s="100"/>
      <c r="AA25" s="100"/>
    </row>
    <row r="26" spans="1:27" ht="15.6" x14ac:dyDescent="0.3">
      <c r="B26" s="104" t="s">
        <v>7194</v>
      </c>
      <c r="C26" s="112"/>
      <c r="D26" s="112"/>
      <c r="E26" s="108" t="s">
        <v>601</v>
      </c>
    </row>
    <row r="27" spans="1:27" ht="15.6" x14ac:dyDescent="0.3">
      <c r="B27" s="104" t="s">
        <v>7195</v>
      </c>
      <c r="C27" s="112"/>
      <c r="D27" s="112"/>
      <c r="E27" s="108" t="s">
        <v>602</v>
      </c>
    </row>
    <row r="28" spans="1:27" ht="14.4" x14ac:dyDescent="0.3">
      <c r="B28" s="104" t="s">
        <v>71</v>
      </c>
      <c r="C28" s="112"/>
      <c r="D28" s="112"/>
      <c r="E28" s="108" t="s">
        <v>603</v>
      </c>
    </row>
    <row r="29" spans="1:27" ht="14.4" x14ac:dyDescent="0.3">
      <c r="B29" s="104" t="s">
        <v>170</v>
      </c>
      <c r="C29" s="112"/>
      <c r="D29" s="112"/>
      <c r="E29" s="112"/>
    </row>
    <row r="30" spans="1:27" ht="14.4" x14ac:dyDescent="0.3">
      <c r="B30" s="104" t="s">
        <v>141</v>
      </c>
      <c r="C30" s="112"/>
      <c r="D30" s="112"/>
      <c r="E30" s="112"/>
    </row>
    <row r="31" spans="1:27" ht="14.4" x14ac:dyDescent="0.3">
      <c r="B31" s="104" t="s">
        <v>167</v>
      </c>
      <c r="C31" s="112"/>
      <c r="D31" s="112"/>
      <c r="E31" s="108" t="s">
        <v>7200</v>
      </c>
    </row>
    <row r="32" spans="1:27" ht="14.4" x14ac:dyDescent="0.3">
      <c r="B32" s="104"/>
      <c r="C32" s="112"/>
      <c r="D32" s="112"/>
      <c r="E32" s="108"/>
    </row>
    <row r="33" spans="2:5" ht="14.4" x14ac:dyDescent="0.3">
      <c r="B33" s="102" t="s">
        <v>604</v>
      </c>
      <c r="C33" s="112"/>
      <c r="D33" s="112"/>
      <c r="E33" s="112"/>
    </row>
    <row r="34" spans="2:5" ht="14.4" x14ac:dyDescent="0.3">
      <c r="B34" s="104" t="s">
        <v>191</v>
      </c>
      <c r="C34" s="112"/>
      <c r="D34" s="112"/>
      <c r="E34" s="108" t="s">
        <v>605</v>
      </c>
    </row>
    <row r="35" spans="2:5" ht="14.4" x14ac:dyDescent="0.3">
      <c r="B35" s="104" t="s">
        <v>141</v>
      </c>
      <c r="C35" s="112"/>
      <c r="D35" s="112"/>
      <c r="E35" s="108" t="s">
        <v>628</v>
      </c>
    </row>
    <row r="36" spans="2:5" ht="14.4" x14ac:dyDescent="0.3">
      <c r="B36" s="104" t="s">
        <v>170</v>
      </c>
      <c r="C36" s="112"/>
      <c r="D36" s="112"/>
      <c r="E36" s="108" t="s">
        <v>606</v>
      </c>
    </row>
    <row r="37" spans="2:5" ht="14.4" x14ac:dyDescent="0.3">
      <c r="B37" s="104" t="s">
        <v>607</v>
      </c>
      <c r="C37" s="112"/>
      <c r="D37" s="112"/>
      <c r="E37" s="108" t="s">
        <v>7201</v>
      </c>
    </row>
    <row r="38" spans="2:5" ht="14.4" x14ac:dyDescent="0.3">
      <c r="B38" s="104" t="s">
        <v>220</v>
      </c>
      <c r="C38" s="112"/>
      <c r="D38" s="112"/>
      <c r="E38" s="108" t="s">
        <v>608</v>
      </c>
    </row>
    <row r="39" spans="2:5" ht="14.4" x14ac:dyDescent="0.3">
      <c r="B39" s="104" t="s">
        <v>221</v>
      </c>
      <c r="C39" s="112"/>
      <c r="D39" s="112"/>
      <c r="E39" s="108" t="s">
        <v>609</v>
      </c>
    </row>
    <row r="40" spans="2:5" ht="14.4" x14ac:dyDescent="0.3">
      <c r="B40" s="104" t="s">
        <v>222</v>
      </c>
      <c r="C40" s="112"/>
      <c r="D40" s="112"/>
      <c r="E40" s="108" t="s">
        <v>610</v>
      </c>
    </row>
    <row r="41" spans="2:5" ht="14.4" x14ac:dyDescent="0.3">
      <c r="B41" s="104" t="s">
        <v>230</v>
      </c>
      <c r="C41" s="112"/>
      <c r="D41" s="112"/>
      <c r="E41" s="108" t="s">
        <v>643</v>
      </c>
    </row>
    <row r="42" spans="2:5" ht="14.4" x14ac:dyDescent="0.3">
      <c r="B42" s="104" t="s">
        <v>223</v>
      </c>
      <c r="C42" s="112"/>
      <c r="D42" s="112"/>
      <c r="E42" s="108" t="s">
        <v>635</v>
      </c>
    </row>
    <row r="43" spans="2:5" ht="14.4" x14ac:dyDescent="0.3">
      <c r="B43" s="108" t="s">
        <v>224</v>
      </c>
      <c r="C43" s="112"/>
      <c r="D43" s="112"/>
      <c r="E43" s="108" t="s">
        <v>629</v>
      </c>
    </row>
    <row r="44" spans="2:5" ht="14.4" x14ac:dyDescent="0.3">
      <c r="B44" s="108" t="s">
        <v>274</v>
      </c>
      <c r="C44" s="112"/>
      <c r="D44" s="112"/>
      <c r="E44" s="108" t="s">
        <v>611</v>
      </c>
    </row>
    <row r="45" spans="2:5" ht="14.4" x14ac:dyDescent="0.3">
      <c r="B45" s="108" t="s">
        <v>167</v>
      </c>
      <c r="C45" s="112"/>
      <c r="D45" s="112"/>
      <c r="E45" s="108" t="s">
        <v>612</v>
      </c>
    </row>
    <row r="46" spans="2:5" ht="15.6" x14ac:dyDescent="0.35">
      <c r="B46" s="108" t="s">
        <v>7196</v>
      </c>
      <c r="C46" s="112"/>
      <c r="D46" s="112"/>
      <c r="E46" s="108" t="s">
        <v>613</v>
      </c>
    </row>
    <row r="47" spans="2:5" ht="15.6" x14ac:dyDescent="0.35">
      <c r="B47" s="108" t="s">
        <v>7197</v>
      </c>
      <c r="C47" s="112"/>
      <c r="D47" s="108" t="s">
        <v>614</v>
      </c>
      <c r="E47" s="108" t="s">
        <v>615</v>
      </c>
    </row>
    <row r="48" spans="2:5" ht="14.4" x14ac:dyDescent="0.3"/>
    <row r="49" spans="2:12" ht="14.4" x14ac:dyDescent="0.3">
      <c r="B49" s="101" t="s">
        <v>616</v>
      </c>
      <c r="C49" s="112"/>
    </row>
    <row r="50" spans="2:12" ht="14.4" x14ac:dyDescent="0.3">
      <c r="B50" s="113" t="s">
        <v>617</v>
      </c>
      <c r="C50" s="112"/>
    </row>
    <row r="51" spans="2:12" ht="14.4" x14ac:dyDescent="0.3">
      <c r="B51" s="108" t="s">
        <v>636</v>
      </c>
      <c r="C51" s="112"/>
    </row>
    <row r="52" spans="2:12" ht="14.4" x14ac:dyDescent="0.3">
      <c r="B52" s="112"/>
      <c r="C52" s="108" t="s">
        <v>637</v>
      </c>
    </row>
    <row r="53" spans="2:12" ht="14.4" x14ac:dyDescent="0.3">
      <c r="B53" s="112"/>
      <c r="C53" s="108" t="s">
        <v>638</v>
      </c>
    </row>
    <row r="54" spans="2:12" ht="14.4" x14ac:dyDescent="0.3">
      <c r="B54" s="112"/>
      <c r="C54" s="108" t="s">
        <v>630</v>
      </c>
    </row>
    <row r="55" spans="2:12" ht="14.4" x14ac:dyDescent="0.3">
      <c r="B55" s="112"/>
      <c r="C55" s="108" t="s">
        <v>631</v>
      </c>
    </row>
    <row r="56" spans="2:12" ht="14.4" x14ac:dyDescent="0.3">
      <c r="B56" s="108" t="s">
        <v>7202</v>
      </c>
      <c r="C56" s="108"/>
      <c r="D56" s="104"/>
      <c r="E56" s="104"/>
      <c r="F56" s="104"/>
      <c r="G56" s="104"/>
      <c r="H56" s="104"/>
      <c r="I56" s="104"/>
      <c r="J56" s="104"/>
      <c r="K56" s="104"/>
      <c r="L56" s="104"/>
    </row>
    <row r="57" spans="2:12" ht="14.4" x14ac:dyDescent="0.3">
      <c r="B57" s="108"/>
      <c r="C57" s="108" t="s">
        <v>640</v>
      </c>
      <c r="D57" s="108"/>
      <c r="E57" s="108"/>
      <c r="F57" s="122">
        <v>0.56999999999999995</v>
      </c>
      <c r="G57" s="108"/>
      <c r="H57" s="104"/>
      <c r="I57" s="104"/>
      <c r="J57" s="104"/>
      <c r="K57" s="104"/>
      <c r="L57" s="104"/>
    </row>
    <row r="58" spans="2:12" ht="14.4" x14ac:dyDescent="0.3">
      <c r="B58" s="108"/>
      <c r="C58" s="108" t="s">
        <v>641</v>
      </c>
      <c r="D58" s="108"/>
      <c r="E58" s="108"/>
      <c r="F58" s="122">
        <v>0.7</v>
      </c>
      <c r="G58" s="108"/>
      <c r="H58" s="104"/>
      <c r="I58" s="104"/>
      <c r="J58" s="104"/>
      <c r="K58" s="104"/>
      <c r="L58" s="104"/>
    </row>
    <row r="59" spans="2:12" ht="14.4" x14ac:dyDescent="0.3">
      <c r="B59" s="108"/>
      <c r="C59" s="108" t="s">
        <v>157</v>
      </c>
      <c r="D59" s="108"/>
      <c r="E59" s="108"/>
      <c r="F59" s="122">
        <v>0.56999999999999995</v>
      </c>
      <c r="G59" s="108"/>
      <c r="H59" s="104"/>
      <c r="I59" s="104"/>
      <c r="J59" s="104"/>
      <c r="K59" s="104"/>
      <c r="L59" s="104"/>
    </row>
    <row r="60" spans="2:12" ht="14.4" x14ac:dyDescent="0.3">
      <c r="B60" s="108"/>
      <c r="C60" s="108" t="s">
        <v>288</v>
      </c>
      <c r="D60" s="108"/>
      <c r="E60" s="108"/>
      <c r="F60" s="122">
        <v>0.8</v>
      </c>
      <c r="G60" s="108"/>
      <c r="H60" s="104"/>
      <c r="I60" s="104"/>
      <c r="J60" s="104"/>
      <c r="K60" s="104"/>
      <c r="L60" s="104"/>
    </row>
    <row r="61" spans="2:12" ht="14.4" x14ac:dyDescent="0.3">
      <c r="B61" s="108"/>
      <c r="C61" s="108" t="s">
        <v>580</v>
      </c>
      <c r="D61" s="108"/>
      <c r="E61" s="108"/>
      <c r="F61" s="122">
        <v>0.56999999999999995</v>
      </c>
      <c r="G61" s="108"/>
      <c r="H61" s="104"/>
      <c r="I61" s="104"/>
      <c r="J61" s="104"/>
      <c r="K61" s="104"/>
      <c r="L61" s="104"/>
    </row>
    <row r="62" spans="2:12" ht="14.4" x14ac:dyDescent="0.3">
      <c r="B62" s="108"/>
      <c r="C62" s="108" t="s">
        <v>642</v>
      </c>
      <c r="D62" s="108"/>
      <c r="E62" s="108"/>
      <c r="F62" s="122">
        <v>0.8</v>
      </c>
      <c r="G62" s="108"/>
      <c r="H62" s="104"/>
      <c r="I62" s="104"/>
      <c r="J62" s="104"/>
      <c r="K62" s="104"/>
      <c r="L62" s="104"/>
    </row>
    <row r="63" spans="2:12" ht="14.4" x14ac:dyDescent="0.3">
      <c r="B63" s="108"/>
      <c r="C63" s="108"/>
      <c r="D63" s="108" t="s">
        <v>244</v>
      </c>
      <c r="E63" s="108"/>
      <c r="F63" s="122">
        <v>0.3</v>
      </c>
      <c r="G63" s="104"/>
      <c r="H63" s="104"/>
      <c r="I63" s="104"/>
      <c r="J63" s="104"/>
      <c r="K63" s="104"/>
      <c r="L63" s="104"/>
    </row>
    <row r="64" spans="2:12" ht="14.4" x14ac:dyDescent="0.3">
      <c r="B64" s="108"/>
      <c r="C64" s="108"/>
      <c r="D64" s="108" t="s">
        <v>245</v>
      </c>
      <c r="E64" s="108"/>
      <c r="F64" s="122">
        <v>0.4</v>
      </c>
      <c r="G64" s="104"/>
      <c r="H64" s="104"/>
      <c r="I64" s="104"/>
      <c r="J64" s="104"/>
      <c r="K64" s="104"/>
      <c r="L64" s="104"/>
    </row>
    <row r="65" spans="2:24" ht="14.4" x14ac:dyDescent="0.3">
      <c r="B65" s="108"/>
      <c r="C65" s="108"/>
      <c r="D65" s="108" t="s">
        <v>246</v>
      </c>
      <c r="E65" s="108"/>
      <c r="F65" s="122">
        <v>0.55000000000000004</v>
      </c>
      <c r="G65" s="104"/>
      <c r="H65" s="104"/>
      <c r="I65" s="104"/>
      <c r="J65" s="104"/>
      <c r="K65" s="104"/>
      <c r="L65" s="104"/>
    </row>
    <row r="66" spans="2:24" ht="14.4" x14ac:dyDescent="0.3">
      <c r="B66" s="108"/>
      <c r="C66" s="108"/>
      <c r="D66" s="108" t="s">
        <v>247</v>
      </c>
      <c r="E66" s="108"/>
      <c r="F66" s="122">
        <v>0.8</v>
      </c>
      <c r="G66" s="104"/>
      <c r="H66" s="104"/>
      <c r="I66" s="104"/>
      <c r="J66" s="104"/>
      <c r="K66" s="104"/>
      <c r="L66" s="104"/>
    </row>
    <row r="67" spans="2:24" ht="14.4" x14ac:dyDescent="0.3">
      <c r="B67" s="108"/>
      <c r="C67" s="108"/>
      <c r="D67" s="108" t="s">
        <v>248</v>
      </c>
      <c r="E67" s="108"/>
      <c r="F67" s="122">
        <v>0.5</v>
      </c>
      <c r="G67" s="104"/>
      <c r="H67" s="104"/>
      <c r="I67" s="104"/>
      <c r="J67" s="104"/>
      <c r="K67" s="104"/>
      <c r="L67" s="104"/>
    </row>
    <row r="68" spans="2:24" ht="14.4" x14ac:dyDescent="0.3">
      <c r="B68" s="108"/>
      <c r="C68" s="108"/>
      <c r="D68" s="108" t="s">
        <v>69</v>
      </c>
      <c r="E68" s="108"/>
      <c r="F68" s="122">
        <v>0.5</v>
      </c>
      <c r="G68" s="104"/>
      <c r="H68" s="104"/>
      <c r="I68" s="104"/>
      <c r="J68" s="104"/>
      <c r="K68" s="104"/>
      <c r="L68" s="104"/>
    </row>
    <row r="69" spans="2:24" ht="14.4" x14ac:dyDescent="0.3">
      <c r="B69" s="108"/>
      <c r="C69" s="108"/>
      <c r="D69" s="108" t="s">
        <v>580</v>
      </c>
      <c r="E69" s="108"/>
      <c r="F69" s="122">
        <v>0.5</v>
      </c>
      <c r="G69" s="104"/>
      <c r="H69" s="104"/>
      <c r="I69" s="104"/>
      <c r="J69" s="104"/>
      <c r="K69" s="104"/>
      <c r="L69" s="104"/>
    </row>
    <row r="70" spans="2:24" ht="14.4" x14ac:dyDescent="0.3">
      <c r="B70" s="108"/>
      <c r="C70" s="108"/>
      <c r="D70" s="104"/>
      <c r="E70" s="104"/>
      <c r="F70" s="104"/>
      <c r="G70" s="104"/>
      <c r="H70" s="104"/>
      <c r="I70" s="104"/>
      <c r="J70" s="104"/>
      <c r="K70" s="104"/>
      <c r="L70" s="104"/>
    </row>
    <row r="71" spans="2:24" ht="18" customHeight="1" x14ac:dyDescent="0.3">
      <c r="B71" s="123" t="s">
        <v>7198</v>
      </c>
      <c r="C71" s="123"/>
      <c r="D71" s="123"/>
      <c r="E71" s="123"/>
      <c r="F71" s="123"/>
      <c r="G71" s="123"/>
      <c r="H71" s="123"/>
      <c r="I71" s="123"/>
      <c r="J71" s="123"/>
      <c r="K71" s="123"/>
      <c r="L71" s="123"/>
      <c r="M71" s="123"/>
      <c r="N71" s="123"/>
      <c r="O71" s="123"/>
      <c r="P71" s="123"/>
      <c r="Q71" s="123"/>
      <c r="R71" s="123"/>
      <c r="S71" s="123"/>
      <c r="T71" s="123"/>
      <c r="U71" s="123"/>
      <c r="V71" s="123"/>
      <c r="W71" s="123"/>
    </row>
    <row r="72" spans="2:24" ht="14.4" x14ac:dyDescent="0.3">
      <c r="B72" s="123"/>
      <c r="C72" s="123"/>
      <c r="D72" s="123"/>
      <c r="E72" s="123"/>
      <c r="F72" s="123"/>
      <c r="G72" s="123"/>
      <c r="H72" s="123"/>
      <c r="I72" s="123"/>
      <c r="J72" s="123"/>
      <c r="K72" s="123"/>
      <c r="L72" s="123"/>
      <c r="M72" s="123"/>
      <c r="N72" s="123"/>
      <c r="O72" s="123"/>
      <c r="P72" s="123"/>
      <c r="Q72" s="123"/>
      <c r="R72" s="123"/>
      <c r="S72" s="123"/>
      <c r="T72" s="123"/>
      <c r="U72" s="123"/>
      <c r="V72" s="123"/>
      <c r="W72" s="123"/>
    </row>
    <row r="73" spans="2:24" ht="14.4" x14ac:dyDescent="0.3">
      <c r="B73" s="112"/>
      <c r="C73" s="108" t="s">
        <v>639</v>
      </c>
    </row>
    <row r="74" spans="2:24" ht="14.4" x14ac:dyDescent="0.3">
      <c r="B74" s="112"/>
      <c r="C74" s="108" t="s">
        <v>618</v>
      </c>
    </row>
    <row r="75" spans="2:24" ht="18" customHeight="1" x14ac:dyDescent="0.3">
      <c r="B75" s="123" t="s">
        <v>7199</v>
      </c>
      <c r="C75" s="123"/>
      <c r="D75" s="123"/>
      <c r="E75" s="123"/>
      <c r="F75" s="123"/>
      <c r="G75" s="123"/>
      <c r="H75" s="123"/>
      <c r="I75" s="123"/>
      <c r="J75" s="123"/>
      <c r="K75" s="123"/>
      <c r="L75" s="123"/>
      <c r="M75" s="123"/>
      <c r="N75" s="123"/>
      <c r="O75" s="123"/>
      <c r="P75" s="123"/>
      <c r="Q75" s="123"/>
      <c r="R75" s="123"/>
      <c r="S75" s="123"/>
      <c r="T75" s="123"/>
      <c r="U75" s="123"/>
      <c r="V75" s="123"/>
      <c r="W75" s="123"/>
      <c r="X75" s="123"/>
    </row>
    <row r="76" spans="2:24" ht="14.4" x14ac:dyDescent="0.3">
      <c r="B76" s="123"/>
      <c r="C76" s="123"/>
      <c r="D76" s="123"/>
      <c r="E76" s="123"/>
      <c r="F76" s="123"/>
      <c r="G76" s="123"/>
      <c r="H76" s="123"/>
      <c r="I76" s="123"/>
      <c r="J76" s="123"/>
      <c r="K76" s="123"/>
      <c r="L76" s="123"/>
      <c r="M76" s="123"/>
      <c r="N76" s="123"/>
      <c r="O76" s="123"/>
      <c r="P76" s="123"/>
      <c r="Q76" s="123"/>
      <c r="R76" s="123"/>
      <c r="S76" s="123"/>
      <c r="T76" s="123"/>
      <c r="U76" s="123"/>
      <c r="V76" s="123"/>
      <c r="W76" s="123"/>
      <c r="X76" s="123"/>
    </row>
    <row r="77" spans="2:24" ht="14.4" x14ac:dyDescent="0.3"/>
    <row r="78" spans="2:24" ht="14.4" x14ac:dyDescent="0.3">
      <c r="B78" s="114" t="s">
        <v>619</v>
      </c>
    </row>
    <row r="79" spans="2:24" ht="15.6" x14ac:dyDescent="0.35">
      <c r="B79" s="108" t="s">
        <v>7210</v>
      </c>
    </row>
    <row r="80" spans="2:24" ht="15.6" x14ac:dyDescent="0.35">
      <c r="B80" s="108" t="s">
        <v>7211</v>
      </c>
    </row>
    <row r="81" spans="2:2" ht="15.6" x14ac:dyDescent="0.35">
      <c r="B81" s="108" t="s">
        <v>7212</v>
      </c>
    </row>
    <row r="82" spans="2:2" ht="14.4" x14ac:dyDescent="0.3">
      <c r="B82" s="108" t="s">
        <v>632</v>
      </c>
    </row>
    <row r="83" spans="2:2" ht="14.4" x14ac:dyDescent="0.3">
      <c r="B83" s="108" t="s">
        <v>633</v>
      </c>
    </row>
    <row r="84" spans="2:2" ht="15.6" x14ac:dyDescent="0.35">
      <c r="B84" s="108" t="s">
        <v>7213</v>
      </c>
    </row>
    <row r="85" spans="2:2" ht="15.6" x14ac:dyDescent="0.35">
      <c r="B85" s="108" t="s">
        <v>7214</v>
      </c>
    </row>
    <row r="86" spans="2:2" ht="15.6" x14ac:dyDescent="0.35">
      <c r="B86" s="108" t="s">
        <v>7215</v>
      </c>
    </row>
    <row r="87" spans="2:2" ht="15.6" x14ac:dyDescent="0.35">
      <c r="B87" s="108" t="s">
        <v>7216</v>
      </c>
    </row>
    <row r="88" spans="2:2" ht="16.8" x14ac:dyDescent="0.35">
      <c r="B88" s="108" t="s">
        <v>7217</v>
      </c>
    </row>
    <row r="89" spans="2:2" ht="14.4" x14ac:dyDescent="0.3">
      <c r="B89" s="108" t="s">
        <v>7203</v>
      </c>
    </row>
    <row r="90" spans="2:2" ht="14.4" x14ac:dyDescent="0.3">
      <c r="B90" s="108" t="s">
        <v>7204</v>
      </c>
    </row>
    <row r="91" spans="2:2" ht="14.4" x14ac:dyDescent="0.3">
      <c r="B91" s="108" t="s">
        <v>7205</v>
      </c>
    </row>
    <row r="92" spans="2:2" ht="14.4" x14ac:dyDescent="0.3">
      <c r="B92" s="108" t="s">
        <v>7206</v>
      </c>
    </row>
    <row r="93" spans="2:2" ht="16.2" x14ac:dyDescent="0.3">
      <c r="B93" s="108" t="s">
        <v>7218</v>
      </c>
    </row>
    <row r="94" spans="2:2" ht="14.4" x14ac:dyDescent="0.3">
      <c r="B94" s="108" t="s">
        <v>7207</v>
      </c>
    </row>
    <row r="95" spans="2:2" ht="16.2" x14ac:dyDescent="0.3">
      <c r="B95" s="108" t="s">
        <v>7219</v>
      </c>
    </row>
    <row r="96" spans="2:2" ht="14.4" x14ac:dyDescent="0.3">
      <c r="B96" s="108" t="s">
        <v>7208</v>
      </c>
    </row>
    <row r="97" spans="2:8" ht="14.4" x14ac:dyDescent="0.3">
      <c r="B97" s="108" t="s">
        <v>7209</v>
      </c>
    </row>
    <row r="98" spans="2:8" ht="14.4" x14ac:dyDescent="0.3">
      <c r="B98" s="108" t="s">
        <v>634</v>
      </c>
    </row>
    <row r="99" spans="2:8" ht="14.4" x14ac:dyDescent="0.3"/>
    <row r="100" spans="2:8" ht="14.4" x14ac:dyDescent="0.3">
      <c r="B100" s="114" t="s">
        <v>620</v>
      </c>
    </row>
    <row r="101" spans="2:8" ht="14.4" x14ac:dyDescent="0.3"/>
    <row r="102" spans="2:8" ht="14.4" x14ac:dyDescent="0.3">
      <c r="B102" s="115" t="s">
        <v>621</v>
      </c>
      <c r="C102" s="115"/>
      <c r="D102" s="115"/>
      <c r="E102" s="115"/>
      <c r="F102" s="115"/>
      <c r="G102" s="115"/>
      <c r="H102" s="115"/>
    </row>
    <row r="103" spans="2:8" ht="14.4" x14ac:dyDescent="0.3">
      <c r="B103" s="116" t="s">
        <v>622</v>
      </c>
      <c r="C103" s="117"/>
      <c r="D103" s="117"/>
      <c r="E103" s="117"/>
      <c r="F103" s="117"/>
      <c r="G103" s="117"/>
      <c r="H103" s="117"/>
    </row>
    <row r="104" spans="2:8" ht="14.4" x14ac:dyDescent="0.3">
      <c r="B104" s="118" t="s">
        <v>623</v>
      </c>
      <c r="C104" s="118"/>
      <c r="D104" s="118"/>
      <c r="E104" s="118"/>
      <c r="F104" s="118"/>
      <c r="G104" s="118"/>
      <c r="H104" s="118"/>
    </row>
    <row r="105" spans="2:8" ht="14.4" x14ac:dyDescent="0.3">
      <c r="B105" s="119" t="s">
        <v>624</v>
      </c>
      <c r="C105" s="119"/>
      <c r="D105" s="119"/>
      <c r="E105" s="119"/>
      <c r="F105" s="119"/>
      <c r="G105" s="119"/>
      <c r="H105" s="119"/>
    </row>
    <row r="106" spans="2:8" ht="14.4" x14ac:dyDescent="0.3">
      <c r="B106" s="120" t="s">
        <v>625</v>
      </c>
      <c r="C106" s="120"/>
      <c r="D106" s="120"/>
      <c r="E106" s="120"/>
      <c r="F106" s="120"/>
      <c r="G106" s="120"/>
      <c r="H106" s="120"/>
    </row>
    <row r="107" spans="2:8" ht="14.4" x14ac:dyDescent="0.3">
      <c r="B107" s="111"/>
    </row>
    <row r="108" spans="2:8" ht="14.4" x14ac:dyDescent="0.3">
      <c r="B108" s="121"/>
    </row>
    <row r="109" spans="2:8" ht="14.4" x14ac:dyDescent="0.3"/>
    <row r="110" spans="2:8" ht="14.4" x14ac:dyDescent="0.3"/>
    <row r="111" spans="2:8" ht="14.4" x14ac:dyDescent="0.3"/>
    <row r="112" spans="2:8" ht="14.4" x14ac:dyDescent="0.3"/>
    <row r="113" s="98" customFormat="1" ht="14.4" x14ac:dyDescent="0.3"/>
    <row r="114" s="98" customFormat="1" ht="14.4" x14ac:dyDescent="0.3"/>
    <row r="115" s="98" customFormat="1" ht="14.4" x14ac:dyDescent="0.3"/>
    <row r="116" s="98" customFormat="1" ht="14.4" x14ac:dyDescent="0.3"/>
    <row r="117" s="98" customFormat="1" ht="14.4" x14ac:dyDescent="0.3"/>
    <row r="118" s="98" customFormat="1" ht="15" customHeight="1" x14ac:dyDescent="0.3"/>
    <row r="119" s="98" customFormat="1" ht="15" customHeight="1" x14ac:dyDescent="0.3"/>
    <row r="120" s="98" customFormat="1" ht="15" customHeight="1" x14ac:dyDescent="0.3"/>
    <row r="121" s="98" customFormat="1" ht="15" customHeight="1" x14ac:dyDescent="0.3"/>
    <row r="122" s="98" customFormat="1" ht="15" customHeight="1" x14ac:dyDescent="0.3"/>
    <row r="123" s="98" customFormat="1" ht="15" customHeight="1" x14ac:dyDescent="0.3"/>
  </sheetData>
  <mergeCells count="2">
    <mergeCell ref="B71:W72"/>
    <mergeCell ref="B75:X76"/>
  </mergeCells>
  <conditionalFormatting sqref="B104">
    <cfRule type="expression" dxfId="1082" priority="8" stopIfTrue="1">
      <formula>#REF!="Confidential"</formula>
    </cfRule>
  </conditionalFormatting>
  <conditionalFormatting sqref="B106">
    <cfRule type="expression" dxfId="1081" priority="7" stopIfTrue="1">
      <formula>#REF!="Confidential"</formula>
    </cfRule>
  </conditionalFormatting>
  <conditionalFormatting sqref="C104">
    <cfRule type="expression" dxfId="1080" priority="6" stopIfTrue="1">
      <formula>#REF!="Confidential"</formula>
    </cfRule>
  </conditionalFormatting>
  <conditionalFormatting sqref="C106:H106">
    <cfRule type="expression" dxfId="1079" priority="1" stopIfTrue="1">
      <formula>#REF!="Confidential"</formula>
    </cfRule>
  </conditionalFormatting>
  <conditionalFormatting sqref="D104:H104">
    <cfRule type="expression" dxfId="1078" priority="2"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5DD8E-B19F-4231-8A7A-3F6023D29456}">
  <sheetPr>
    <tabColor rgb="FF004BFF"/>
  </sheetPr>
  <dimension ref="A1:AI2003"/>
  <sheetViews>
    <sheetView tabSelected="1" zoomScale="55" zoomScaleNormal="55" workbookViewId="0">
      <selection activeCell="A9" sqref="A9"/>
    </sheetView>
  </sheetViews>
  <sheetFormatPr defaultColWidth="0" defaultRowHeight="14.4" x14ac:dyDescent="0.3"/>
  <cols>
    <col min="1" max="1" width="11.77734375" style="50" customWidth="1"/>
    <col min="2" max="2" width="63.44140625" style="50" customWidth="1"/>
    <col min="3" max="3" width="10.44140625" style="50" customWidth="1"/>
    <col min="4" max="5" width="5.5546875" style="50" customWidth="1"/>
    <col min="6" max="6" width="14.5546875" style="50" customWidth="1"/>
    <col min="7" max="7" width="16.44140625" style="50" customWidth="1"/>
    <col min="8" max="8" width="20" style="50" customWidth="1"/>
    <col min="9" max="10" width="19.5546875" style="50" customWidth="1"/>
    <col min="11" max="11" width="8.5546875" style="50" customWidth="1"/>
    <col min="12" max="25" width="3.5546875" style="50" customWidth="1"/>
    <col min="26" max="26" width="25.77734375" style="50" customWidth="1"/>
    <col min="27" max="27" width="14.44140625" style="87" customWidth="1"/>
    <col min="28" max="29" width="14.44140625" style="88" customWidth="1"/>
    <col min="30" max="30" width="21.44140625" style="88" customWidth="1"/>
    <col min="31" max="31" width="12.5546875" style="88" customWidth="1"/>
    <col min="32" max="32" width="15.21875" style="89" customWidth="1"/>
    <col min="33" max="33" width="8.5546875" style="50" hidden="1" customWidth="1"/>
    <col min="34" max="35" width="8.5546875" hidden="1" customWidth="1"/>
    <col min="36" max="16384" width="8.5546875" style="50" hidden="1"/>
  </cols>
  <sheetData>
    <row r="1" spans="1:35" s="44" customFormat="1" ht="98.1" customHeight="1" x14ac:dyDescent="0.3">
      <c r="A1" s="126" t="s">
        <v>5059</v>
      </c>
      <c r="B1" s="126" t="s">
        <v>7228</v>
      </c>
      <c r="C1" s="126" t="s">
        <v>0</v>
      </c>
      <c r="D1" s="127" t="s">
        <v>644</v>
      </c>
      <c r="E1" s="127" t="s">
        <v>645</v>
      </c>
      <c r="F1" s="126" t="s">
        <v>142</v>
      </c>
      <c r="G1" s="33" t="s">
        <v>646</v>
      </c>
      <c r="H1" s="94" t="s">
        <v>649</v>
      </c>
      <c r="I1" s="94" t="s">
        <v>650</v>
      </c>
      <c r="J1" s="94" t="s">
        <v>651</v>
      </c>
      <c r="K1" s="35" t="s">
        <v>70</v>
      </c>
      <c r="L1" s="34" t="s">
        <v>191</v>
      </c>
      <c r="M1" s="34" t="s">
        <v>141</v>
      </c>
      <c r="N1" s="34" t="s">
        <v>170</v>
      </c>
      <c r="O1" s="34" t="s">
        <v>219</v>
      </c>
      <c r="P1" s="34" t="s">
        <v>220</v>
      </c>
      <c r="Q1" s="34" t="s">
        <v>221</v>
      </c>
      <c r="R1" s="34" t="s">
        <v>222</v>
      </c>
      <c r="S1" s="34" t="s">
        <v>230</v>
      </c>
      <c r="T1" s="34" t="s">
        <v>223</v>
      </c>
      <c r="U1" s="34" t="s">
        <v>224</v>
      </c>
      <c r="V1" s="34" t="s">
        <v>274</v>
      </c>
      <c r="W1" s="34" t="s">
        <v>167</v>
      </c>
      <c r="X1" s="34" t="s">
        <v>652</v>
      </c>
      <c r="Y1" s="34" t="s">
        <v>653</v>
      </c>
      <c r="Z1" s="35" t="s">
        <v>647</v>
      </c>
      <c r="AA1" s="33" t="s">
        <v>654</v>
      </c>
      <c r="AB1" s="33" t="s">
        <v>7229</v>
      </c>
      <c r="AC1" s="33" t="s">
        <v>655</v>
      </c>
      <c r="AD1" s="33" t="s">
        <v>656</v>
      </c>
      <c r="AE1" s="36" t="s">
        <v>7230</v>
      </c>
      <c r="AF1" s="36" t="s">
        <v>648</v>
      </c>
      <c r="AG1" s="45" t="s">
        <v>657</v>
      </c>
      <c r="AH1"/>
      <c r="AI1"/>
    </row>
    <row r="2" spans="1:35" ht="34.5" customHeight="1" x14ac:dyDescent="0.3">
      <c r="A2" s="46">
        <v>0</v>
      </c>
      <c r="B2" s="38" t="s">
        <v>659</v>
      </c>
      <c r="C2" s="38"/>
      <c r="D2" s="95"/>
      <c r="E2" s="95"/>
      <c r="F2" s="38" t="s">
        <v>153</v>
      </c>
      <c r="G2" s="38" t="s">
        <v>161</v>
      </c>
      <c r="H2" s="38"/>
      <c r="I2" s="38"/>
      <c r="J2" s="38"/>
      <c r="K2" s="38"/>
      <c r="L2" s="38"/>
      <c r="M2" s="38"/>
      <c r="N2" s="38"/>
      <c r="O2" s="38"/>
      <c r="P2" s="38"/>
      <c r="Q2" s="38"/>
      <c r="R2" s="38"/>
      <c r="S2" s="38"/>
      <c r="T2" s="38"/>
      <c r="U2" s="38"/>
      <c r="V2" s="38"/>
      <c r="W2" s="38"/>
      <c r="X2" s="38"/>
      <c r="Y2" s="38"/>
      <c r="Z2" s="47" t="s">
        <v>660</v>
      </c>
      <c r="AA2" s="38"/>
      <c r="AB2" s="48">
        <f>IF(OR(G2="ALK",G2="PEM",G2="SOEC",G2="Other Electrolysis"),
AA2/VLOOKUP(G2,ElectrolysisConvF,3,FALSE),
AC2*10^6/(H2dens*HoursInYear))</f>
        <v>3535952.2382448437</v>
      </c>
      <c r="AC2" s="48">
        <v>2756.76980302521</v>
      </c>
      <c r="AD2" s="38"/>
      <c r="AE2" s="48">
        <f>IF(AND(G2&lt;&gt;"NG w CCUS",G2&lt;&gt;"Oil w CCUS",G2&lt;&gt;"Coal w CCUS"),AB2,AD2*10^3/(HoursInYear*IF(G2="NG w CCUS",0.9105,1.9075)))</f>
        <v>0</v>
      </c>
      <c r="AF2" s="38"/>
      <c r="AG2" s="49"/>
    </row>
    <row r="3" spans="1:35" ht="34.5" customHeight="1" x14ac:dyDescent="0.3">
      <c r="A3" s="46">
        <v>0</v>
      </c>
      <c r="B3" s="38" t="s">
        <v>659</v>
      </c>
      <c r="C3" s="38"/>
      <c r="D3" s="95"/>
      <c r="E3" s="95"/>
      <c r="F3" s="38" t="s">
        <v>153</v>
      </c>
      <c r="G3" s="38" t="s">
        <v>153</v>
      </c>
      <c r="H3" s="38" t="s">
        <v>661</v>
      </c>
      <c r="I3" s="38"/>
      <c r="J3" s="38"/>
      <c r="K3" s="38"/>
      <c r="L3" s="38"/>
      <c r="M3" s="38"/>
      <c r="N3" s="38"/>
      <c r="O3" s="38"/>
      <c r="P3" s="38"/>
      <c r="Q3" s="38"/>
      <c r="R3" s="38"/>
      <c r="S3" s="38"/>
      <c r="T3" s="38"/>
      <c r="U3" s="38"/>
      <c r="V3" s="38"/>
      <c r="W3" s="38"/>
      <c r="X3" s="38"/>
      <c r="Y3" s="38"/>
      <c r="Z3" s="47" t="s">
        <v>662</v>
      </c>
      <c r="AA3" s="38"/>
      <c r="AB3" s="48">
        <f>IF(OR(G3="ALK",G3="PEM",G3="SOEC",G3="Other Electrolysis"),
AA3/VLOOKUP(G3,ElectrolysisConvF,3,FALSE),
AC3*10^6/(H2dens*HoursInYear))</f>
        <v>625564.8931191857</v>
      </c>
      <c r="AC3" s="48">
        <v>487.71541327144195</v>
      </c>
      <c r="AD3" s="38"/>
      <c r="AE3" s="48">
        <v>0</v>
      </c>
      <c r="AF3" s="38"/>
      <c r="AG3" s="49"/>
    </row>
    <row r="4" spans="1:35" ht="34.5" customHeight="1" x14ac:dyDescent="0.3">
      <c r="A4" s="46">
        <v>0</v>
      </c>
      <c r="B4" s="38" t="s">
        <v>659</v>
      </c>
      <c r="C4" s="38"/>
      <c r="D4" s="95"/>
      <c r="E4" s="95"/>
      <c r="F4" s="38" t="s">
        <v>153</v>
      </c>
      <c r="G4" s="38" t="s">
        <v>159</v>
      </c>
      <c r="H4" s="38" t="s">
        <v>661</v>
      </c>
      <c r="I4" s="38"/>
      <c r="J4" s="38"/>
      <c r="K4" s="38"/>
      <c r="L4" s="38"/>
      <c r="M4" s="38"/>
      <c r="N4" s="38"/>
      <c r="O4" s="38"/>
      <c r="P4" s="38"/>
      <c r="Q4" s="38"/>
      <c r="R4" s="38"/>
      <c r="S4" s="38"/>
      <c r="T4" s="38"/>
      <c r="U4" s="38"/>
      <c r="V4" s="38"/>
      <c r="W4" s="38"/>
      <c r="X4" s="38"/>
      <c r="Y4" s="38"/>
      <c r="Z4" s="47" t="s">
        <v>663</v>
      </c>
      <c r="AA4" s="48">
        <v>16485.330717868739</v>
      </c>
      <c r="AB4" s="48">
        <f>IF(OR(G4="ALK",G4="PEM",G4="SOEC",G4="Other Electrolysis"),
AA4/VLOOKUP(G4,ElectrolysisConvF,3,FALSE),
AC4*10^6/(H2dens*HoursInYear))</f>
        <v>3663406.8261930533</v>
      </c>
      <c r="AC4" s="48">
        <f>AB4*H2dens*HoursInYear/10^6</f>
        <v>2856.138497973152</v>
      </c>
      <c r="AD4" s="38"/>
      <c r="AE4" s="48">
        <f>IF(AND(G4&lt;&gt;"NG w CCUS",G4&lt;&gt;"Oil w CCUS",G4&lt;&gt;"Coal w CCUS"),AB4,AD4*10^3/(HoursInYear*IF(G4="NG w CCUS",0.9105,1.9075)))</f>
        <v>3663406.8261930533</v>
      </c>
      <c r="AF4" s="38"/>
      <c r="AG4" s="49"/>
    </row>
    <row r="5" spans="1:35" ht="34.5" customHeight="1" x14ac:dyDescent="0.3">
      <c r="A5" s="46">
        <v>0</v>
      </c>
      <c r="B5" s="38" t="s">
        <v>664</v>
      </c>
      <c r="C5" s="38"/>
      <c r="D5" s="95"/>
      <c r="E5" s="95"/>
      <c r="F5" s="38" t="s">
        <v>226</v>
      </c>
      <c r="G5" s="38" t="s">
        <v>1</v>
      </c>
      <c r="H5" s="38"/>
      <c r="I5" s="38"/>
      <c r="J5" s="38"/>
      <c r="K5" s="38"/>
      <c r="L5" s="38"/>
      <c r="M5" s="38"/>
      <c r="N5" s="38"/>
      <c r="O5" s="38"/>
      <c r="P5" s="38"/>
      <c r="Q5" s="38"/>
      <c r="R5" s="38"/>
      <c r="S5" s="38"/>
      <c r="T5" s="38"/>
      <c r="U5" s="38"/>
      <c r="V5" s="38"/>
      <c r="W5" s="38"/>
      <c r="X5" s="38"/>
      <c r="Y5" s="38"/>
      <c r="Z5" s="47" t="s">
        <v>665</v>
      </c>
      <c r="AA5" s="48">
        <v>6.5413999999999994</v>
      </c>
      <c r="AB5" s="48">
        <f>IF(OR(G5="ALK",G5="PEM",G5="SOEC",G5="Other Electrolysis"),
AA5/VLOOKUP(G5,ElectrolysisConvF,3,FALSE),
AC5*10^6/(H2dens*HoursInYear))</f>
        <v>1257.9615384615383</v>
      </c>
      <c r="AC5" s="48">
        <f>AB5*H2dens*HoursInYear/10^6</f>
        <v>0.98075713384615371</v>
      </c>
      <c r="AD5" s="38"/>
      <c r="AE5" s="48">
        <f>IF(AND(G5&lt;&gt;"NG w CCUS",G5&lt;&gt;"Oil w CCUS",G5&lt;&gt;"Coal w CCUS"),AB5,AD5*10^3/(HoursInYear*IF(G5="NG w CCUS",0.9105,1.9075)))</f>
        <v>1257.9615384615383</v>
      </c>
      <c r="AF5" s="38"/>
      <c r="AG5" s="49"/>
    </row>
    <row r="6" spans="1:35" ht="34.5" customHeight="1" x14ac:dyDescent="0.3">
      <c r="A6" s="46">
        <v>0</v>
      </c>
      <c r="B6" s="38" t="s">
        <v>664</v>
      </c>
      <c r="C6" s="38"/>
      <c r="D6" s="95"/>
      <c r="E6" s="95"/>
      <c r="F6" s="38" t="s">
        <v>226</v>
      </c>
      <c r="G6" s="38" t="s">
        <v>3</v>
      </c>
      <c r="H6" s="38"/>
      <c r="I6" s="38"/>
      <c r="J6" s="38"/>
      <c r="K6" s="38"/>
      <c r="L6" s="38"/>
      <c r="M6" s="38"/>
      <c r="N6" s="38"/>
      <c r="O6" s="38"/>
      <c r="P6" s="38"/>
      <c r="Q6" s="38"/>
      <c r="R6" s="38"/>
      <c r="S6" s="38"/>
      <c r="T6" s="38"/>
      <c r="U6" s="38"/>
      <c r="V6" s="38"/>
      <c r="W6" s="38"/>
      <c r="X6" s="38"/>
      <c r="Y6" s="38"/>
      <c r="Z6" s="47" t="s">
        <v>666</v>
      </c>
      <c r="AA6" s="48">
        <v>58.690568323841745</v>
      </c>
      <c r="AB6" s="48">
        <f>IF(OR(G6="ALK",G6="PEM",G6="SOEC",G6="Other Electrolysis"),
AA6/VLOOKUP(G6,ElectrolysisConvF,3,FALSE),
AC6*10^6/(H2dens*HoursInYear))</f>
        <v>12758.819200835162</v>
      </c>
      <c r="AC6" s="48">
        <f>AB6*H2dens*HoursInYear/10^6</f>
        <v>9.9472858017391257</v>
      </c>
      <c r="AD6" s="38"/>
      <c r="AE6" s="48">
        <f>IF(AND(G6&lt;&gt;"NG w CCUS",G6&lt;&gt;"Oil w CCUS",G6&lt;&gt;"Coal w CCUS"),AB6,AD6*10^3/(HoursInYear*IF(G6="NG w CCUS",0.9105,1.9075)))</f>
        <v>12758.819200835162</v>
      </c>
      <c r="AF6" s="38"/>
      <c r="AG6" s="49"/>
    </row>
    <row r="7" spans="1:35" ht="34.5" customHeight="1" x14ac:dyDescent="0.3">
      <c r="A7" s="46">
        <v>0</v>
      </c>
      <c r="B7" s="43" t="s">
        <v>667</v>
      </c>
      <c r="C7" s="43"/>
      <c r="D7" s="96"/>
      <c r="E7" s="96"/>
      <c r="F7" s="43" t="s">
        <v>226</v>
      </c>
      <c r="G7" s="43" t="s">
        <v>3</v>
      </c>
      <c r="H7" s="43"/>
      <c r="I7" s="43"/>
      <c r="J7" s="43"/>
      <c r="K7" s="43"/>
      <c r="L7" s="43"/>
      <c r="M7" s="43"/>
      <c r="N7" s="43"/>
      <c r="O7" s="43"/>
      <c r="P7" s="43"/>
      <c r="Q7" s="43"/>
      <c r="R7" s="43"/>
      <c r="S7" s="43"/>
      <c r="T7" s="43"/>
      <c r="U7" s="43"/>
      <c r="V7" s="43"/>
      <c r="W7" s="43"/>
      <c r="X7" s="43"/>
      <c r="Y7" s="43"/>
      <c r="Z7" s="51" t="s">
        <v>668</v>
      </c>
      <c r="AA7" s="52">
        <v>78.393800000000098</v>
      </c>
      <c r="AB7" s="43"/>
      <c r="AC7" s="43"/>
      <c r="AD7" s="43"/>
      <c r="AE7" s="52">
        <f t="shared" ref="AE7:AE8" si="0">AB7</f>
        <v>0</v>
      </c>
      <c r="AF7" s="43"/>
      <c r="AG7" s="43"/>
    </row>
    <row r="8" spans="1:35" ht="34.5" customHeight="1" x14ac:dyDescent="0.3">
      <c r="A8" s="46">
        <v>1</v>
      </c>
      <c r="B8" s="43" t="s">
        <v>669</v>
      </c>
      <c r="C8" s="43"/>
      <c r="D8" s="96"/>
      <c r="E8" s="96"/>
      <c r="F8" s="43" t="s">
        <v>153</v>
      </c>
      <c r="G8" s="43" t="s">
        <v>3</v>
      </c>
      <c r="H8" s="43"/>
      <c r="I8" s="43"/>
      <c r="J8" s="43"/>
      <c r="K8" s="43"/>
      <c r="L8" s="43"/>
      <c r="M8" s="43"/>
      <c r="N8" s="43"/>
      <c r="O8" s="43"/>
      <c r="P8" s="43"/>
      <c r="Q8" s="43"/>
      <c r="R8" s="43"/>
      <c r="S8" s="43"/>
      <c r="T8" s="43"/>
      <c r="U8" s="43"/>
      <c r="V8" s="43"/>
      <c r="W8" s="43"/>
      <c r="X8" s="43"/>
      <c r="Y8" s="43"/>
      <c r="Z8" s="51" t="s">
        <v>670</v>
      </c>
      <c r="AA8" s="52">
        <v>0</v>
      </c>
      <c r="AB8" s="43"/>
      <c r="AC8" s="43"/>
      <c r="AD8" s="43"/>
      <c r="AE8" s="52">
        <f t="shared" si="0"/>
        <v>0</v>
      </c>
      <c r="AF8" s="43"/>
      <c r="AG8" s="43"/>
    </row>
    <row r="9" spans="1:35" s="59" customFormat="1" ht="34.5" customHeight="1" x14ac:dyDescent="0.3">
      <c r="A9" s="46">
        <v>2</v>
      </c>
      <c r="B9" s="53" t="s">
        <v>671</v>
      </c>
      <c r="C9" s="53" t="s">
        <v>318</v>
      </c>
      <c r="D9" s="54">
        <v>2030</v>
      </c>
      <c r="E9" s="54"/>
      <c r="F9" s="53" t="s">
        <v>225</v>
      </c>
      <c r="G9" s="53" t="s">
        <v>159</v>
      </c>
      <c r="H9" s="53" t="s">
        <v>592</v>
      </c>
      <c r="I9" s="53" t="s">
        <v>169</v>
      </c>
      <c r="J9" s="53" t="s">
        <v>246</v>
      </c>
      <c r="K9" s="53" t="s">
        <v>68</v>
      </c>
      <c r="L9" s="53"/>
      <c r="M9" s="53"/>
      <c r="N9" s="53"/>
      <c r="O9" s="53"/>
      <c r="P9" s="53"/>
      <c r="Q9" s="53"/>
      <c r="R9" s="53"/>
      <c r="S9" s="53"/>
      <c r="T9" s="53"/>
      <c r="U9" s="53"/>
      <c r="V9" s="53"/>
      <c r="W9" s="53"/>
      <c r="X9" s="53"/>
      <c r="Y9" s="53"/>
      <c r="Z9" s="55" t="s">
        <v>672</v>
      </c>
      <c r="AA9" s="55"/>
      <c r="AB9" s="56"/>
      <c r="AC9" s="57"/>
      <c r="AD9" s="56"/>
      <c r="AE9" s="56"/>
      <c r="AF9" s="58" t="s">
        <v>673</v>
      </c>
      <c r="AG9" s="49">
        <v>0.55000000000000004</v>
      </c>
      <c r="AH9"/>
      <c r="AI9"/>
    </row>
    <row r="10" spans="1:35" ht="34.5" customHeight="1" x14ac:dyDescent="0.3">
      <c r="A10" s="46">
        <v>3</v>
      </c>
      <c r="B10" s="60" t="s">
        <v>674</v>
      </c>
      <c r="C10" s="46" t="s">
        <v>50</v>
      </c>
      <c r="D10" s="60">
        <v>2023</v>
      </c>
      <c r="E10" s="60"/>
      <c r="F10" s="46" t="s">
        <v>675</v>
      </c>
      <c r="G10" s="46" t="s">
        <v>159</v>
      </c>
      <c r="H10" s="46" t="s">
        <v>592</v>
      </c>
      <c r="I10" s="46" t="s">
        <v>169</v>
      </c>
      <c r="J10" s="46" t="s">
        <v>248</v>
      </c>
      <c r="K10" s="46" t="s">
        <v>68</v>
      </c>
      <c r="L10" s="46"/>
      <c r="M10" s="46"/>
      <c r="N10" s="46"/>
      <c r="O10" s="46"/>
      <c r="P10" s="46"/>
      <c r="Q10" s="46">
        <v>1</v>
      </c>
      <c r="R10" s="46"/>
      <c r="S10" s="46"/>
      <c r="T10" s="46"/>
      <c r="U10" s="46"/>
      <c r="V10" s="46"/>
      <c r="W10" s="46"/>
      <c r="X10" s="46"/>
      <c r="Y10" s="46"/>
      <c r="Z10" s="61" t="s">
        <v>676</v>
      </c>
      <c r="AA10" s="61">
        <v>2.5</v>
      </c>
      <c r="AB10" s="62">
        <f>AA10/0.0045</f>
        <v>555.55555555555554</v>
      </c>
      <c r="AC10" s="63">
        <f>AB10*H2dens*HoursInYear/10^6</f>
        <v>0.43313333333333331</v>
      </c>
      <c r="AD10" s="62"/>
      <c r="AE10" s="62">
        <f t="shared" ref="AE10:AE73" si="1">AB10</f>
        <v>555.55555555555554</v>
      </c>
      <c r="AF10" s="64" t="s">
        <v>677</v>
      </c>
      <c r="AG10" s="49">
        <v>0.5</v>
      </c>
    </row>
    <row r="11" spans="1:35" ht="34.5" customHeight="1" x14ac:dyDescent="0.3">
      <c r="A11" s="46">
        <v>4</v>
      </c>
      <c r="B11" s="46" t="s">
        <v>678</v>
      </c>
      <c r="C11" s="46" t="s">
        <v>50</v>
      </c>
      <c r="D11" s="60">
        <v>2030</v>
      </c>
      <c r="E11" s="60"/>
      <c r="F11" s="46" t="s">
        <v>591</v>
      </c>
      <c r="G11" s="46" t="s">
        <v>159</v>
      </c>
      <c r="H11" s="46" t="s">
        <v>592</v>
      </c>
      <c r="I11" s="46" t="s">
        <v>169</v>
      </c>
      <c r="J11" s="46" t="s">
        <v>248</v>
      </c>
      <c r="K11" s="46" t="s">
        <v>68</v>
      </c>
      <c r="L11" s="46"/>
      <c r="M11" s="46"/>
      <c r="N11" s="46"/>
      <c r="O11" s="46"/>
      <c r="P11" s="46"/>
      <c r="Q11" s="46">
        <v>1</v>
      </c>
      <c r="R11" s="46"/>
      <c r="S11" s="46"/>
      <c r="T11" s="46"/>
      <c r="U11" s="46"/>
      <c r="V11" s="46"/>
      <c r="W11" s="46"/>
      <c r="X11" s="46"/>
      <c r="Y11" s="46"/>
      <c r="Z11" s="61" t="s">
        <v>679</v>
      </c>
      <c r="AA11" s="61">
        <v>23.5</v>
      </c>
      <c r="AB11" s="62">
        <f>AA11/0.0045</f>
        <v>5222.2222222222226</v>
      </c>
      <c r="AC11" s="63">
        <f>AB11*H2dens*HoursInYear/10^6</f>
        <v>4.0714533333333334</v>
      </c>
      <c r="AD11" s="62"/>
      <c r="AE11" s="62">
        <f t="shared" si="1"/>
        <v>5222.2222222222226</v>
      </c>
      <c r="AF11" s="64" t="s">
        <v>677</v>
      </c>
      <c r="AG11" s="49">
        <v>0.5</v>
      </c>
    </row>
    <row r="12" spans="1:35" ht="34.5" customHeight="1" x14ac:dyDescent="0.3">
      <c r="A12" s="46">
        <v>5</v>
      </c>
      <c r="B12" s="46" t="s">
        <v>680</v>
      </c>
      <c r="C12" s="46" t="s">
        <v>50</v>
      </c>
      <c r="D12" s="60">
        <v>2030</v>
      </c>
      <c r="E12" s="60"/>
      <c r="F12" s="46" t="s">
        <v>225</v>
      </c>
      <c r="G12" s="46" t="s">
        <v>159</v>
      </c>
      <c r="H12" s="46" t="s">
        <v>592</v>
      </c>
      <c r="I12" s="46" t="s">
        <v>169</v>
      </c>
      <c r="J12" s="46" t="s">
        <v>246</v>
      </c>
      <c r="K12" s="46" t="s">
        <v>68</v>
      </c>
      <c r="L12" s="46">
        <v>1</v>
      </c>
      <c r="M12" s="46"/>
      <c r="N12" s="46"/>
      <c r="O12" s="46"/>
      <c r="P12" s="46">
        <v>1</v>
      </c>
      <c r="Q12" s="46"/>
      <c r="R12" s="46"/>
      <c r="S12" s="46"/>
      <c r="T12" s="46"/>
      <c r="U12" s="46"/>
      <c r="V12" s="46"/>
      <c r="W12" s="46"/>
      <c r="X12" s="46"/>
      <c r="Y12" s="46"/>
      <c r="Z12" s="61" t="s">
        <v>681</v>
      </c>
      <c r="AA12" s="61">
        <v>4000</v>
      </c>
      <c r="AB12" s="62">
        <f>AA12/0.0045</f>
        <v>888888.88888888899</v>
      </c>
      <c r="AC12" s="63">
        <f>AB12*H2dens*HoursInYear/10^6</f>
        <v>693.01333333333332</v>
      </c>
      <c r="AD12" s="62"/>
      <c r="AE12" s="62">
        <f t="shared" si="1"/>
        <v>888888.88888888899</v>
      </c>
      <c r="AF12" s="64" t="s">
        <v>682</v>
      </c>
      <c r="AG12" s="49">
        <v>0.55000000000000004</v>
      </c>
    </row>
    <row r="13" spans="1:35" ht="34.5" customHeight="1" x14ac:dyDescent="0.3">
      <c r="A13" s="46">
        <v>6</v>
      </c>
      <c r="B13" s="46" t="s">
        <v>683</v>
      </c>
      <c r="C13" s="46" t="s">
        <v>35</v>
      </c>
      <c r="D13" s="60">
        <v>2026</v>
      </c>
      <c r="E13" s="60"/>
      <c r="F13" s="46" t="s">
        <v>675</v>
      </c>
      <c r="G13" s="46" t="s">
        <v>2</v>
      </c>
      <c r="H13" s="46"/>
      <c r="I13" s="46" t="s">
        <v>169</v>
      </c>
      <c r="J13" s="46" t="s">
        <v>248</v>
      </c>
      <c r="K13" s="46" t="s">
        <v>167</v>
      </c>
      <c r="L13" s="46"/>
      <c r="M13" s="46"/>
      <c r="N13" s="46"/>
      <c r="O13" s="46"/>
      <c r="P13" s="46"/>
      <c r="Q13" s="46"/>
      <c r="R13" s="46"/>
      <c r="S13" s="46"/>
      <c r="T13" s="46"/>
      <c r="U13" s="46"/>
      <c r="V13" s="46"/>
      <c r="W13" s="46">
        <v>1</v>
      </c>
      <c r="X13" s="46"/>
      <c r="Y13" s="46"/>
      <c r="Z13" s="65" t="s">
        <v>684</v>
      </c>
      <c r="AA13" s="61">
        <f>IF(OR(G13="ALK",G13="PEM",G13="SOEC",G13="Other Electrolysis"),
AB13*VLOOKUP(G13,ElectrolysisConvF,3,FALSE),
"")</f>
        <v>50.263583192242578</v>
      </c>
      <c r="AB13" s="62">
        <f>AC13/(H2dens*HoursInYear/10^6)</f>
        <v>13227.258734800678</v>
      </c>
      <c r="AC13" s="63">
        <f>12.5*0.803*0.045/0.73/0.12/H2ProjectDB4578610[[#This Row],[Column33]]</f>
        <v>10.3125</v>
      </c>
      <c r="AD13" s="62"/>
      <c r="AE13" s="62">
        <f t="shared" si="1"/>
        <v>13227.258734800678</v>
      </c>
      <c r="AF13" s="64" t="s">
        <v>685</v>
      </c>
      <c r="AG13" s="49">
        <v>0.5</v>
      </c>
    </row>
    <row r="14" spans="1:35" ht="34.5" customHeight="1" x14ac:dyDescent="0.3">
      <c r="A14" s="46">
        <v>7</v>
      </c>
      <c r="B14" s="46" t="s">
        <v>686</v>
      </c>
      <c r="C14" s="46" t="s">
        <v>35</v>
      </c>
      <c r="D14" s="60">
        <v>2026</v>
      </c>
      <c r="E14" s="60"/>
      <c r="F14" s="46" t="s">
        <v>225</v>
      </c>
      <c r="G14" s="46" t="s">
        <v>2</v>
      </c>
      <c r="H14" s="46"/>
      <c r="I14" s="46" t="s">
        <v>169</v>
      </c>
      <c r="J14" s="46" t="s">
        <v>248</v>
      </c>
      <c r="K14" s="46" t="s">
        <v>167</v>
      </c>
      <c r="L14" s="46"/>
      <c r="M14" s="46"/>
      <c r="N14" s="46"/>
      <c r="O14" s="46"/>
      <c r="P14" s="46"/>
      <c r="Q14" s="46"/>
      <c r="R14" s="46"/>
      <c r="S14" s="46"/>
      <c r="T14" s="46"/>
      <c r="U14" s="46"/>
      <c r="V14" s="46"/>
      <c r="W14" s="46">
        <v>1</v>
      </c>
      <c r="X14" s="46"/>
      <c r="Y14" s="46"/>
      <c r="Z14" s="65" t="s">
        <v>687</v>
      </c>
      <c r="AA14" s="61">
        <f>IF(OR(G14="ALK",G14="PEM",G14="SOEC",G14="Other Electrolysis"),
AB14*VLOOKUP(G14,ElectrolysisConvF,3,FALSE),
"")</f>
        <v>50.263583192242578</v>
      </c>
      <c r="AB14" s="62">
        <f>AC14/(H2dens*HoursInYear/10^6)</f>
        <v>13227.258734800678</v>
      </c>
      <c r="AC14" s="63">
        <f>12.5*0.803*0.045/0.73/0.12/H2ProjectDB4578610[[#This Row],[Column33]]</f>
        <v>10.3125</v>
      </c>
      <c r="AD14" s="62"/>
      <c r="AE14" s="62">
        <f t="shared" si="1"/>
        <v>13227.258734800678</v>
      </c>
      <c r="AF14" s="64" t="s">
        <v>688</v>
      </c>
      <c r="AG14" s="49">
        <v>0.5</v>
      </c>
    </row>
    <row r="15" spans="1:35" ht="34.35" customHeight="1" x14ac:dyDescent="0.3">
      <c r="A15" s="46">
        <v>8</v>
      </c>
      <c r="B15" s="46" t="s">
        <v>689</v>
      </c>
      <c r="C15" s="46" t="s">
        <v>63</v>
      </c>
      <c r="D15" s="60">
        <v>2021</v>
      </c>
      <c r="E15" s="60"/>
      <c r="F15" s="46" t="s">
        <v>226</v>
      </c>
      <c r="G15" s="46" t="s">
        <v>3</v>
      </c>
      <c r="H15" s="46"/>
      <c r="I15" s="46" t="s">
        <v>166</v>
      </c>
      <c r="J15" s="46"/>
      <c r="K15" s="46" t="s">
        <v>68</v>
      </c>
      <c r="L15" s="46"/>
      <c r="M15" s="46"/>
      <c r="N15" s="46"/>
      <c r="O15" s="46">
        <v>1</v>
      </c>
      <c r="P15" s="46"/>
      <c r="Q15" s="46"/>
      <c r="R15" s="46"/>
      <c r="S15" s="46"/>
      <c r="T15" s="46"/>
      <c r="U15" s="46"/>
      <c r="V15" s="46"/>
      <c r="W15" s="46"/>
      <c r="X15" s="46"/>
      <c r="Y15" s="46"/>
      <c r="Z15" s="61" t="s">
        <v>690</v>
      </c>
      <c r="AA15" s="61">
        <v>4.5</v>
      </c>
      <c r="AB15" s="62">
        <f>AA15/0.0046</f>
        <v>978.26086956521738</v>
      </c>
      <c r="AC15" s="63">
        <f>AB15*H2dens*HoursInYear/10^6</f>
        <v>0.76269130434782606</v>
      </c>
      <c r="AD15" s="62"/>
      <c r="AE15" s="62">
        <f t="shared" si="1"/>
        <v>978.26086956521738</v>
      </c>
      <c r="AF15" s="64" t="s">
        <v>691</v>
      </c>
      <c r="AG15" s="49">
        <v>0.56999999999999995</v>
      </c>
    </row>
    <row r="16" spans="1:35" ht="34.35" customHeight="1" x14ac:dyDescent="0.3">
      <c r="A16" s="46">
        <v>9</v>
      </c>
      <c r="B16" s="46" t="s">
        <v>692</v>
      </c>
      <c r="C16" s="46" t="s">
        <v>63</v>
      </c>
      <c r="D16" s="60">
        <v>2025</v>
      </c>
      <c r="E16" s="60"/>
      <c r="F16" s="46" t="s">
        <v>675</v>
      </c>
      <c r="G16" s="46" t="s">
        <v>3</v>
      </c>
      <c r="H16" s="46"/>
      <c r="I16" s="46" t="s">
        <v>166</v>
      </c>
      <c r="J16" s="46"/>
      <c r="K16" s="46" t="s">
        <v>68</v>
      </c>
      <c r="L16" s="46"/>
      <c r="M16" s="46"/>
      <c r="N16" s="46"/>
      <c r="O16" s="46">
        <v>1</v>
      </c>
      <c r="P16" s="46"/>
      <c r="Q16" s="46"/>
      <c r="R16" s="46"/>
      <c r="S16" s="46"/>
      <c r="T16" s="46"/>
      <c r="U16" s="46"/>
      <c r="V16" s="46"/>
      <c r="W16" s="46"/>
      <c r="X16" s="46"/>
      <c r="Y16" s="46"/>
      <c r="Z16" s="61" t="s">
        <v>693</v>
      </c>
      <c r="AA16" s="63">
        <v>500</v>
      </c>
      <c r="AB16" s="62">
        <f>IF(OR(G16="ALK",G16="PEM",G16="SOEC",G16="Other Electrolysis"),
AA16/VLOOKUP(G16,ElectrolysisConvF,3,FALSE),
AC16*10^6/(H2dens*HoursInYear))</f>
        <v>108695.65217391304</v>
      </c>
      <c r="AC16" s="63">
        <f>AB16*H2dens*HoursInYear/10^6</f>
        <v>84.743478260869566</v>
      </c>
      <c r="AD16" s="62"/>
      <c r="AE16" s="62">
        <f t="shared" si="1"/>
        <v>108695.65217391304</v>
      </c>
      <c r="AF16" s="64" t="s">
        <v>694</v>
      </c>
      <c r="AG16" s="49">
        <v>0.56999999999999995</v>
      </c>
    </row>
    <row r="17" spans="1:33" ht="34.35" customHeight="1" x14ac:dyDescent="0.3">
      <c r="A17" s="46">
        <v>10</v>
      </c>
      <c r="B17" s="46" t="s">
        <v>695</v>
      </c>
      <c r="C17" s="46" t="s">
        <v>321</v>
      </c>
      <c r="D17" s="60">
        <v>2022</v>
      </c>
      <c r="E17" s="60"/>
      <c r="F17" s="46" t="s">
        <v>226</v>
      </c>
      <c r="G17" s="46" t="s">
        <v>1</v>
      </c>
      <c r="H17" s="46"/>
      <c r="I17" s="46" t="s">
        <v>169</v>
      </c>
      <c r="J17" s="46" t="s">
        <v>244</v>
      </c>
      <c r="K17" s="46" t="s">
        <v>141</v>
      </c>
      <c r="L17" s="46"/>
      <c r="M17" s="46">
        <v>1</v>
      </c>
      <c r="N17" s="46"/>
      <c r="O17" s="46"/>
      <c r="P17" s="46"/>
      <c r="Q17" s="46"/>
      <c r="R17" s="46"/>
      <c r="S17" s="46"/>
      <c r="T17" s="46"/>
      <c r="U17" s="46"/>
      <c r="V17" s="46"/>
      <c r="W17" s="46"/>
      <c r="X17" s="46"/>
      <c r="Y17" s="46"/>
      <c r="Z17" s="61" t="s">
        <v>696</v>
      </c>
      <c r="AA17" s="61">
        <v>20</v>
      </c>
      <c r="AB17" s="62">
        <f>AA17/0.0052</f>
        <v>3846.1538461538462</v>
      </c>
      <c r="AC17" s="63">
        <f>AB17*H2dens*HoursInYear/10^6</f>
        <v>2.9986153846153845</v>
      </c>
      <c r="AD17" s="62"/>
      <c r="AE17" s="62">
        <f t="shared" si="1"/>
        <v>3846.1538461538462</v>
      </c>
      <c r="AF17" s="64" t="s">
        <v>697</v>
      </c>
      <c r="AG17" s="49">
        <v>0.3</v>
      </c>
    </row>
    <row r="18" spans="1:33" ht="34.5" customHeight="1" x14ac:dyDescent="0.3">
      <c r="A18" s="46">
        <v>11</v>
      </c>
      <c r="B18" s="46" t="s">
        <v>698</v>
      </c>
      <c r="C18" s="46" t="s">
        <v>321</v>
      </c>
      <c r="D18" s="60">
        <v>2022</v>
      </c>
      <c r="E18" s="60"/>
      <c r="F18" s="46" t="s">
        <v>226</v>
      </c>
      <c r="G18" s="46" t="s">
        <v>1</v>
      </c>
      <c r="H18" s="46"/>
      <c r="I18" s="46" t="s">
        <v>169</v>
      </c>
      <c r="J18" s="46" t="s">
        <v>244</v>
      </c>
      <c r="K18" s="46" t="s">
        <v>68</v>
      </c>
      <c r="L18" s="46"/>
      <c r="M18" s="46"/>
      <c r="N18" s="46"/>
      <c r="O18" s="46"/>
      <c r="P18" s="46"/>
      <c r="Q18" s="46">
        <v>1</v>
      </c>
      <c r="R18" s="46"/>
      <c r="S18" s="46">
        <v>1</v>
      </c>
      <c r="T18" s="46"/>
      <c r="U18" s="46"/>
      <c r="V18" s="46"/>
      <c r="W18" s="46"/>
      <c r="X18" s="46"/>
      <c r="Y18" s="46"/>
      <c r="Z18" s="61" t="s">
        <v>699</v>
      </c>
      <c r="AA18" s="61">
        <v>2.5</v>
      </c>
      <c r="AB18" s="62">
        <f>AA18/0.0052</f>
        <v>480.76923076923077</v>
      </c>
      <c r="AC18" s="63">
        <f>AB18*H2dens*HoursInYear/10^6</f>
        <v>0.37482692307692306</v>
      </c>
      <c r="AD18" s="62"/>
      <c r="AE18" s="62">
        <f t="shared" si="1"/>
        <v>480.76923076923077</v>
      </c>
      <c r="AF18" s="64" t="s">
        <v>700</v>
      </c>
      <c r="AG18" s="49">
        <v>0.3</v>
      </c>
    </row>
    <row r="19" spans="1:33" ht="34.5" customHeight="1" x14ac:dyDescent="0.3">
      <c r="A19" s="46">
        <v>12</v>
      </c>
      <c r="B19" s="46" t="s">
        <v>701</v>
      </c>
      <c r="C19" s="46" t="s">
        <v>321</v>
      </c>
      <c r="D19" s="60">
        <v>2025</v>
      </c>
      <c r="E19" s="60"/>
      <c r="F19" s="46" t="s">
        <v>675</v>
      </c>
      <c r="G19" s="46" t="s">
        <v>159</v>
      </c>
      <c r="H19" s="46" t="s">
        <v>592</v>
      </c>
      <c r="I19" s="46" t="s">
        <v>169</v>
      </c>
      <c r="J19" s="46" t="s">
        <v>244</v>
      </c>
      <c r="K19" s="46" t="s">
        <v>68</v>
      </c>
      <c r="L19" s="46"/>
      <c r="M19" s="46"/>
      <c r="N19" s="46"/>
      <c r="O19" s="46"/>
      <c r="P19" s="46"/>
      <c r="Q19" s="46">
        <v>1</v>
      </c>
      <c r="R19" s="46"/>
      <c r="S19" s="46">
        <v>1</v>
      </c>
      <c r="T19" s="46"/>
      <c r="U19" s="46"/>
      <c r="V19" s="46"/>
      <c r="W19" s="46"/>
      <c r="X19" s="46"/>
      <c r="Y19" s="46"/>
      <c r="Z19" s="61">
        <v>10</v>
      </c>
      <c r="AA19" s="61">
        <v>7.5</v>
      </c>
      <c r="AB19" s="62">
        <f>AA19/0.0045</f>
        <v>1666.6666666666667</v>
      </c>
      <c r="AC19" s="63">
        <f>AB19*H2dens*HoursInYear/10^6</f>
        <v>1.2994000000000001</v>
      </c>
      <c r="AD19" s="62"/>
      <c r="AE19" s="62">
        <f t="shared" si="1"/>
        <v>1666.6666666666667</v>
      </c>
      <c r="AF19" s="64" t="s">
        <v>702</v>
      </c>
      <c r="AG19" s="49">
        <v>0.3</v>
      </c>
    </row>
    <row r="20" spans="1:33" ht="34.5" customHeight="1" x14ac:dyDescent="0.3">
      <c r="A20" s="46">
        <v>14</v>
      </c>
      <c r="B20" s="46" t="s">
        <v>703</v>
      </c>
      <c r="C20" s="46" t="s">
        <v>35</v>
      </c>
      <c r="D20" s="60">
        <v>2025</v>
      </c>
      <c r="E20" s="60"/>
      <c r="F20" s="46" t="s">
        <v>225</v>
      </c>
      <c r="G20" s="46" t="s">
        <v>159</v>
      </c>
      <c r="H20" s="46" t="s">
        <v>592</v>
      </c>
      <c r="I20" s="46" t="s">
        <v>166</v>
      </c>
      <c r="J20" s="46"/>
      <c r="K20" s="46" t="s">
        <v>140</v>
      </c>
      <c r="L20" s="46"/>
      <c r="M20" s="46"/>
      <c r="N20" s="46">
        <v>1</v>
      </c>
      <c r="O20" s="46"/>
      <c r="P20" s="46"/>
      <c r="Q20" s="46"/>
      <c r="R20" s="46"/>
      <c r="S20" s="46"/>
      <c r="T20" s="46"/>
      <c r="U20" s="46"/>
      <c r="V20" s="46"/>
      <c r="W20" s="46"/>
      <c r="X20" s="46"/>
      <c r="Y20" s="46"/>
      <c r="Z20" s="61" t="s">
        <v>704</v>
      </c>
      <c r="AA20" s="62">
        <f>AB20*0.0045</f>
        <v>193.73975297530532</v>
      </c>
      <c r="AB20" s="62">
        <f>AC20/(0.089*24*365/10^6)</f>
        <v>43053.278438956739</v>
      </c>
      <c r="AC20" s="63">
        <f>100*6/32/0.98/H2ProjectDB4578610[[#This Row],[Column33]]</f>
        <v>33.566058002148232</v>
      </c>
      <c r="AD20" s="62"/>
      <c r="AE20" s="62">
        <f t="shared" si="1"/>
        <v>43053.278438956739</v>
      </c>
      <c r="AF20" s="64" t="s">
        <v>705</v>
      </c>
      <c r="AG20" s="49">
        <v>0.56999999999999995</v>
      </c>
    </row>
    <row r="21" spans="1:33" ht="34.35" customHeight="1" x14ac:dyDescent="0.3">
      <c r="A21" s="46">
        <v>15</v>
      </c>
      <c r="B21" s="46" t="s">
        <v>706</v>
      </c>
      <c r="C21" s="46" t="s">
        <v>40</v>
      </c>
      <c r="D21" s="60">
        <v>2022</v>
      </c>
      <c r="E21" s="60"/>
      <c r="F21" s="46" t="s">
        <v>285</v>
      </c>
      <c r="G21" s="46" t="s">
        <v>1</v>
      </c>
      <c r="H21" s="46"/>
      <c r="I21" s="46" t="s">
        <v>707</v>
      </c>
      <c r="J21" s="46"/>
      <c r="K21" s="46" t="s">
        <v>68</v>
      </c>
      <c r="L21" s="46"/>
      <c r="M21" s="46"/>
      <c r="N21" s="46"/>
      <c r="O21" s="46"/>
      <c r="P21" s="46"/>
      <c r="Q21" s="46"/>
      <c r="R21" s="46"/>
      <c r="S21" s="46"/>
      <c r="T21" s="46"/>
      <c r="U21" s="46"/>
      <c r="V21" s="46"/>
      <c r="W21" s="46"/>
      <c r="X21" s="46"/>
      <c r="Y21" s="46"/>
      <c r="Z21" s="46" t="s">
        <v>708</v>
      </c>
      <c r="AA21" s="61">
        <v>1</v>
      </c>
      <c r="AB21" s="62">
        <f>AA21/0.0052</f>
        <v>192.30769230769232</v>
      </c>
      <c r="AC21" s="63">
        <f t="shared" ref="AC21:AC30" si="2">AB21*H2dens*HoursInYear/10^6</f>
        <v>0.14993076923076926</v>
      </c>
      <c r="AD21" s="62"/>
      <c r="AE21" s="62">
        <f t="shared" si="1"/>
        <v>192.30769230769232</v>
      </c>
      <c r="AF21" s="64" t="s">
        <v>709</v>
      </c>
      <c r="AG21" s="49">
        <v>0.56999999999999995</v>
      </c>
    </row>
    <row r="22" spans="1:33" ht="34.5" customHeight="1" x14ac:dyDescent="0.3">
      <c r="A22" s="46">
        <v>16</v>
      </c>
      <c r="B22" s="46" t="s">
        <v>710</v>
      </c>
      <c r="C22" s="46" t="s">
        <v>42</v>
      </c>
      <c r="D22" s="60">
        <v>2020</v>
      </c>
      <c r="E22" s="60">
        <v>2023</v>
      </c>
      <c r="F22" s="46" t="s">
        <v>226</v>
      </c>
      <c r="G22" s="46" t="s">
        <v>3</v>
      </c>
      <c r="H22" s="46"/>
      <c r="I22" s="46" t="s">
        <v>169</v>
      </c>
      <c r="J22" s="46" t="s">
        <v>244</v>
      </c>
      <c r="K22" s="46" t="s">
        <v>68</v>
      </c>
      <c r="L22" s="46"/>
      <c r="M22" s="46"/>
      <c r="N22" s="46"/>
      <c r="O22" s="46"/>
      <c r="P22" s="46"/>
      <c r="Q22" s="46">
        <v>1</v>
      </c>
      <c r="R22" s="46">
        <v>1</v>
      </c>
      <c r="S22" s="46"/>
      <c r="T22" s="46"/>
      <c r="U22" s="46"/>
      <c r="V22" s="46"/>
      <c r="W22" s="46"/>
      <c r="X22" s="46"/>
      <c r="Y22" s="46"/>
      <c r="Z22" s="46" t="s">
        <v>711</v>
      </c>
      <c r="AA22" s="61">
        <v>10</v>
      </c>
      <c r="AB22" s="62">
        <f>IF(OR(G22="ALK",G22="PEM",G22="SOEC",G22="Other Electrolysis"),
AA22/VLOOKUP(G22,ElectrolysisConvF,3,FALSE),
AC22*10^6/(H2dens*HoursInYear))</f>
        <v>2173.913043478261</v>
      </c>
      <c r="AC22" s="63">
        <f t="shared" si="2"/>
        <v>1.6948695652173913</v>
      </c>
      <c r="AD22" s="62"/>
      <c r="AE22" s="62">
        <f t="shared" si="1"/>
        <v>2173.913043478261</v>
      </c>
      <c r="AF22" s="64" t="s">
        <v>712</v>
      </c>
      <c r="AG22" s="49">
        <v>0.3</v>
      </c>
    </row>
    <row r="23" spans="1:33" ht="34.5" customHeight="1" x14ac:dyDescent="0.3">
      <c r="A23" s="46">
        <v>17</v>
      </c>
      <c r="B23" s="46" t="s">
        <v>713</v>
      </c>
      <c r="C23" s="46" t="s">
        <v>59</v>
      </c>
      <c r="D23" s="60">
        <v>2020</v>
      </c>
      <c r="E23" s="60"/>
      <c r="F23" s="46" t="s">
        <v>226</v>
      </c>
      <c r="G23" s="46" t="s">
        <v>1</v>
      </c>
      <c r="H23" s="46"/>
      <c r="I23" s="46" t="s">
        <v>169</v>
      </c>
      <c r="J23" s="46" t="s">
        <v>247</v>
      </c>
      <c r="K23" s="46" t="s">
        <v>68</v>
      </c>
      <c r="L23" s="46"/>
      <c r="M23" s="46"/>
      <c r="N23" s="46"/>
      <c r="O23" s="46"/>
      <c r="P23" s="46"/>
      <c r="Q23" s="46">
        <v>1</v>
      </c>
      <c r="R23" s="46"/>
      <c r="S23" s="46"/>
      <c r="T23" s="46"/>
      <c r="U23" s="46"/>
      <c r="V23" s="46"/>
      <c r="W23" s="46"/>
      <c r="X23" s="46"/>
      <c r="Y23" s="46"/>
      <c r="Z23" s="46" t="s">
        <v>714</v>
      </c>
      <c r="AA23" s="61">
        <v>2</v>
      </c>
      <c r="AB23" s="62">
        <f>AA23/0.0052</f>
        <v>384.61538461538464</v>
      </c>
      <c r="AC23" s="63">
        <f t="shared" si="2"/>
        <v>0.29986153846153851</v>
      </c>
      <c r="AD23" s="62"/>
      <c r="AE23" s="62">
        <f t="shared" si="1"/>
        <v>384.61538461538464</v>
      </c>
      <c r="AF23" s="64" t="s">
        <v>715</v>
      </c>
      <c r="AG23" s="49">
        <v>0.8</v>
      </c>
    </row>
    <row r="24" spans="1:33" ht="34.5" customHeight="1" x14ac:dyDescent="0.3">
      <c r="A24" s="46">
        <v>18</v>
      </c>
      <c r="B24" s="46" t="s">
        <v>716</v>
      </c>
      <c r="C24" s="46" t="s">
        <v>203</v>
      </c>
      <c r="D24" s="60">
        <v>2021</v>
      </c>
      <c r="E24" s="60"/>
      <c r="F24" s="46" t="s">
        <v>226</v>
      </c>
      <c r="G24" s="46" t="s">
        <v>3</v>
      </c>
      <c r="H24" s="46"/>
      <c r="I24" s="46" t="s">
        <v>166</v>
      </c>
      <c r="J24" s="46"/>
      <c r="K24" s="46" t="s">
        <v>68</v>
      </c>
      <c r="L24" s="46"/>
      <c r="M24" s="46"/>
      <c r="N24" s="46"/>
      <c r="O24" s="46"/>
      <c r="P24" s="46"/>
      <c r="Q24" s="46">
        <v>1</v>
      </c>
      <c r="R24" s="46"/>
      <c r="S24" s="46"/>
      <c r="T24" s="46">
        <v>1</v>
      </c>
      <c r="U24" s="46"/>
      <c r="V24" s="46"/>
      <c r="W24" s="46"/>
      <c r="X24" s="46"/>
      <c r="Y24" s="46"/>
      <c r="Z24" s="46" t="s">
        <v>714</v>
      </c>
      <c r="AA24" s="61">
        <v>2</v>
      </c>
      <c r="AB24" s="62">
        <f>AA24/0.0046</f>
        <v>434.78260869565219</v>
      </c>
      <c r="AC24" s="63">
        <f t="shared" si="2"/>
        <v>0.33897391304347824</v>
      </c>
      <c r="AD24" s="62"/>
      <c r="AE24" s="62">
        <f t="shared" si="1"/>
        <v>434.78260869565219</v>
      </c>
      <c r="AF24" s="64" t="s">
        <v>717</v>
      </c>
      <c r="AG24" s="49">
        <v>0.56999999999999995</v>
      </c>
    </row>
    <row r="25" spans="1:33" ht="34.5" customHeight="1" x14ac:dyDescent="0.3">
      <c r="A25" s="46">
        <v>19</v>
      </c>
      <c r="B25" s="46" t="s">
        <v>718</v>
      </c>
      <c r="C25" s="46" t="s">
        <v>203</v>
      </c>
      <c r="D25" s="60">
        <v>2020</v>
      </c>
      <c r="E25" s="60"/>
      <c r="F25" s="46" t="s">
        <v>226</v>
      </c>
      <c r="G25" s="46" t="s">
        <v>1</v>
      </c>
      <c r="H25" s="46"/>
      <c r="I25" s="46" t="s">
        <v>169</v>
      </c>
      <c r="J25" s="46" t="s">
        <v>247</v>
      </c>
      <c r="K25" s="46" t="s">
        <v>68</v>
      </c>
      <c r="L25" s="46"/>
      <c r="M25" s="46"/>
      <c r="N25" s="46"/>
      <c r="O25" s="46"/>
      <c r="P25" s="46"/>
      <c r="Q25" s="46">
        <v>1</v>
      </c>
      <c r="R25" s="46"/>
      <c r="S25" s="46"/>
      <c r="T25" s="46"/>
      <c r="U25" s="46"/>
      <c r="V25" s="46"/>
      <c r="W25" s="46"/>
      <c r="X25" s="46"/>
      <c r="Y25" s="46"/>
      <c r="Z25" s="46" t="s">
        <v>719</v>
      </c>
      <c r="AA25" s="61">
        <v>1.3</v>
      </c>
      <c r="AB25" s="62">
        <f>AA25/0.0052</f>
        <v>250.00000000000003</v>
      </c>
      <c r="AC25" s="63">
        <f t="shared" si="2"/>
        <v>0.19491</v>
      </c>
      <c r="AD25" s="62"/>
      <c r="AE25" s="62">
        <f t="shared" si="1"/>
        <v>250.00000000000003</v>
      </c>
      <c r="AF25" s="64" t="s">
        <v>720</v>
      </c>
      <c r="AG25" s="49">
        <v>0.8</v>
      </c>
    </row>
    <row r="26" spans="1:33" ht="34.5" customHeight="1" x14ac:dyDescent="0.3">
      <c r="A26" s="46">
        <v>20</v>
      </c>
      <c r="B26" s="46" t="s">
        <v>721</v>
      </c>
      <c r="C26" s="46" t="s">
        <v>203</v>
      </c>
      <c r="D26" s="60">
        <v>2020</v>
      </c>
      <c r="E26" s="60"/>
      <c r="F26" s="46" t="s">
        <v>226</v>
      </c>
      <c r="G26" s="46" t="s">
        <v>1</v>
      </c>
      <c r="H26" s="46"/>
      <c r="I26" s="46" t="s">
        <v>169</v>
      </c>
      <c r="J26" s="46" t="s">
        <v>245</v>
      </c>
      <c r="K26" s="46" t="s">
        <v>68</v>
      </c>
      <c r="L26" s="46"/>
      <c r="M26" s="46"/>
      <c r="N26" s="46"/>
      <c r="O26" s="46"/>
      <c r="P26" s="46"/>
      <c r="Q26" s="46">
        <v>1</v>
      </c>
      <c r="R26" s="46"/>
      <c r="S26" s="46"/>
      <c r="T26" s="46"/>
      <c r="U26" s="46"/>
      <c r="V26" s="46"/>
      <c r="W26" s="46"/>
      <c r="X26" s="46"/>
      <c r="Y26" s="46"/>
      <c r="Z26" s="46" t="s">
        <v>722</v>
      </c>
      <c r="AA26" s="61">
        <v>1.125</v>
      </c>
      <c r="AB26" s="62">
        <f>AA26/0.0052</f>
        <v>216.34615384615387</v>
      </c>
      <c r="AC26" s="63">
        <f t="shared" si="2"/>
        <v>0.16867211538461541</v>
      </c>
      <c r="AD26" s="62"/>
      <c r="AE26" s="62">
        <f t="shared" si="1"/>
        <v>216.34615384615387</v>
      </c>
      <c r="AF26" s="64" t="s">
        <v>723</v>
      </c>
      <c r="AG26" s="49">
        <v>0.4</v>
      </c>
    </row>
    <row r="27" spans="1:33" ht="34.5" customHeight="1" x14ac:dyDescent="0.3">
      <c r="A27" s="46">
        <v>22</v>
      </c>
      <c r="B27" s="46" t="s">
        <v>724</v>
      </c>
      <c r="C27" s="46" t="s">
        <v>46</v>
      </c>
      <c r="D27" s="60">
        <v>2019</v>
      </c>
      <c r="E27" s="60"/>
      <c r="F27" s="46" t="s">
        <v>226</v>
      </c>
      <c r="G27" s="46" t="s">
        <v>1</v>
      </c>
      <c r="H27" s="46"/>
      <c r="I27" s="46" t="s">
        <v>169</v>
      </c>
      <c r="J27" s="46" t="s">
        <v>245</v>
      </c>
      <c r="K27" s="46" t="s">
        <v>68</v>
      </c>
      <c r="L27" s="46"/>
      <c r="M27" s="46"/>
      <c r="N27" s="46"/>
      <c r="O27" s="46"/>
      <c r="P27" s="46"/>
      <c r="Q27" s="46">
        <v>1</v>
      </c>
      <c r="R27" s="46">
        <v>1</v>
      </c>
      <c r="S27" s="46">
        <v>1</v>
      </c>
      <c r="T27" s="46"/>
      <c r="U27" s="46">
        <v>1</v>
      </c>
      <c r="V27" s="46"/>
      <c r="W27" s="46"/>
      <c r="X27" s="46"/>
      <c r="Y27" s="46"/>
      <c r="Z27" s="46" t="s">
        <v>708</v>
      </c>
      <c r="AA27" s="61">
        <v>1</v>
      </c>
      <c r="AB27" s="62">
        <f>AA27/0.0052</f>
        <v>192.30769230769232</v>
      </c>
      <c r="AC27" s="63">
        <f t="shared" si="2"/>
        <v>0.14993076923076926</v>
      </c>
      <c r="AD27" s="62"/>
      <c r="AE27" s="62">
        <f t="shared" si="1"/>
        <v>192.30769230769232</v>
      </c>
      <c r="AF27" s="64" t="s">
        <v>725</v>
      </c>
      <c r="AG27" s="49">
        <v>0.4</v>
      </c>
    </row>
    <row r="28" spans="1:33" ht="34.5" customHeight="1" x14ac:dyDescent="0.3">
      <c r="A28" s="46">
        <v>23</v>
      </c>
      <c r="B28" s="46" t="s">
        <v>726</v>
      </c>
      <c r="C28" s="39" t="s">
        <v>203</v>
      </c>
      <c r="D28" s="60">
        <v>2020</v>
      </c>
      <c r="E28" s="60"/>
      <c r="F28" s="46" t="s">
        <v>226</v>
      </c>
      <c r="G28" s="46" t="s">
        <v>3</v>
      </c>
      <c r="H28" s="46"/>
      <c r="I28" s="46" t="s">
        <v>169</v>
      </c>
      <c r="J28" s="46" t="s">
        <v>247</v>
      </c>
      <c r="K28" s="46" t="s">
        <v>68</v>
      </c>
      <c r="L28" s="46"/>
      <c r="M28" s="46"/>
      <c r="N28" s="46"/>
      <c r="O28" s="46"/>
      <c r="P28" s="46"/>
      <c r="Q28" s="46"/>
      <c r="R28" s="46">
        <v>1</v>
      </c>
      <c r="S28" s="46"/>
      <c r="T28" s="46"/>
      <c r="U28" s="46"/>
      <c r="V28" s="46"/>
      <c r="W28" s="46"/>
      <c r="X28" s="46"/>
      <c r="Y28" s="46"/>
      <c r="Z28" s="46" t="s">
        <v>719</v>
      </c>
      <c r="AA28" s="61">
        <v>1.3</v>
      </c>
      <c r="AB28" s="62">
        <f>AA28/0.0046</f>
        <v>282.60869565217394</v>
      </c>
      <c r="AC28" s="63">
        <f t="shared" si="2"/>
        <v>0.22033304347826088</v>
      </c>
      <c r="AD28" s="62"/>
      <c r="AE28" s="62">
        <f t="shared" si="1"/>
        <v>282.60869565217394</v>
      </c>
      <c r="AF28" s="64" t="s">
        <v>727</v>
      </c>
      <c r="AG28" s="49">
        <v>0.8</v>
      </c>
    </row>
    <row r="29" spans="1:33" ht="28.35" customHeight="1" x14ac:dyDescent="0.3">
      <c r="A29" s="46">
        <v>24</v>
      </c>
      <c r="B29" s="46" t="s">
        <v>728</v>
      </c>
      <c r="C29" s="46" t="s">
        <v>203</v>
      </c>
      <c r="D29" s="60">
        <v>2020</v>
      </c>
      <c r="E29" s="60"/>
      <c r="F29" s="46" t="s">
        <v>226</v>
      </c>
      <c r="G29" s="46" t="s">
        <v>2</v>
      </c>
      <c r="H29" s="46"/>
      <c r="I29" s="46" t="s">
        <v>166</v>
      </c>
      <c r="J29" s="46"/>
      <c r="K29" s="46" t="s">
        <v>68</v>
      </c>
      <c r="L29" s="46"/>
      <c r="M29" s="46"/>
      <c r="N29" s="46"/>
      <c r="O29" s="46">
        <v>1</v>
      </c>
      <c r="P29" s="46"/>
      <c r="Q29" s="46"/>
      <c r="R29" s="46"/>
      <c r="S29" s="46"/>
      <c r="T29" s="46"/>
      <c r="U29" s="46"/>
      <c r="V29" s="46"/>
      <c r="W29" s="46"/>
      <c r="X29" s="46"/>
      <c r="Y29" s="46"/>
      <c r="Z29" s="46" t="s">
        <v>729</v>
      </c>
      <c r="AA29" s="61">
        <v>0.7</v>
      </c>
      <c r="AB29" s="62">
        <v>200</v>
      </c>
      <c r="AC29" s="63">
        <f t="shared" si="2"/>
        <v>0.15592800000000001</v>
      </c>
      <c r="AD29" s="62"/>
      <c r="AE29" s="62">
        <f t="shared" si="1"/>
        <v>200</v>
      </c>
      <c r="AF29" s="64" t="s">
        <v>730</v>
      </c>
      <c r="AG29" s="49">
        <v>0.56999999999999995</v>
      </c>
    </row>
    <row r="30" spans="1:33" ht="32.85" customHeight="1" x14ac:dyDescent="0.3">
      <c r="A30" s="46">
        <v>25</v>
      </c>
      <c r="B30" s="46" t="s">
        <v>731</v>
      </c>
      <c r="C30" s="46" t="s">
        <v>49</v>
      </c>
      <c r="D30" s="60">
        <v>2020</v>
      </c>
      <c r="E30" s="60"/>
      <c r="F30" s="46" t="s">
        <v>226</v>
      </c>
      <c r="G30" s="46" t="s">
        <v>159</v>
      </c>
      <c r="H30" s="46" t="s">
        <v>592</v>
      </c>
      <c r="I30" s="46" t="s">
        <v>166</v>
      </c>
      <c r="J30" s="46"/>
      <c r="K30" s="46" t="s">
        <v>140</v>
      </c>
      <c r="L30" s="46"/>
      <c r="M30" s="46"/>
      <c r="N30" s="46">
        <v>1</v>
      </c>
      <c r="O30" s="46"/>
      <c r="P30" s="46"/>
      <c r="Q30" s="46"/>
      <c r="R30" s="46"/>
      <c r="S30" s="46"/>
      <c r="T30" s="46"/>
      <c r="U30" s="46"/>
      <c r="V30" s="46"/>
      <c r="W30" s="46"/>
      <c r="X30" s="46"/>
      <c r="Y30" s="46"/>
      <c r="Z30" s="46" t="s">
        <v>732</v>
      </c>
      <c r="AA30" s="61">
        <v>0.25</v>
      </c>
      <c r="AB30" s="62">
        <v>50</v>
      </c>
      <c r="AC30" s="63">
        <f t="shared" si="2"/>
        <v>3.8982000000000003E-2</v>
      </c>
      <c r="AD30" s="62"/>
      <c r="AE30" s="62">
        <f t="shared" si="1"/>
        <v>50</v>
      </c>
      <c r="AF30" s="64" t="s">
        <v>733</v>
      </c>
      <c r="AG30" s="49">
        <v>0.56999999999999995</v>
      </c>
    </row>
    <row r="31" spans="1:33" ht="34.5" customHeight="1" x14ac:dyDescent="0.3">
      <c r="A31" s="46">
        <v>26</v>
      </c>
      <c r="B31" s="46" t="s">
        <v>734</v>
      </c>
      <c r="C31" s="46" t="s">
        <v>35</v>
      </c>
      <c r="D31" s="60">
        <v>2020</v>
      </c>
      <c r="E31" s="60">
        <v>2022</v>
      </c>
      <c r="F31" s="46" t="s">
        <v>156</v>
      </c>
      <c r="G31" s="46" t="s">
        <v>1</v>
      </c>
      <c r="H31" s="46"/>
      <c r="I31" s="46" t="s">
        <v>169</v>
      </c>
      <c r="J31" s="46" t="s">
        <v>248</v>
      </c>
      <c r="K31" s="46" t="s">
        <v>68</v>
      </c>
      <c r="L31" s="46"/>
      <c r="M31" s="46"/>
      <c r="N31" s="46"/>
      <c r="O31" s="46"/>
      <c r="P31" s="46"/>
      <c r="Q31" s="46"/>
      <c r="R31" s="46">
        <v>1</v>
      </c>
      <c r="S31" s="46"/>
      <c r="T31" s="46"/>
      <c r="U31" s="46"/>
      <c r="V31" s="46"/>
      <c r="W31" s="46"/>
      <c r="X31" s="46"/>
      <c r="Y31" s="46"/>
      <c r="Z31" s="46" t="s">
        <v>735</v>
      </c>
      <c r="AA31" s="61"/>
      <c r="AB31" s="62"/>
      <c r="AC31" s="63"/>
      <c r="AD31" s="62"/>
      <c r="AE31" s="62">
        <f t="shared" si="1"/>
        <v>0</v>
      </c>
      <c r="AF31" s="64" t="s">
        <v>736</v>
      </c>
      <c r="AG31" s="49">
        <v>0.5</v>
      </c>
    </row>
    <row r="32" spans="1:33" ht="34.5" customHeight="1" x14ac:dyDescent="0.3">
      <c r="A32" s="46">
        <v>27</v>
      </c>
      <c r="B32" s="46" t="s">
        <v>737</v>
      </c>
      <c r="C32" s="46" t="s">
        <v>42</v>
      </c>
      <c r="D32" s="60">
        <v>2020</v>
      </c>
      <c r="E32" s="60"/>
      <c r="F32" s="46" t="s">
        <v>226</v>
      </c>
      <c r="G32" s="46" t="s">
        <v>1</v>
      </c>
      <c r="H32" s="46"/>
      <c r="I32" s="46" t="s">
        <v>166</v>
      </c>
      <c r="J32" s="46"/>
      <c r="K32" s="46" t="s">
        <v>68</v>
      </c>
      <c r="L32" s="46"/>
      <c r="M32" s="46"/>
      <c r="N32" s="46"/>
      <c r="O32" s="46"/>
      <c r="P32" s="46"/>
      <c r="Q32" s="46"/>
      <c r="R32" s="46">
        <v>1</v>
      </c>
      <c r="S32" s="46"/>
      <c r="T32" s="46"/>
      <c r="U32" s="46"/>
      <c r="V32" s="46"/>
      <c r="W32" s="46"/>
      <c r="X32" s="46"/>
      <c r="Y32" s="46"/>
      <c r="Z32" s="46" t="s">
        <v>738</v>
      </c>
      <c r="AA32" s="61">
        <f>AB32*0.0052</f>
        <v>5.1999999999999998E-3</v>
      </c>
      <c r="AB32" s="62">
        <v>1</v>
      </c>
      <c r="AC32" s="63">
        <f t="shared" ref="AC32:AC53" si="3">AB32*H2dens*HoursInYear/10^6</f>
        <v>7.7963999999999996E-4</v>
      </c>
      <c r="AD32" s="62"/>
      <c r="AE32" s="62">
        <f t="shared" si="1"/>
        <v>1</v>
      </c>
      <c r="AF32" s="64" t="s">
        <v>739</v>
      </c>
      <c r="AG32" s="49">
        <v>0.56999999999999995</v>
      </c>
    </row>
    <row r="33" spans="1:33" ht="34.5" customHeight="1" x14ac:dyDescent="0.3">
      <c r="A33" s="46">
        <v>28</v>
      </c>
      <c r="B33" s="46" t="s">
        <v>740</v>
      </c>
      <c r="C33" s="46" t="s">
        <v>42</v>
      </c>
      <c r="D33" s="60">
        <v>2020</v>
      </c>
      <c r="E33" s="60"/>
      <c r="F33" s="46" t="s">
        <v>226</v>
      </c>
      <c r="G33" s="46" t="s">
        <v>1</v>
      </c>
      <c r="H33" s="46"/>
      <c r="I33" s="46" t="s">
        <v>166</v>
      </c>
      <c r="J33" s="46"/>
      <c r="K33" s="46" t="s">
        <v>68</v>
      </c>
      <c r="L33" s="46"/>
      <c r="M33" s="46"/>
      <c r="N33" s="46"/>
      <c r="O33" s="46"/>
      <c r="P33" s="46"/>
      <c r="Q33" s="46"/>
      <c r="R33" s="46">
        <v>1</v>
      </c>
      <c r="S33" s="46"/>
      <c r="T33" s="46"/>
      <c r="U33" s="46"/>
      <c r="V33" s="46"/>
      <c r="W33" s="46"/>
      <c r="X33" s="46"/>
      <c r="Y33" s="46"/>
      <c r="Z33" s="46" t="s">
        <v>738</v>
      </c>
      <c r="AA33" s="61">
        <f>AB33*0.0052</f>
        <v>5.1999999999999998E-3</v>
      </c>
      <c r="AB33" s="62">
        <v>1</v>
      </c>
      <c r="AC33" s="63">
        <f t="shared" si="3"/>
        <v>7.7963999999999996E-4</v>
      </c>
      <c r="AD33" s="62"/>
      <c r="AE33" s="62">
        <f t="shared" si="1"/>
        <v>1</v>
      </c>
      <c r="AF33" s="64" t="s">
        <v>741</v>
      </c>
      <c r="AG33" s="49">
        <v>0.56999999999999995</v>
      </c>
    </row>
    <row r="34" spans="1:33" ht="34.5" customHeight="1" x14ac:dyDescent="0.3">
      <c r="A34" s="46">
        <v>29</v>
      </c>
      <c r="B34" s="46" t="s">
        <v>742</v>
      </c>
      <c r="C34" s="46" t="s">
        <v>42</v>
      </c>
      <c r="D34" s="60">
        <v>2020</v>
      </c>
      <c r="E34" s="60"/>
      <c r="F34" s="46" t="s">
        <v>226</v>
      </c>
      <c r="G34" s="46" t="s">
        <v>1</v>
      </c>
      <c r="H34" s="46"/>
      <c r="I34" s="46" t="s">
        <v>166</v>
      </c>
      <c r="J34" s="46"/>
      <c r="K34" s="46" t="s">
        <v>68</v>
      </c>
      <c r="L34" s="46"/>
      <c r="M34" s="46"/>
      <c r="N34" s="46"/>
      <c r="O34" s="46"/>
      <c r="P34" s="46"/>
      <c r="Q34" s="46">
        <v>1</v>
      </c>
      <c r="R34" s="46"/>
      <c r="S34" s="46"/>
      <c r="T34" s="46"/>
      <c r="U34" s="46"/>
      <c r="V34" s="46"/>
      <c r="W34" s="46"/>
      <c r="X34" s="46"/>
      <c r="Y34" s="46"/>
      <c r="Z34" s="46" t="s">
        <v>738</v>
      </c>
      <c r="AA34" s="61">
        <f>AB34*0.0052</f>
        <v>5.1999999999999998E-3</v>
      </c>
      <c r="AB34" s="62">
        <v>1</v>
      </c>
      <c r="AC34" s="63">
        <f t="shared" si="3"/>
        <v>7.7963999999999996E-4</v>
      </c>
      <c r="AD34" s="62"/>
      <c r="AE34" s="62">
        <f t="shared" si="1"/>
        <v>1</v>
      </c>
      <c r="AF34" s="64" t="s">
        <v>743</v>
      </c>
      <c r="AG34" s="49">
        <v>0.56999999999999995</v>
      </c>
    </row>
    <row r="35" spans="1:33" ht="34.35" customHeight="1" x14ac:dyDescent="0.3">
      <c r="A35" s="46">
        <v>30</v>
      </c>
      <c r="B35" s="46" t="s">
        <v>744</v>
      </c>
      <c r="C35" s="46" t="s">
        <v>44</v>
      </c>
      <c r="D35" s="60">
        <v>2019</v>
      </c>
      <c r="E35" s="60"/>
      <c r="F35" s="46" t="s">
        <v>226</v>
      </c>
      <c r="G35" s="46" t="s">
        <v>1</v>
      </c>
      <c r="H35" s="46"/>
      <c r="I35" s="46" t="s">
        <v>166</v>
      </c>
      <c r="J35" s="46"/>
      <c r="K35" s="46" t="s">
        <v>68</v>
      </c>
      <c r="L35" s="46"/>
      <c r="M35" s="46"/>
      <c r="N35" s="46"/>
      <c r="O35" s="46">
        <v>1</v>
      </c>
      <c r="P35" s="46"/>
      <c r="Q35" s="46"/>
      <c r="R35" s="46"/>
      <c r="S35" s="46"/>
      <c r="T35" s="46"/>
      <c r="U35" s="46"/>
      <c r="V35" s="46"/>
      <c r="W35" s="46"/>
      <c r="X35" s="46"/>
      <c r="Y35" s="46"/>
      <c r="Z35" s="46" t="s">
        <v>745</v>
      </c>
      <c r="AA35" s="61">
        <v>6</v>
      </c>
      <c r="AB35" s="62">
        <f>AA35/0.0052</f>
        <v>1153.8461538461538</v>
      </c>
      <c r="AC35" s="63">
        <f t="shared" si="3"/>
        <v>0.8995846153846152</v>
      </c>
      <c r="AD35" s="62"/>
      <c r="AE35" s="62">
        <f t="shared" si="1"/>
        <v>1153.8461538461538</v>
      </c>
      <c r="AF35" s="64" t="s">
        <v>746</v>
      </c>
      <c r="AG35" s="49">
        <v>0.56999999999999995</v>
      </c>
    </row>
    <row r="36" spans="1:33" ht="34.5" customHeight="1" x14ac:dyDescent="0.3">
      <c r="A36" s="46">
        <v>31</v>
      </c>
      <c r="B36" s="46" t="s">
        <v>747</v>
      </c>
      <c r="C36" s="46" t="s">
        <v>41</v>
      </c>
      <c r="D36" s="60">
        <v>2019</v>
      </c>
      <c r="E36" s="60"/>
      <c r="F36" s="46" t="s">
        <v>226</v>
      </c>
      <c r="G36" s="46" t="s">
        <v>1</v>
      </c>
      <c r="H36" s="46"/>
      <c r="I36" s="46" t="s">
        <v>169</v>
      </c>
      <c r="J36" s="46" t="s">
        <v>69</v>
      </c>
      <c r="K36" s="46" t="s">
        <v>68</v>
      </c>
      <c r="L36" s="46"/>
      <c r="M36" s="46"/>
      <c r="N36" s="46"/>
      <c r="O36" s="46"/>
      <c r="P36" s="46"/>
      <c r="Q36" s="46">
        <v>1</v>
      </c>
      <c r="R36" s="46"/>
      <c r="S36" s="46"/>
      <c r="T36" s="46"/>
      <c r="U36" s="46"/>
      <c r="V36" s="46"/>
      <c r="W36" s="46"/>
      <c r="X36" s="46"/>
      <c r="Y36" s="46"/>
      <c r="Z36" s="46" t="s">
        <v>748</v>
      </c>
      <c r="AA36" s="61">
        <v>4</v>
      </c>
      <c r="AB36" s="62">
        <f>AA36/0.0052</f>
        <v>769.23076923076928</v>
      </c>
      <c r="AC36" s="63">
        <f t="shared" si="3"/>
        <v>0.59972307692307703</v>
      </c>
      <c r="AD36" s="62"/>
      <c r="AE36" s="62">
        <f t="shared" si="1"/>
        <v>769.23076923076928</v>
      </c>
      <c r="AF36" s="64" t="s">
        <v>749</v>
      </c>
      <c r="AG36" s="49">
        <v>0.5</v>
      </c>
    </row>
    <row r="37" spans="1:33" ht="34.5" customHeight="1" x14ac:dyDescent="0.3">
      <c r="A37" s="46">
        <v>33</v>
      </c>
      <c r="B37" s="46" t="s">
        <v>750</v>
      </c>
      <c r="C37" s="46" t="s">
        <v>37</v>
      </c>
      <c r="D37" s="60">
        <v>2019</v>
      </c>
      <c r="E37" s="60"/>
      <c r="F37" s="46" t="s">
        <v>226</v>
      </c>
      <c r="G37" s="46" t="s">
        <v>1</v>
      </c>
      <c r="H37" s="46"/>
      <c r="I37" s="46" t="s">
        <v>166</v>
      </c>
      <c r="J37" s="46"/>
      <c r="K37" s="46" t="s">
        <v>68</v>
      </c>
      <c r="L37" s="46"/>
      <c r="M37" s="46"/>
      <c r="N37" s="46"/>
      <c r="O37" s="46"/>
      <c r="P37" s="46"/>
      <c r="Q37" s="46"/>
      <c r="R37" s="46"/>
      <c r="S37" s="46">
        <v>1</v>
      </c>
      <c r="T37" s="46"/>
      <c r="U37" s="46"/>
      <c r="V37" s="46"/>
      <c r="W37" s="46"/>
      <c r="X37" s="46"/>
      <c r="Y37" s="46"/>
      <c r="Z37" s="46" t="s">
        <v>699</v>
      </c>
      <c r="AA37" s="61">
        <v>2.5</v>
      </c>
      <c r="AB37" s="62">
        <f>AA37/0.0052</f>
        <v>480.76923076923077</v>
      </c>
      <c r="AC37" s="63">
        <f t="shared" si="3"/>
        <v>0.37482692307692306</v>
      </c>
      <c r="AD37" s="62"/>
      <c r="AE37" s="62">
        <f t="shared" si="1"/>
        <v>480.76923076923077</v>
      </c>
      <c r="AF37" s="64" t="s">
        <v>751</v>
      </c>
      <c r="AG37" s="49">
        <v>0.56999999999999995</v>
      </c>
    </row>
    <row r="38" spans="1:33" ht="34.5" customHeight="1" x14ac:dyDescent="0.3">
      <c r="A38" s="46">
        <v>34</v>
      </c>
      <c r="B38" s="46" t="s">
        <v>752</v>
      </c>
      <c r="C38" s="46" t="s">
        <v>203</v>
      </c>
      <c r="D38" s="60">
        <v>2019</v>
      </c>
      <c r="E38" s="60"/>
      <c r="F38" s="46" t="s">
        <v>226</v>
      </c>
      <c r="G38" s="46" t="s">
        <v>159</v>
      </c>
      <c r="H38" s="46" t="s">
        <v>592</v>
      </c>
      <c r="I38" s="46" t="s">
        <v>169</v>
      </c>
      <c r="J38" s="46" t="s">
        <v>248</v>
      </c>
      <c r="K38" s="46" t="s">
        <v>72</v>
      </c>
      <c r="L38" s="46"/>
      <c r="M38" s="46"/>
      <c r="N38" s="46"/>
      <c r="O38" s="46"/>
      <c r="P38" s="46"/>
      <c r="Q38" s="46"/>
      <c r="R38" s="46"/>
      <c r="S38" s="46"/>
      <c r="T38" s="46"/>
      <c r="U38" s="46"/>
      <c r="V38" s="46"/>
      <c r="W38" s="46"/>
      <c r="X38" s="46">
        <v>1</v>
      </c>
      <c r="Y38" s="46"/>
      <c r="Z38" s="46" t="s">
        <v>699</v>
      </c>
      <c r="AA38" s="61">
        <v>2.5</v>
      </c>
      <c r="AB38" s="62">
        <f>AA38/0.0045</f>
        <v>555.55555555555554</v>
      </c>
      <c r="AC38" s="63">
        <f t="shared" si="3"/>
        <v>0.43313333333333331</v>
      </c>
      <c r="AD38" s="62"/>
      <c r="AE38" s="62">
        <f t="shared" si="1"/>
        <v>555.55555555555554</v>
      </c>
      <c r="AF38" s="64" t="s">
        <v>753</v>
      </c>
      <c r="AG38" s="49">
        <v>0.5</v>
      </c>
    </row>
    <row r="39" spans="1:33" ht="29.85" customHeight="1" x14ac:dyDescent="0.3">
      <c r="A39" s="46">
        <v>36</v>
      </c>
      <c r="B39" s="46" t="s">
        <v>754</v>
      </c>
      <c r="C39" s="46" t="s">
        <v>203</v>
      </c>
      <c r="D39" s="60">
        <v>2019</v>
      </c>
      <c r="E39" s="60"/>
      <c r="F39" s="46" t="s">
        <v>226</v>
      </c>
      <c r="G39" s="46" t="s">
        <v>1</v>
      </c>
      <c r="H39" s="46"/>
      <c r="I39" s="46" t="s">
        <v>166</v>
      </c>
      <c r="J39" s="46"/>
      <c r="K39" s="46" t="s">
        <v>140</v>
      </c>
      <c r="L39" s="46"/>
      <c r="M39" s="46"/>
      <c r="N39" s="46">
        <v>1</v>
      </c>
      <c r="O39" s="46"/>
      <c r="P39" s="46"/>
      <c r="Q39" s="46"/>
      <c r="R39" s="46"/>
      <c r="S39" s="46"/>
      <c r="T39" s="46"/>
      <c r="U39" s="46"/>
      <c r="V39" s="46"/>
      <c r="W39" s="46"/>
      <c r="X39" s="46"/>
      <c r="Y39" s="46"/>
      <c r="Z39" s="46" t="s">
        <v>755</v>
      </c>
      <c r="AA39" s="61">
        <v>1</v>
      </c>
      <c r="AB39" s="62">
        <f>AA39/0.0052</f>
        <v>192.30769230769232</v>
      </c>
      <c r="AC39" s="63">
        <f>AB39*H2dens*HoursInYear/10^6</f>
        <v>0.14993076923076926</v>
      </c>
      <c r="AD39" s="62"/>
      <c r="AE39" s="62">
        <f t="shared" si="1"/>
        <v>192.30769230769232</v>
      </c>
      <c r="AF39" s="64" t="s">
        <v>756</v>
      </c>
      <c r="AG39" s="49">
        <v>0.56999999999999995</v>
      </c>
    </row>
    <row r="40" spans="1:33" ht="34.5" customHeight="1" x14ac:dyDescent="0.3">
      <c r="A40" s="46">
        <v>37</v>
      </c>
      <c r="B40" s="46" t="s">
        <v>757</v>
      </c>
      <c r="C40" s="46" t="s">
        <v>203</v>
      </c>
      <c r="D40" s="60">
        <v>2020</v>
      </c>
      <c r="E40" s="60"/>
      <c r="F40" s="46" t="s">
        <v>226</v>
      </c>
      <c r="G40" s="46" t="s">
        <v>1</v>
      </c>
      <c r="H40" s="46"/>
      <c r="I40" s="46" t="s">
        <v>169</v>
      </c>
      <c r="J40" s="46" t="s">
        <v>245</v>
      </c>
      <c r="K40" s="46" t="s">
        <v>68</v>
      </c>
      <c r="L40" s="46"/>
      <c r="M40" s="46"/>
      <c r="N40" s="46"/>
      <c r="O40" s="46"/>
      <c r="P40" s="46"/>
      <c r="Q40" s="46"/>
      <c r="R40" s="46">
        <v>1</v>
      </c>
      <c r="S40" s="46"/>
      <c r="T40" s="46"/>
      <c r="U40" s="46"/>
      <c r="V40" s="46"/>
      <c r="W40" s="46"/>
      <c r="X40" s="46"/>
      <c r="Y40" s="46"/>
      <c r="Z40" s="46" t="s">
        <v>708</v>
      </c>
      <c r="AA40" s="61">
        <v>1</v>
      </c>
      <c r="AB40" s="62">
        <f>AA40/0.0052</f>
        <v>192.30769230769232</v>
      </c>
      <c r="AC40" s="63">
        <f t="shared" si="3"/>
        <v>0.14993076923076926</v>
      </c>
      <c r="AD40" s="62"/>
      <c r="AE40" s="62">
        <f t="shared" si="1"/>
        <v>192.30769230769232</v>
      </c>
      <c r="AF40" s="64" t="s">
        <v>758</v>
      </c>
      <c r="AG40" s="49">
        <v>0.4</v>
      </c>
    </row>
    <row r="41" spans="1:33" ht="34.5" customHeight="1" x14ac:dyDescent="0.3">
      <c r="A41" s="46">
        <v>38</v>
      </c>
      <c r="B41" s="46" t="s">
        <v>759</v>
      </c>
      <c r="C41" s="46" t="s">
        <v>60</v>
      </c>
      <c r="D41" s="60">
        <v>2019</v>
      </c>
      <c r="E41" s="60"/>
      <c r="F41" s="46" t="s">
        <v>226</v>
      </c>
      <c r="G41" s="46" t="s">
        <v>3</v>
      </c>
      <c r="H41" s="46"/>
      <c r="I41" s="46" t="s">
        <v>707</v>
      </c>
      <c r="J41" s="46"/>
      <c r="K41" s="46" t="s">
        <v>68</v>
      </c>
      <c r="L41" s="46"/>
      <c r="M41" s="46"/>
      <c r="N41" s="46"/>
      <c r="O41" s="46"/>
      <c r="P41" s="46"/>
      <c r="Q41" s="46">
        <v>1</v>
      </c>
      <c r="R41" s="46"/>
      <c r="S41" s="46"/>
      <c r="T41" s="46"/>
      <c r="U41" s="46"/>
      <c r="V41" s="46"/>
      <c r="W41" s="46"/>
      <c r="X41" s="46"/>
      <c r="Y41" s="46"/>
      <c r="Z41" s="46" t="s">
        <v>760</v>
      </c>
      <c r="AA41" s="61">
        <v>1</v>
      </c>
      <c r="AB41" s="62">
        <f>IF(OR(G41="ALK",G41="PEM",G41="SOEC",G41="Other Electrolysis"),
AA41/VLOOKUP(G41,ElectrolysisConvF,3,FALSE),
AC41*10^6/(H2dens*HoursInYear))</f>
        <v>217.39130434782609</v>
      </c>
      <c r="AC41" s="63">
        <f t="shared" si="3"/>
        <v>0.16948695652173912</v>
      </c>
      <c r="AD41" s="62"/>
      <c r="AE41" s="62">
        <f t="shared" si="1"/>
        <v>217.39130434782609</v>
      </c>
      <c r="AF41" s="64"/>
      <c r="AG41" s="49">
        <v>0.56999999999999995</v>
      </c>
    </row>
    <row r="42" spans="1:33" ht="34.5" customHeight="1" x14ac:dyDescent="0.3">
      <c r="A42" s="46">
        <v>40</v>
      </c>
      <c r="B42" s="46" t="s">
        <v>761</v>
      </c>
      <c r="C42" s="46" t="s">
        <v>60</v>
      </c>
      <c r="D42" s="60">
        <v>2019</v>
      </c>
      <c r="E42" s="60"/>
      <c r="F42" s="46" t="s">
        <v>226</v>
      </c>
      <c r="G42" s="46" t="s">
        <v>1</v>
      </c>
      <c r="H42" s="46"/>
      <c r="I42" s="46" t="s">
        <v>707</v>
      </c>
      <c r="J42" s="46"/>
      <c r="K42" s="46" t="s">
        <v>68</v>
      </c>
      <c r="L42" s="46"/>
      <c r="M42" s="46"/>
      <c r="N42" s="46"/>
      <c r="O42" s="46"/>
      <c r="P42" s="46"/>
      <c r="Q42" s="46">
        <v>1</v>
      </c>
      <c r="R42" s="46"/>
      <c r="S42" s="46"/>
      <c r="T42" s="46"/>
      <c r="U42" s="46"/>
      <c r="V42" s="46"/>
      <c r="W42" s="46"/>
      <c r="X42" s="46"/>
      <c r="Y42" s="46"/>
      <c r="Z42" s="46" t="s">
        <v>762</v>
      </c>
      <c r="AA42" s="61">
        <f>AB42*0.0052</f>
        <v>0.72799999999999998</v>
      </c>
      <c r="AB42" s="62">
        <v>140</v>
      </c>
      <c r="AC42" s="63">
        <f t="shared" si="3"/>
        <v>0.10914959999999999</v>
      </c>
      <c r="AD42" s="62"/>
      <c r="AE42" s="62">
        <f t="shared" si="1"/>
        <v>140</v>
      </c>
      <c r="AF42" s="64" t="s">
        <v>763</v>
      </c>
      <c r="AG42" s="49">
        <v>0.56999999999999995</v>
      </c>
    </row>
    <row r="43" spans="1:33" ht="34.5" customHeight="1" x14ac:dyDescent="0.3">
      <c r="A43" s="46">
        <v>41</v>
      </c>
      <c r="B43" s="46" t="s">
        <v>764</v>
      </c>
      <c r="C43" s="46" t="s">
        <v>34</v>
      </c>
      <c r="D43" s="60">
        <v>2019</v>
      </c>
      <c r="E43" s="60"/>
      <c r="F43" s="46" t="s">
        <v>226</v>
      </c>
      <c r="G43" s="46" t="s">
        <v>3</v>
      </c>
      <c r="H43" s="46"/>
      <c r="I43" s="46" t="s">
        <v>166</v>
      </c>
      <c r="J43" s="46"/>
      <c r="K43" s="46" t="s">
        <v>68</v>
      </c>
      <c r="L43" s="46"/>
      <c r="M43" s="46"/>
      <c r="N43" s="46"/>
      <c r="O43" s="46"/>
      <c r="P43" s="46"/>
      <c r="Q43" s="46">
        <v>1</v>
      </c>
      <c r="R43" s="46"/>
      <c r="S43" s="46"/>
      <c r="T43" s="46"/>
      <c r="U43" s="46"/>
      <c r="V43" s="46"/>
      <c r="W43" s="46"/>
      <c r="X43" s="46"/>
      <c r="Y43" s="46"/>
      <c r="Z43" s="46" t="s">
        <v>765</v>
      </c>
      <c r="AA43" s="61">
        <v>0.5</v>
      </c>
      <c r="AB43" s="62">
        <f>AA43/0.0046</f>
        <v>108.69565217391305</v>
      </c>
      <c r="AC43" s="63">
        <f t="shared" si="3"/>
        <v>8.4743478260869559E-2</v>
      </c>
      <c r="AD43" s="62"/>
      <c r="AE43" s="62">
        <f t="shared" si="1"/>
        <v>108.69565217391305</v>
      </c>
      <c r="AF43" s="64"/>
      <c r="AG43" s="49">
        <v>0.56999999999999995</v>
      </c>
    </row>
    <row r="44" spans="1:33" ht="34.5" customHeight="1" x14ac:dyDescent="0.3">
      <c r="A44" s="46">
        <v>42</v>
      </c>
      <c r="B44" s="46" t="s">
        <v>766</v>
      </c>
      <c r="C44" s="46" t="s">
        <v>46</v>
      </c>
      <c r="D44" s="60">
        <v>2020</v>
      </c>
      <c r="E44" s="60"/>
      <c r="F44" s="46" t="s">
        <v>226</v>
      </c>
      <c r="G44" s="46" t="s">
        <v>1</v>
      </c>
      <c r="H44" s="46"/>
      <c r="I44" s="46" t="s">
        <v>166</v>
      </c>
      <c r="J44" s="46"/>
      <c r="K44" s="46" t="s">
        <v>68</v>
      </c>
      <c r="L44" s="46"/>
      <c r="M44" s="46"/>
      <c r="N44" s="46"/>
      <c r="O44" s="46"/>
      <c r="P44" s="46"/>
      <c r="Q44" s="46"/>
      <c r="R44" s="46"/>
      <c r="S44" s="46">
        <v>1</v>
      </c>
      <c r="T44" s="46"/>
      <c r="U44" s="46"/>
      <c r="V44" s="46"/>
      <c r="W44" s="46"/>
      <c r="X44" s="46"/>
      <c r="Y44" s="46"/>
      <c r="Z44" s="46" t="s">
        <v>765</v>
      </c>
      <c r="AA44" s="61">
        <v>0.5</v>
      </c>
      <c r="AB44" s="62">
        <f>AA44/0.0052</f>
        <v>96.15384615384616</v>
      </c>
      <c r="AC44" s="63">
        <f t="shared" si="3"/>
        <v>7.4965384615384628E-2</v>
      </c>
      <c r="AD44" s="62"/>
      <c r="AE44" s="62">
        <f t="shared" si="1"/>
        <v>96.15384615384616</v>
      </c>
      <c r="AF44" s="64" t="s">
        <v>767</v>
      </c>
      <c r="AG44" s="49">
        <v>0.56999999999999995</v>
      </c>
    </row>
    <row r="45" spans="1:33" ht="34.5" customHeight="1" x14ac:dyDescent="0.3">
      <c r="A45" s="46">
        <v>43</v>
      </c>
      <c r="B45" s="46" t="s">
        <v>768</v>
      </c>
      <c r="C45" s="46" t="s">
        <v>37</v>
      </c>
      <c r="D45" s="60">
        <v>2019</v>
      </c>
      <c r="E45" s="60"/>
      <c r="F45" s="46" t="s">
        <v>226</v>
      </c>
      <c r="G45" s="46" t="s">
        <v>3</v>
      </c>
      <c r="H45" s="46"/>
      <c r="I45" s="46" t="s">
        <v>707</v>
      </c>
      <c r="J45" s="46"/>
      <c r="K45" s="46" t="s">
        <v>68</v>
      </c>
      <c r="L45" s="46"/>
      <c r="M45" s="46"/>
      <c r="N45" s="46"/>
      <c r="O45" s="46"/>
      <c r="P45" s="46"/>
      <c r="Q45" s="46">
        <v>1</v>
      </c>
      <c r="R45" s="46"/>
      <c r="S45" s="46"/>
      <c r="T45" s="46"/>
      <c r="U45" s="46"/>
      <c r="V45" s="46"/>
      <c r="W45" s="46"/>
      <c r="X45" s="46"/>
      <c r="Y45" s="46"/>
      <c r="Z45" s="46" t="s">
        <v>769</v>
      </c>
      <c r="AA45" s="61">
        <v>0.5</v>
      </c>
      <c r="AB45" s="62">
        <f>IF(OR(G45="ALK",G45="PEM",G45="SOEC",G45="Other Electrolysis"),
AA45/VLOOKUP(G45,ElectrolysisConvF,3,FALSE),
AC45*10^6/(H2dens*HoursInYear))</f>
        <v>108.69565217391305</v>
      </c>
      <c r="AC45" s="63">
        <f t="shared" si="3"/>
        <v>8.4743478260869559E-2</v>
      </c>
      <c r="AD45" s="62"/>
      <c r="AE45" s="62">
        <f t="shared" si="1"/>
        <v>108.69565217391305</v>
      </c>
      <c r="AF45" s="64" t="s">
        <v>770</v>
      </c>
      <c r="AG45" s="49">
        <v>0.56999999999999995</v>
      </c>
    </row>
    <row r="46" spans="1:33" ht="34.5" customHeight="1" x14ac:dyDescent="0.3">
      <c r="A46" s="46">
        <v>44</v>
      </c>
      <c r="B46" s="46" t="s">
        <v>771</v>
      </c>
      <c r="C46" s="46" t="s">
        <v>34</v>
      </c>
      <c r="D46" s="60">
        <v>2019</v>
      </c>
      <c r="E46" s="60"/>
      <c r="F46" s="46" t="s">
        <v>226</v>
      </c>
      <c r="G46" s="46" t="s">
        <v>1</v>
      </c>
      <c r="H46" s="46"/>
      <c r="I46" s="46" t="s">
        <v>166</v>
      </c>
      <c r="J46" s="46"/>
      <c r="K46" s="46" t="s">
        <v>68</v>
      </c>
      <c r="L46" s="46"/>
      <c r="M46" s="46"/>
      <c r="N46" s="46"/>
      <c r="O46" s="46"/>
      <c r="P46" s="46"/>
      <c r="Q46" s="46">
        <v>1</v>
      </c>
      <c r="R46" s="46"/>
      <c r="S46" s="46"/>
      <c r="T46" s="46"/>
      <c r="U46" s="46"/>
      <c r="V46" s="46"/>
      <c r="W46" s="46"/>
      <c r="X46" s="46"/>
      <c r="Y46" s="46"/>
      <c r="Z46" s="46" t="s">
        <v>772</v>
      </c>
      <c r="AA46" s="61">
        <v>0.75</v>
      </c>
      <c r="AB46" s="62">
        <f>IF(OR(G46="ALK",G46="PEM",G46="SOEC",G46="Other Electrolysis"),
AA46/VLOOKUP(G46,ElectrolysisConvF,3,FALSE),
AC46*10^6/(H2dens*HoursInYear))</f>
        <v>144.23076923076923</v>
      </c>
      <c r="AC46" s="63">
        <f t="shared" si="3"/>
        <v>0.1124480769230769</v>
      </c>
      <c r="AD46" s="62"/>
      <c r="AE46" s="62">
        <f t="shared" si="1"/>
        <v>144.23076923076923</v>
      </c>
      <c r="AF46" s="64" t="s">
        <v>773</v>
      </c>
      <c r="AG46" s="49">
        <v>0.56999999999999995</v>
      </c>
    </row>
    <row r="47" spans="1:33" ht="34.5" customHeight="1" x14ac:dyDescent="0.3">
      <c r="A47" s="46">
        <v>46</v>
      </c>
      <c r="B47" s="46" t="s">
        <v>774</v>
      </c>
      <c r="C47" s="46" t="s">
        <v>59</v>
      </c>
      <c r="D47" s="60">
        <v>2019</v>
      </c>
      <c r="E47" s="60"/>
      <c r="F47" s="46" t="s">
        <v>226</v>
      </c>
      <c r="G47" s="46" t="s">
        <v>1</v>
      </c>
      <c r="H47" s="46"/>
      <c r="I47" s="46" t="s">
        <v>166</v>
      </c>
      <c r="J47" s="46"/>
      <c r="K47" s="46" t="s">
        <v>72</v>
      </c>
      <c r="L47" s="46"/>
      <c r="M47" s="46"/>
      <c r="N47" s="46"/>
      <c r="O47" s="46"/>
      <c r="P47" s="46"/>
      <c r="Q47" s="46"/>
      <c r="R47" s="46"/>
      <c r="S47" s="46"/>
      <c r="T47" s="46"/>
      <c r="U47" s="46"/>
      <c r="V47" s="46"/>
      <c r="W47" s="46"/>
      <c r="X47" s="46">
        <v>1</v>
      </c>
      <c r="Y47" s="46"/>
      <c r="Z47" s="46" t="s">
        <v>775</v>
      </c>
      <c r="AA47" s="61">
        <v>0.35</v>
      </c>
      <c r="AB47" s="62">
        <f>AA47/0.0052</f>
        <v>67.307692307692307</v>
      </c>
      <c r="AC47" s="63">
        <f t="shared" si="3"/>
        <v>5.2475769230769229E-2</v>
      </c>
      <c r="AD47" s="62"/>
      <c r="AE47" s="62">
        <f t="shared" si="1"/>
        <v>67.307692307692307</v>
      </c>
      <c r="AF47" s="64" t="s">
        <v>776</v>
      </c>
      <c r="AG47" s="49">
        <v>0.56999999999999995</v>
      </c>
    </row>
    <row r="48" spans="1:33" ht="34.5" customHeight="1" x14ac:dyDescent="0.3">
      <c r="A48" s="46">
        <v>49</v>
      </c>
      <c r="B48" s="46" t="s">
        <v>777</v>
      </c>
      <c r="C48" s="46" t="s">
        <v>38</v>
      </c>
      <c r="D48" s="60">
        <v>2019</v>
      </c>
      <c r="E48" s="60"/>
      <c r="F48" s="46" t="s">
        <v>226</v>
      </c>
      <c r="G48" s="46" t="s">
        <v>3</v>
      </c>
      <c r="H48" s="46"/>
      <c r="I48" s="46" t="s">
        <v>707</v>
      </c>
      <c r="J48" s="46"/>
      <c r="K48" s="46" t="s">
        <v>68</v>
      </c>
      <c r="L48" s="46"/>
      <c r="M48" s="46"/>
      <c r="N48" s="46"/>
      <c r="O48" s="46"/>
      <c r="P48" s="46"/>
      <c r="Q48" s="46">
        <v>1</v>
      </c>
      <c r="R48" s="46"/>
      <c r="S48" s="46"/>
      <c r="T48" s="46"/>
      <c r="U48" s="46"/>
      <c r="V48" s="46"/>
      <c r="W48" s="46"/>
      <c r="X48" s="46"/>
      <c r="Y48" s="46"/>
      <c r="Z48" s="46" t="s">
        <v>778</v>
      </c>
      <c r="AA48" s="61">
        <f>AB48*0.0046</f>
        <v>0.27600000000000002</v>
      </c>
      <c r="AB48" s="62">
        <v>60</v>
      </c>
      <c r="AC48" s="63">
        <f t="shared" si="3"/>
        <v>4.6778400000000005E-2</v>
      </c>
      <c r="AD48" s="62"/>
      <c r="AE48" s="62">
        <f t="shared" si="1"/>
        <v>60</v>
      </c>
      <c r="AF48" s="64" t="s">
        <v>779</v>
      </c>
      <c r="AG48" s="49">
        <v>0.56999999999999995</v>
      </c>
    </row>
    <row r="49" spans="1:33" ht="34.5" customHeight="1" x14ac:dyDescent="0.3">
      <c r="A49" s="46">
        <v>50</v>
      </c>
      <c r="B49" s="46" t="s">
        <v>780</v>
      </c>
      <c r="C49" s="46" t="s">
        <v>63</v>
      </c>
      <c r="D49" s="60">
        <v>2019</v>
      </c>
      <c r="E49" s="60"/>
      <c r="F49" s="46" t="s">
        <v>226</v>
      </c>
      <c r="G49" s="46" t="s">
        <v>3</v>
      </c>
      <c r="H49" s="46"/>
      <c r="I49" s="46" t="s">
        <v>169</v>
      </c>
      <c r="J49" s="46" t="s">
        <v>244</v>
      </c>
      <c r="K49" s="46" t="s">
        <v>68</v>
      </c>
      <c r="L49" s="46"/>
      <c r="M49" s="46"/>
      <c r="N49" s="46"/>
      <c r="O49" s="46"/>
      <c r="P49" s="46"/>
      <c r="Q49" s="46"/>
      <c r="R49" s="46"/>
      <c r="S49" s="46">
        <v>1</v>
      </c>
      <c r="T49" s="46"/>
      <c r="U49" s="46"/>
      <c r="V49" s="46"/>
      <c r="W49" s="46"/>
      <c r="X49" s="46"/>
      <c r="Y49" s="46"/>
      <c r="Z49" s="46" t="s">
        <v>778</v>
      </c>
      <c r="AA49" s="61">
        <f>AB49*0.0046</f>
        <v>0.27600000000000002</v>
      </c>
      <c r="AB49" s="62">
        <v>60</v>
      </c>
      <c r="AC49" s="63">
        <f t="shared" si="3"/>
        <v>4.6778400000000005E-2</v>
      </c>
      <c r="AD49" s="62"/>
      <c r="AE49" s="62">
        <f t="shared" si="1"/>
        <v>60</v>
      </c>
      <c r="AF49" s="64"/>
      <c r="AG49" s="49">
        <v>0.3</v>
      </c>
    </row>
    <row r="50" spans="1:33" ht="34.5" customHeight="1" x14ac:dyDescent="0.3">
      <c r="A50" s="46">
        <v>51</v>
      </c>
      <c r="B50" s="46" t="s">
        <v>781</v>
      </c>
      <c r="C50" s="46" t="s">
        <v>40</v>
      </c>
      <c r="D50" s="60">
        <v>2019</v>
      </c>
      <c r="E50" s="60"/>
      <c r="F50" s="46" t="s">
        <v>226</v>
      </c>
      <c r="G50" s="46" t="s">
        <v>159</v>
      </c>
      <c r="H50" s="46" t="s">
        <v>592</v>
      </c>
      <c r="I50" s="46" t="s">
        <v>707</v>
      </c>
      <c r="J50" s="46"/>
      <c r="K50" s="46" t="s">
        <v>72</v>
      </c>
      <c r="L50" s="46"/>
      <c r="M50" s="46"/>
      <c r="N50" s="46"/>
      <c r="O50" s="46"/>
      <c r="P50" s="46"/>
      <c r="Q50" s="46"/>
      <c r="R50" s="46"/>
      <c r="S50" s="46"/>
      <c r="T50" s="46"/>
      <c r="U50" s="46"/>
      <c r="V50" s="46"/>
      <c r="W50" s="46"/>
      <c r="X50" s="46">
        <v>1</v>
      </c>
      <c r="Y50" s="46"/>
      <c r="Z50" s="46" t="s">
        <v>782</v>
      </c>
      <c r="AA50" s="61">
        <v>0.25</v>
      </c>
      <c r="AB50" s="62">
        <f>AA50/0.0045</f>
        <v>55.555555555555557</v>
      </c>
      <c r="AC50" s="63">
        <f t="shared" si="3"/>
        <v>4.3313333333333336E-2</v>
      </c>
      <c r="AD50" s="62"/>
      <c r="AE50" s="62">
        <f t="shared" si="1"/>
        <v>55.555555555555557</v>
      </c>
      <c r="AF50" s="64" t="s">
        <v>783</v>
      </c>
      <c r="AG50" s="49">
        <v>0.56999999999999995</v>
      </c>
    </row>
    <row r="51" spans="1:33" ht="34.5" customHeight="1" x14ac:dyDescent="0.3">
      <c r="A51" s="46">
        <v>52</v>
      </c>
      <c r="B51" s="46" t="s">
        <v>784</v>
      </c>
      <c r="C51" s="46" t="s">
        <v>203</v>
      </c>
      <c r="D51" s="60">
        <v>2019</v>
      </c>
      <c r="E51" s="60"/>
      <c r="F51" s="46" t="s">
        <v>226</v>
      </c>
      <c r="G51" s="46" t="s">
        <v>1</v>
      </c>
      <c r="H51" s="46"/>
      <c r="I51" s="46" t="s">
        <v>166</v>
      </c>
      <c r="J51" s="46"/>
      <c r="K51" s="46" t="s">
        <v>68</v>
      </c>
      <c r="L51" s="46"/>
      <c r="M51" s="46"/>
      <c r="N51" s="46"/>
      <c r="O51" s="46"/>
      <c r="P51" s="46"/>
      <c r="Q51" s="46"/>
      <c r="R51" s="46"/>
      <c r="S51" s="46">
        <v>1</v>
      </c>
      <c r="T51" s="46"/>
      <c r="U51" s="46"/>
      <c r="V51" s="46"/>
      <c r="W51" s="46"/>
      <c r="X51" s="46"/>
      <c r="Y51" s="46"/>
      <c r="Z51" s="46" t="s">
        <v>785</v>
      </c>
      <c r="AA51" s="61">
        <v>0.2</v>
      </c>
      <c r="AB51" s="62">
        <f>AA51/0.0052</f>
        <v>38.461538461538467</v>
      </c>
      <c r="AC51" s="63">
        <f t="shared" si="3"/>
        <v>2.9986153846153846E-2</v>
      </c>
      <c r="AD51" s="62"/>
      <c r="AE51" s="62">
        <f t="shared" si="1"/>
        <v>38.461538461538467</v>
      </c>
      <c r="AF51" s="64" t="s">
        <v>786</v>
      </c>
      <c r="AG51" s="49">
        <v>0.56999999999999995</v>
      </c>
    </row>
    <row r="52" spans="1:33" ht="34.5" customHeight="1" x14ac:dyDescent="0.3">
      <c r="A52" s="46">
        <v>54</v>
      </c>
      <c r="B52" s="46" t="s">
        <v>787</v>
      </c>
      <c r="C52" s="46" t="s">
        <v>39</v>
      </c>
      <c r="D52" s="60">
        <v>2019</v>
      </c>
      <c r="E52" s="60"/>
      <c r="F52" s="46" t="s">
        <v>226</v>
      </c>
      <c r="G52" s="46" t="s">
        <v>1</v>
      </c>
      <c r="H52" s="46"/>
      <c r="I52" s="46" t="s">
        <v>166</v>
      </c>
      <c r="J52" s="46"/>
      <c r="K52" s="46" t="s">
        <v>68</v>
      </c>
      <c r="L52" s="46"/>
      <c r="M52" s="46"/>
      <c r="N52" s="46"/>
      <c r="O52" s="46"/>
      <c r="P52" s="46"/>
      <c r="Q52" s="46"/>
      <c r="R52" s="46">
        <v>1</v>
      </c>
      <c r="S52" s="46"/>
      <c r="T52" s="46"/>
      <c r="U52" s="46">
        <v>1</v>
      </c>
      <c r="V52" s="46"/>
      <c r="W52" s="46"/>
      <c r="X52" s="46"/>
      <c r="Y52" s="46"/>
      <c r="Z52" s="46" t="s">
        <v>788</v>
      </c>
      <c r="AA52" s="61">
        <v>0.15</v>
      </c>
      <c r="AB52" s="62">
        <f>AA52/0.0052</f>
        <v>28.846153846153847</v>
      </c>
      <c r="AC52" s="63">
        <f t="shared" si="3"/>
        <v>2.2489615384615382E-2</v>
      </c>
      <c r="AD52" s="62"/>
      <c r="AE52" s="62">
        <f t="shared" si="1"/>
        <v>28.846153846153847</v>
      </c>
      <c r="AF52" s="64" t="s">
        <v>789</v>
      </c>
      <c r="AG52" s="49">
        <v>0.56999999999999995</v>
      </c>
    </row>
    <row r="53" spans="1:33" ht="34.5" customHeight="1" x14ac:dyDescent="0.3">
      <c r="A53" s="46">
        <v>55</v>
      </c>
      <c r="B53" s="46" t="s">
        <v>790</v>
      </c>
      <c r="C53" s="46" t="s">
        <v>65</v>
      </c>
      <c r="D53" s="60">
        <v>2019</v>
      </c>
      <c r="E53" s="60"/>
      <c r="F53" s="46" t="s">
        <v>226</v>
      </c>
      <c r="G53" s="46" t="s">
        <v>159</v>
      </c>
      <c r="H53" s="46" t="s">
        <v>592</v>
      </c>
      <c r="I53" s="46" t="s">
        <v>166</v>
      </c>
      <c r="J53" s="46"/>
      <c r="K53" s="46" t="s">
        <v>72</v>
      </c>
      <c r="L53" s="46"/>
      <c r="M53" s="46"/>
      <c r="N53" s="46"/>
      <c r="O53" s="46"/>
      <c r="P53" s="46"/>
      <c r="Q53" s="46"/>
      <c r="R53" s="46"/>
      <c r="S53" s="46"/>
      <c r="T53" s="46"/>
      <c r="U53" s="46"/>
      <c r="V53" s="46"/>
      <c r="W53" s="46"/>
      <c r="X53" s="46">
        <v>1</v>
      </c>
      <c r="Y53" s="46"/>
      <c r="Z53" s="46" t="s">
        <v>791</v>
      </c>
      <c r="AA53" s="61">
        <f>AB53*0.0045</f>
        <v>8.0999999999999989E-2</v>
      </c>
      <c r="AB53" s="62">
        <v>18</v>
      </c>
      <c r="AC53" s="63">
        <f t="shared" si="3"/>
        <v>1.4033519999999999E-2</v>
      </c>
      <c r="AD53" s="62"/>
      <c r="AE53" s="62">
        <f t="shared" si="1"/>
        <v>18</v>
      </c>
      <c r="AF53" s="64" t="s">
        <v>792</v>
      </c>
      <c r="AG53" s="49">
        <v>0.56999999999999995</v>
      </c>
    </row>
    <row r="54" spans="1:33" ht="34.5" customHeight="1" x14ac:dyDescent="0.3">
      <c r="A54" s="46">
        <v>56</v>
      </c>
      <c r="B54" s="46" t="s">
        <v>793</v>
      </c>
      <c r="C54" s="46" t="s">
        <v>42</v>
      </c>
      <c r="D54" s="60">
        <v>2019</v>
      </c>
      <c r="E54" s="60"/>
      <c r="F54" s="46" t="s">
        <v>285</v>
      </c>
      <c r="G54" s="46" t="s">
        <v>159</v>
      </c>
      <c r="H54" s="46" t="s">
        <v>592</v>
      </c>
      <c r="I54" s="46" t="s">
        <v>157</v>
      </c>
      <c r="J54" s="46"/>
      <c r="K54" s="46"/>
      <c r="L54" s="46"/>
      <c r="M54" s="46"/>
      <c r="N54" s="46"/>
      <c r="O54" s="46"/>
      <c r="P54" s="46"/>
      <c r="Q54" s="46"/>
      <c r="R54" s="46"/>
      <c r="S54" s="46"/>
      <c r="T54" s="46"/>
      <c r="U54" s="46"/>
      <c r="V54" s="46"/>
      <c r="W54" s="46"/>
      <c r="X54" s="46"/>
      <c r="Y54" s="46"/>
      <c r="Z54" s="46"/>
      <c r="AA54" s="61"/>
      <c r="AB54" s="62"/>
      <c r="AC54" s="63"/>
      <c r="AD54" s="62"/>
      <c r="AE54" s="62">
        <f t="shared" si="1"/>
        <v>0</v>
      </c>
      <c r="AF54" s="64"/>
      <c r="AG54" s="49">
        <v>0.56999999999999995</v>
      </c>
    </row>
    <row r="55" spans="1:33" ht="34.5" customHeight="1" x14ac:dyDescent="0.3">
      <c r="A55" s="46">
        <v>58</v>
      </c>
      <c r="B55" s="46" t="s">
        <v>794</v>
      </c>
      <c r="C55" s="46" t="s">
        <v>36</v>
      </c>
      <c r="D55" s="60">
        <v>2019</v>
      </c>
      <c r="E55" s="60"/>
      <c r="F55" s="46" t="s">
        <v>285</v>
      </c>
      <c r="G55" s="46" t="s">
        <v>1</v>
      </c>
      <c r="H55" s="46"/>
      <c r="I55" s="46" t="s">
        <v>707</v>
      </c>
      <c r="J55" s="46"/>
      <c r="K55" s="46" t="s">
        <v>167</v>
      </c>
      <c r="L55" s="46"/>
      <c r="M55" s="46"/>
      <c r="N55" s="46"/>
      <c r="O55" s="46"/>
      <c r="P55" s="46"/>
      <c r="Q55" s="46"/>
      <c r="R55" s="46"/>
      <c r="S55" s="46"/>
      <c r="T55" s="46"/>
      <c r="U55" s="46"/>
      <c r="V55" s="46"/>
      <c r="W55" s="46">
        <v>1</v>
      </c>
      <c r="X55" s="46"/>
      <c r="Y55" s="46"/>
      <c r="Z55" s="46" t="s">
        <v>795</v>
      </c>
      <c r="AA55" s="61">
        <v>2.5000000000000001E-2</v>
      </c>
      <c r="AB55" s="62">
        <f>AA55/0.0052</f>
        <v>4.8076923076923084</v>
      </c>
      <c r="AC55" s="63">
        <f t="shared" ref="AC55:AC63" si="4">AB55*H2dens*HoursInYear/10^6</f>
        <v>3.7482692307692308E-3</v>
      </c>
      <c r="AD55" s="62"/>
      <c r="AE55" s="62">
        <f t="shared" si="1"/>
        <v>4.8076923076923084</v>
      </c>
      <c r="AF55" s="64" t="s">
        <v>796</v>
      </c>
      <c r="AG55" s="49">
        <v>0.56999999999999995</v>
      </c>
    </row>
    <row r="56" spans="1:33" ht="34.5" customHeight="1" x14ac:dyDescent="0.3">
      <c r="A56" s="46">
        <v>59</v>
      </c>
      <c r="B56" s="46" t="s">
        <v>797</v>
      </c>
      <c r="C56" s="46" t="s">
        <v>203</v>
      </c>
      <c r="D56" s="60">
        <v>2021</v>
      </c>
      <c r="E56" s="60"/>
      <c r="F56" s="46" t="s">
        <v>285</v>
      </c>
      <c r="G56" s="46" t="s">
        <v>2</v>
      </c>
      <c r="H56" s="46"/>
      <c r="I56" s="46" t="s">
        <v>707</v>
      </c>
      <c r="J56" s="46"/>
      <c r="K56" s="46" t="s">
        <v>167</v>
      </c>
      <c r="L56" s="46"/>
      <c r="M56" s="46"/>
      <c r="N56" s="46"/>
      <c r="O56" s="46"/>
      <c r="P56" s="46"/>
      <c r="Q56" s="46"/>
      <c r="R56" s="46"/>
      <c r="S56" s="46"/>
      <c r="T56" s="46"/>
      <c r="U56" s="46"/>
      <c r="V56" s="46"/>
      <c r="W56" s="46">
        <v>1</v>
      </c>
      <c r="X56" s="46"/>
      <c r="Y56" s="46"/>
      <c r="Z56" s="46" t="s">
        <v>798</v>
      </c>
      <c r="AA56" s="61">
        <v>0.01</v>
      </c>
      <c r="AB56" s="62">
        <f>AA56/0.0038</f>
        <v>2.6315789473684212</v>
      </c>
      <c r="AC56" s="63">
        <f t="shared" ref="AC56" si="5">AB56*H2dens*HoursInYear/10^6</f>
        <v>2.0516842105263158E-3</v>
      </c>
      <c r="AD56" s="62"/>
      <c r="AE56" s="62">
        <f t="shared" si="1"/>
        <v>2.6315789473684212</v>
      </c>
      <c r="AF56" s="64" t="s">
        <v>799</v>
      </c>
      <c r="AG56" s="49">
        <v>0.56999999999999995</v>
      </c>
    </row>
    <row r="57" spans="1:33" ht="34.5" customHeight="1" x14ac:dyDescent="0.3">
      <c r="A57" s="46">
        <v>60</v>
      </c>
      <c r="B57" s="46" t="s">
        <v>800</v>
      </c>
      <c r="C57" s="46" t="s">
        <v>50</v>
      </c>
      <c r="D57" s="60">
        <v>2019</v>
      </c>
      <c r="E57" s="60"/>
      <c r="F57" s="46" t="s">
        <v>285</v>
      </c>
      <c r="G57" s="46" t="s">
        <v>1</v>
      </c>
      <c r="H57" s="46"/>
      <c r="I57" s="46" t="s">
        <v>166</v>
      </c>
      <c r="J57" s="46"/>
      <c r="K57" s="46" t="s">
        <v>68</v>
      </c>
      <c r="L57" s="46"/>
      <c r="M57" s="46"/>
      <c r="N57" s="46"/>
      <c r="O57" s="46"/>
      <c r="P57" s="46"/>
      <c r="Q57" s="46"/>
      <c r="R57" s="46"/>
      <c r="S57" s="46">
        <v>1</v>
      </c>
      <c r="T57" s="46"/>
      <c r="U57" s="46"/>
      <c r="V57" s="46"/>
      <c r="W57" s="46"/>
      <c r="X57" s="46"/>
      <c r="Y57" s="46"/>
      <c r="Z57" s="46" t="s">
        <v>801</v>
      </c>
      <c r="AA57" s="61">
        <v>7.0000000000000001E-3</v>
      </c>
      <c r="AB57" s="62">
        <f>AA57/0.0052</f>
        <v>1.3461538461538463</v>
      </c>
      <c r="AC57" s="63">
        <f t="shared" si="4"/>
        <v>1.0495153846153847E-3</v>
      </c>
      <c r="AD57" s="62"/>
      <c r="AE57" s="62">
        <f t="shared" si="1"/>
        <v>1.3461538461538463</v>
      </c>
      <c r="AF57" s="64" t="s">
        <v>802</v>
      </c>
      <c r="AG57" s="49">
        <v>0.56999999999999995</v>
      </c>
    </row>
    <row r="58" spans="1:33" ht="34.5" customHeight="1" x14ac:dyDescent="0.3">
      <c r="A58" s="46">
        <v>61</v>
      </c>
      <c r="B58" s="46" t="s">
        <v>803</v>
      </c>
      <c r="C58" s="46" t="s">
        <v>36</v>
      </c>
      <c r="D58" s="60">
        <v>2019</v>
      </c>
      <c r="E58" s="60"/>
      <c r="F58" s="46" t="s">
        <v>285</v>
      </c>
      <c r="G58" s="46" t="s">
        <v>2</v>
      </c>
      <c r="H58" s="46"/>
      <c r="I58" s="46" t="s">
        <v>707</v>
      </c>
      <c r="J58" s="46"/>
      <c r="K58" s="46" t="s">
        <v>168</v>
      </c>
      <c r="L58" s="46"/>
      <c r="M58" s="46"/>
      <c r="N58" s="46"/>
      <c r="O58" s="46"/>
      <c r="P58" s="46"/>
      <c r="Q58" s="46"/>
      <c r="R58" s="46">
        <v>1</v>
      </c>
      <c r="S58" s="46"/>
      <c r="T58" s="46"/>
      <c r="U58" s="46"/>
      <c r="V58" s="46"/>
      <c r="W58" s="46">
        <v>1</v>
      </c>
      <c r="X58" s="46"/>
      <c r="Y58" s="46"/>
      <c r="Z58" s="46" t="s">
        <v>804</v>
      </c>
      <c r="AA58" s="61">
        <v>6.0000000000000001E-3</v>
      </c>
      <c r="AB58" s="62">
        <f>AA58/0.0038</f>
        <v>1.5789473684210527</v>
      </c>
      <c r="AC58" s="63">
        <f t="shared" si="4"/>
        <v>1.2310105263157894E-3</v>
      </c>
      <c r="AD58" s="62"/>
      <c r="AE58" s="62">
        <f t="shared" si="1"/>
        <v>1.5789473684210527</v>
      </c>
      <c r="AF58" s="64" t="s">
        <v>805</v>
      </c>
      <c r="AG58" s="49">
        <v>0.56999999999999995</v>
      </c>
    </row>
    <row r="59" spans="1:33" ht="34.5" customHeight="1" x14ac:dyDescent="0.3">
      <c r="A59" s="46">
        <v>62</v>
      </c>
      <c r="B59" s="46" t="s">
        <v>806</v>
      </c>
      <c r="C59" s="46" t="s">
        <v>62</v>
      </c>
      <c r="D59" s="60">
        <v>2019</v>
      </c>
      <c r="E59" s="60"/>
      <c r="F59" s="46" t="s">
        <v>226</v>
      </c>
      <c r="G59" s="46" t="s">
        <v>1</v>
      </c>
      <c r="H59" s="46"/>
      <c r="I59" s="46" t="s">
        <v>707</v>
      </c>
      <c r="J59" s="46"/>
      <c r="K59" s="46" t="s">
        <v>68</v>
      </c>
      <c r="L59" s="46"/>
      <c r="M59" s="46"/>
      <c r="N59" s="46"/>
      <c r="O59" s="46"/>
      <c r="P59" s="46"/>
      <c r="Q59" s="46">
        <v>1</v>
      </c>
      <c r="R59" s="46"/>
      <c r="S59" s="46"/>
      <c r="T59" s="46"/>
      <c r="U59" s="46"/>
      <c r="V59" s="46"/>
      <c r="W59" s="46"/>
      <c r="X59" s="46"/>
      <c r="Y59" s="46"/>
      <c r="Z59" s="46" t="s">
        <v>807</v>
      </c>
      <c r="AA59" s="61">
        <f>AB59*0.0052</f>
        <v>5.1999999999999998E-3</v>
      </c>
      <c r="AB59" s="62">
        <v>1</v>
      </c>
      <c r="AC59" s="63">
        <f t="shared" si="4"/>
        <v>7.7963999999999996E-4</v>
      </c>
      <c r="AD59" s="62"/>
      <c r="AE59" s="62">
        <f t="shared" si="1"/>
        <v>1</v>
      </c>
      <c r="AF59" s="64" t="s">
        <v>808</v>
      </c>
      <c r="AG59" s="49">
        <v>0.56999999999999995</v>
      </c>
    </row>
    <row r="60" spans="1:33" ht="34.5" customHeight="1" x14ac:dyDescent="0.3">
      <c r="A60" s="46">
        <v>63</v>
      </c>
      <c r="B60" s="46" t="s">
        <v>809</v>
      </c>
      <c r="C60" s="46" t="s">
        <v>203</v>
      </c>
      <c r="D60" s="60">
        <v>2018</v>
      </c>
      <c r="E60" s="60"/>
      <c r="F60" s="46" t="s">
        <v>226</v>
      </c>
      <c r="G60" s="46" t="s">
        <v>1</v>
      </c>
      <c r="H60" s="46"/>
      <c r="I60" s="46" t="s">
        <v>166</v>
      </c>
      <c r="J60" s="46"/>
      <c r="K60" s="46" t="s">
        <v>72</v>
      </c>
      <c r="L60" s="46"/>
      <c r="M60" s="46"/>
      <c r="N60" s="46"/>
      <c r="O60" s="46"/>
      <c r="P60" s="46"/>
      <c r="Q60" s="46"/>
      <c r="R60" s="46"/>
      <c r="S60" s="46"/>
      <c r="T60" s="46"/>
      <c r="U60" s="46"/>
      <c r="V60" s="46"/>
      <c r="W60" s="46"/>
      <c r="X60" s="46">
        <v>1</v>
      </c>
      <c r="Y60" s="46"/>
      <c r="Z60" s="46" t="s">
        <v>810</v>
      </c>
      <c r="AA60" s="61">
        <v>1</v>
      </c>
      <c r="AB60" s="62">
        <f>AA60/0.0052</f>
        <v>192.30769230769232</v>
      </c>
      <c r="AC60" s="63">
        <f>AB60*H2dens*HoursInYear/10^6</f>
        <v>0.14993076923076926</v>
      </c>
      <c r="AD60" s="62"/>
      <c r="AE60" s="62">
        <f t="shared" si="1"/>
        <v>192.30769230769232</v>
      </c>
      <c r="AF60" s="64" t="s">
        <v>811</v>
      </c>
      <c r="AG60" s="49">
        <v>0.56999999999999995</v>
      </c>
    </row>
    <row r="61" spans="1:33" ht="34.5" customHeight="1" x14ac:dyDescent="0.3">
      <c r="A61" s="46">
        <v>64</v>
      </c>
      <c r="B61" s="46" t="s">
        <v>812</v>
      </c>
      <c r="C61" s="46" t="s">
        <v>42</v>
      </c>
      <c r="D61" s="60">
        <v>2019</v>
      </c>
      <c r="E61" s="60"/>
      <c r="F61" s="46" t="s">
        <v>226</v>
      </c>
      <c r="G61" s="46" t="s">
        <v>1</v>
      </c>
      <c r="H61" s="46"/>
      <c r="I61" s="46" t="s">
        <v>707</v>
      </c>
      <c r="J61" s="46"/>
      <c r="K61" s="46" t="s">
        <v>68</v>
      </c>
      <c r="L61" s="46"/>
      <c r="M61" s="46"/>
      <c r="N61" s="46"/>
      <c r="O61" s="46"/>
      <c r="P61" s="46"/>
      <c r="Q61" s="46"/>
      <c r="R61" s="46"/>
      <c r="S61" s="46"/>
      <c r="T61" s="46">
        <v>1</v>
      </c>
      <c r="U61" s="46"/>
      <c r="V61" s="46"/>
      <c r="W61" s="46"/>
      <c r="X61" s="46"/>
      <c r="Y61" s="46"/>
      <c r="Z61" s="46" t="s">
        <v>813</v>
      </c>
      <c r="AA61" s="61">
        <v>1.5</v>
      </c>
      <c r="AB61" s="62">
        <f>AA61/0.0052</f>
        <v>288.46153846153845</v>
      </c>
      <c r="AC61" s="63">
        <f t="shared" si="4"/>
        <v>0.2248961538461538</v>
      </c>
      <c r="AD61" s="62"/>
      <c r="AE61" s="62">
        <f t="shared" si="1"/>
        <v>288.46153846153845</v>
      </c>
      <c r="AF61" s="64" t="s">
        <v>814</v>
      </c>
      <c r="AG61" s="49">
        <v>0.56999999999999995</v>
      </c>
    </row>
    <row r="62" spans="1:33" ht="34.5" customHeight="1" x14ac:dyDescent="0.3">
      <c r="A62" s="46">
        <v>65</v>
      </c>
      <c r="B62" s="46" t="s">
        <v>815</v>
      </c>
      <c r="C62" s="46" t="s">
        <v>62</v>
      </c>
      <c r="D62" s="60">
        <v>2019</v>
      </c>
      <c r="E62" s="60"/>
      <c r="F62" s="46" t="s">
        <v>226</v>
      </c>
      <c r="G62" s="46" t="s">
        <v>159</v>
      </c>
      <c r="H62" s="46" t="s">
        <v>592</v>
      </c>
      <c r="I62" s="46" t="s">
        <v>157</v>
      </c>
      <c r="J62" s="46"/>
      <c r="K62" s="46" t="s">
        <v>68</v>
      </c>
      <c r="L62" s="46"/>
      <c r="M62" s="46"/>
      <c r="N62" s="46"/>
      <c r="O62" s="46"/>
      <c r="P62" s="46"/>
      <c r="Q62" s="46">
        <v>1</v>
      </c>
      <c r="R62" s="46">
        <v>1</v>
      </c>
      <c r="S62" s="46"/>
      <c r="T62" s="46"/>
      <c r="U62" s="46"/>
      <c r="V62" s="46"/>
      <c r="W62" s="46"/>
      <c r="X62" s="46"/>
      <c r="Y62" s="46"/>
      <c r="Z62" s="46" t="s">
        <v>735</v>
      </c>
      <c r="AA62" s="61">
        <v>0.05</v>
      </c>
      <c r="AB62" s="62">
        <f>AA62/0.0045</f>
        <v>11.111111111111112</v>
      </c>
      <c r="AC62" s="63">
        <f t="shared" si="4"/>
        <v>8.6626666666666675E-3</v>
      </c>
      <c r="AD62" s="62"/>
      <c r="AE62" s="62">
        <f t="shared" si="1"/>
        <v>11.111111111111112</v>
      </c>
      <c r="AF62" s="64" t="s">
        <v>816</v>
      </c>
      <c r="AG62" s="49">
        <v>0.56999999999999995</v>
      </c>
    </row>
    <row r="63" spans="1:33" ht="34.5" customHeight="1" x14ac:dyDescent="0.3">
      <c r="A63" s="46">
        <v>66</v>
      </c>
      <c r="B63" s="46" t="s">
        <v>817</v>
      </c>
      <c r="C63" s="46" t="s">
        <v>42</v>
      </c>
      <c r="D63" s="60">
        <v>2019</v>
      </c>
      <c r="E63" s="60"/>
      <c r="F63" s="46" t="s">
        <v>226</v>
      </c>
      <c r="G63" s="46" t="s">
        <v>159</v>
      </c>
      <c r="H63" s="46" t="s">
        <v>592</v>
      </c>
      <c r="I63" s="46" t="s">
        <v>169</v>
      </c>
      <c r="J63" s="46" t="s">
        <v>69</v>
      </c>
      <c r="K63" s="46" t="s">
        <v>68</v>
      </c>
      <c r="L63" s="46"/>
      <c r="M63" s="46"/>
      <c r="N63" s="46"/>
      <c r="O63" s="46"/>
      <c r="P63" s="46"/>
      <c r="Q63" s="46">
        <v>1</v>
      </c>
      <c r="R63" s="46"/>
      <c r="S63" s="46"/>
      <c r="T63" s="46"/>
      <c r="U63" s="46"/>
      <c r="V63" s="46"/>
      <c r="W63" s="46"/>
      <c r="X63" s="46"/>
      <c r="Y63" s="46"/>
      <c r="Z63" s="46" t="s">
        <v>818</v>
      </c>
      <c r="AA63" s="61">
        <f>AB63*0.0045</f>
        <v>4.4999999999999998E-2</v>
      </c>
      <c r="AB63" s="62">
        <v>10</v>
      </c>
      <c r="AC63" s="63">
        <f t="shared" si="4"/>
        <v>7.7963999999999985E-3</v>
      </c>
      <c r="AD63" s="62"/>
      <c r="AE63" s="62">
        <f t="shared" si="1"/>
        <v>10</v>
      </c>
      <c r="AF63" s="64" t="s">
        <v>819</v>
      </c>
      <c r="AG63" s="49">
        <v>0.5</v>
      </c>
    </row>
    <row r="64" spans="1:33" ht="34.5" customHeight="1" x14ac:dyDescent="0.3">
      <c r="A64" s="46">
        <v>67</v>
      </c>
      <c r="B64" s="46" t="s">
        <v>820</v>
      </c>
      <c r="C64" s="46" t="s">
        <v>203</v>
      </c>
      <c r="D64" s="60">
        <v>2019</v>
      </c>
      <c r="E64" s="60"/>
      <c r="F64" s="46" t="s">
        <v>226</v>
      </c>
      <c r="G64" s="46" t="s">
        <v>159</v>
      </c>
      <c r="H64" s="46" t="s">
        <v>592</v>
      </c>
      <c r="I64" s="46" t="s">
        <v>169</v>
      </c>
      <c r="J64" s="46" t="s">
        <v>69</v>
      </c>
      <c r="K64" s="46" t="s">
        <v>68</v>
      </c>
      <c r="L64" s="46"/>
      <c r="M64" s="46"/>
      <c r="N64" s="46"/>
      <c r="O64" s="46"/>
      <c r="P64" s="46"/>
      <c r="Q64" s="46">
        <v>1</v>
      </c>
      <c r="R64" s="46"/>
      <c r="S64" s="46"/>
      <c r="T64" s="46"/>
      <c r="U64" s="46"/>
      <c r="V64" s="46"/>
      <c r="W64" s="46"/>
      <c r="X64" s="46"/>
      <c r="Y64" s="46"/>
      <c r="Z64" s="46"/>
      <c r="AA64" s="61"/>
      <c r="AB64" s="62"/>
      <c r="AC64" s="63"/>
      <c r="AD64" s="62"/>
      <c r="AE64" s="62">
        <f t="shared" si="1"/>
        <v>0</v>
      </c>
      <c r="AF64" s="64" t="s">
        <v>821</v>
      </c>
      <c r="AG64" s="49">
        <v>0.5</v>
      </c>
    </row>
    <row r="65" spans="1:33" ht="34.5" customHeight="1" x14ac:dyDescent="0.3">
      <c r="A65" s="46">
        <v>68</v>
      </c>
      <c r="B65" s="46" t="s">
        <v>822</v>
      </c>
      <c r="C65" s="46" t="s">
        <v>203</v>
      </c>
      <c r="D65" s="60">
        <v>2019</v>
      </c>
      <c r="E65" s="60"/>
      <c r="F65" s="46" t="s">
        <v>226</v>
      </c>
      <c r="G65" s="46" t="s">
        <v>1</v>
      </c>
      <c r="H65" s="46"/>
      <c r="I65" s="46" t="s">
        <v>169</v>
      </c>
      <c r="J65" s="46" t="s">
        <v>245</v>
      </c>
      <c r="K65" s="46" t="s">
        <v>68</v>
      </c>
      <c r="L65" s="46"/>
      <c r="M65" s="46"/>
      <c r="N65" s="46"/>
      <c r="O65" s="46"/>
      <c r="P65" s="46"/>
      <c r="Q65" s="46">
        <v>1</v>
      </c>
      <c r="R65" s="46"/>
      <c r="S65" s="46">
        <v>1</v>
      </c>
      <c r="T65" s="46"/>
      <c r="U65" s="46"/>
      <c r="V65" s="46"/>
      <c r="W65" s="46"/>
      <c r="X65" s="46"/>
      <c r="Y65" s="46"/>
      <c r="Z65" s="46" t="s">
        <v>823</v>
      </c>
      <c r="AA65" s="61">
        <v>2.4</v>
      </c>
      <c r="AB65" s="62">
        <v>450</v>
      </c>
      <c r="AC65" s="63">
        <f t="shared" ref="AC65:AC86" si="6">AB65*H2dens*HoursInYear/10^6</f>
        <v>0.35083799999999998</v>
      </c>
      <c r="AD65" s="62"/>
      <c r="AE65" s="62">
        <f t="shared" si="1"/>
        <v>450</v>
      </c>
      <c r="AF65" s="64" t="s">
        <v>824</v>
      </c>
      <c r="AG65" s="49">
        <v>0.4</v>
      </c>
    </row>
    <row r="66" spans="1:33" ht="27" customHeight="1" x14ac:dyDescent="0.3">
      <c r="A66" s="46">
        <v>69</v>
      </c>
      <c r="B66" s="46" t="s">
        <v>825</v>
      </c>
      <c r="C66" s="46" t="s">
        <v>203</v>
      </c>
      <c r="D66" s="60">
        <v>2018</v>
      </c>
      <c r="E66" s="60"/>
      <c r="F66" s="46" t="s">
        <v>226</v>
      </c>
      <c r="G66" s="46" t="s">
        <v>3</v>
      </c>
      <c r="H66" s="46"/>
      <c r="I66" s="46" t="s">
        <v>166</v>
      </c>
      <c r="J66" s="46"/>
      <c r="K66" s="46" t="s">
        <v>168</v>
      </c>
      <c r="L66" s="46"/>
      <c r="M66" s="46">
        <v>1</v>
      </c>
      <c r="N66" s="46">
        <v>1</v>
      </c>
      <c r="O66" s="46"/>
      <c r="P66" s="46">
        <v>1</v>
      </c>
      <c r="Q66" s="46"/>
      <c r="R66" s="46"/>
      <c r="S66" s="46"/>
      <c r="T66" s="46"/>
      <c r="U66" s="46"/>
      <c r="V66" s="46"/>
      <c r="W66" s="46"/>
      <c r="X66" s="46"/>
      <c r="Y66" s="46"/>
      <c r="Z66" s="46" t="s">
        <v>714</v>
      </c>
      <c r="AA66" s="61">
        <v>2</v>
      </c>
      <c r="AB66" s="62">
        <f>IF(OR(G66="ALK",G66="PEM",G66="SOEC",G66="Other Electrolysis"),
AA66/VLOOKUP(G66,ElectrolysisConvF,3,FALSE),
AC66*10^6/(H2dens*HoursInYear))</f>
        <v>434.78260869565219</v>
      </c>
      <c r="AC66" s="63">
        <f t="shared" si="6"/>
        <v>0.33897391304347824</v>
      </c>
      <c r="AD66" s="62"/>
      <c r="AE66" s="62">
        <f t="shared" si="1"/>
        <v>434.78260869565219</v>
      </c>
      <c r="AF66" s="64" t="s">
        <v>826</v>
      </c>
      <c r="AG66" s="49">
        <v>0.56999999999999995</v>
      </c>
    </row>
    <row r="67" spans="1:33" ht="34.5" customHeight="1" x14ac:dyDescent="0.3">
      <c r="A67" s="46">
        <v>70</v>
      </c>
      <c r="B67" s="46" t="s">
        <v>827</v>
      </c>
      <c r="C67" s="46" t="s">
        <v>40</v>
      </c>
      <c r="D67" s="60">
        <v>2018</v>
      </c>
      <c r="E67" s="60"/>
      <c r="F67" s="46" t="s">
        <v>226</v>
      </c>
      <c r="G67" s="46" t="s">
        <v>1</v>
      </c>
      <c r="H67" s="46"/>
      <c r="I67" s="46" t="s">
        <v>707</v>
      </c>
      <c r="J67" s="46"/>
      <c r="K67" s="46" t="s">
        <v>68</v>
      </c>
      <c r="L67" s="46"/>
      <c r="M67" s="46"/>
      <c r="N67" s="46"/>
      <c r="O67" s="46"/>
      <c r="P67" s="46"/>
      <c r="Q67" s="46">
        <v>1</v>
      </c>
      <c r="R67" s="46"/>
      <c r="S67" s="46"/>
      <c r="T67" s="46"/>
      <c r="U67" s="46"/>
      <c r="V67" s="46"/>
      <c r="W67" s="46"/>
      <c r="X67" s="46"/>
      <c r="Y67" s="46"/>
      <c r="Z67" s="46" t="s">
        <v>828</v>
      </c>
      <c r="AA67" s="61">
        <v>1.5</v>
      </c>
      <c r="AB67" s="62">
        <f>AA67/0.0052</f>
        <v>288.46153846153845</v>
      </c>
      <c r="AC67" s="63">
        <f t="shared" si="6"/>
        <v>0.2248961538461538</v>
      </c>
      <c r="AD67" s="62"/>
      <c r="AE67" s="62">
        <f t="shared" si="1"/>
        <v>288.46153846153845</v>
      </c>
      <c r="AF67" s="64" t="s">
        <v>829</v>
      </c>
      <c r="AG67" s="49">
        <v>0.56999999999999995</v>
      </c>
    </row>
    <row r="68" spans="1:33" ht="34.5" customHeight="1" x14ac:dyDescent="0.3">
      <c r="A68" s="46">
        <v>71</v>
      </c>
      <c r="B68" s="46" t="s">
        <v>830</v>
      </c>
      <c r="C68" s="46" t="s">
        <v>49</v>
      </c>
      <c r="D68" s="60">
        <v>2020</v>
      </c>
      <c r="E68" s="60"/>
      <c r="F68" s="46" t="s">
        <v>226</v>
      </c>
      <c r="G68" s="46" t="s">
        <v>1</v>
      </c>
      <c r="H68" s="46"/>
      <c r="I68" s="46" t="s">
        <v>169</v>
      </c>
      <c r="J68" s="46" t="s">
        <v>245</v>
      </c>
      <c r="K68" s="46" t="s">
        <v>68</v>
      </c>
      <c r="L68" s="46"/>
      <c r="M68" s="46"/>
      <c r="N68" s="46"/>
      <c r="O68" s="46"/>
      <c r="P68" s="46"/>
      <c r="Q68" s="46">
        <v>1</v>
      </c>
      <c r="R68" s="46"/>
      <c r="S68" s="46">
        <v>1</v>
      </c>
      <c r="T68" s="46"/>
      <c r="U68" s="46"/>
      <c r="V68" s="46"/>
      <c r="W68" s="46"/>
      <c r="X68" s="46"/>
      <c r="Y68" s="46"/>
      <c r="Z68" s="46" t="s">
        <v>813</v>
      </c>
      <c r="AA68" s="61">
        <v>1.5</v>
      </c>
      <c r="AB68" s="62">
        <f>AA68/0.0052</f>
        <v>288.46153846153845</v>
      </c>
      <c r="AC68" s="63">
        <f t="shared" si="6"/>
        <v>0.2248961538461538</v>
      </c>
      <c r="AD68" s="62"/>
      <c r="AE68" s="62">
        <f t="shared" si="1"/>
        <v>288.46153846153845</v>
      </c>
      <c r="AF68" s="64" t="s">
        <v>831</v>
      </c>
      <c r="AG68" s="49">
        <v>0.4</v>
      </c>
    </row>
    <row r="69" spans="1:33" ht="34.5" customHeight="1" x14ac:dyDescent="0.3">
      <c r="A69" s="46">
        <v>72</v>
      </c>
      <c r="B69" s="46" t="s">
        <v>832</v>
      </c>
      <c r="C69" s="46" t="s">
        <v>46</v>
      </c>
      <c r="D69" s="60">
        <v>2018</v>
      </c>
      <c r="E69" s="60"/>
      <c r="F69" s="46" t="s">
        <v>226</v>
      </c>
      <c r="G69" s="46" t="s">
        <v>3</v>
      </c>
      <c r="H69" s="46"/>
      <c r="I69" s="46" t="s">
        <v>707</v>
      </c>
      <c r="J69" s="46"/>
      <c r="K69" s="46" t="s">
        <v>68</v>
      </c>
      <c r="L69" s="46"/>
      <c r="M69" s="46"/>
      <c r="N69" s="46"/>
      <c r="O69" s="46"/>
      <c r="P69" s="46"/>
      <c r="Q69" s="46"/>
      <c r="R69" s="46"/>
      <c r="S69" s="46"/>
      <c r="T69" s="46">
        <v>1</v>
      </c>
      <c r="U69" s="46">
        <v>1</v>
      </c>
      <c r="V69" s="46"/>
      <c r="W69" s="46"/>
      <c r="X69" s="46"/>
      <c r="Y69" s="46"/>
      <c r="Z69" s="46" t="s">
        <v>833</v>
      </c>
      <c r="AA69" s="61">
        <v>1</v>
      </c>
      <c r="AB69" s="62">
        <f>IF(OR(G69="ALK",G69="PEM",G69="SOEC",G69="Other Electrolysis"),
AA69/VLOOKUP(G69,ElectrolysisConvF,3,FALSE),
AC69*10^6/(H2dens*HoursInYear))</f>
        <v>217.39130434782609</v>
      </c>
      <c r="AC69" s="63">
        <f t="shared" si="6"/>
        <v>0.16948695652173912</v>
      </c>
      <c r="AD69" s="62"/>
      <c r="AE69" s="62">
        <f t="shared" si="1"/>
        <v>217.39130434782609</v>
      </c>
      <c r="AF69" s="64" t="s">
        <v>834</v>
      </c>
      <c r="AG69" s="49">
        <v>0.56999999999999995</v>
      </c>
    </row>
    <row r="70" spans="1:33" ht="34.5" customHeight="1" x14ac:dyDescent="0.3">
      <c r="A70" s="46">
        <v>73</v>
      </c>
      <c r="B70" s="46" t="s">
        <v>835</v>
      </c>
      <c r="C70" s="46" t="s">
        <v>66</v>
      </c>
      <c r="D70" s="60">
        <v>2018</v>
      </c>
      <c r="E70" s="60"/>
      <c r="F70" s="46" t="s">
        <v>226</v>
      </c>
      <c r="G70" s="46" t="s">
        <v>1</v>
      </c>
      <c r="H70" s="46"/>
      <c r="I70" s="46" t="s">
        <v>707</v>
      </c>
      <c r="J70" s="46"/>
      <c r="K70" s="46" t="s">
        <v>68</v>
      </c>
      <c r="L70" s="46"/>
      <c r="M70" s="46"/>
      <c r="N70" s="46"/>
      <c r="O70" s="46"/>
      <c r="P70" s="46"/>
      <c r="Q70" s="46"/>
      <c r="R70" s="46">
        <v>1</v>
      </c>
      <c r="S70" s="46"/>
      <c r="T70" s="46"/>
      <c r="U70" s="46"/>
      <c r="V70" s="46"/>
      <c r="W70" s="46"/>
      <c r="X70" s="46"/>
      <c r="Y70" s="46"/>
      <c r="Z70" s="46" t="s">
        <v>833</v>
      </c>
      <c r="AA70" s="61">
        <v>1</v>
      </c>
      <c r="AB70" s="62">
        <f>AA70/0.0052</f>
        <v>192.30769230769232</v>
      </c>
      <c r="AC70" s="63">
        <f t="shared" si="6"/>
        <v>0.14993076923076926</v>
      </c>
      <c r="AD70" s="62"/>
      <c r="AE70" s="62">
        <f t="shared" si="1"/>
        <v>192.30769230769232</v>
      </c>
      <c r="AF70" s="64" t="s">
        <v>836</v>
      </c>
      <c r="AG70" s="49">
        <v>0.56999999999999995</v>
      </c>
    </row>
    <row r="71" spans="1:33" ht="34.5" customHeight="1" x14ac:dyDescent="0.3">
      <c r="A71" s="46">
        <v>74</v>
      </c>
      <c r="B71" s="46" t="s">
        <v>837</v>
      </c>
      <c r="C71" s="46" t="s">
        <v>203</v>
      </c>
      <c r="D71" s="60">
        <v>2020</v>
      </c>
      <c r="E71" s="60"/>
      <c r="F71" s="46" t="s">
        <v>226</v>
      </c>
      <c r="G71" s="46" t="s">
        <v>1</v>
      </c>
      <c r="H71" s="46"/>
      <c r="I71" s="46" t="s">
        <v>707</v>
      </c>
      <c r="J71" s="46"/>
      <c r="K71" s="46" t="s">
        <v>68</v>
      </c>
      <c r="L71" s="46"/>
      <c r="M71" s="46"/>
      <c r="N71" s="46"/>
      <c r="O71" s="46"/>
      <c r="P71" s="46"/>
      <c r="Q71" s="46">
        <v>1</v>
      </c>
      <c r="R71" s="46">
        <v>1</v>
      </c>
      <c r="S71" s="46"/>
      <c r="T71" s="46">
        <v>1</v>
      </c>
      <c r="U71" s="46"/>
      <c r="V71" s="46"/>
      <c r="W71" s="46"/>
      <c r="X71" s="46"/>
      <c r="Y71" s="46"/>
      <c r="Z71" s="46" t="s">
        <v>838</v>
      </c>
      <c r="AA71" s="61">
        <v>0.8</v>
      </c>
      <c r="AB71" s="62">
        <f>AA71/0.0052</f>
        <v>153.84615384615387</v>
      </c>
      <c r="AC71" s="63">
        <f t="shared" si="6"/>
        <v>0.11994461538461539</v>
      </c>
      <c r="AD71" s="62"/>
      <c r="AE71" s="62">
        <f t="shared" si="1"/>
        <v>153.84615384615387</v>
      </c>
      <c r="AF71" s="64" t="s">
        <v>839</v>
      </c>
      <c r="AG71" s="49">
        <v>0.56999999999999995</v>
      </c>
    </row>
    <row r="72" spans="1:33" ht="34.5" customHeight="1" x14ac:dyDescent="0.3">
      <c r="A72" s="46">
        <v>75</v>
      </c>
      <c r="B72" s="46" t="s">
        <v>840</v>
      </c>
      <c r="C72" s="46" t="s">
        <v>35</v>
      </c>
      <c r="D72" s="60">
        <v>2017</v>
      </c>
      <c r="E72" s="60"/>
      <c r="F72" s="46" t="s">
        <v>226</v>
      </c>
      <c r="G72" s="46" t="s">
        <v>3</v>
      </c>
      <c r="H72" s="46"/>
      <c r="I72" s="46" t="s">
        <v>169</v>
      </c>
      <c r="J72" s="46" t="s">
        <v>244</v>
      </c>
      <c r="K72" s="46" t="s">
        <v>68</v>
      </c>
      <c r="L72" s="46"/>
      <c r="M72" s="46"/>
      <c r="N72" s="46"/>
      <c r="O72" s="46"/>
      <c r="P72" s="46"/>
      <c r="Q72" s="46">
        <v>1</v>
      </c>
      <c r="R72" s="46"/>
      <c r="S72" s="46"/>
      <c r="T72" s="46"/>
      <c r="U72" s="46"/>
      <c r="V72" s="46"/>
      <c r="W72" s="46"/>
      <c r="X72" s="46"/>
      <c r="Y72" s="46"/>
      <c r="Z72" s="46" t="s">
        <v>841</v>
      </c>
      <c r="AA72" s="61">
        <v>0.7</v>
      </c>
      <c r="AB72" s="62">
        <f>IF(OR(G72="ALK",G72="PEM",G72="SOEC",G72="Other Electrolysis"),
AA72/VLOOKUP(G72,ElectrolysisConvF,3,FALSE),
AC72*10^6/(H2dens*HoursInYear))</f>
        <v>152.17391304347825</v>
      </c>
      <c r="AC72" s="63">
        <f t="shared" si="6"/>
        <v>0.1186408695652174</v>
      </c>
      <c r="AD72" s="62"/>
      <c r="AE72" s="62">
        <f t="shared" si="1"/>
        <v>152.17391304347825</v>
      </c>
      <c r="AF72" s="64" t="s">
        <v>842</v>
      </c>
      <c r="AG72" s="49">
        <v>0.3</v>
      </c>
    </row>
    <row r="73" spans="1:33" ht="34.5" customHeight="1" x14ac:dyDescent="0.3">
      <c r="A73" s="46">
        <v>76</v>
      </c>
      <c r="B73" s="46" t="s">
        <v>843</v>
      </c>
      <c r="C73" s="46" t="s">
        <v>44</v>
      </c>
      <c r="D73" s="60">
        <v>2018</v>
      </c>
      <c r="E73" s="60"/>
      <c r="F73" s="46" t="s">
        <v>226</v>
      </c>
      <c r="G73" s="46" t="s">
        <v>3</v>
      </c>
      <c r="H73" s="46"/>
      <c r="I73" s="46" t="s">
        <v>169</v>
      </c>
      <c r="J73" s="46" t="s">
        <v>244</v>
      </c>
      <c r="K73" s="46" t="s">
        <v>72</v>
      </c>
      <c r="L73" s="46"/>
      <c r="M73" s="46"/>
      <c r="N73" s="46"/>
      <c r="O73" s="46"/>
      <c r="P73" s="46"/>
      <c r="Q73" s="46"/>
      <c r="R73" s="46"/>
      <c r="S73" s="46"/>
      <c r="T73" s="46"/>
      <c r="U73" s="46"/>
      <c r="V73" s="46"/>
      <c r="W73" s="46"/>
      <c r="X73" s="46">
        <v>1</v>
      </c>
      <c r="Y73" s="46"/>
      <c r="Z73" s="46" t="s">
        <v>844</v>
      </c>
      <c r="AA73" s="61">
        <v>0.6</v>
      </c>
      <c r="AB73" s="62">
        <f>AA73/0.0046</f>
        <v>130.43478260869566</v>
      </c>
      <c r="AC73" s="63">
        <f t="shared" si="6"/>
        <v>0.10169217391304347</v>
      </c>
      <c r="AD73" s="62"/>
      <c r="AE73" s="62">
        <f t="shared" si="1"/>
        <v>130.43478260869566</v>
      </c>
      <c r="AF73" s="64" t="s">
        <v>845</v>
      </c>
      <c r="AG73" s="49">
        <v>0.3</v>
      </c>
    </row>
    <row r="74" spans="1:33" ht="34.5" customHeight="1" x14ac:dyDescent="0.3">
      <c r="A74" s="46">
        <v>77</v>
      </c>
      <c r="B74" s="46" t="s">
        <v>846</v>
      </c>
      <c r="C74" s="46" t="s">
        <v>46</v>
      </c>
      <c r="D74" s="60">
        <v>2017</v>
      </c>
      <c r="E74" s="60"/>
      <c r="F74" s="46" t="s">
        <v>226</v>
      </c>
      <c r="G74" s="46" t="s">
        <v>1</v>
      </c>
      <c r="H74" s="46"/>
      <c r="I74" s="46" t="s">
        <v>169</v>
      </c>
      <c r="J74" s="46" t="s">
        <v>245</v>
      </c>
      <c r="K74" s="46" t="s">
        <v>68</v>
      </c>
      <c r="L74" s="46"/>
      <c r="M74" s="46"/>
      <c r="N74" s="46"/>
      <c r="O74" s="46"/>
      <c r="P74" s="46"/>
      <c r="Q74" s="46">
        <v>1</v>
      </c>
      <c r="R74" s="46">
        <v>1</v>
      </c>
      <c r="S74" s="46">
        <v>1</v>
      </c>
      <c r="T74" s="46"/>
      <c r="U74" s="46"/>
      <c r="V74" s="46"/>
      <c r="W74" s="46"/>
      <c r="X74" s="46"/>
      <c r="Y74" s="46"/>
      <c r="Z74" s="46" t="s">
        <v>847</v>
      </c>
      <c r="AA74" s="61">
        <v>0.7</v>
      </c>
      <c r="AB74" s="62">
        <f>AA74/0.0052</f>
        <v>134.61538461538461</v>
      </c>
      <c r="AC74" s="63">
        <f t="shared" si="6"/>
        <v>0.10495153846153846</v>
      </c>
      <c r="AD74" s="62"/>
      <c r="AE74" s="62">
        <f t="shared" ref="AE74:AE87" si="7">AB74</f>
        <v>134.61538461538461</v>
      </c>
      <c r="AF74" s="64" t="s">
        <v>848</v>
      </c>
      <c r="AG74" s="49">
        <v>0.4</v>
      </c>
    </row>
    <row r="75" spans="1:33" ht="34.5" customHeight="1" x14ac:dyDescent="0.3">
      <c r="A75" s="46">
        <v>80</v>
      </c>
      <c r="B75" s="46" t="s">
        <v>849</v>
      </c>
      <c r="C75" s="46" t="s">
        <v>203</v>
      </c>
      <c r="D75" s="60">
        <v>2018</v>
      </c>
      <c r="E75" s="60"/>
      <c r="F75" s="46" t="s">
        <v>226</v>
      </c>
      <c r="G75" s="46" t="s">
        <v>1</v>
      </c>
      <c r="H75" s="46"/>
      <c r="I75" s="46" t="s">
        <v>169</v>
      </c>
      <c r="J75" s="46" t="s">
        <v>245</v>
      </c>
      <c r="K75" s="46" t="s">
        <v>68</v>
      </c>
      <c r="L75" s="46"/>
      <c r="M75" s="46"/>
      <c r="N75" s="46"/>
      <c r="O75" s="46"/>
      <c r="P75" s="46"/>
      <c r="Q75" s="46"/>
      <c r="R75" s="46"/>
      <c r="S75" s="46">
        <v>1</v>
      </c>
      <c r="T75" s="46"/>
      <c r="U75" s="46"/>
      <c r="V75" s="46"/>
      <c r="W75" s="46"/>
      <c r="X75" s="46"/>
      <c r="Y75" s="46"/>
      <c r="Z75" s="46" t="s">
        <v>850</v>
      </c>
      <c r="AA75" s="61">
        <v>0.22500000000000001</v>
      </c>
      <c r="AB75" s="62">
        <f>AA75/0.0052</f>
        <v>43.269230769230774</v>
      </c>
      <c r="AC75" s="63">
        <f t="shared" si="6"/>
        <v>3.3734423076923079E-2</v>
      </c>
      <c r="AD75" s="62"/>
      <c r="AE75" s="62">
        <f t="shared" si="7"/>
        <v>43.269230769230774</v>
      </c>
      <c r="AF75" s="64" t="s">
        <v>851</v>
      </c>
      <c r="AG75" s="49">
        <v>0.4</v>
      </c>
    </row>
    <row r="76" spans="1:33" ht="34.5" customHeight="1" x14ac:dyDescent="0.3">
      <c r="A76" s="46">
        <v>82</v>
      </c>
      <c r="B76" s="46" t="s">
        <v>852</v>
      </c>
      <c r="C76" s="46" t="s">
        <v>45</v>
      </c>
      <c r="D76" s="60">
        <v>2018</v>
      </c>
      <c r="E76" s="60"/>
      <c r="F76" s="46" t="s">
        <v>226</v>
      </c>
      <c r="G76" s="46" t="s">
        <v>1</v>
      </c>
      <c r="H76" s="46"/>
      <c r="I76" s="46" t="s">
        <v>166</v>
      </c>
      <c r="J76" s="46"/>
      <c r="K76" s="46" t="s">
        <v>72</v>
      </c>
      <c r="L76" s="46"/>
      <c r="M76" s="46"/>
      <c r="N76" s="46"/>
      <c r="O76" s="46"/>
      <c r="P76" s="46"/>
      <c r="Q76" s="46"/>
      <c r="R76" s="46"/>
      <c r="S76" s="46"/>
      <c r="T76" s="46"/>
      <c r="U76" s="46"/>
      <c r="V76" s="46"/>
      <c r="W76" s="46"/>
      <c r="X76" s="46">
        <v>1</v>
      </c>
      <c r="Y76" s="46"/>
      <c r="Z76" s="46" t="s">
        <v>853</v>
      </c>
      <c r="AA76" s="61">
        <v>0.2</v>
      </c>
      <c r="AB76" s="62">
        <f>AA76/0.0052</f>
        <v>38.461538461538467</v>
      </c>
      <c r="AC76" s="63">
        <f t="shared" si="6"/>
        <v>2.9986153846153846E-2</v>
      </c>
      <c r="AD76" s="62"/>
      <c r="AE76" s="62">
        <f t="shared" si="7"/>
        <v>38.461538461538467</v>
      </c>
      <c r="AF76" s="64" t="s">
        <v>776</v>
      </c>
      <c r="AG76" s="49">
        <v>0.56999999999999995</v>
      </c>
    </row>
    <row r="77" spans="1:33" ht="34.5" customHeight="1" x14ac:dyDescent="0.3">
      <c r="A77" s="46">
        <v>83</v>
      </c>
      <c r="B77" s="46" t="s">
        <v>854</v>
      </c>
      <c r="C77" s="46" t="s">
        <v>34</v>
      </c>
      <c r="D77" s="60">
        <v>2018</v>
      </c>
      <c r="E77" s="60"/>
      <c r="F77" s="46" t="s">
        <v>226</v>
      </c>
      <c r="G77" s="46" t="s">
        <v>1</v>
      </c>
      <c r="H77" s="46"/>
      <c r="I77" s="46" t="s">
        <v>707</v>
      </c>
      <c r="J77" s="46"/>
      <c r="K77" s="46" t="s">
        <v>68</v>
      </c>
      <c r="L77" s="46"/>
      <c r="M77" s="46"/>
      <c r="N77" s="46"/>
      <c r="O77" s="46"/>
      <c r="P77" s="46"/>
      <c r="Q77" s="46">
        <v>1</v>
      </c>
      <c r="R77" s="46"/>
      <c r="S77" s="46"/>
      <c r="T77" s="46"/>
      <c r="U77" s="46"/>
      <c r="V77" s="46"/>
      <c r="W77" s="46"/>
      <c r="X77" s="46"/>
      <c r="Y77" s="46"/>
      <c r="Z77" s="46" t="s">
        <v>855</v>
      </c>
      <c r="AA77" s="61">
        <f>AB77*0.0052</f>
        <v>0.19239999999999999</v>
      </c>
      <c r="AB77" s="62">
        <v>37</v>
      </c>
      <c r="AC77" s="63">
        <f t="shared" si="6"/>
        <v>2.8846679999999996E-2</v>
      </c>
      <c r="AD77" s="62"/>
      <c r="AE77" s="62">
        <f t="shared" si="7"/>
        <v>37</v>
      </c>
      <c r="AF77" s="64" t="s">
        <v>856</v>
      </c>
      <c r="AG77" s="49">
        <v>0.56999999999999995</v>
      </c>
    </row>
    <row r="78" spans="1:33" ht="34.5" customHeight="1" x14ac:dyDescent="0.3">
      <c r="A78" s="46">
        <v>85</v>
      </c>
      <c r="B78" s="46" t="s">
        <v>857</v>
      </c>
      <c r="C78" s="46" t="s">
        <v>41</v>
      </c>
      <c r="D78" s="60">
        <v>2018</v>
      </c>
      <c r="E78" s="60"/>
      <c r="F78" s="46" t="s">
        <v>226</v>
      </c>
      <c r="G78" s="46" t="s">
        <v>159</v>
      </c>
      <c r="H78" s="46" t="s">
        <v>592</v>
      </c>
      <c r="I78" s="46" t="s">
        <v>169</v>
      </c>
      <c r="J78" s="46" t="s">
        <v>244</v>
      </c>
      <c r="K78" s="46" t="s">
        <v>68</v>
      </c>
      <c r="L78" s="46"/>
      <c r="M78" s="46"/>
      <c r="N78" s="46"/>
      <c r="O78" s="46"/>
      <c r="P78" s="46"/>
      <c r="Q78" s="46">
        <v>1</v>
      </c>
      <c r="R78" s="46"/>
      <c r="S78" s="46"/>
      <c r="T78" s="46"/>
      <c r="U78" s="46"/>
      <c r="V78" s="46"/>
      <c r="W78" s="46"/>
      <c r="X78" s="46"/>
      <c r="Y78" s="46"/>
      <c r="Z78" s="46" t="s">
        <v>858</v>
      </c>
      <c r="AA78" s="61">
        <f>AB78*0.0045</f>
        <v>0.11249999999999999</v>
      </c>
      <c r="AB78" s="62">
        <v>25</v>
      </c>
      <c r="AC78" s="63">
        <f t="shared" si="6"/>
        <v>1.9491000000000001E-2</v>
      </c>
      <c r="AD78" s="62"/>
      <c r="AE78" s="62">
        <f t="shared" si="7"/>
        <v>25</v>
      </c>
      <c r="AF78" s="64"/>
      <c r="AG78" s="49">
        <v>0.3</v>
      </c>
    </row>
    <row r="79" spans="1:33" ht="34.5" customHeight="1" x14ac:dyDescent="0.3">
      <c r="A79" s="46">
        <v>87</v>
      </c>
      <c r="B79" s="46" t="s">
        <v>859</v>
      </c>
      <c r="C79" s="46" t="s">
        <v>203</v>
      </c>
      <c r="D79" s="60">
        <v>2018</v>
      </c>
      <c r="E79" s="60"/>
      <c r="F79" s="46" t="s">
        <v>226</v>
      </c>
      <c r="G79" s="46" t="s">
        <v>1</v>
      </c>
      <c r="H79" s="46"/>
      <c r="I79" s="46" t="s">
        <v>707</v>
      </c>
      <c r="J79" s="46"/>
      <c r="K79" s="46" t="s">
        <v>72</v>
      </c>
      <c r="L79" s="46"/>
      <c r="M79" s="46"/>
      <c r="N79" s="46"/>
      <c r="O79" s="46"/>
      <c r="P79" s="46"/>
      <c r="Q79" s="46"/>
      <c r="R79" s="46"/>
      <c r="S79" s="46"/>
      <c r="T79" s="46"/>
      <c r="U79" s="46"/>
      <c r="V79" s="46"/>
      <c r="W79" s="46"/>
      <c r="X79" s="46">
        <v>1</v>
      </c>
      <c r="Y79" s="46"/>
      <c r="Z79" s="46" t="s">
        <v>860</v>
      </c>
      <c r="AA79" s="61">
        <v>0.05</v>
      </c>
      <c r="AB79" s="62">
        <f>AA79/0.0052</f>
        <v>9.6153846153846168</v>
      </c>
      <c r="AC79" s="63">
        <f t="shared" si="6"/>
        <v>7.4965384615384616E-3</v>
      </c>
      <c r="AD79" s="62"/>
      <c r="AE79" s="62">
        <f t="shared" si="7"/>
        <v>9.6153846153846168</v>
      </c>
      <c r="AF79" s="64"/>
      <c r="AG79" s="49">
        <v>0.56999999999999995</v>
      </c>
    </row>
    <row r="80" spans="1:33" ht="34.5" customHeight="1" x14ac:dyDescent="0.3">
      <c r="A80" s="46">
        <v>88</v>
      </c>
      <c r="B80" s="46" t="s">
        <v>861</v>
      </c>
      <c r="C80" s="46" t="s">
        <v>321</v>
      </c>
      <c r="D80" s="60">
        <v>2018</v>
      </c>
      <c r="E80" s="60"/>
      <c r="F80" s="46" t="s">
        <v>226</v>
      </c>
      <c r="G80" s="46" t="s">
        <v>2</v>
      </c>
      <c r="H80" s="46"/>
      <c r="I80" s="46" t="s">
        <v>707</v>
      </c>
      <c r="J80" s="46"/>
      <c r="K80" s="46" t="s">
        <v>72</v>
      </c>
      <c r="L80" s="46"/>
      <c r="M80" s="46"/>
      <c r="N80" s="46"/>
      <c r="O80" s="46"/>
      <c r="P80" s="46"/>
      <c r="Q80" s="46"/>
      <c r="R80" s="46"/>
      <c r="S80" s="46"/>
      <c r="T80" s="46"/>
      <c r="U80" s="46"/>
      <c r="V80" s="46"/>
      <c r="W80" s="46"/>
      <c r="X80" s="46">
        <v>1</v>
      </c>
      <c r="Y80" s="46"/>
      <c r="Z80" s="46" t="s">
        <v>862</v>
      </c>
      <c r="AA80" s="61">
        <f>AB80*0.0038</f>
        <v>3.3440000000000004E-2</v>
      </c>
      <c r="AB80" s="62">
        <v>8.8000000000000007</v>
      </c>
      <c r="AC80" s="63">
        <f t="shared" si="6"/>
        <v>6.8608320000000007E-3</v>
      </c>
      <c r="AD80" s="62"/>
      <c r="AE80" s="62">
        <f t="shared" si="7"/>
        <v>8.8000000000000007</v>
      </c>
      <c r="AF80" s="64" t="s">
        <v>863</v>
      </c>
      <c r="AG80" s="49">
        <v>0.56999999999999995</v>
      </c>
    </row>
    <row r="81" spans="1:33" ht="34.5" customHeight="1" x14ac:dyDescent="0.3">
      <c r="A81" s="46">
        <v>89</v>
      </c>
      <c r="B81" s="46" t="s">
        <v>864</v>
      </c>
      <c r="C81" s="46" t="s">
        <v>45</v>
      </c>
      <c r="D81" s="60">
        <v>2018</v>
      </c>
      <c r="E81" s="60"/>
      <c r="F81" s="46" t="s">
        <v>226</v>
      </c>
      <c r="G81" s="46" t="s">
        <v>2</v>
      </c>
      <c r="H81" s="46"/>
      <c r="I81" s="46" t="s">
        <v>707</v>
      </c>
      <c r="J81" s="46"/>
      <c r="K81" s="46" t="s">
        <v>68</v>
      </c>
      <c r="L81" s="46"/>
      <c r="M81" s="46"/>
      <c r="N81" s="46"/>
      <c r="O81" s="46"/>
      <c r="P81" s="46"/>
      <c r="Q81" s="46"/>
      <c r="R81" s="46">
        <v>1</v>
      </c>
      <c r="S81" s="46"/>
      <c r="T81" s="46"/>
      <c r="U81" s="46"/>
      <c r="V81" s="46"/>
      <c r="W81" s="46"/>
      <c r="X81" s="46"/>
      <c r="Y81" s="46"/>
      <c r="Z81" s="46" t="s">
        <v>865</v>
      </c>
      <c r="AA81" s="61">
        <f>AB81*0.0038</f>
        <v>3.7999999999999999E-2</v>
      </c>
      <c r="AB81" s="62">
        <v>10</v>
      </c>
      <c r="AC81" s="63">
        <f t="shared" si="6"/>
        <v>7.7963999999999985E-3</v>
      </c>
      <c r="AD81" s="62"/>
      <c r="AE81" s="62">
        <f t="shared" si="7"/>
        <v>10</v>
      </c>
      <c r="AF81" s="64" t="s">
        <v>866</v>
      </c>
      <c r="AG81" s="49">
        <v>0.56999999999999995</v>
      </c>
    </row>
    <row r="82" spans="1:33" ht="34.5" customHeight="1" x14ac:dyDescent="0.3">
      <c r="A82" s="46">
        <v>90</v>
      </c>
      <c r="B82" s="46" t="s">
        <v>867</v>
      </c>
      <c r="C82" s="46" t="s">
        <v>42</v>
      </c>
      <c r="D82" s="60">
        <v>2018</v>
      </c>
      <c r="E82" s="60"/>
      <c r="F82" s="46" t="s">
        <v>226</v>
      </c>
      <c r="G82" s="46" t="s">
        <v>1</v>
      </c>
      <c r="H82" s="46"/>
      <c r="I82" s="46" t="s">
        <v>707</v>
      </c>
      <c r="J82" s="46"/>
      <c r="K82" s="46" t="s">
        <v>68</v>
      </c>
      <c r="L82" s="46"/>
      <c r="M82" s="46"/>
      <c r="N82" s="46"/>
      <c r="O82" s="46"/>
      <c r="P82" s="46"/>
      <c r="Q82" s="46"/>
      <c r="R82" s="46">
        <v>1</v>
      </c>
      <c r="S82" s="46"/>
      <c r="T82" s="46"/>
      <c r="U82" s="46"/>
      <c r="V82" s="46"/>
      <c r="W82" s="46"/>
      <c r="X82" s="46"/>
      <c r="Y82" s="46"/>
      <c r="Z82" s="46" t="s">
        <v>795</v>
      </c>
      <c r="AA82" s="61">
        <v>2.5000000000000001E-2</v>
      </c>
      <c r="AB82" s="62">
        <f>AA82/0.0052</f>
        <v>4.8076923076923084</v>
      </c>
      <c r="AC82" s="63">
        <f t="shared" si="6"/>
        <v>3.7482692307692308E-3</v>
      </c>
      <c r="AD82" s="62"/>
      <c r="AE82" s="62">
        <f t="shared" si="7"/>
        <v>4.8076923076923084</v>
      </c>
      <c r="AF82" s="64" t="s">
        <v>868</v>
      </c>
      <c r="AG82" s="49">
        <v>0.56999999999999995</v>
      </c>
    </row>
    <row r="83" spans="1:33" ht="34.5" customHeight="1" x14ac:dyDescent="0.3">
      <c r="A83" s="46">
        <v>92</v>
      </c>
      <c r="B83" s="46" t="s">
        <v>869</v>
      </c>
      <c r="C83" s="46" t="s">
        <v>203</v>
      </c>
      <c r="D83" s="60">
        <v>2018</v>
      </c>
      <c r="E83" s="60"/>
      <c r="F83" s="46" t="s">
        <v>226</v>
      </c>
      <c r="G83" s="46" t="s">
        <v>3</v>
      </c>
      <c r="H83" s="46"/>
      <c r="I83" s="46" t="s">
        <v>166</v>
      </c>
      <c r="J83" s="46"/>
      <c r="K83" s="46" t="s">
        <v>72</v>
      </c>
      <c r="L83" s="46"/>
      <c r="M83" s="46"/>
      <c r="N83" s="46"/>
      <c r="O83" s="46"/>
      <c r="P83" s="46"/>
      <c r="Q83" s="46"/>
      <c r="R83" s="46"/>
      <c r="S83" s="46"/>
      <c r="T83" s="46"/>
      <c r="U83" s="46"/>
      <c r="V83" s="46"/>
      <c r="W83" s="46"/>
      <c r="X83" s="46">
        <v>1</v>
      </c>
      <c r="Y83" s="46"/>
      <c r="Z83" s="46" t="s">
        <v>870</v>
      </c>
      <c r="AA83" s="61">
        <f>AB83*0.0046</f>
        <v>1.84E-2</v>
      </c>
      <c r="AB83" s="62">
        <v>4</v>
      </c>
      <c r="AC83" s="63">
        <f t="shared" si="6"/>
        <v>3.1185599999999998E-3</v>
      </c>
      <c r="AD83" s="62"/>
      <c r="AE83" s="62">
        <f t="shared" si="7"/>
        <v>4</v>
      </c>
      <c r="AF83" s="64" t="s">
        <v>871</v>
      </c>
      <c r="AG83" s="49">
        <v>0.56999999999999995</v>
      </c>
    </row>
    <row r="84" spans="1:33" ht="34.5" customHeight="1" x14ac:dyDescent="0.3">
      <c r="A84" s="46">
        <v>93</v>
      </c>
      <c r="B84" s="46" t="s">
        <v>872</v>
      </c>
      <c r="C84" s="46" t="s">
        <v>42</v>
      </c>
      <c r="D84" s="60">
        <v>2018</v>
      </c>
      <c r="E84" s="60"/>
      <c r="F84" s="46" t="s">
        <v>226</v>
      </c>
      <c r="G84" s="46" t="s">
        <v>1</v>
      </c>
      <c r="H84" s="46"/>
      <c r="I84" s="46" t="s">
        <v>707</v>
      </c>
      <c r="J84" s="46"/>
      <c r="K84" s="46" t="s">
        <v>68</v>
      </c>
      <c r="L84" s="46"/>
      <c r="M84" s="46"/>
      <c r="N84" s="46"/>
      <c r="O84" s="46"/>
      <c r="P84" s="46"/>
      <c r="Q84" s="46"/>
      <c r="R84" s="46">
        <v>1</v>
      </c>
      <c r="S84" s="46"/>
      <c r="T84" s="46"/>
      <c r="U84" s="46"/>
      <c r="V84" s="46"/>
      <c r="W84" s="46"/>
      <c r="X84" s="46"/>
      <c r="Y84" s="46"/>
      <c r="Z84" s="46" t="s">
        <v>873</v>
      </c>
      <c r="AA84" s="61">
        <f>AB84*0.0052</f>
        <v>5.1999999999999998E-3</v>
      </c>
      <c r="AB84" s="62">
        <v>1</v>
      </c>
      <c r="AC84" s="63">
        <f t="shared" si="6"/>
        <v>7.7963999999999996E-4</v>
      </c>
      <c r="AD84" s="62"/>
      <c r="AE84" s="62">
        <f t="shared" si="7"/>
        <v>1</v>
      </c>
      <c r="AF84" s="64" t="s">
        <v>874</v>
      </c>
      <c r="AG84" s="49">
        <v>0.56999999999999995</v>
      </c>
    </row>
    <row r="85" spans="1:33" ht="34.5" customHeight="1" x14ac:dyDescent="0.3">
      <c r="A85" s="46">
        <v>94</v>
      </c>
      <c r="B85" s="46" t="s">
        <v>875</v>
      </c>
      <c r="C85" s="46" t="s">
        <v>42</v>
      </c>
      <c r="D85" s="60">
        <v>2018</v>
      </c>
      <c r="E85" s="60"/>
      <c r="F85" s="46" t="s">
        <v>226</v>
      </c>
      <c r="G85" s="46" t="s">
        <v>1</v>
      </c>
      <c r="H85" s="46"/>
      <c r="I85" s="46" t="s">
        <v>707</v>
      </c>
      <c r="J85" s="46"/>
      <c r="K85" s="46" t="s">
        <v>68</v>
      </c>
      <c r="L85" s="46"/>
      <c r="M85" s="46"/>
      <c r="N85" s="46"/>
      <c r="O85" s="46"/>
      <c r="P85" s="46"/>
      <c r="Q85" s="46"/>
      <c r="R85" s="46"/>
      <c r="S85" s="46"/>
      <c r="T85" s="46">
        <v>1</v>
      </c>
      <c r="U85" s="46"/>
      <c r="V85" s="46"/>
      <c r="W85" s="46"/>
      <c r="X85" s="46"/>
      <c r="Y85" s="46"/>
      <c r="Z85" s="46" t="s">
        <v>873</v>
      </c>
      <c r="AA85" s="61">
        <f>AB85*0.0052</f>
        <v>5.1999999999999998E-3</v>
      </c>
      <c r="AB85" s="62">
        <v>1</v>
      </c>
      <c r="AC85" s="63">
        <f t="shared" si="6"/>
        <v>7.7963999999999996E-4</v>
      </c>
      <c r="AD85" s="62"/>
      <c r="AE85" s="62">
        <f t="shared" si="7"/>
        <v>1</v>
      </c>
      <c r="AF85" s="64"/>
      <c r="AG85" s="49">
        <v>0.56999999999999995</v>
      </c>
    </row>
    <row r="86" spans="1:33" ht="34.5" customHeight="1" x14ac:dyDescent="0.3">
      <c r="A86" s="46">
        <v>95</v>
      </c>
      <c r="B86" s="46" t="s">
        <v>876</v>
      </c>
      <c r="C86" s="46" t="s">
        <v>203</v>
      </c>
      <c r="D86" s="60">
        <v>2018</v>
      </c>
      <c r="E86" s="60"/>
      <c r="F86" s="46" t="s">
        <v>226</v>
      </c>
      <c r="G86" s="46" t="s">
        <v>159</v>
      </c>
      <c r="H86" s="46" t="s">
        <v>592</v>
      </c>
      <c r="I86" s="46" t="s">
        <v>707</v>
      </c>
      <c r="J86" s="46"/>
      <c r="K86" s="46" t="s">
        <v>72</v>
      </c>
      <c r="L86" s="46"/>
      <c r="M86" s="46"/>
      <c r="N86" s="46"/>
      <c r="O86" s="46"/>
      <c r="P86" s="46"/>
      <c r="Q86" s="46"/>
      <c r="R86" s="46"/>
      <c r="S86" s="46"/>
      <c r="T86" s="46"/>
      <c r="U86" s="46"/>
      <c r="V86" s="46"/>
      <c r="W86" s="46"/>
      <c r="X86" s="46">
        <v>1</v>
      </c>
      <c r="Y86" s="46"/>
      <c r="Z86" s="46" t="s">
        <v>877</v>
      </c>
      <c r="AA86" s="61">
        <f>AB86*0.0045</f>
        <v>1.1249999999999999E-3</v>
      </c>
      <c r="AB86" s="62">
        <v>0.25</v>
      </c>
      <c r="AC86" s="63">
        <f t="shared" si="6"/>
        <v>1.9490999999999999E-4</v>
      </c>
      <c r="AD86" s="62"/>
      <c r="AE86" s="62">
        <f t="shared" si="7"/>
        <v>0.25</v>
      </c>
      <c r="AF86" s="64" t="s">
        <v>878</v>
      </c>
      <c r="AG86" s="49">
        <v>0.56999999999999995</v>
      </c>
    </row>
    <row r="87" spans="1:33" ht="34.5" customHeight="1" x14ac:dyDescent="0.3">
      <c r="A87" s="46">
        <v>96</v>
      </c>
      <c r="B87" s="46" t="s">
        <v>879</v>
      </c>
      <c r="C87" s="46" t="s">
        <v>63</v>
      </c>
      <c r="D87" s="60">
        <v>2018</v>
      </c>
      <c r="E87" s="60"/>
      <c r="F87" s="46" t="s">
        <v>226</v>
      </c>
      <c r="G87" s="46" t="s">
        <v>1</v>
      </c>
      <c r="H87" s="46"/>
      <c r="I87" s="46" t="s">
        <v>707</v>
      </c>
      <c r="J87" s="46"/>
      <c r="K87" s="46" t="s">
        <v>68</v>
      </c>
      <c r="L87" s="46"/>
      <c r="M87" s="46"/>
      <c r="N87" s="46"/>
      <c r="O87" s="46"/>
      <c r="P87" s="46"/>
      <c r="Q87" s="46">
        <v>1</v>
      </c>
      <c r="R87" s="46"/>
      <c r="S87" s="46"/>
      <c r="T87" s="46"/>
      <c r="U87" s="46"/>
      <c r="V87" s="46"/>
      <c r="W87" s="46"/>
      <c r="X87" s="46"/>
      <c r="Y87" s="46"/>
      <c r="Z87" s="46"/>
      <c r="AA87" s="61"/>
      <c r="AB87" s="62"/>
      <c r="AC87" s="63"/>
      <c r="AD87" s="62"/>
      <c r="AE87" s="62">
        <f t="shared" si="7"/>
        <v>0</v>
      </c>
      <c r="AF87" s="64" t="s">
        <v>880</v>
      </c>
      <c r="AG87" s="49">
        <v>0.56999999999999995</v>
      </c>
    </row>
    <row r="88" spans="1:33" ht="34.5" customHeight="1" x14ac:dyDescent="0.3">
      <c r="A88" s="46">
        <v>97</v>
      </c>
      <c r="B88" s="46" t="s">
        <v>881</v>
      </c>
      <c r="C88" s="46" t="s">
        <v>46</v>
      </c>
      <c r="D88" s="60">
        <v>2035</v>
      </c>
      <c r="E88" s="60"/>
      <c r="F88" s="46" t="s">
        <v>591</v>
      </c>
      <c r="G88" s="46" t="s">
        <v>161</v>
      </c>
      <c r="H88" s="46" t="s">
        <v>882</v>
      </c>
      <c r="I88" s="46"/>
      <c r="J88" s="46"/>
      <c r="K88" s="46" t="s">
        <v>68</v>
      </c>
      <c r="L88" s="46">
        <v>1</v>
      </c>
      <c r="M88" s="46"/>
      <c r="N88" s="46"/>
      <c r="O88" s="46"/>
      <c r="P88" s="46">
        <v>1</v>
      </c>
      <c r="Q88" s="46">
        <v>1</v>
      </c>
      <c r="R88" s="46"/>
      <c r="S88" s="46">
        <v>1</v>
      </c>
      <c r="T88" s="46"/>
      <c r="U88" s="46"/>
      <c r="V88" s="46"/>
      <c r="W88" s="46"/>
      <c r="X88" s="46"/>
      <c r="Y88" s="46"/>
      <c r="Z88" s="46" t="s">
        <v>883</v>
      </c>
      <c r="AA88" s="61"/>
      <c r="AB88" s="62">
        <f>IF(OR(G88="ALK",G88="PEM",G88="SOEC",G88="Other Electrolysis"),
AA88/VLOOKUP(G88,ElectrolysisConvF,3,FALSE),
AC88*10^6/(H2dens*HoursInYear))</f>
        <v>3890730.3370786519</v>
      </c>
      <c r="AC88" s="63">
        <f>12150*HoursInYear*0.95*3.6/120/1000</f>
        <v>3033.3690000000001</v>
      </c>
      <c r="AD88" s="62">
        <v>15000000</v>
      </c>
      <c r="AE88" s="62">
        <f>IF(AND(G88&lt;&gt;"NG w CCUS",G88&lt;&gt;"Oil w CCUS",G88&lt;&gt;"Coal w CCUS"),AB88,AD88*10^3/(HoursInYear*IF(G88="NG w CCUS",0.9105,1.9075)))</f>
        <v>1880646.6415412277</v>
      </c>
      <c r="AF88" s="64" t="s">
        <v>884</v>
      </c>
      <c r="AG88" s="49">
        <v>0.9</v>
      </c>
    </row>
    <row r="89" spans="1:33" ht="34.5" customHeight="1" x14ac:dyDescent="0.3">
      <c r="A89" s="46">
        <v>111</v>
      </c>
      <c r="B89" s="46" t="s">
        <v>885</v>
      </c>
      <c r="C89" s="46" t="s">
        <v>46</v>
      </c>
      <c r="D89" s="60">
        <v>2026</v>
      </c>
      <c r="E89" s="60"/>
      <c r="F89" s="46" t="s">
        <v>225</v>
      </c>
      <c r="G89" s="46" t="s">
        <v>161</v>
      </c>
      <c r="H89" s="46" t="s">
        <v>882</v>
      </c>
      <c r="I89" s="46"/>
      <c r="J89" s="46"/>
      <c r="K89" s="46" t="s">
        <v>68</v>
      </c>
      <c r="L89" s="46">
        <v>1</v>
      </c>
      <c r="M89" s="46"/>
      <c r="N89" s="46"/>
      <c r="O89" s="46"/>
      <c r="P89" s="46">
        <v>1</v>
      </c>
      <c r="Q89" s="46">
        <v>1</v>
      </c>
      <c r="R89" s="46">
        <v>1</v>
      </c>
      <c r="S89" s="46">
        <v>1</v>
      </c>
      <c r="T89" s="46"/>
      <c r="U89" s="46"/>
      <c r="V89" s="46"/>
      <c r="W89" s="46"/>
      <c r="X89" s="46"/>
      <c r="Y89" s="46"/>
      <c r="Z89" s="46" t="s">
        <v>886</v>
      </c>
      <c r="AA89" s="61"/>
      <c r="AB89" s="62">
        <f>AC89/365/24/0.089*10^6</f>
        <v>115437.89441280592</v>
      </c>
      <c r="AC89" s="63">
        <f>3*3.6/0.12</f>
        <v>90.000000000000014</v>
      </c>
      <c r="AD89" s="62">
        <v>810000</v>
      </c>
      <c r="AE89" s="62">
        <f>IF(AND(G89&lt;&gt;"NG w CCUS",G89&lt;&gt;"Oil w CCUS",G89&lt;&gt;"Coal w CCUS"),AB89,AD89*10^3/(HoursInYear*IF(G89="NG w CCUS",0.9105,1.9075)))</f>
        <v>101554.91864322629</v>
      </c>
      <c r="AF89" s="64" t="s">
        <v>887</v>
      </c>
      <c r="AG89" s="49">
        <v>0.9</v>
      </c>
    </row>
    <row r="90" spans="1:33" ht="34.5" customHeight="1" x14ac:dyDescent="0.3">
      <c r="A90" s="46">
        <v>113</v>
      </c>
      <c r="B90" s="46" t="s">
        <v>888</v>
      </c>
      <c r="C90" s="46" t="s">
        <v>41</v>
      </c>
      <c r="D90" s="60">
        <v>2035</v>
      </c>
      <c r="E90" s="60"/>
      <c r="F90" s="46" t="s">
        <v>591</v>
      </c>
      <c r="G90" s="46" t="s">
        <v>159</v>
      </c>
      <c r="H90" s="46" t="s">
        <v>592</v>
      </c>
      <c r="I90" s="46" t="s">
        <v>169</v>
      </c>
      <c r="J90" s="46" t="s">
        <v>248</v>
      </c>
      <c r="K90" s="46" t="s">
        <v>68</v>
      </c>
      <c r="L90" s="46"/>
      <c r="M90" s="46"/>
      <c r="N90" s="46"/>
      <c r="O90" s="46"/>
      <c r="P90" s="46"/>
      <c r="Q90" s="46"/>
      <c r="R90" s="46"/>
      <c r="S90" s="46"/>
      <c r="T90" s="46"/>
      <c r="U90" s="46"/>
      <c r="V90" s="46"/>
      <c r="W90" s="46"/>
      <c r="X90" s="46"/>
      <c r="Y90" s="46"/>
      <c r="Z90" s="46" t="s">
        <v>889</v>
      </c>
      <c r="AA90" s="61">
        <f>AB90*0.0045</f>
        <v>11543.789441280589</v>
      </c>
      <c r="AB90" s="62">
        <f>AC90/(0.089*24*365/10^6)</f>
        <v>2565286.5425067977</v>
      </c>
      <c r="AC90" s="63">
        <f>1000/H2ProjectDB4578610[[#This Row],[Column33]]</f>
        <v>2000</v>
      </c>
      <c r="AD90" s="62"/>
      <c r="AE90" s="62"/>
      <c r="AF90" s="64" t="s">
        <v>890</v>
      </c>
      <c r="AG90" s="49">
        <v>0.5</v>
      </c>
    </row>
    <row r="91" spans="1:33" ht="34.5" customHeight="1" x14ac:dyDescent="0.3">
      <c r="A91" s="46">
        <v>115</v>
      </c>
      <c r="B91" s="46" t="s">
        <v>891</v>
      </c>
      <c r="C91" s="46" t="s">
        <v>203</v>
      </c>
      <c r="D91" s="60">
        <v>2017</v>
      </c>
      <c r="E91" s="60"/>
      <c r="F91" s="46" t="s">
        <v>226</v>
      </c>
      <c r="G91" s="46" t="s">
        <v>3</v>
      </c>
      <c r="H91" s="46"/>
      <c r="I91" s="46" t="s">
        <v>707</v>
      </c>
      <c r="J91" s="46"/>
      <c r="K91" s="46" t="s">
        <v>68</v>
      </c>
      <c r="L91" s="46"/>
      <c r="M91" s="46"/>
      <c r="N91" s="46"/>
      <c r="O91" s="46"/>
      <c r="P91" s="46"/>
      <c r="Q91" s="46"/>
      <c r="R91" s="46">
        <v>1</v>
      </c>
      <c r="S91" s="46"/>
      <c r="T91" s="46">
        <v>1</v>
      </c>
      <c r="U91" s="46"/>
      <c r="V91" s="46"/>
      <c r="W91" s="46"/>
      <c r="X91" s="46"/>
      <c r="Y91" s="46"/>
      <c r="Z91" s="46" t="s">
        <v>892</v>
      </c>
      <c r="AA91" s="61">
        <v>6.25E-2</v>
      </c>
      <c r="AB91" s="62">
        <f>AA91/0.0046</f>
        <v>13.586956521739131</v>
      </c>
      <c r="AC91" s="63">
        <f t="shared" ref="AC91:AC98" si="8">AB91*H2dens*HoursInYear/10^6</f>
        <v>1.0592934782608695E-2</v>
      </c>
      <c r="AD91" s="62"/>
      <c r="AE91" s="62">
        <f>AB91</f>
        <v>13.586956521739131</v>
      </c>
      <c r="AF91" s="64" t="s">
        <v>893</v>
      </c>
      <c r="AG91" s="49">
        <v>0.56999999999999995</v>
      </c>
    </row>
    <row r="92" spans="1:33" ht="34.5" customHeight="1" x14ac:dyDescent="0.3">
      <c r="A92" s="46">
        <v>119</v>
      </c>
      <c r="B92" s="46" t="s">
        <v>894</v>
      </c>
      <c r="C92" s="46" t="s">
        <v>34</v>
      </c>
      <c r="D92" s="60">
        <v>2017</v>
      </c>
      <c r="E92" s="60"/>
      <c r="F92" s="46" t="s">
        <v>226</v>
      </c>
      <c r="G92" s="46" t="s">
        <v>1</v>
      </c>
      <c r="H92" s="46"/>
      <c r="I92" s="46" t="s">
        <v>707</v>
      </c>
      <c r="J92" s="46"/>
      <c r="K92" s="46" t="s">
        <v>68</v>
      </c>
      <c r="L92" s="46"/>
      <c r="M92" s="46"/>
      <c r="N92" s="46"/>
      <c r="O92" s="46"/>
      <c r="P92" s="46"/>
      <c r="Q92" s="46">
        <v>1</v>
      </c>
      <c r="R92" s="46">
        <v>1</v>
      </c>
      <c r="S92" s="46"/>
      <c r="T92" s="46"/>
      <c r="U92" s="46"/>
      <c r="V92" s="46"/>
      <c r="W92" s="46"/>
      <c r="X92" s="46"/>
      <c r="Y92" s="46"/>
      <c r="Z92" s="46" t="s">
        <v>895</v>
      </c>
      <c r="AA92" s="61">
        <f>AB92*0.0052</f>
        <v>4.6799999999999994E-2</v>
      </c>
      <c r="AB92" s="62">
        <v>9</v>
      </c>
      <c r="AC92" s="63">
        <f t="shared" si="8"/>
        <v>7.0167599999999995E-3</v>
      </c>
      <c r="AD92" s="62"/>
      <c r="AE92" s="62">
        <f t="shared" ref="AE92:AE100" si="9">AB92</f>
        <v>9</v>
      </c>
      <c r="AF92" s="64" t="s">
        <v>896</v>
      </c>
      <c r="AG92" s="49">
        <v>0.56999999999999995</v>
      </c>
    </row>
    <row r="93" spans="1:33" ht="34.5" customHeight="1" x14ac:dyDescent="0.3">
      <c r="A93" s="46">
        <v>120</v>
      </c>
      <c r="B93" s="46" t="s">
        <v>897</v>
      </c>
      <c r="C93" s="46" t="s">
        <v>49</v>
      </c>
      <c r="D93" s="60">
        <v>2017</v>
      </c>
      <c r="E93" s="60">
        <v>2020</v>
      </c>
      <c r="F93" s="46" t="s">
        <v>285</v>
      </c>
      <c r="G93" s="46" t="s">
        <v>2</v>
      </c>
      <c r="H93" s="46"/>
      <c r="I93" s="46" t="s">
        <v>707</v>
      </c>
      <c r="J93" s="46"/>
      <c r="K93" s="46" t="s">
        <v>72</v>
      </c>
      <c r="L93" s="46"/>
      <c r="M93" s="46"/>
      <c r="N93" s="46"/>
      <c r="O93" s="46"/>
      <c r="P93" s="46"/>
      <c r="Q93" s="46"/>
      <c r="R93" s="46"/>
      <c r="S93" s="46"/>
      <c r="T93" s="46"/>
      <c r="U93" s="46"/>
      <c r="V93" s="46"/>
      <c r="W93" s="46"/>
      <c r="X93" s="46">
        <v>1</v>
      </c>
      <c r="Y93" s="46"/>
      <c r="Z93" s="46" t="s">
        <v>898</v>
      </c>
      <c r="AA93" s="61">
        <f>AB93*0.0038</f>
        <v>3.7999999999999999E-2</v>
      </c>
      <c r="AB93" s="62">
        <v>10</v>
      </c>
      <c r="AC93" s="63">
        <f t="shared" si="8"/>
        <v>7.7963999999999985E-3</v>
      </c>
      <c r="AD93" s="62"/>
      <c r="AE93" s="62">
        <f t="shared" si="9"/>
        <v>10</v>
      </c>
      <c r="AF93" s="64" t="s">
        <v>899</v>
      </c>
      <c r="AG93" s="49">
        <v>0.56999999999999995</v>
      </c>
    </row>
    <row r="94" spans="1:33" ht="34.5" customHeight="1" x14ac:dyDescent="0.3">
      <c r="A94" s="46">
        <v>121</v>
      </c>
      <c r="B94" s="46" t="s">
        <v>900</v>
      </c>
      <c r="C94" s="46" t="s">
        <v>42</v>
      </c>
      <c r="D94" s="60">
        <v>2017</v>
      </c>
      <c r="E94" s="60"/>
      <c r="F94" s="46" t="s">
        <v>226</v>
      </c>
      <c r="G94" s="46" t="s">
        <v>1</v>
      </c>
      <c r="H94" s="46"/>
      <c r="I94" s="46" t="s">
        <v>707</v>
      </c>
      <c r="J94" s="46"/>
      <c r="K94" s="46" t="s">
        <v>68</v>
      </c>
      <c r="L94" s="46"/>
      <c r="M94" s="46"/>
      <c r="N94" s="46"/>
      <c r="O94" s="46"/>
      <c r="P94" s="46"/>
      <c r="Q94" s="46"/>
      <c r="R94" s="46">
        <v>1</v>
      </c>
      <c r="S94" s="46"/>
      <c r="T94" s="46"/>
      <c r="U94" s="46"/>
      <c r="V94" s="46"/>
      <c r="W94" s="46"/>
      <c r="X94" s="46"/>
      <c r="Y94" s="46"/>
      <c r="Z94" s="46" t="s">
        <v>738</v>
      </c>
      <c r="AA94" s="61">
        <f>AB94*0.0052</f>
        <v>5.1999999999999998E-3</v>
      </c>
      <c r="AB94" s="62">
        <v>1</v>
      </c>
      <c r="AC94" s="63">
        <f t="shared" si="8"/>
        <v>7.7963999999999996E-4</v>
      </c>
      <c r="AD94" s="62"/>
      <c r="AE94" s="62">
        <f t="shared" si="9"/>
        <v>1</v>
      </c>
      <c r="AF94" s="64" t="s">
        <v>901</v>
      </c>
      <c r="AG94" s="49">
        <v>0.56999999999999995</v>
      </c>
    </row>
    <row r="95" spans="1:33" ht="34.5" customHeight="1" x14ac:dyDescent="0.3">
      <c r="A95" s="46">
        <v>122</v>
      </c>
      <c r="B95" s="46" t="s">
        <v>902</v>
      </c>
      <c r="C95" s="46" t="s">
        <v>42</v>
      </c>
      <c r="D95" s="60">
        <v>2017</v>
      </c>
      <c r="E95" s="60"/>
      <c r="F95" s="46" t="s">
        <v>226</v>
      </c>
      <c r="G95" s="46" t="s">
        <v>1</v>
      </c>
      <c r="H95" s="46"/>
      <c r="I95" s="46" t="s">
        <v>707</v>
      </c>
      <c r="J95" s="46"/>
      <c r="K95" s="46" t="s">
        <v>68</v>
      </c>
      <c r="L95" s="46"/>
      <c r="M95" s="46"/>
      <c r="N95" s="46"/>
      <c r="O95" s="46"/>
      <c r="P95" s="46"/>
      <c r="Q95" s="46">
        <v>1</v>
      </c>
      <c r="R95" s="46"/>
      <c r="S95" s="46"/>
      <c r="T95" s="46"/>
      <c r="U95" s="46"/>
      <c r="V95" s="46"/>
      <c r="W95" s="46"/>
      <c r="X95" s="46"/>
      <c r="Y95" s="46"/>
      <c r="Z95" s="46" t="s">
        <v>738</v>
      </c>
      <c r="AA95" s="61">
        <f>AB95*0.0052</f>
        <v>5.1999999999999998E-3</v>
      </c>
      <c r="AB95" s="62">
        <v>1</v>
      </c>
      <c r="AC95" s="63">
        <f t="shared" si="8"/>
        <v>7.7963999999999996E-4</v>
      </c>
      <c r="AD95" s="62"/>
      <c r="AE95" s="62">
        <f t="shared" si="9"/>
        <v>1</v>
      </c>
      <c r="AF95" s="64" t="s">
        <v>903</v>
      </c>
      <c r="AG95" s="49">
        <v>0.56999999999999995</v>
      </c>
    </row>
    <row r="96" spans="1:33" ht="34.5" customHeight="1" x14ac:dyDescent="0.3">
      <c r="A96" s="46">
        <v>123</v>
      </c>
      <c r="B96" s="46" t="s">
        <v>904</v>
      </c>
      <c r="C96" s="46" t="s">
        <v>42</v>
      </c>
      <c r="D96" s="60">
        <v>2017</v>
      </c>
      <c r="E96" s="60"/>
      <c r="F96" s="46" t="s">
        <v>226</v>
      </c>
      <c r="G96" s="46" t="s">
        <v>1</v>
      </c>
      <c r="H96" s="46"/>
      <c r="I96" s="46" t="s">
        <v>707</v>
      </c>
      <c r="J96" s="46"/>
      <c r="K96" s="46" t="s">
        <v>68</v>
      </c>
      <c r="L96" s="46"/>
      <c r="M96" s="46"/>
      <c r="N96" s="46"/>
      <c r="O96" s="46"/>
      <c r="P96" s="46"/>
      <c r="Q96" s="46">
        <v>1</v>
      </c>
      <c r="R96" s="46"/>
      <c r="S96" s="46"/>
      <c r="T96" s="46"/>
      <c r="U96" s="46"/>
      <c r="V96" s="46"/>
      <c r="W96" s="46"/>
      <c r="X96" s="46"/>
      <c r="Y96" s="46"/>
      <c r="Z96" s="46" t="s">
        <v>738</v>
      </c>
      <c r="AA96" s="61">
        <f>AB96*0.0052</f>
        <v>5.1999999999999998E-3</v>
      </c>
      <c r="AB96" s="62">
        <v>1</v>
      </c>
      <c r="AC96" s="63">
        <f t="shared" si="8"/>
        <v>7.7963999999999996E-4</v>
      </c>
      <c r="AD96" s="62"/>
      <c r="AE96" s="62">
        <f t="shared" si="9"/>
        <v>1</v>
      </c>
      <c r="AF96" s="64" t="s">
        <v>905</v>
      </c>
      <c r="AG96" s="49">
        <v>0.56999999999999995</v>
      </c>
    </row>
    <row r="97" spans="1:33" ht="34.5" customHeight="1" x14ac:dyDescent="0.3">
      <c r="A97" s="46">
        <v>124</v>
      </c>
      <c r="B97" s="46" t="s">
        <v>906</v>
      </c>
      <c r="C97" s="46" t="s">
        <v>139</v>
      </c>
      <c r="D97" s="60">
        <v>2017</v>
      </c>
      <c r="E97" s="60"/>
      <c r="F97" s="46" t="s">
        <v>226</v>
      </c>
      <c r="G97" s="46" t="s">
        <v>1</v>
      </c>
      <c r="H97" s="46"/>
      <c r="I97" s="46" t="s">
        <v>169</v>
      </c>
      <c r="J97" s="46" t="s">
        <v>248</v>
      </c>
      <c r="K97" s="46" t="s">
        <v>68</v>
      </c>
      <c r="L97" s="46"/>
      <c r="M97" s="46"/>
      <c r="N97" s="46"/>
      <c r="O97" s="46"/>
      <c r="P97" s="46"/>
      <c r="Q97" s="46">
        <v>1</v>
      </c>
      <c r="R97" s="46"/>
      <c r="S97" s="46"/>
      <c r="T97" s="46"/>
      <c r="U97" s="46"/>
      <c r="V97" s="46"/>
      <c r="W97" s="46"/>
      <c r="X97" s="46"/>
      <c r="Y97" s="46"/>
      <c r="Z97" s="46" t="s">
        <v>738</v>
      </c>
      <c r="AA97" s="61">
        <f>AB97*0.0052</f>
        <v>5.1999999999999998E-3</v>
      </c>
      <c r="AB97" s="62">
        <v>1</v>
      </c>
      <c r="AC97" s="63">
        <f t="shared" si="8"/>
        <v>7.7963999999999996E-4</v>
      </c>
      <c r="AD97" s="62"/>
      <c r="AE97" s="62">
        <f t="shared" si="9"/>
        <v>1</v>
      </c>
      <c r="AF97" s="64"/>
      <c r="AG97" s="49">
        <v>0.5</v>
      </c>
    </row>
    <row r="98" spans="1:33" ht="34.5" customHeight="1" x14ac:dyDescent="0.3">
      <c r="A98" s="46">
        <v>125</v>
      </c>
      <c r="B98" s="46" t="s">
        <v>907</v>
      </c>
      <c r="C98" s="46" t="s">
        <v>64</v>
      </c>
      <c r="D98" s="60">
        <v>2017</v>
      </c>
      <c r="E98" s="60"/>
      <c r="F98" s="46" t="s">
        <v>226</v>
      </c>
      <c r="G98" s="46" t="s">
        <v>159</v>
      </c>
      <c r="H98" s="46" t="s">
        <v>592</v>
      </c>
      <c r="I98" s="46" t="s">
        <v>169</v>
      </c>
      <c r="J98" s="46" t="s">
        <v>248</v>
      </c>
      <c r="K98" s="46" t="s">
        <v>68</v>
      </c>
      <c r="L98" s="46"/>
      <c r="M98" s="46"/>
      <c r="N98" s="46"/>
      <c r="O98" s="46"/>
      <c r="P98" s="46"/>
      <c r="Q98" s="46"/>
      <c r="R98" s="46">
        <v>1</v>
      </c>
      <c r="S98" s="46"/>
      <c r="T98" s="46"/>
      <c r="U98" s="46"/>
      <c r="V98" s="46"/>
      <c r="W98" s="46"/>
      <c r="X98" s="46"/>
      <c r="Y98" s="46"/>
      <c r="Z98" s="46" t="s">
        <v>735</v>
      </c>
      <c r="AA98" s="61">
        <v>0.05</v>
      </c>
      <c r="AB98" s="62">
        <f>AA98/0.0045</f>
        <v>11.111111111111112</v>
      </c>
      <c r="AC98" s="63">
        <f t="shared" si="8"/>
        <v>8.6626666666666675E-3</v>
      </c>
      <c r="AD98" s="62"/>
      <c r="AE98" s="62">
        <f t="shared" si="9"/>
        <v>11.111111111111112</v>
      </c>
      <c r="AF98" s="64" t="s">
        <v>908</v>
      </c>
      <c r="AG98" s="49">
        <v>0.5</v>
      </c>
    </row>
    <row r="99" spans="1:33" ht="34.5" customHeight="1" x14ac:dyDescent="0.3">
      <c r="A99" s="46">
        <v>126</v>
      </c>
      <c r="B99" s="46" t="s">
        <v>909</v>
      </c>
      <c r="C99" s="46" t="s">
        <v>203</v>
      </c>
      <c r="D99" s="60">
        <v>2017</v>
      </c>
      <c r="E99" s="60"/>
      <c r="F99" s="46" t="s">
        <v>285</v>
      </c>
      <c r="G99" s="46" t="s">
        <v>1</v>
      </c>
      <c r="H99" s="46"/>
      <c r="I99" s="46" t="s">
        <v>707</v>
      </c>
      <c r="J99" s="46"/>
      <c r="K99" s="46" t="s">
        <v>68</v>
      </c>
      <c r="L99" s="46"/>
      <c r="M99" s="46"/>
      <c r="N99" s="46"/>
      <c r="O99" s="46"/>
      <c r="P99" s="46"/>
      <c r="Q99" s="46"/>
      <c r="R99" s="46">
        <v>1</v>
      </c>
      <c r="S99" s="46"/>
      <c r="T99" s="46"/>
      <c r="U99" s="46"/>
      <c r="V99" s="46"/>
      <c r="W99" s="46"/>
      <c r="X99" s="46"/>
      <c r="Y99" s="46"/>
      <c r="Z99" s="46"/>
      <c r="AA99" s="61"/>
      <c r="AB99" s="62"/>
      <c r="AC99" s="63"/>
      <c r="AD99" s="62"/>
      <c r="AE99" s="62">
        <f t="shared" si="9"/>
        <v>0</v>
      </c>
      <c r="AF99" s="64"/>
      <c r="AG99" s="49">
        <v>0.56999999999999995</v>
      </c>
    </row>
    <row r="100" spans="1:33" ht="34.5" customHeight="1" x14ac:dyDescent="0.3">
      <c r="A100" s="46">
        <v>127</v>
      </c>
      <c r="B100" s="46" t="s">
        <v>910</v>
      </c>
      <c r="C100" s="46" t="s">
        <v>203</v>
      </c>
      <c r="D100" s="60">
        <v>2016</v>
      </c>
      <c r="E100" s="60"/>
      <c r="F100" s="46" t="s">
        <v>226</v>
      </c>
      <c r="G100" s="46" t="s">
        <v>1</v>
      </c>
      <c r="H100" s="46"/>
      <c r="I100" s="46" t="s">
        <v>166</v>
      </c>
      <c r="J100" s="46"/>
      <c r="K100" s="46" t="s">
        <v>68</v>
      </c>
      <c r="L100" s="46"/>
      <c r="M100" s="46"/>
      <c r="N100" s="46"/>
      <c r="O100" s="46"/>
      <c r="P100" s="46"/>
      <c r="Q100" s="46"/>
      <c r="R100" s="46">
        <v>1</v>
      </c>
      <c r="S100" s="46">
        <v>1</v>
      </c>
      <c r="T100" s="46">
        <v>1</v>
      </c>
      <c r="U100" s="46"/>
      <c r="V100" s="46"/>
      <c r="W100" s="46"/>
      <c r="X100" s="46"/>
      <c r="Y100" s="46"/>
      <c r="Z100" s="46" t="s">
        <v>911</v>
      </c>
      <c r="AA100" s="61">
        <v>1.25</v>
      </c>
      <c r="AB100" s="62">
        <f>AA100/0.0052</f>
        <v>240.38461538461539</v>
      </c>
      <c r="AC100" s="63">
        <f t="shared" ref="AC100:AC118" si="10">AB100*H2dens*HoursInYear/10^6</f>
        <v>0.18741346153846153</v>
      </c>
      <c r="AD100" s="62"/>
      <c r="AE100" s="62">
        <f t="shared" si="9"/>
        <v>240.38461538461539</v>
      </c>
      <c r="AF100" s="64" t="s">
        <v>912</v>
      </c>
      <c r="AG100" s="49">
        <v>0.56999999999999995</v>
      </c>
    </row>
    <row r="101" spans="1:33" ht="34.5" customHeight="1" x14ac:dyDescent="0.3">
      <c r="A101" s="46">
        <v>130</v>
      </c>
      <c r="B101" s="46" t="s">
        <v>913</v>
      </c>
      <c r="C101" s="46" t="s">
        <v>203</v>
      </c>
      <c r="D101" s="60">
        <v>2024</v>
      </c>
      <c r="E101" s="60"/>
      <c r="F101" s="46" t="s">
        <v>225</v>
      </c>
      <c r="G101" s="46" t="s">
        <v>1</v>
      </c>
      <c r="H101" s="46"/>
      <c r="I101" s="46" t="s">
        <v>707</v>
      </c>
      <c r="J101" s="46"/>
      <c r="K101" s="46" t="s">
        <v>68</v>
      </c>
      <c r="L101" s="46">
        <v>1</v>
      </c>
      <c r="M101" s="46"/>
      <c r="N101" s="46"/>
      <c r="O101" s="46"/>
      <c r="P101" s="46">
        <v>1</v>
      </c>
      <c r="Q101" s="46"/>
      <c r="R101" s="46">
        <v>1</v>
      </c>
      <c r="S101" s="46"/>
      <c r="T101" s="46"/>
      <c r="U101" s="46"/>
      <c r="V101" s="46"/>
      <c r="W101" s="46"/>
      <c r="X101" s="46"/>
      <c r="Y101" s="46"/>
      <c r="Z101" s="46" t="s">
        <v>914</v>
      </c>
      <c r="AA101" s="61">
        <v>120</v>
      </c>
      <c r="AB101" s="62">
        <f>AA101/0.0052</f>
        <v>23076.923076923078</v>
      </c>
      <c r="AC101" s="63">
        <f t="shared" si="10"/>
        <v>17.991692307692308</v>
      </c>
      <c r="AD101" s="62"/>
      <c r="AE101" s="62">
        <f>AB101</f>
        <v>23076.923076923078</v>
      </c>
      <c r="AF101" s="64" t="s">
        <v>915</v>
      </c>
      <c r="AG101" s="49">
        <v>0.56999999999999995</v>
      </c>
    </row>
    <row r="102" spans="1:33" ht="34.5" customHeight="1" x14ac:dyDescent="0.3">
      <c r="A102" s="46">
        <v>134</v>
      </c>
      <c r="B102" s="46" t="s">
        <v>916</v>
      </c>
      <c r="C102" s="46" t="s">
        <v>203</v>
      </c>
      <c r="D102" s="60">
        <v>2016</v>
      </c>
      <c r="E102" s="60"/>
      <c r="F102" s="46" t="s">
        <v>226</v>
      </c>
      <c r="G102" s="46" t="s">
        <v>1</v>
      </c>
      <c r="H102" s="46"/>
      <c r="I102" s="46" t="s">
        <v>707</v>
      </c>
      <c r="J102" s="46"/>
      <c r="K102" s="46" t="s">
        <v>68</v>
      </c>
      <c r="L102" s="46"/>
      <c r="M102" s="46"/>
      <c r="N102" s="46"/>
      <c r="O102" s="46"/>
      <c r="P102" s="46"/>
      <c r="Q102" s="46"/>
      <c r="R102" s="46"/>
      <c r="S102" s="46">
        <v>1</v>
      </c>
      <c r="T102" s="46"/>
      <c r="U102" s="46"/>
      <c r="V102" s="46"/>
      <c r="W102" s="46"/>
      <c r="X102" s="46"/>
      <c r="Y102" s="46"/>
      <c r="Z102" s="46" t="s">
        <v>853</v>
      </c>
      <c r="AA102" s="61">
        <v>0.2</v>
      </c>
      <c r="AB102" s="62">
        <f>AA102/0.0052</f>
        <v>38.461538461538467</v>
      </c>
      <c r="AC102" s="63">
        <f t="shared" si="10"/>
        <v>2.9986153846153846E-2</v>
      </c>
      <c r="AD102" s="62"/>
      <c r="AE102" s="62">
        <f t="shared" ref="AE102:AE165" si="11">AB102</f>
        <v>38.461538461538467</v>
      </c>
      <c r="AF102" s="64" t="s">
        <v>917</v>
      </c>
      <c r="AG102" s="49">
        <v>0.56999999999999995</v>
      </c>
    </row>
    <row r="103" spans="1:33" ht="34.5" customHeight="1" x14ac:dyDescent="0.3">
      <c r="A103" s="46">
        <v>135</v>
      </c>
      <c r="B103" s="46" t="s">
        <v>918</v>
      </c>
      <c r="C103" s="46" t="s">
        <v>203</v>
      </c>
      <c r="D103" s="60">
        <v>2016</v>
      </c>
      <c r="E103" s="60"/>
      <c r="F103" s="46" t="s">
        <v>226</v>
      </c>
      <c r="G103" s="46" t="s">
        <v>1</v>
      </c>
      <c r="H103" s="46"/>
      <c r="I103" s="46" t="s">
        <v>166</v>
      </c>
      <c r="J103" s="46"/>
      <c r="K103" s="46" t="s">
        <v>68</v>
      </c>
      <c r="L103" s="46"/>
      <c r="M103" s="46"/>
      <c r="N103" s="46"/>
      <c r="O103" s="46"/>
      <c r="P103" s="46"/>
      <c r="Q103" s="46">
        <v>1</v>
      </c>
      <c r="R103" s="46"/>
      <c r="S103" s="46"/>
      <c r="T103" s="46"/>
      <c r="U103" s="46"/>
      <c r="V103" s="46"/>
      <c r="W103" s="46"/>
      <c r="X103" s="46"/>
      <c r="Y103" s="46"/>
      <c r="Z103" s="46" t="s">
        <v>919</v>
      </c>
      <c r="AA103" s="61">
        <v>0.185</v>
      </c>
      <c r="AB103" s="62">
        <f>AA103/0.0052</f>
        <v>35.57692307692308</v>
      </c>
      <c r="AC103" s="63">
        <f t="shared" si="10"/>
        <v>2.773719230769231E-2</v>
      </c>
      <c r="AD103" s="62"/>
      <c r="AE103" s="62">
        <f t="shared" si="11"/>
        <v>35.57692307692308</v>
      </c>
      <c r="AF103" s="64" t="s">
        <v>920</v>
      </c>
      <c r="AG103" s="49">
        <v>0.56999999999999995</v>
      </c>
    </row>
    <row r="104" spans="1:33" ht="34.5" customHeight="1" x14ac:dyDescent="0.3">
      <c r="A104" s="46">
        <v>136</v>
      </c>
      <c r="B104" s="46" t="s">
        <v>921</v>
      </c>
      <c r="C104" s="46" t="s">
        <v>203</v>
      </c>
      <c r="D104" s="60">
        <v>2016</v>
      </c>
      <c r="E104" s="60">
        <v>2017</v>
      </c>
      <c r="F104" s="46" t="s">
        <v>285</v>
      </c>
      <c r="G104" s="46" t="s">
        <v>1</v>
      </c>
      <c r="H104" s="46"/>
      <c r="I104" s="46" t="s">
        <v>169</v>
      </c>
      <c r="J104" s="46" t="s">
        <v>244</v>
      </c>
      <c r="K104" s="46" t="s">
        <v>68</v>
      </c>
      <c r="L104" s="46"/>
      <c r="M104" s="46"/>
      <c r="N104" s="46"/>
      <c r="O104" s="46"/>
      <c r="P104" s="46"/>
      <c r="Q104" s="46"/>
      <c r="R104" s="46">
        <v>1</v>
      </c>
      <c r="S104" s="46">
        <v>1</v>
      </c>
      <c r="T104" s="46"/>
      <c r="U104" s="46"/>
      <c r="V104" s="46"/>
      <c r="W104" s="46"/>
      <c r="X104" s="46"/>
      <c r="Y104" s="46"/>
      <c r="Z104" s="46" t="s">
        <v>922</v>
      </c>
      <c r="AA104" s="61">
        <v>7.4999999999999997E-2</v>
      </c>
      <c r="AB104" s="62">
        <f>AA104/0.0052</f>
        <v>14.423076923076923</v>
      </c>
      <c r="AC104" s="63">
        <f t="shared" si="10"/>
        <v>1.1244807692307691E-2</v>
      </c>
      <c r="AD104" s="62"/>
      <c r="AE104" s="62">
        <f t="shared" si="11"/>
        <v>14.423076923076923</v>
      </c>
      <c r="AF104" s="64" t="s">
        <v>923</v>
      </c>
      <c r="AG104" s="49">
        <v>0.3</v>
      </c>
    </row>
    <row r="105" spans="1:33" ht="34.5" customHeight="1" x14ac:dyDescent="0.3">
      <c r="A105" s="46">
        <v>137</v>
      </c>
      <c r="B105" s="46" t="s">
        <v>924</v>
      </c>
      <c r="C105" s="46" t="s">
        <v>40</v>
      </c>
      <c r="D105" s="60">
        <v>2016</v>
      </c>
      <c r="E105" s="60"/>
      <c r="F105" s="46" t="s">
        <v>285</v>
      </c>
      <c r="G105" s="46" t="s">
        <v>2</v>
      </c>
      <c r="H105" s="46"/>
      <c r="I105" s="46" t="s">
        <v>707</v>
      </c>
      <c r="J105" s="46"/>
      <c r="K105" s="46" t="s">
        <v>68</v>
      </c>
      <c r="L105" s="46"/>
      <c r="M105" s="46"/>
      <c r="N105" s="46"/>
      <c r="O105" s="46"/>
      <c r="P105" s="46"/>
      <c r="Q105" s="46"/>
      <c r="R105" s="46">
        <v>1</v>
      </c>
      <c r="S105" s="46"/>
      <c r="T105" s="46"/>
      <c r="U105" s="46"/>
      <c r="V105" s="46"/>
      <c r="W105" s="46"/>
      <c r="X105" s="46"/>
      <c r="Y105" s="46"/>
      <c r="Z105" s="46" t="s">
        <v>925</v>
      </c>
      <c r="AA105" s="61">
        <v>0.05</v>
      </c>
      <c r="AB105" s="62">
        <f>AA105/0.0038</f>
        <v>13.157894736842106</v>
      </c>
      <c r="AC105" s="63">
        <f t="shared" si="10"/>
        <v>1.0258421052631578E-2</v>
      </c>
      <c r="AD105" s="62"/>
      <c r="AE105" s="62">
        <f t="shared" si="11"/>
        <v>13.157894736842106</v>
      </c>
      <c r="AF105" s="64" t="s">
        <v>926</v>
      </c>
      <c r="AG105" s="49">
        <v>0.56999999999999995</v>
      </c>
    </row>
    <row r="106" spans="1:33" ht="34.5" customHeight="1" x14ac:dyDescent="0.3">
      <c r="A106" s="46">
        <v>138</v>
      </c>
      <c r="B106" s="46" t="s">
        <v>927</v>
      </c>
      <c r="C106" s="46" t="s">
        <v>35</v>
      </c>
      <c r="D106" s="60">
        <v>2016</v>
      </c>
      <c r="E106" s="60"/>
      <c r="F106" s="46" t="s">
        <v>226</v>
      </c>
      <c r="G106" s="46" t="s">
        <v>1</v>
      </c>
      <c r="H106" s="46"/>
      <c r="I106" s="46" t="s">
        <v>707</v>
      </c>
      <c r="J106" s="46"/>
      <c r="K106" s="46" t="s">
        <v>68</v>
      </c>
      <c r="L106" s="46"/>
      <c r="M106" s="46"/>
      <c r="N106" s="46"/>
      <c r="O106" s="46"/>
      <c r="P106" s="46"/>
      <c r="Q106" s="46"/>
      <c r="R106" s="46">
        <v>1</v>
      </c>
      <c r="S106" s="46"/>
      <c r="T106" s="46"/>
      <c r="U106" s="46"/>
      <c r="V106" s="46"/>
      <c r="W106" s="46"/>
      <c r="X106" s="46"/>
      <c r="Y106" s="46"/>
      <c r="Z106" s="46" t="s">
        <v>928</v>
      </c>
      <c r="AA106" s="61">
        <f>AB106*0.0052</f>
        <v>1.04E-2</v>
      </c>
      <c r="AB106" s="62">
        <v>2</v>
      </c>
      <c r="AC106" s="63">
        <f t="shared" si="10"/>
        <v>1.5592799999999999E-3</v>
      </c>
      <c r="AD106" s="62"/>
      <c r="AE106" s="62">
        <f t="shared" si="11"/>
        <v>2</v>
      </c>
      <c r="AF106" s="64" t="s">
        <v>929</v>
      </c>
      <c r="AG106" s="49">
        <v>0.56999999999999995</v>
      </c>
    </row>
    <row r="107" spans="1:33" ht="34.5" customHeight="1" x14ac:dyDescent="0.3">
      <c r="A107" s="46">
        <v>139</v>
      </c>
      <c r="B107" s="46" t="s">
        <v>930</v>
      </c>
      <c r="C107" s="46" t="s">
        <v>42</v>
      </c>
      <c r="D107" s="60">
        <v>2016</v>
      </c>
      <c r="E107" s="60"/>
      <c r="F107" s="46" t="s">
        <v>226</v>
      </c>
      <c r="G107" s="46" t="s">
        <v>1</v>
      </c>
      <c r="H107" s="46"/>
      <c r="I107" s="46" t="s">
        <v>166</v>
      </c>
      <c r="J107" s="46"/>
      <c r="K107" s="46" t="s">
        <v>68</v>
      </c>
      <c r="L107" s="46"/>
      <c r="M107" s="46"/>
      <c r="N107" s="46"/>
      <c r="O107" s="46"/>
      <c r="P107" s="46"/>
      <c r="Q107" s="46"/>
      <c r="R107" s="46">
        <v>1</v>
      </c>
      <c r="S107" s="46"/>
      <c r="T107" s="46"/>
      <c r="U107" s="46"/>
      <c r="V107" s="46"/>
      <c r="W107" s="46"/>
      <c r="X107" s="46"/>
      <c r="Y107" s="46"/>
      <c r="Z107" s="46" t="s">
        <v>873</v>
      </c>
      <c r="AA107" s="61">
        <f>AB107*0.0052</f>
        <v>5.1999999999999998E-3</v>
      </c>
      <c r="AB107" s="62">
        <v>1</v>
      </c>
      <c r="AC107" s="63">
        <f t="shared" si="10"/>
        <v>7.7963999999999996E-4</v>
      </c>
      <c r="AD107" s="62"/>
      <c r="AE107" s="62">
        <f t="shared" si="11"/>
        <v>1</v>
      </c>
      <c r="AF107" s="64" t="s">
        <v>931</v>
      </c>
      <c r="AG107" s="49">
        <v>0.56999999999999995</v>
      </c>
    </row>
    <row r="108" spans="1:33" ht="34.5" customHeight="1" x14ac:dyDescent="0.3">
      <c r="A108" s="46">
        <v>140</v>
      </c>
      <c r="B108" s="46" t="s">
        <v>932</v>
      </c>
      <c r="C108" s="46" t="s">
        <v>42</v>
      </c>
      <c r="D108" s="60">
        <v>2016</v>
      </c>
      <c r="E108" s="60"/>
      <c r="F108" s="46" t="s">
        <v>226</v>
      </c>
      <c r="G108" s="46" t="s">
        <v>1</v>
      </c>
      <c r="H108" s="46"/>
      <c r="I108" s="46" t="s">
        <v>166</v>
      </c>
      <c r="J108" s="46"/>
      <c r="K108" s="46" t="s">
        <v>68</v>
      </c>
      <c r="L108" s="46"/>
      <c r="M108" s="46"/>
      <c r="N108" s="46"/>
      <c r="O108" s="46"/>
      <c r="P108" s="46"/>
      <c r="Q108" s="46"/>
      <c r="R108" s="46">
        <v>1</v>
      </c>
      <c r="S108" s="46"/>
      <c r="T108" s="46"/>
      <c r="U108" s="46"/>
      <c r="V108" s="46"/>
      <c r="W108" s="46"/>
      <c r="X108" s="46"/>
      <c r="Y108" s="46"/>
      <c r="Z108" s="46" t="s">
        <v>873</v>
      </c>
      <c r="AA108" s="61">
        <f>AB108*0.0052</f>
        <v>5.1999999999999998E-3</v>
      </c>
      <c r="AB108" s="62">
        <v>1</v>
      </c>
      <c r="AC108" s="63">
        <f t="shared" si="10"/>
        <v>7.7963999999999996E-4</v>
      </c>
      <c r="AD108" s="62"/>
      <c r="AE108" s="62">
        <f t="shared" si="11"/>
        <v>1</v>
      </c>
      <c r="AF108" s="64" t="s">
        <v>933</v>
      </c>
      <c r="AG108" s="49">
        <v>0.56999999999999995</v>
      </c>
    </row>
    <row r="109" spans="1:33" ht="34.5" customHeight="1" x14ac:dyDescent="0.3">
      <c r="A109" s="46">
        <v>142</v>
      </c>
      <c r="B109" s="46" t="s">
        <v>934</v>
      </c>
      <c r="C109" s="46" t="s">
        <v>203</v>
      </c>
      <c r="D109" s="60">
        <v>2015</v>
      </c>
      <c r="E109" s="60"/>
      <c r="F109" s="46" t="s">
        <v>226</v>
      </c>
      <c r="G109" s="46" t="s">
        <v>1</v>
      </c>
      <c r="H109" s="46"/>
      <c r="I109" s="46" t="s">
        <v>169</v>
      </c>
      <c r="J109" s="46" t="s">
        <v>245</v>
      </c>
      <c r="K109" s="46" t="s">
        <v>68</v>
      </c>
      <c r="L109" s="46"/>
      <c r="M109" s="46"/>
      <c r="N109" s="46"/>
      <c r="O109" s="46"/>
      <c r="P109" s="46"/>
      <c r="Q109" s="46">
        <v>1</v>
      </c>
      <c r="R109" s="46"/>
      <c r="S109" s="46"/>
      <c r="T109" s="46"/>
      <c r="U109" s="46"/>
      <c r="V109" s="46"/>
      <c r="W109" s="46"/>
      <c r="X109" s="46"/>
      <c r="Y109" s="46"/>
      <c r="Z109" s="46" t="s">
        <v>813</v>
      </c>
      <c r="AA109" s="61">
        <v>1.5</v>
      </c>
      <c r="AB109" s="62">
        <f>AA109/0.0052</f>
        <v>288.46153846153845</v>
      </c>
      <c r="AC109" s="63">
        <f t="shared" si="10"/>
        <v>0.2248961538461538</v>
      </c>
      <c r="AD109" s="62"/>
      <c r="AE109" s="62">
        <f t="shared" si="11"/>
        <v>288.46153846153845</v>
      </c>
      <c r="AF109" s="64" t="s">
        <v>7177</v>
      </c>
      <c r="AG109" s="49">
        <v>0.4</v>
      </c>
    </row>
    <row r="110" spans="1:33" ht="34.5" customHeight="1" x14ac:dyDescent="0.3">
      <c r="A110" s="46">
        <v>143</v>
      </c>
      <c r="B110" s="46" t="s">
        <v>935</v>
      </c>
      <c r="C110" s="46" t="s">
        <v>203</v>
      </c>
      <c r="D110" s="60">
        <v>2015</v>
      </c>
      <c r="E110" s="60"/>
      <c r="F110" s="46" t="s">
        <v>226</v>
      </c>
      <c r="G110" s="46" t="s">
        <v>3</v>
      </c>
      <c r="H110" s="46"/>
      <c r="I110" s="46" t="s">
        <v>169</v>
      </c>
      <c r="J110" s="46" t="s">
        <v>245</v>
      </c>
      <c r="K110" s="46" t="s">
        <v>68</v>
      </c>
      <c r="L110" s="46"/>
      <c r="M110" s="46"/>
      <c r="N110" s="46"/>
      <c r="O110" s="46"/>
      <c r="P110" s="46"/>
      <c r="Q110" s="46"/>
      <c r="R110" s="46">
        <v>1</v>
      </c>
      <c r="S110" s="46"/>
      <c r="T110" s="46"/>
      <c r="U110" s="46"/>
      <c r="V110" s="46"/>
      <c r="W110" s="46"/>
      <c r="X110" s="46"/>
      <c r="Y110" s="46"/>
      <c r="Z110" s="46" t="s">
        <v>833</v>
      </c>
      <c r="AA110" s="61">
        <v>1</v>
      </c>
      <c r="AB110" s="62">
        <f>IF(OR(G110="ALK",G110="PEM",G110="SOEC",G110="Other Electrolysis"),
AA110/VLOOKUP(G110,ElectrolysisConvF,3,FALSE),
AC110*10^6/(H2dens*HoursInYear))</f>
        <v>217.39130434782609</v>
      </c>
      <c r="AC110" s="63">
        <f t="shared" si="10"/>
        <v>0.16948695652173912</v>
      </c>
      <c r="AD110" s="62"/>
      <c r="AE110" s="62">
        <f t="shared" si="11"/>
        <v>217.39130434782609</v>
      </c>
      <c r="AF110" s="64" t="s">
        <v>936</v>
      </c>
      <c r="AG110" s="49">
        <v>0.4</v>
      </c>
    </row>
    <row r="111" spans="1:33" ht="34.5" customHeight="1" x14ac:dyDescent="0.3">
      <c r="A111" s="46">
        <v>146</v>
      </c>
      <c r="B111" s="46" t="s">
        <v>937</v>
      </c>
      <c r="C111" s="46" t="s">
        <v>49</v>
      </c>
      <c r="D111" s="60">
        <v>2015</v>
      </c>
      <c r="E111" s="60"/>
      <c r="F111" s="46" t="s">
        <v>226</v>
      </c>
      <c r="G111" s="46" t="s">
        <v>3</v>
      </c>
      <c r="H111" s="46"/>
      <c r="I111" s="46" t="s">
        <v>707</v>
      </c>
      <c r="J111" s="46"/>
      <c r="K111" s="46" t="s">
        <v>72</v>
      </c>
      <c r="L111" s="46"/>
      <c r="M111" s="46"/>
      <c r="N111" s="46"/>
      <c r="O111" s="46"/>
      <c r="P111" s="46"/>
      <c r="Q111" s="46"/>
      <c r="R111" s="46"/>
      <c r="S111" s="46"/>
      <c r="T111" s="46"/>
      <c r="U111" s="46"/>
      <c r="V111" s="46"/>
      <c r="W111" s="46"/>
      <c r="X111" s="46">
        <v>1</v>
      </c>
      <c r="Y111" s="46"/>
      <c r="Z111" s="46" t="s">
        <v>938</v>
      </c>
      <c r="AA111" s="61">
        <v>0.5</v>
      </c>
      <c r="AB111" s="62">
        <f>IF(OR(G111="ALK",G111="PEM",G111="SOEC",G111="Other Electrolysis"),
AA111/VLOOKUP(G111,ElectrolysisConvF,3,FALSE),
AC111*10^6/(H2dens*HoursInYear))</f>
        <v>108.69565217391305</v>
      </c>
      <c r="AC111" s="63">
        <f t="shared" si="10"/>
        <v>8.4743478260869559E-2</v>
      </c>
      <c r="AD111" s="62"/>
      <c r="AE111" s="62">
        <f t="shared" si="11"/>
        <v>108.69565217391305</v>
      </c>
      <c r="AF111" s="64" t="s">
        <v>7178</v>
      </c>
      <c r="AG111" s="49">
        <v>0.56999999999999995</v>
      </c>
    </row>
    <row r="112" spans="1:33" ht="34.5" customHeight="1" x14ac:dyDescent="0.3">
      <c r="A112" s="46">
        <v>147</v>
      </c>
      <c r="B112" s="46" t="s">
        <v>939</v>
      </c>
      <c r="C112" s="46" t="s">
        <v>37</v>
      </c>
      <c r="D112" s="60">
        <v>2015</v>
      </c>
      <c r="E112" s="60"/>
      <c r="F112" s="46" t="s">
        <v>226</v>
      </c>
      <c r="G112" s="46" t="s">
        <v>3</v>
      </c>
      <c r="H112" s="46"/>
      <c r="I112" s="46" t="s">
        <v>707</v>
      </c>
      <c r="J112" s="46"/>
      <c r="K112" s="46" t="s">
        <v>68</v>
      </c>
      <c r="L112" s="46"/>
      <c r="M112" s="46"/>
      <c r="N112" s="46"/>
      <c r="O112" s="46"/>
      <c r="P112" s="46"/>
      <c r="Q112" s="46"/>
      <c r="R112" s="46">
        <v>1</v>
      </c>
      <c r="S112" s="46"/>
      <c r="T112" s="46"/>
      <c r="U112" s="46"/>
      <c r="V112" s="46"/>
      <c r="W112" s="46"/>
      <c r="X112" s="46"/>
      <c r="Y112" s="46"/>
      <c r="Z112" s="46" t="s">
        <v>778</v>
      </c>
      <c r="AA112" s="61">
        <f>AB112*0.0046</f>
        <v>0.27600000000000002</v>
      </c>
      <c r="AB112" s="62">
        <v>60</v>
      </c>
      <c r="AC112" s="63">
        <f t="shared" si="10"/>
        <v>4.6778400000000005E-2</v>
      </c>
      <c r="AD112" s="62"/>
      <c r="AE112" s="62">
        <f t="shared" si="11"/>
        <v>60</v>
      </c>
      <c r="AF112" s="64" t="s">
        <v>940</v>
      </c>
      <c r="AG112" s="49">
        <v>0.56999999999999995</v>
      </c>
    </row>
    <row r="113" spans="1:33" ht="34.5" customHeight="1" x14ac:dyDescent="0.3">
      <c r="A113" s="46">
        <v>148</v>
      </c>
      <c r="B113" s="46" t="s">
        <v>941</v>
      </c>
      <c r="C113" s="46" t="s">
        <v>52</v>
      </c>
      <c r="D113" s="60">
        <v>2015</v>
      </c>
      <c r="E113" s="60"/>
      <c r="F113" s="46" t="s">
        <v>226</v>
      </c>
      <c r="G113" s="46" t="s">
        <v>3</v>
      </c>
      <c r="H113" s="46"/>
      <c r="I113" s="46" t="s">
        <v>169</v>
      </c>
      <c r="J113" s="46" t="s">
        <v>245</v>
      </c>
      <c r="K113" s="46" t="s">
        <v>68</v>
      </c>
      <c r="L113" s="46"/>
      <c r="M113" s="46"/>
      <c r="N113" s="46"/>
      <c r="O113" s="46"/>
      <c r="P113" s="46"/>
      <c r="Q113" s="46">
        <v>1</v>
      </c>
      <c r="R113" s="46"/>
      <c r="S113" s="46"/>
      <c r="T113" s="46"/>
      <c r="U113" s="46"/>
      <c r="V113" s="46"/>
      <c r="W113" s="46"/>
      <c r="X113" s="46"/>
      <c r="Y113" s="46"/>
      <c r="Z113" s="46" t="s">
        <v>942</v>
      </c>
      <c r="AA113" s="61">
        <v>0.3</v>
      </c>
      <c r="AB113" s="62">
        <f>IF(OR(G113="ALK",G113="PEM",G113="SOEC",G113="Other Electrolysis"),
AA113/VLOOKUP(G113,ElectrolysisConvF,3,FALSE),
AC113*10^6/(H2dens*HoursInYear))</f>
        <v>65.217391304347828</v>
      </c>
      <c r="AC113" s="63">
        <f t="shared" si="10"/>
        <v>5.0846086956521735E-2</v>
      </c>
      <c r="AD113" s="62"/>
      <c r="AE113" s="62">
        <f t="shared" si="11"/>
        <v>65.217391304347828</v>
      </c>
      <c r="AF113" s="64" t="s">
        <v>943</v>
      </c>
      <c r="AG113" s="49">
        <v>0.4</v>
      </c>
    </row>
    <row r="114" spans="1:33" ht="34.5" customHeight="1" x14ac:dyDescent="0.3">
      <c r="A114" s="46">
        <v>149</v>
      </c>
      <c r="B114" s="46" t="s">
        <v>944</v>
      </c>
      <c r="C114" s="46" t="s">
        <v>59</v>
      </c>
      <c r="D114" s="60">
        <v>2015</v>
      </c>
      <c r="E114" s="60"/>
      <c r="F114" s="46" t="s">
        <v>285</v>
      </c>
      <c r="G114" s="46" t="s">
        <v>1</v>
      </c>
      <c r="H114" s="46"/>
      <c r="I114" s="46" t="s">
        <v>707</v>
      </c>
      <c r="J114" s="46"/>
      <c r="K114" s="46" t="s">
        <v>68</v>
      </c>
      <c r="L114" s="46"/>
      <c r="M114" s="46"/>
      <c r="N114" s="46"/>
      <c r="O114" s="46"/>
      <c r="P114" s="46"/>
      <c r="Q114" s="46"/>
      <c r="R114" s="46"/>
      <c r="S114" s="46">
        <v>1</v>
      </c>
      <c r="T114" s="46"/>
      <c r="U114" s="46"/>
      <c r="V114" s="46"/>
      <c r="W114" s="46"/>
      <c r="X114" s="46"/>
      <c r="Y114" s="46"/>
      <c r="Z114" s="46" t="s">
        <v>945</v>
      </c>
      <c r="AA114" s="61">
        <v>0.7</v>
      </c>
      <c r="AB114" s="62">
        <f>AA114/0.0052</f>
        <v>134.61538461538461</v>
      </c>
      <c r="AC114" s="63">
        <f t="shared" ref="AC114" si="12">AB114*H2dens*HoursInYear/10^6</f>
        <v>0.10495153846153846</v>
      </c>
      <c r="AD114" s="62"/>
      <c r="AE114" s="62">
        <f t="shared" si="11"/>
        <v>134.61538461538461</v>
      </c>
      <c r="AF114" s="64" t="s">
        <v>946</v>
      </c>
      <c r="AG114" s="49">
        <v>0.56999999999999995</v>
      </c>
    </row>
    <row r="115" spans="1:33" ht="34.5" customHeight="1" x14ac:dyDescent="0.3">
      <c r="A115" s="46">
        <v>151</v>
      </c>
      <c r="B115" s="46" t="s">
        <v>947</v>
      </c>
      <c r="C115" s="46" t="s">
        <v>203</v>
      </c>
      <c r="D115" s="60">
        <v>2015</v>
      </c>
      <c r="E115" s="60"/>
      <c r="F115" s="46" t="s">
        <v>226</v>
      </c>
      <c r="G115" s="46" t="s">
        <v>1</v>
      </c>
      <c r="H115" s="46"/>
      <c r="I115" s="46" t="s">
        <v>166</v>
      </c>
      <c r="J115" s="46"/>
      <c r="K115" s="46" t="s">
        <v>68</v>
      </c>
      <c r="L115" s="46"/>
      <c r="M115" s="46"/>
      <c r="N115" s="46"/>
      <c r="O115" s="46"/>
      <c r="P115" s="46"/>
      <c r="Q115" s="46"/>
      <c r="R115" s="46">
        <v>1</v>
      </c>
      <c r="S115" s="46">
        <v>1</v>
      </c>
      <c r="T115" s="46">
        <v>1</v>
      </c>
      <c r="U115" s="46"/>
      <c r="V115" s="46"/>
      <c r="W115" s="46"/>
      <c r="X115" s="46"/>
      <c r="Y115" s="46"/>
      <c r="Z115" s="46" t="s">
        <v>788</v>
      </c>
      <c r="AA115" s="61">
        <v>0.15</v>
      </c>
      <c r="AB115" s="62">
        <f>AA115/0.0052</f>
        <v>28.846153846153847</v>
      </c>
      <c r="AC115" s="63">
        <f t="shared" si="10"/>
        <v>2.2489615384615382E-2</v>
      </c>
      <c r="AD115" s="62"/>
      <c r="AE115" s="62">
        <f t="shared" si="11"/>
        <v>28.846153846153847</v>
      </c>
      <c r="AF115" s="64" t="s">
        <v>948</v>
      </c>
      <c r="AG115" s="49">
        <v>0.56999999999999995</v>
      </c>
    </row>
    <row r="116" spans="1:33" ht="34.5" customHeight="1" x14ac:dyDescent="0.3">
      <c r="A116" s="46">
        <v>155</v>
      </c>
      <c r="B116" s="46" t="s">
        <v>949</v>
      </c>
      <c r="C116" s="46" t="s">
        <v>63</v>
      </c>
      <c r="D116" s="60">
        <v>2015</v>
      </c>
      <c r="E116" s="60"/>
      <c r="F116" s="46" t="s">
        <v>285</v>
      </c>
      <c r="G116" s="46" t="s">
        <v>1</v>
      </c>
      <c r="H116" s="46"/>
      <c r="I116" s="46" t="s">
        <v>707</v>
      </c>
      <c r="J116" s="46"/>
      <c r="K116" s="46" t="s">
        <v>72</v>
      </c>
      <c r="L116" s="46"/>
      <c r="M116" s="46"/>
      <c r="N116" s="46"/>
      <c r="O116" s="46"/>
      <c r="P116" s="46"/>
      <c r="Q116" s="46"/>
      <c r="R116" s="46"/>
      <c r="S116" s="46"/>
      <c r="T116" s="46"/>
      <c r="U116" s="46"/>
      <c r="V116" s="46"/>
      <c r="W116" s="46"/>
      <c r="X116" s="46">
        <v>1</v>
      </c>
      <c r="Y116" s="46"/>
      <c r="Z116" s="46" t="s">
        <v>950</v>
      </c>
      <c r="AA116" s="61">
        <f>AB116*0.0052</f>
        <v>0.14560000000000001</v>
      </c>
      <c r="AB116" s="62">
        <v>28</v>
      </c>
      <c r="AC116" s="63">
        <f t="shared" si="10"/>
        <v>2.1829919999999999E-2</v>
      </c>
      <c r="AD116" s="62"/>
      <c r="AE116" s="62">
        <f t="shared" si="11"/>
        <v>28</v>
      </c>
      <c r="AF116" s="64" t="s">
        <v>951</v>
      </c>
      <c r="AG116" s="49">
        <v>0.56999999999999995</v>
      </c>
    </row>
    <row r="117" spans="1:33" ht="34.5" customHeight="1" x14ac:dyDescent="0.3">
      <c r="A117" s="46">
        <v>163</v>
      </c>
      <c r="B117" s="46" t="s">
        <v>952</v>
      </c>
      <c r="C117" s="46" t="s">
        <v>203</v>
      </c>
      <c r="D117" s="60">
        <v>2015</v>
      </c>
      <c r="E117" s="60"/>
      <c r="F117" s="46" t="s">
        <v>226</v>
      </c>
      <c r="G117" s="46" t="s">
        <v>1</v>
      </c>
      <c r="H117" s="46"/>
      <c r="I117" s="46" t="s">
        <v>166</v>
      </c>
      <c r="J117" s="46"/>
      <c r="K117" s="46" t="s">
        <v>68</v>
      </c>
      <c r="L117" s="46"/>
      <c r="M117" s="46"/>
      <c r="N117" s="46"/>
      <c r="O117" s="46"/>
      <c r="P117" s="46"/>
      <c r="Q117" s="46"/>
      <c r="R117" s="46">
        <v>1</v>
      </c>
      <c r="S117" s="46"/>
      <c r="T117" s="46"/>
      <c r="U117" s="46"/>
      <c r="V117" s="46"/>
      <c r="W117" s="46"/>
      <c r="X117" s="46"/>
      <c r="Y117" s="46"/>
      <c r="Z117" s="46" t="s">
        <v>953</v>
      </c>
      <c r="AA117" s="61">
        <v>0.02</v>
      </c>
      <c r="AB117" s="62">
        <f>AA117/0.0052</f>
        <v>3.8461538461538463</v>
      </c>
      <c r="AC117" s="63">
        <f t="shared" si="10"/>
        <v>2.9986153846153847E-3</v>
      </c>
      <c r="AD117" s="62"/>
      <c r="AE117" s="62">
        <f t="shared" si="11"/>
        <v>3.8461538461538463</v>
      </c>
      <c r="AF117" s="64" t="s">
        <v>786</v>
      </c>
      <c r="AG117" s="49">
        <v>0.56999999999999995</v>
      </c>
    </row>
    <row r="118" spans="1:33" ht="34.5" customHeight="1" x14ac:dyDescent="0.3">
      <c r="A118" s="46">
        <v>164</v>
      </c>
      <c r="B118" s="46" t="s">
        <v>954</v>
      </c>
      <c r="C118" s="46" t="s">
        <v>42</v>
      </c>
      <c r="D118" s="60">
        <v>2015</v>
      </c>
      <c r="E118" s="60">
        <v>2021</v>
      </c>
      <c r="F118" s="46" t="s">
        <v>285</v>
      </c>
      <c r="G118" s="46" t="s">
        <v>1</v>
      </c>
      <c r="H118" s="46"/>
      <c r="I118" s="46" t="s">
        <v>169</v>
      </c>
      <c r="J118" s="46" t="s">
        <v>244</v>
      </c>
      <c r="K118" s="46" t="s">
        <v>68</v>
      </c>
      <c r="L118" s="46"/>
      <c r="M118" s="46"/>
      <c r="N118" s="46"/>
      <c r="O118" s="46"/>
      <c r="P118" s="46"/>
      <c r="Q118" s="46"/>
      <c r="R118" s="46"/>
      <c r="S118" s="46"/>
      <c r="T118" s="46"/>
      <c r="U118" s="46">
        <v>1</v>
      </c>
      <c r="V118" s="46"/>
      <c r="W118" s="46"/>
      <c r="X118" s="46"/>
      <c r="Y118" s="46"/>
      <c r="Z118" s="46" t="s">
        <v>738</v>
      </c>
      <c r="AA118" s="61">
        <f>AB118*0.0052</f>
        <v>5.1999999999999998E-3</v>
      </c>
      <c r="AB118" s="62">
        <v>1</v>
      </c>
      <c r="AC118" s="63">
        <f t="shared" si="10"/>
        <v>7.7963999999999996E-4</v>
      </c>
      <c r="AD118" s="62"/>
      <c r="AE118" s="62">
        <f t="shared" si="11"/>
        <v>1</v>
      </c>
      <c r="AF118" s="64" t="s">
        <v>955</v>
      </c>
      <c r="AG118" s="49">
        <v>0.3</v>
      </c>
    </row>
    <row r="119" spans="1:33" ht="34.5" customHeight="1" x14ac:dyDescent="0.3">
      <c r="A119" s="46">
        <v>165</v>
      </c>
      <c r="B119" s="46" t="s">
        <v>956</v>
      </c>
      <c r="C119" s="46" t="s">
        <v>203</v>
      </c>
      <c r="D119" s="60">
        <v>2015</v>
      </c>
      <c r="E119" s="60">
        <v>2020</v>
      </c>
      <c r="F119" s="46" t="s">
        <v>285</v>
      </c>
      <c r="G119" s="46" t="s">
        <v>1</v>
      </c>
      <c r="H119" s="46"/>
      <c r="I119" s="46" t="s">
        <v>707</v>
      </c>
      <c r="J119" s="46"/>
      <c r="K119" s="46" t="s">
        <v>72</v>
      </c>
      <c r="L119" s="46"/>
      <c r="M119" s="46"/>
      <c r="N119" s="46"/>
      <c r="O119" s="46"/>
      <c r="P119" s="46"/>
      <c r="Q119" s="46"/>
      <c r="R119" s="46">
        <v>1</v>
      </c>
      <c r="S119" s="46"/>
      <c r="T119" s="46"/>
      <c r="U119" s="46"/>
      <c r="V119" s="46"/>
      <c r="W119" s="46"/>
      <c r="X119" s="46">
        <v>1</v>
      </c>
      <c r="Y119" s="46"/>
      <c r="Z119" s="46"/>
      <c r="AA119" s="61"/>
      <c r="AB119" s="62"/>
      <c r="AC119" s="63"/>
      <c r="AD119" s="62"/>
      <c r="AE119" s="62">
        <f t="shared" si="11"/>
        <v>0</v>
      </c>
      <c r="AF119" s="64" t="s">
        <v>7179</v>
      </c>
      <c r="AG119" s="49">
        <v>0.56999999999999995</v>
      </c>
    </row>
    <row r="120" spans="1:33" ht="34.5" customHeight="1" x14ac:dyDescent="0.3">
      <c r="A120" s="46">
        <v>167</v>
      </c>
      <c r="B120" s="46" t="s">
        <v>957</v>
      </c>
      <c r="C120" s="46" t="s">
        <v>49</v>
      </c>
      <c r="D120" s="60">
        <v>2015</v>
      </c>
      <c r="E120" s="60">
        <v>2018</v>
      </c>
      <c r="F120" s="46" t="s">
        <v>285</v>
      </c>
      <c r="G120" s="46" t="s">
        <v>2</v>
      </c>
      <c r="H120" s="46"/>
      <c r="I120" s="46" t="s">
        <v>707</v>
      </c>
      <c r="J120" s="46"/>
      <c r="K120" s="46" t="s">
        <v>167</v>
      </c>
      <c r="L120" s="46"/>
      <c r="M120" s="46"/>
      <c r="N120" s="46"/>
      <c r="O120" s="46"/>
      <c r="P120" s="46"/>
      <c r="Q120" s="46"/>
      <c r="R120" s="46"/>
      <c r="S120" s="46"/>
      <c r="T120" s="46"/>
      <c r="U120" s="46"/>
      <c r="V120" s="46"/>
      <c r="W120" s="46">
        <v>1</v>
      </c>
      <c r="X120" s="46"/>
      <c r="Y120" s="46"/>
      <c r="Z120" s="46"/>
      <c r="AA120" s="61"/>
      <c r="AB120" s="62"/>
      <c r="AC120" s="63"/>
      <c r="AD120" s="62"/>
      <c r="AE120" s="62">
        <f t="shared" si="11"/>
        <v>0</v>
      </c>
      <c r="AF120" s="64" t="s">
        <v>7180</v>
      </c>
      <c r="AG120" s="49">
        <v>0.56999999999999995</v>
      </c>
    </row>
    <row r="121" spans="1:33" ht="34.5" customHeight="1" x14ac:dyDescent="0.3">
      <c r="A121" s="46">
        <v>169</v>
      </c>
      <c r="B121" s="46" t="s">
        <v>958</v>
      </c>
      <c r="C121" s="46" t="s">
        <v>45</v>
      </c>
      <c r="D121" s="60">
        <v>2014</v>
      </c>
      <c r="E121" s="60"/>
      <c r="F121" s="46" t="s">
        <v>226</v>
      </c>
      <c r="G121" s="46" t="s">
        <v>3</v>
      </c>
      <c r="H121" s="46"/>
      <c r="I121" s="46" t="s">
        <v>707</v>
      </c>
      <c r="J121" s="46"/>
      <c r="K121" s="46" t="s">
        <v>68</v>
      </c>
      <c r="L121" s="46"/>
      <c r="M121" s="46"/>
      <c r="N121" s="46"/>
      <c r="O121" s="46"/>
      <c r="P121" s="46"/>
      <c r="Q121" s="46">
        <v>1</v>
      </c>
      <c r="R121" s="46"/>
      <c r="S121" s="46"/>
      <c r="T121" s="46"/>
      <c r="U121" s="46"/>
      <c r="V121" s="46"/>
      <c r="W121" s="46"/>
      <c r="X121" s="46"/>
      <c r="Y121" s="46"/>
      <c r="Z121" s="46" t="s">
        <v>959</v>
      </c>
      <c r="AA121" s="61">
        <v>1.5</v>
      </c>
      <c r="AB121" s="62">
        <f>IF(OR(G121="ALK",G121="PEM",G121="SOEC",G121="Other Electrolysis"),
AA121/VLOOKUP(G121,ElectrolysisConvF,3,FALSE),
AC121*10^6/(H2dens*HoursInYear))</f>
        <v>326.08695652173913</v>
      </c>
      <c r="AC121" s="63">
        <f t="shared" ref="AC121:AC123" si="13">AB121*H2dens*HoursInYear/10^6</f>
        <v>0.25423043478260865</v>
      </c>
      <c r="AD121" s="62"/>
      <c r="AE121" s="62">
        <f t="shared" si="11"/>
        <v>326.08695652173913</v>
      </c>
      <c r="AF121" s="64" t="s">
        <v>960</v>
      </c>
      <c r="AG121" s="49">
        <v>0.56999999999999995</v>
      </c>
    </row>
    <row r="122" spans="1:33" ht="34.5" customHeight="1" x14ac:dyDescent="0.3">
      <c r="A122" s="46">
        <v>173</v>
      </c>
      <c r="B122" s="46" t="s">
        <v>961</v>
      </c>
      <c r="C122" s="46" t="s">
        <v>203</v>
      </c>
      <c r="D122" s="60">
        <v>2014</v>
      </c>
      <c r="E122" s="60"/>
      <c r="F122" s="46" t="s">
        <v>226</v>
      </c>
      <c r="G122" s="46" t="s">
        <v>3</v>
      </c>
      <c r="H122" s="46"/>
      <c r="I122" s="46" t="s">
        <v>169</v>
      </c>
      <c r="J122" s="46" t="s">
        <v>245</v>
      </c>
      <c r="K122" s="46" t="s">
        <v>68</v>
      </c>
      <c r="L122" s="46"/>
      <c r="M122" s="46"/>
      <c r="N122" s="46"/>
      <c r="O122" s="46"/>
      <c r="P122" s="46"/>
      <c r="Q122" s="46">
        <v>1</v>
      </c>
      <c r="R122" s="46"/>
      <c r="S122" s="46"/>
      <c r="T122" s="46"/>
      <c r="U122" s="46"/>
      <c r="V122" s="46"/>
      <c r="W122" s="46"/>
      <c r="X122" s="46"/>
      <c r="Y122" s="46"/>
      <c r="Z122" s="46" t="s">
        <v>938</v>
      </c>
      <c r="AA122" s="61">
        <v>0.5</v>
      </c>
      <c r="AB122" s="62">
        <f>IF(OR(G122="ALK",G122="PEM",G122="SOEC",G122="Other Electrolysis"),
AA122/VLOOKUP(G122,ElectrolysisConvF,3,FALSE),
AC122*10^6/(H2dens*HoursInYear))</f>
        <v>108.69565217391305</v>
      </c>
      <c r="AC122" s="63">
        <f t="shared" si="13"/>
        <v>8.4743478260869559E-2</v>
      </c>
      <c r="AD122" s="62"/>
      <c r="AE122" s="62">
        <f t="shared" si="11"/>
        <v>108.69565217391305</v>
      </c>
      <c r="AF122" s="64" t="s">
        <v>962</v>
      </c>
      <c r="AG122" s="49">
        <v>0.4</v>
      </c>
    </row>
    <row r="123" spans="1:33" ht="34.5" customHeight="1" x14ac:dyDescent="0.3">
      <c r="A123" s="46">
        <v>178</v>
      </c>
      <c r="B123" s="46" t="s">
        <v>963</v>
      </c>
      <c r="C123" s="46" t="s">
        <v>203</v>
      </c>
      <c r="D123" s="60">
        <v>2026</v>
      </c>
      <c r="E123" s="60"/>
      <c r="F123" s="46" t="s">
        <v>225</v>
      </c>
      <c r="G123" s="46" t="s">
        <v>3</v>
      </c>
      <c r="H123" s="46"/>
      <c r="I123" s="46" t="s">
        <v>169</v>
      </c>
      <c r="J123" s="46" t="s">
        <v>248</v>
      </c>
      <c r="K123" s="46" t="s">
        <v>68</v>
      </c>
      <c r="L123" s="46">
        <v>1</v>
      </c>
      <c r="M123" s="46"/>
      <c r="N123" s="46"/>
      <c r="O123" s="46"/>
      <c r="P123" s="46"/>
      <c r="Q123" s="46"/>
      <c r="R123" s="46"/>
      <c r="S123" s="46"/>
      <c r="T123" s="46"/>
      <c r="U123" s="46"/>
      <c r="V123" s="46"/>
      <c r="W123" s="46"/>
      <c r="X123" s="46"/>
      <c r="Y123" s="46"/>
      <c r="Z123" s="46" t="s">
        <v>964</v>
      </c>
      <c r="AA123" s="61">
        <v>30</v>
      </c>
      <c r="AB123" s="62">
        <f>IF(OR(G123="ALK",G123="PEM",G123="SOEC",G123="Other Electrolysis"),
AA123/VLOOKUP(G123,ElectrolysisConvF,3,FALSE),
AC123*10^6/(H2dens*HoursInYear))</f>
        <v>6521.739130434783</v>
      </c>
      <c r="AC123" s="63">
        <f t="shared" si="13"/>
        <v>5.0846086956521734</v>
      </c>
      <c r="AD123" s="62"/>
      <c r="AE123" s="62">
        <f t="shared" si="11"/>
        <v>6521.739130434783</v>
      </c>
      <c r="AF123" s="64" t="s">
        <v>965</v>
      </c>
      <c r="AG123" s="49">
        <v>0.5</v>
      </c>
    </row>
    <row r="124" spans="1:33" ht="34.5" customHeight="1" x14ac:dyDescent="0.3">
      <c r="A124" s="46">
        <v>198</v>
      </c>
      <c r="B124" s="46" t="s">
        <v>966</v>
      </c>
      <c r="C124" s="46" t="s">
        <v>203</v>
      </c>
      <c r="D124" s="60">
        <v>2014</v>
      </c>
      <c r="E124" s="60"/>
      <c r="F124" s="46" t="s">
        <v>226</v>
      </c>
      <c r="G124" s="46" t="s">
        <v>1</v>
      </c>
      <c r="H124" s="46"/>
      <c r="I124" s="46" t="s">
        <v>707</v>
      </c>
      <c r="J124" s="46"/>
      <c r="K124" s="46" t="s">
        <v>68</v>
      </c>
      <c r="L124" s="46"/>
      <c r="M124" s="46"/>
      <c r="N124" s="46"/>
      <c r="O124" s="46"/>
      <c r="P124" s="46"/>
      <c r="Q124" s="46"/>
      <c r="R124" s="46">
        <v>1</v>
      </c>
      <c r="S124" s="46">
        <v>1</v>
      </c>
      <c r="T124" s="46"/>
      <c r="U124" s="46"/>
      <c r="V124" s="46"/>
      <c r="W124" s="46"/>
      <c r="X124" s="46"/>
      <c r="Y124" s="46"/>
      <c r="Z124" s="46" t="s">
        <v>870</v>
      </c>
      <c r="AA124" s="61">
        <f>AB124*0.0052</f>
        <v>2.0799999999999999E-2</v>
      </c>
      <c r="AB124" s="62">
        <v>4</v>
      </c>
      <c r="AC124" s="63">
        <f>AB124*H2dens*HoursInYear/10^6</f>
        <v>3.1185599999999998E-3</v>
      </c>
      <c r="AD124" s="62"/>
      <c r="AE124" s="62">
        <f t="shared" si="11"/>
        <v>4</v>
      </c>
      <c r="AF124" s="64" t="s">
        <v>967</v>
      </c>
      <c r="AG124" s="49">
        <v>0.56999999999999995</v>
      </c>
    </row>
    <row r="125" spans="1:33" ht="34.5" customHeight="1" x14ac:dyDescent="0.3">
      <c r="A125" s="46">
        <v>199</v>
      </c>
      <c r="B125" s="46" t="s">
        <v>968</v>
      </c>
      <c r="C125" s="46" t="s">
        <v>203</v>
      </c>
      <c r="D125" s="60">
        <v>2014</v>
      </c>
      <c r="E125" s="60"/>
      <c r="F125" s="46" t="s">
        <v>226</v>
      </c>
      <c r="G125" s="46" t="s">
        <v>159</v>
      </c>
      <c r="H125" s="46"/>
      <c r="I125" s="46" t="s">
        <v>707</v>
      </c>
      <c r="J125" s="46"/>
      <c r="K125" s="46" t="s">
        <v>72</v>
      </c>
      <c r="L125" s="46"/>
      <c r="M125" s="46"/>
      <c r="N125" s="46"/>
      <c r="O125" s="46"/>
      <c r="P125" s="46"/>
      <c r="Q125" s="46"/>
      <c r="R125" s="46"/>
      <c r="S125" s="46"/>
      <c r="T125" s="46"/>
      <c r="U125" s="46"/>
      <c r="V125" s="46"/>
      <c r="W125" s="46"/>
      <c r="X125" s="46">
        <v>1</v>
      </c>
      <c r="Y125" s="46"/>
      <c r="Z125" s="46"/>
      <c r="AA125" s="61"/>
      <c r="AB125" s="62"/>
      <c r="AC125" s="63"/>
      <c r="AD125" s="62"/>
      <c r="AE125" s="62">
        <f t="shared" si="11"/>
        <v>0</v>
      </c>
      <c r="AF125" s="64" t="s">
        <v>969</v>
      </c>
      <c r="AG125" s="49">
        <v>0.56999999999999995</v>
      </c>
    </row>
    <row r="126" spans="1:33" ht="34.5" customHeight="1" x14ac:dyDescent="0.3">
      <c r="A126" s="46">
        <v>200</v>
      </c>
      <c r="B126" s="46" t="s">
        <v>970</v>
      </c>
      <c r="C126" s="46" t="s">
        <v>203</v>
      </c>
      <c r="D126" s="60">
        <v>2013</v>
      </c>
      <c r="E126" s="60"/>
      <c r="F126" s="46" t="s">
        <v>226</v>
      </c>
      <c r="G126" s="46" t="s">
        <v>3</v>
      </c>
      <c r="H126" s="46"/>
      <c r="I126" s="46" t="s">
        <v>166</v>
      </c>
      <c r="J126" s="46"/>
      <c r="K126" s="46" t="s">
        <v>72</v>
      </c>
      <c r="L126" s="46"/>
      <c r="M126" s="46"/>
      <c r="N126" s="46"/>
      <c r="O126" s="46"/>
      <c r="P126" s="46"/>
      <c r="Q126" s="46"/>
      <c r="R126" s="46"/>
      <c r="S126" s="46"/>
      <c r="T126" s="46"/>
      <c r="U126" s="46"/>
      <c r="V126" s="46"/>
      <c r="W126" s="46"/>
      <c r="X126" s="46">
        <v>1</v>
      </c>
      <c r="Y126" s="46">
        <v>1</v>
      </c>
      <c r="Z126" s="46" t="s">
        <v>971</v>
      </c>
      <c r="AA126" s="61">
        <v>6.3</v>
      </c>
      <c r="AB126" s="62">
        <f>IF(OR(G126="ALK",G126="PEM",G126="SOEC",G126="Other Electrolysis"),
AA126/VLOOKUP(G126,ElectrolysisConvF,3,FALSE),
AC126*10^6/(H2dens*HoursInYear))</f>
        <v>1369.5652173913043</v>
      </c>
      <c r="AC126" s="63">
        <f t="shared" ref="AC126" si="14">AB126*H2dens*HoursInYear/10^6</f>
        <v>1.0677678260869565</v>
      </c>
      <c r="AD126" s="62"/>
      <c r="AE126" s="62">
        <f t="shared" si="11"/>
        <v>1369.5652173913043</v>
      </c>
      <c r="AF126" s="64" t="s">
        <v>7181</v>
      </c>
      <c r="AG126" s="49">
        <v>0.56999999999999995</v>
      </c>
    </row>
    <row r="127" spans="1:33" ht="34.5" customHeight="1" x14ac:dyDescent="0.3">
      <c r="A127" s="46">
        <v>201</v>
      </c>
      <c r="B127" s="46" t="s">
        <v>972</v>
      </c>
      <c r="C127" s="46" t="s">
        <v>49</v>
      </c>
      <c r="D127" s="60">
        <v>2013</v>
      </c>
      <c r="E127" s="60"/>
      <c r="F127" s="46" t="s">
        <v>226</v>
      </c>
      <c r="G127" s="46" t="s">
        <v>3</v>
      </c>
      <c r="H127" s="46"/>
      <c r="I127" s="46" t="s">
        <v>166</v>
      </c>
      <c r="J127" s="46"/>
      <c r="K127" s="46" t="s">
        <v>68</v>
      </c>
      <c r="L127" s="46"/>
      <c r="M127" s="46"/>
      <c r="N127" s="46"/>
      <c r="O127" s="46"/>
      <c r="P127" s="46"/>
      <c r="Q127" s="46">
        <v>1</v>
      </c>
      <c r="R127" s="46"/>
      <c r="S127" s="46"/>
      <c r="T127" s="46"/>
      <c r="U127" s="46"/>
      <c r="V127" s="46"/>
      <c r="W127" s="46"/>
      <c r="X127" s="46"/>
      <c r="Y127" s="46"/>
      <c r="Z127" s="46" t="s">
        <v>973</v>
      </c>
      <c r="AA127" s="61">
        <f>AB127*0.0046</f>
        <v>0.43071161048689133</v>
      </c>
      <c r="AB127" s="62">
        <f>AC127/(0.089*24*365/10^6)</f>
        <v>93.63295880149812</v>
      </c>
      <c r="AC127" s="63">
        <v>7.2999999999999995E-2</v>
      </c>
      <c r="AD127" s="62"/>
      <c r="AE127" s="62">
        <f t="shared" si="11"/>
        <v>93.63295880149812</v>
      </c>
      <c r="AF127" s="66" t="s">
        <v>974</v>
      </c>
      <c r="AG127" s="49">
        <v>0.56999999999999995</v>
      </c>
    </row>
    <row r="128" spans="1:33" ht="34.5" customHeight="1" x14ac:dyDescent="0.3">
      <c r="A128" s="46">
        <v>202</v>
      </c>
      <c r="B128" s="46" t="s">
        <v>975</v>
      </c>
      <c r="C128" s="46" t="s">
        <v>203</v>
      </c>
      <c r="D128" s="60">
        <v>2013</v>
      </c>
      <c r="E128" s="60"/>
      <c r="F128" s="46" t="s">
        <v>226</v>
      </c>
      <c r="G128" s="46" t="s">
        <v>3</v>
      </c>
      <c r="H128" s="46"/>
      <c r="I128" s="46" t="s">
        <v>169</v>
      </c>
      <c r="J128" s="46" t="s">
        <v>245</v>
      </c>
      <c r="K128" s="46" t="s">
        <v>68</v>
      </c>
      <c r="L128" s="46"/>
      <c r="M128" s="46"/>
      <c r="N128" s="46"/>
      <c r="O128" s="46"/>
      <c r="P128" s="46"/>
      <c r="Q128" s="46"/>
      <c r="R128" s="46"/>
      <c r="S128" s="46">
        <v>1</v>
      </c>
      <c r="T128" s="46"/>
      <c r="U128" s="46"/>
      <c r="V128" s="46"/>
      <c r="W128" s="46"/>
      <c r="X128" s="46"/>
      <c r="Y128" s="46"/>
      <c r="Z128" s="46" t="s">
        <v>714</v>
      </c>
      <c r="AA128" s="61">
        <v>2</v>
      </c>
      <c r="AB128" s="62">
        <f>IF(OR(G128="ALK",G128="PEM",G128="SOEC",G128="Other Electrolysis"),
AA128/VLOOKUP(G128,ElectrolysisConvF,3,FALSE),
AC128*10^6/(H2dens*HoursInYear))</f>
        <v>434.78260869565219</v>
      </c>
      <c r="AC128" s="63">
        <f t="shared" ref="AC128" si="15">AB128*H2dens*HoursInYear/10^6</f>
        <v>0.33897391304347824</v>
      </c>
      <c r="AD128" s="62"/>
      <c r="AE128" s="62">
        <f t="shared" si="11"/>
        <v>434.78260869565219</v>
      </c>
      <c r="AF128" s="64" t="s">
        <v>811</v>
      </c>
      <c r="AG128" s="49">
        <v>0.4</v>
      </c>
    </row>
    <row r="129" spans="1:33" ht="34.5" customHeight="1" x14ac:dyDescent="0.3">
      <c r="A129" s="46">
        <v>203</v>
      </c>
      <c r="B129" s="46" t="s">
        <v>976</v>
      </c>
      <c r="C129" s="46" t="s">
        <v>203</v>
      </c>
      <c r="D129" s="60">
        <v>2013</v>
      </c>
      <c r="E129" s="60"/>
      <c r="F129" s="46" t="s">
        <v>226</v>
      </c>
      <c r="G129" s="46" t="s">
        <v>1</v>
      </c>
      <c r="H129" s="46"/>
      <c r="I129" s="46" t="s">
        <v>707</v>
      </c>
      <c r="J129" s="46"/>
      <c r="K129" s="46" t="s">
        <v>68</v>
      </c>
      <c r="L129" s="46"/>
      <c r="M129" s="46"/>
      <c r="N129" s="46"/>
      <c r="O129" s="46"/>
      <c r="P129" s="46"/>
      <c r="Q129" s="46"/>
      <c r="R129" s="46"/>
      <c r="S129" s="46">
        <v>1</v>
      </c>
      <c r="T129" s="46"/>
      <c r="U129" s="46"/>
      <c r="V129" s="46"/>
      <c r="W129" s="46"/>
      <c r="X129" s="46"/>
      <c r="Y129" s="46"/>
      <c r="Z129" s="46" t="s">
        <v>810</v>
      </c>
      <c r="AA129" s="61">
        <v>1</v>
      </c>
      <c r="AB129" s="62">
        <f>AA129/0.0052</f>
        <v>192.30769230769232</v>
      </c>
      <c r="AC129" s="63">
        <f t="shared" ref="AC129:AC135" si="16">AB129*H2dens*HoursInYear/10^6</f>
        <v>0.14993076923076926</v>
      </c>
      <c r="AD129" s="62"/>
      <c r="AE129" s="62">
        <f t="shared" si="11"/>
        <v>192.30769230769232</v>
      </c>
      <c r="AF129" s="64" t="s">
        <v>977</v>
      </c>
      <c r="AG129" s="49">
        <v>0.56999999999999995</v>
      </c>
    </row>
    <row r="130" spans="1:33" ht="34.5" customHeight="1" x14ac:dyDescent="0.3">
      <c r="A130" s="46">
        <v>204</v>
      </c>
      <c r="B130" s="46" t="s">
        <v>978</v>
      </c>
      <c r="C130" s="46" t="s">
        <v>35</v>
      </c>
      <c r="D130" s="60">
        <v>2013</v>
      </c>
      <c r="E130" s="60"/>
      <c r="F130" s="46" t="s">
        <v>226</v>
      </c>
      <c r="G130" s="46" t="s">
        <v>3</v>
      </c>
      <c r="H130" s="46"/>
      <c r="I130" s="46" t="s">
        <v>707</v>
      </c>
      <c r="J130" s="46"/>
      <c r="K130" s="46" t="s">
        <v>68</v>
      </c>
      <c r="L130" s="46"/>
      <c r="M130" s="46"/>
      <c r="N130" s="46"/>
      <c r="O130" s="46"/>
      <c r="P130" s="46"/>
      <c r="Q130" s="46">
        <v>1</v>
      </c>
      <c r="R130" s="46"/>
      <c r="S130" s="46"/>
      <c r="T130" s="46"/>
      <c r="U130" s="46"/>
      <c r="V130" s="46"/>
      <c r="W130" s="46"/>
      <c r="X130" s="46"/>
      <c r="Y130" s="46"/>
      <c r="Z130" s="46" t="s">
        <v>979</v>
      </c>
      <c r="AA130" s="61">
        <v>0.6</v>
      </c>
      <c r="AB130" s="62">
        <f>IF(OR(G130="ALK",G130="PEM",G130="SOEC",G130="Other Electrolysis"),
AA130/VLOOKUP(G130,ElectrolysisConvF,3,FALSE),
AC130*10^6/(H2dens*HoursInYear))</f>
        <v>130.43478260869566</v>
      </c>
      <c r="AC130" s="63">
        <f t="shared" si="16"/>
        <v>0.10169217391304347</v>
      </c>
      <c r="AD130" s="62"/>
      <c r="AE130" s="62">
        <f t="shared" si="11"/>
        <v>130.43478260869566</v>
      </c>
      <c r="AF130" s="64"/>
      <c r="AG130" s="49">
        <v>0.56999999999999995</v>
      </c>
    </row>
    <row r="131" spans="1:33" ht="34.5" customHeight="1" x14ac:dyDescent="0.3">
      <c r="A131" s="46">
        <v>205</v>
      </c>
      <c r="B131" s="46" t="s">
        <v>980</v>
      </c>
      <c r="C131" s="46" t="s">
        <v>49</v>
      </c>
      <c r="D131" s="60">
        <v>2023</v>
      </c>
      <c r="E131" s="60"/>
      <c r="F131" s="46" t="s">
        <v>675</v>
      </c>
      <c r="G131" s="46" t="s">
        <v>3</v>
      </c>
      <c r="H131" s="46"/>
      <c r="I131" s="46" t="s">
        <v>166</v>
      </c>
      <c r="J131" s="46"/>
      <c r="K131" s="46" t="s">
        <v>68</v>
      </c>
      <c r="L131" s="46">
        <v>1</v>
      </c>
      <c r="M131" s="46"/>
      <c r="N131" s="46"/>
      <c r="O131" s="46"/>
      <c r="P131" s="46"/>
      <c r="Q131" s="46">
        <v>1</v>
      </c>
      <c r="R131" s="46"/>
      <c r="S131" s="46"/>
      <c r="T131" s="46"/>
      <c r="U131" s="46"/>
      <c r="V131" s="46"/>
      <c r="W131" s="46"/>
      <c r="X131" s="46"/>
      <c r="Y131" s="46"/>
      <c r="Z131" s="46" t="s">
        <v>981</v>
      </c>
      <c r="AA131" s="61">
        <v>20</v>
      </c>
      <c r="AB131" s="62">
        <f>IF(OR(G131="ALK",G131="PEM",G131="SOEC",G131="Other Electrolysis"),
AA131/VLOOKUP(G131,ElectrolysisConvF,3,FALSE),
AC131*10^6/(H2dens*HoursInYear))</f>
        <v>4347.826086956522</v>
      </c>
      <c r="AC131" s="63">
        <f t="shared" si="16"/>
        <v>3.3897391304347826</v>
      </c>
      <c r="AD131" s="62"/>
      <c r="AE131" s="62">
        <f t="shared" si="11"/>
        <v>4347.826086956522</v>
      </c>
      <c r="AF131" s="64" t="s">
        <v>982</v>
      </c>
      <c r="AG131" s="49">
        <v>0.56999999999999995</v>
      </c>
    </row>
    <row r="132" spans="1:33" ht="34.5" customHeight="1" x14ac:dyDescent="0.3">
      <c r="A132" s="46">
        <v>207</v>
      </c>
      <c r="B132" s="46" t="s">
        <v>983</v>
      </c>
      <c r="C132" s="46" t="s">
        <v>203</v>
      </c>
      <c r="D132" s="60">
        <v>2013</v>
      </c>
      <c r="E132" s="60"/>
      <c r="F132" s="46" t="s">
        <v>226</v>
      </c>
      <c r="G132" s="46" t="s">
        <v>1</v>
      </c>
      <c r="H132" s="46"/>
      <c r="I132" s="46" t="s">
        <v>166</v>
      </c>
      <c r="J132" s="46"/>
      <c r="K132" s="46" t="s">
        <v>72</v>
      </c>
      <c r="L132" s="46"/>
      <c r="M132" s="46"/>
      <c r="N132" s="46"/>
      <c r="O132" s="46"/>
      <c r="P132" s="46"/>
      <c r="Q132" s="46"/>
      <c r="R132" s="46"/>
      <c r="S132" s="46"/>
      <c r="T132" s="46"/>
      <c r="U132" s="46"/>
      <c r="V132" s="46"/>
      <c r="W132" s="46"/>
      <c r="X132" s="46">
        <v>1</v>
      </c>
      <c r="Y132" s="46"/>
      <c r="Z132" s="46" t="s">
        <v>984</v>
      </c>
      <c r="AA132" s="61">
        <f>AB132*0.0052</f>
        <v>0.26</v>
      </c>
      <c r="AB132" s="62">
        <v>50</v>
      </c>
      <c r="AC132" s="63">
        <f t="shared" si="16"/>
        <v>3.8982000000000003E-2</v>
      </c>
      <c r="AD132" s="62"/>
      <c r="AE132" s="62">
        <f t="shared" si="11"/>
        <v>50</v>
      </c>
      <c r="AF132" s="64" t="s">
        <v>985</v>
      </c>
      <c r="AG132" s="49">
        <v>0.56999999999999995</v>
      </c>
    </row>
    <row r="133" spans="1:33" ht="34.5" customHeight="1" x14ac:dyDescent="0.3">
      <c r="A133" s="46">
        <v>211</v>
      </c>
      <c r="B133" s="46" t="s">
        <v>986</v>
      </c>
      <c r="C133" s="46" t="s">
        <v>39</v>
      </c>
      <c r="D133" s="60">
        <v>2013</v>
      </c>
      <c r="E133" s="60"/>
      <c r="F133" s="46" t="s">
        <v>226</v>
      </c>
      <c r="G133" s="46" t="s">
        <v>3</v>
      </c>
      <c r="H133" s="46"/>
      <c r="I133" s="46" t="s">
        <v>707</v>
      </c>
      <c r="J133" s="46"/>
      <c r="K133" s="46" t="s">
        <v>68</v>
      </c>
      <c r="L133" s="46"/>
      <c r="M133" s="46"/>
      <c r="N133" s="46"/>
      <c r="O133" s="46"/>
      <c r="P133" s="46"/>
      <c r="Q133" s="46"/>
      <c r="R133" s="46">
        <v>1</v>
      </c>
      <c r="S133" s="46"/>
      <c r="T133" s="46"/>
      <c r="U133" s="46"/>
      <c r="V133" s="46"/>
      <c r="W133" s="46"/>
      <c r="X133" s="46"/>
      <c r="Y133" s="46"/>
      <c r="Z133" s="46" t="s">
        <v>987</v>
      </c>
      <c r="AA133" s="61">
        <v>0.2</v>
      </c>
      <c r="AB133" s="62">
        <f>IF(OR(G133="ALK",G133="PEM",G133="SOEC",G133="Other Electrolysis"),
AA133/VLOOKUP(G133,ElectrolysisConvF,3,FALSE),
AC133*10^6/(H2dens*HoursInYear))</f>
        <v>43.478260869565219</v>
      </c>
      <c r="AC133" s="63">
        <f t="shared" si="16"/>
        <v>3.3897391304347824E-2</v>
      </c>
      <c r="AD133" s="62"/>
      <c r="AE133" s="62">
        <f t="shared" si="11"/>
        <v>43.478260869565219</v>
      </c>
      <c r="AF133" s="64" t="s">
        <v>7182</v>
      </c>
      <c r="AG133" s="49">
        <v>0.56999999999999995</v>
      </c>
    </row>
    <row r="134" spans="1:33" ht="34.5" customHeight="1" x14ac:dyDescent="0.3">
      <c r="A134" s="46">
        <v>213</v>
      </c>
      <c r="B134" s="46" t="s">
        <v>988</v>
      </c>
      <c r="C134" s="46" t="s">
        <v>203</v>
      </c>
      <c r="D134" s="60">
        <v>2013</v>
      </c>
      <c r="E134" s="60"/>
      <c r="F134" s="46" t="s">
        <v>226</v>
      </c>
      <c r="G134" s="46" t="s">
        <v>1</v>
      </c>
      <c r="H134" s="46"/>
      <c r="I134" s="46" t="s">
        <v>166</v>
      </c>
      <c r="J134" s="46"/>
      <c r="K134" s="46" t="s">
        <v>72</v>
      </c>
      <c r="L134" s="46"/>
      <c r="M134" s="46"/>
      <c r="N134" s="46"/>
      <c r="O134" s="46"/>
      <c r="P134" s="46"/>
      <c r="Q134" s="46"/>
      <c r="R134" s="46"/>
      <c r="S134" s="46"/>
      <c r="T134" s="46"/>
      <c r="U134" s="46"/>
      <c r="V134" s="46"/>
      <c r="W134" s="46"/>
      <c r="X134" s="46">
        <v>1</v>
      </c>
      <c r="Y134" s="46"/>
      <c r="Z134" s="46" t="s">
        <v>989</v>
      </c>
      <c r="AA134" s="61">
        <v>0.18</v>
      </c>
      <c r="AB134" s="62">
        <f>AA134/0.0052</f>
        <v>34.615384615384613</v>
      </c>
      <c r="AC134" s="63">
        <f t="shared" si="16"/>
        <v>2.6987538461538459E-2</v>
      </c>
      <c r="AD134" s="62"/>
      <c r="AE134" s="62">
        <f t="shared" si="11"/>
        <v>34.615384615384613</v>
      </c>
      <c r="AF134" s="64" t="s">
        <v>7183</v>
      </c>
      <c r="AG134" s="49">
        <v>0.56999999999999995</v>
      </c>
    </row>
    <row r="135" spans="1:33" ht="34.5" customHeight="1" x14ac:dyDescent="0.3">
      <c r="A135" s="46">
        <v>221</v>
      </c>
      <c r="B135" s="46" t="s">
        <v>990</v>
      </c>
      <c r="C135" s="46" t="s">
        <v>203</v>
      </c>
      <c r="D135" s="60">
        <v>2013</v>
      </c>
      <c r="E135" s="60"/>
      <c r="F135" s="46" t="s">
        <v>226</v>
      </c>
      <c r="G135" s="46" t="s">
        <v>1</v>
      </c>
      <c r="H135" s="46"/>
      <c r="I135" s="46" t="s">
        <v>169</v>
      </c>
      <c r="J135" s="46" t="s">
        <v>244</v>
      </c>
      <c r="K135" s="46" t="s">
        <v>68</v>
      </c>
      <c r="L135" s="46"/>
      <c r="M135" s="46"/>
      <c r="N135" s="46"/>
      <c r="O135" s="46"/>
      <c r="P135" s="46"/>
      <c r="Q135" s="46">
        <v>1</v>
      </c>
      <c r="R135" s="46"/>
      <c r="S135" s="46"/>
      <c r="T135" s="46"/>
      <c r="U135" s="46"/>
      <c r="V135" s="46"/>
      <c r="W135" s="46"/>
      <c r="X135" s="46"/>
      <c r="Y135" s="46"/>
      <c r="Z135" s="46" t="s">
        <v>991</v>
      </c>
      <c r="AA135" s="61">
        <v>0.04</v>
      </c>
      <c r="AB135" s="62">
        <f>AA135/0.0052</f>
        <v>7.6923076923076925</v>
      </c>
      <c r="AC135" s="63">
        <f t="shared" si="16"/>
        <v>5.9972307692307695E-3</v>
      </c>
      <c r="AD135" s="62"/>
      <c r="AE135" s="62">
        <f t="shared" si="11"/>
        <v>7.6923076923076925</v>
      </c>
      <c r="AF135" s="64" t="s">
        <v>992</v>
      </c>
      <c r="AG135" s="49">
        <v>0.3</v>
      </c>
    </row>
    <row r="136" spans="1:33" ht="34.5" customHeight="1" x14ac:dyDescent="0.3">
      <c r="A136" s="46">
        <v>222</v>
      </c>
      <c r="B136" s="46" t="s">
        <v>993</v>
      </c>
      <c r="C136" s="46" t="s">
        <v>43</v>
      </c>
      <c r="D136" s="60">
        <v>2005</v>
      </c>
      <c r="E136" s="60"/>
      <c r="F136" s="46" t="s">
        <v>226</v>
      </c>
      <c r="G136" s="46" t="s">
        <v>3</v>
      </c>
      <c r="H136" s="46"/>
      <c r="I136" s="46" t="s">
        <v>157</v>
      </c>
      <c r="J136" s="46"/>
      <c r="K136" s="46" t="s">
        <v>68</v>
      </c>
      <c r="L136" s="46"/>
      <c r="M136" s="46"/>
      <c r="N136" s="46"/>
      <c r="O136" s="46"/>
      <c r="P136" s="46"/>
      <c r="Q136" s="46"/>
      <c r="R136" s="46"/>
      <c r="S136" s="46"/>
      <c r="T136" s="46"/>
      <c r="U136" s="46"/>
      <c r="V136" s="46"/>
      <c r="W136" s="46"/>
      <c r="X136" s="46"/>
      <c r="Y136" s="46"/>
      <c r="Z136" s="46"/>
      <c r="AA136" s="61"/>
      <c r="AB136" s="62"/>
      <c r="AC136" s="63"/>
      <c r="AD136" s="62"/>
      <c r="AE136" s="62">
        <f t="shared" si="11"/>
        <v>0</v>
      </c>
      <c r="AF136" s="64" t="s">
        <v>994</v>
      </c>
      <c r="AG136" s="49">
        <v>0.56999999999999995</v>
      </c>
    </row>
    <row r="137" spans="1:33" ht="34.5" customHeight="1" x14ac:dyDescent="0.3">
      <c r="A137" s="46">
        <v>223</v>
      </c>
      <c r="B137" s="46" t="s">
        <v>995</v>
      </c>
      <c r="C137" s="46" t="s">
        <v>321</v>
      </c>
      <c r="D137" s="60">
        <v>2013</v>
      </c>
      <c r="E137" s="60"/>
      <c r="F137" s="46" t="s">
        <v>285</v>
      </c>
      <c r="G137" s="46" t="s">
        <v>1</v>
      </c>
      <c r="H137" s="46"/>
      <c r="I137" s="46" t="s">
        <v>707</v>
      </c>
      <c r="J137" s="46"/>
      <c r="K137" s="46" t="s">
        <v>68</v>
      </c>
      <c r="L137" s="46"/>
      <c r="M137" s="46"/>
      <c r="N137" s="46"/>
      <c r="O137" s="46"/>
      <c r="P137" s="46"/>
      <c r="Q137" s="46"/>
      <c r="R137" s="46">
        <v>1</v>
      </c>
      <c r="S137" s="46"/>
      <c r="T137" s="46"/>
      <c r="U137" s="46"/>
      <c r="V137" s="46"/>
      <c r="W137" s="46"/>
      <c r="X137" s="46"/>
      <c r="Y137" s="46"/>
      <c r="Z137" s="46" t="s">
        <v>996</v>
      </c>
      <c r="AA137" s="61">
        <f>AB137*0.0052</f>
        <v>3.1199999999999999E-3</v>
      </c>
      <c r="AB137" s="62">
        <v>0.6</v>
      </c>
      <c r="AC137" s="63">
        <f t="shared" ref="AC137:AC146" si="17">AB137*H2dens*HoursInYear/10^6</f>
        <v>4.6778400000000001E-4</v>
      </c>
      <c r="AD137" s="62"/>
      <c r="AE137" s="62">
        <f t="shared" si="11"/>
        <v>0.6</v>
      </c>
      <c r="AF137" s="64" t="s">
        <v>997</v>
      </c>
      <c r="AG137" s="49">
        <v>0.56999999999999995</v>
      </c>
    </row>
    <row r="138" spans="1:33" ht="34.5" customHeight="1" x14ac:dyDescent="0.3">
      <c r="A138" s="46">
        <v>225</v>
      </c>
      <c r="B138" s="46" t="s">
        <v>998</v>
      </c>
      <c r="C138" s="46" t="s">
        <v>203</v>
      </c>
      <c r="D138" s="60">
        <v>2021</v>
      </c>
      <c r="E138" s="60"/>
      <c r="F138" s="46" t="s">
        <v>226</v>
      </c>
      <c r="G138" s="46" t="s">
        <v>1</v>
      </c>
      <c r="H138" s="46"/>
      <c r="I138" s="46" t="s">
        <v>166</v>
      </c>
      <c r="J138" s="46"/>
      <c r="K138" s="46" t="s">
        <v>68</v>
      </c>
      <c r="L138" s="46">
        <v>1</v>
      </c>
      <c r="M138" s="46"/>
      <c r="N138" s="46"/>
      <c r="O138" s="46"/>
      <c r="P138" s="46"/>
      <c r="Q138" s="46"/>
      <c r="R138" s="46"/>
      <c r="S138" s="46"/>
      <c r="T138" s="46"/>
      <c r="U138" s="46"/>
      <c r="V138" s="46"/>
      <c r="W138" s="46"/>
      <c r="X138" s="46"/>
      <c r="Y138" s="46"/>
      <c r="Z138" s="61" t="s">
        <v>711</v>
      </c>
      <c r="AA138" s="61">
        <v>10</v>
      </c>
      <c r="AB138" s="62">
        <f>AA138/0.0052</f>
        <v>1923.0769230769231</v>
      </c>
      <c r="AC138" s="63">
        <f t="shared" si="17"/>
        <v>1.4993076923076922</v>
      </c>
      <c r="AD138" s="62"/>
      <c r="AE138" s="62">
        <f t="shared" si="11"/>
        <v>1923.0769230769231</v>
      </c>
      <c r="AF138" s="64" t="s">
        <v>999</v>
      </c>
      <c r="AG138" s="49">
        <v>0.56999999999999995</v>
      </c>
    </row>
    <row r="139" spans="1:33" ht="34.5" customHeight="1" x14ac:dyDescent="0.3">
      <c r="A139" s="46">
        <v>227</v>
      </c>
      <c r="B139" s="46" t="s">
        <v>1000</v>
      </c>
      <c r="C139" s="46" t="s">
        <v>203</v>
      </c>
      <c r="D139" s="60">
        <v>2017</v>
      </c>
      <c r="E139" s="60"/>
      <c r="F139" s="46" t="s">
        <v>226</v>
      </c>
      <c r="G139" s="46" t="s">
        <v>1</v>
      </c>
      <c r="H139" s="46"/>
      <c r="I139" s="46" t="s">
        <v>166</v>
      </c>
      <c r="J139" s="46"/>
      <c r="K139" s="46" t="s">
        <v>68</v>
      </c>
      <c r="L139" s="46">
        <v>1</v>
      </c>
      <c r="M139" s="46"/>
      <c r="N139" s="46"/>
      <c r="O139" s="46"/>
      <c r="P139" s="46"/>
      <c r="Q139" s="46"/>
      <c r="R139" s="46"/>
      <c r="S139" s="46"/>
      <c r="T139" s="46"/>
      <c r="U139" s="46"/>
      <c r="V139" s="46"/>
      <c r="W139" s="46"/>
      <c r="X139" s="46"/>
      <c r="Y139" s="46"/>
      <c r="Z139" s="46" t="s">
        <v>1001</v>
      </c>
      <c r="AA139" s="61">
        <v>5</v>
      </c>
      <c r="AB139" s="62">
        <f>AA139/0.0052</f>
        <v>961.53846153846155</v>
      </c>
      <c r="AC139" s="63">
        <f t="shared" si="17"/>
        <v>0.74965384615384612</v>
      </c>
      <c r="AD139" s="62"/>
      <c r="AE139" s="62">
        <f t="shared" si="11"/>
        <v>961.53846153846155</v>
      </c>
      <c r="AF139" s="64" t="s">
        <v>1002</v>
      </c>
      <c r="AG139" s="49">
        <v>0.56999999999999995</v>
      </c>
    </row>
    <row r="140" spans="1:33" ht="34.5" customHeight="1" x14ac:dyDescent="0.3">
      <c r="A140" s="46">
        <v>235</v>
      </c>
      <c r="B140" s="46" t="s">
        <v>1003</v>
      </c>
      <c r="C140" s="46" t="s">
        <v>203</v>
      </c>
      <c r="D140" s="60">
        <v>2012</v>
      </c>
      <c r="E140" s="60"/>
      <c r="F140" s="46" t="s">
        <v>226</v>
      </c>
      <c r="G140" s="46" t="s">
        <v>3</v>
      </c>
      <c r="H140" s="46"/>
      <c r="I140" s="46" t="s">
        <v>707</v>
      </c>
      <c r="J140" s="46"/>
      <c r="K140" s="46" t="s">
        <v>68</v>
      </c>
      <c r="L140" s="46"/>
      <c r="M140" s="46"/>
      <c r="N140" s="46"/>
      <c r="O140" s="46"/>
      <c r="P140" s="46"/>
      <c r="Q140" s="46">
        <v>1</v>
      </c>
      <c r="R140" s="46">
        <v>1</v>
      </c>
      <c r="S140" s="46"/>
      <c r="T140" s="46">
        <v>1</v>
      </c>
      <c r="U140" s="46"/>
      <c r="V140" s="46"/>
      <c r="W140" s="46"/>
      <c r="X140" s="46"/>
      <c r="Y140" s="46"/>
      <c r="Z140" s="46" t="s">
        <v>1004</v>
      </c>
      <c r="AA140" s="61">
        <v>0.16500000000000001</v>
      </c>
      <c r="AB140" s="62">
        <f>AA140/0.0046</f>
        <v>35.869565217391305</v>
      </c>
      <c r="AC140" s="63">
        <f t="shared" si="17"/>
        <v>2.7965347826086954E-2</v>
      </c>
      <c r="AD140" s="62"/>
      <c r="AE140" s="62">
        <f t="shared" si="11"/>
        <v>35.869565217391305</v>
      </c>
      <c r="AF140" s="64" t="s">
        <v>7184</v>
      </c>
      <c r="AG140" s="49">
        <v>0.56999999999999995</v>
      </c>
    </row>
    <row r="141" spans="1:33" ht="34.5" customHeight="1" x14ac:dyDescent="0.3">
      <c r="A141" s="46">
        <v>236</v>
      </c>
      <c r="B141" s="46" t="s">
        <v>1005</v>
      </c>
      <c r="C141" s="46" t="s">
        <v>203</v>
      </c>
      <c r="D141" s="60">
        <v>2012</v>
      </c>
      <c r="E141" s="60"/>
      <c r="F141" s="46" t="s">
        <v>226</v>
      </c>
      <c r="G141" s="46" t="s">
        <v>3</v>
      </c>
      <c r="H141" s="46"/>
      <c r="I141" s="46" t="s">
        <v>707</v>
      </c>
      <c r="J141" s="46"/>
      <c r="K141" s="46" t="s">
        <v>68</v>
      </c>
      <c r="L141" s="46"/>
      <c r="M141" s="46"/>
      <c r="N141" s="46"/>
      <c r="O141" s="46"/>
      <c r="P141" s="46"/>
      <c r="Q141" s="46"/>
      <c r="R141" s="46">
        <v>1</v>
      </c>
      <c r="S141" s="46"/>
      <c r="T141" s="46"/>
      <c r="U141" s="46"/>
      <c r="V141" s="46"/>
      <c r="W141" s="46"/>
      <c r="X141" s="46"/>
      <c r="Y141" s="46"/>
      <c r="Z141" s="46" t="s">
        <v>1006</v>
      </c>
      <c r="AA141" s="61">
        <v>0.14000000000000001</v>
      </c>
      <c r="AB141" s="62">
        <f>AA141/0.0046</f>
        <v>30.434782608695656</v>
      </c>
      <c r="AC141" s="63">
        <f t="shared" si="17"/>
        <v>2.3728173913043479E-2</v>
      </c>
      <c r="AD141" s="62"/>
      <c r="AE141" s="62">
        <f t="shared" si="11"/>
        <v>30.434782608695656</v>
      </c>
      <c r="AF141" s="64" t="s">
        <v>1007</v>
      </c>
      <c r="AG141" s="49">
        <v>0.56999999999999995</v>
      </c>
    </row>
    <row r="142" spans="1:33" ht="34.5" customHeight="1" x14ac:dyDescent="0.3">
      <c r="A142" s="46">
        <v>239</v>
      </c>
      <c r="B142" s="46" t="s">
        <v>1008</v>
      </c>
      <c r="C142" s="46" t="s">
        <v>203</v>
      </c>
      <c r="D142" s="60">
        <v>2012</v>
      </c>
      <c r="E142" s="60"/>
      <c r="F142" s="46" t="s">
        <v>226</v>
      </c>
      <c r="G142" s="46" t="s">
        <v>3</v>
      </c>
      <c r="H142" s="46"/>
      <c r="I142" s="46" t="s">
        <v>707</v>
      </c>
      <c r="J142" s="46"/>
      <c r="K142" s="46" t="s">
        <v>68</v>
      </c>
      <c r="L142" s="46"/>
      <c r="M142" s="46"/>
      <c r="N142" s="46"/>
      <c r="O142" s="46"/>
      <c r="P142" s="46"/>
      <c r="Q142" s="46">
        <v>1</v>
      </c>
      <c r="R142" s="46"/>
      <c r="S142" s="46"/>
      <c r="T142" s="46"/>
      <c r="U142" s="46"/>
      <c r="V142" s="46"/>
      <c r="W142" s="46"/>
      <c r="X142" s="46"/>
      <c r="Y142" s="46"/>
      <c r="Z142" s="46" t="s">
        <v>1009</v>
      </c>
      <c r="AA142" s="61">
        <v>0.12</v>
      </c>
      <c r="AB142" s="62">
        <f>IF(OR(G142="ALK",G142="PEM",G142="SOEC",G142="Other Electrolysis"),
AA142/VLOOKUP(G142,ElectrolysisConvF,3,FALSE),
AC142*10^6/(H2dens*HoursInYear))</f>
        <v>26.086956521739129</v>
      </c>
      <c r="AC142" s="63">
        <f t="shared" si="17"/>
        <v>2.0338434782608696E-2</v>
      </c>
      <c r="AD142" s="62"/>
      <c r="AE142" s="62">
        <f t="shared" si="11"/>
        <v>26.086956521739129</v>
      </c>
      <c r="AF142" s="64"/>
      <c r="AG142" s="49">
        <v>0.56999999999999995</v>
      </c>
    </row>
    <row r="143" spans="1:33" ht="34.5" customHeight="1" x14ac:dyDescent="0.3">
      <c r="A143" s="46">
        <v>240</v>
      </c>
      <c r="B143" s="46" t="s">
        <v>1010</v>
      </c>
      <c r="C143" s="46" t="s">
        <v>203</v>
      </c>
      <c r="D143" s="60">
        <v>2012</v>
      </c>
      <c r="E143" s="60"/>
      <c r="F143" s="46" t="s">
        <v>226</v>
      </c>
      <c r="G143" s="46" t="s">
        <v>159</v>
      </c>
      <c r="H143" s="46" t="s">
        <v>592</v>
      </c>
      <c r="I143" s="46" t="s">
        <v>707</v>
      </c>
      <c r="J143" s="46"/>
      <c r="K143" s="46" t="s">
        <v>68</v>
      </c>
      <c r="L143" s="46"/>
      <c r="M143" s="46"/>
      <c r="N143" s="46"/>
      <c r="O143" s="46"/>
      <c r="P143" s="46"/>
      <c r="Q143" s="46"/>
      <c r="R143" s="46"/>
      <c r="S143" s="46">
        <v>1</v>
      </c>
      <c r="T143" s="46"/>
      <c r="U143" s="46"/>
      <c r="V143" s="46"/>
      <c r="W143" s="46"/>
      <c r="X143" s="46"/>
      <c r="Y143" s="46"/>
      <c r="Z143" s="46" t="s">
        <v>1011</v>
      </c>
      <c r="AA143" s="61">
        <f>AB143*0.0045</f>
        <v>0.10799999999999998</v>
      </c>
      <c r="AB143" s="62">
        <v>24</v>
      </c>
      <c r="AC143" s="63">
        <f t="shared" si="17"/>
        <v>1.871136E-2</v>
      </c>
      <c r="AD143" s="62"/>
      <c r="AE143" s="62">
        <f t="shared" si="11"/>
        <v>24</v>
      </c>
      <c r="AF143" s="64" t="s">
        <v>1012</v>
      </c>
      <c r="AG143" s="49">
        <v>0.56999999999999995</v>
      </c>
    </row>
    <row r="144" spans="1:33" ht="34.5" customHeight="1" x14ac:dyDescent="0.3">
      <c r="A144" s="46">
        <v>241</v>
      </c>
      <c r="B144" s="46" t="s">
        <v>1013</v>
      </c>
      <c r="C144" s="46" t="s">
        <v>58</v>
      </c>
      <c r="D144" s="60">
        <v>2012</v>
      </c>
      <c r="E144" s="60"/>
      <c r="F144" s="46" t="s">
        <v>226</v>
      </c>
      <c r="G144" s="46" t="s">
        <v>159</v>
      </c>
      <c r="H144" s="46" t="s">
        <v>592</v>
      </c>
      <c r="I144" s="46" t="s">
        <v>707</v>
      </c>
      <c r="J144" s="46"/>
      <c r="K144" s="46" t="s">
        <v>68</v>
      </c>
      <c r="L144" s="46"/>
      <c r="M144" s="46"/>
      <c r="N144" s="46"/>
      <c r="O144" s="46"/>
      <c r="P144" s="46"/>
      <c r="Q144" s="46"/>
      <c r="R144" s="46">
        <v>1</v>
      </c>
      <c r="S144" s="46"/>
      <c r="T144" s="46"/>
      <c r="U144" s="46"/>
      <c r="V144" s="46"/>
      <c r="W144" s="46"/>
      <c r="X144" s="46"/>
      <c r="Y144" s="46"/>
      <c r="Z144" s="46" t="s">
        <v>1014</v>
      </c>
      <c r="AA144" s="61">
        <v>0.1</v>
      </c>
      <c r="AB144" s="62">
        <f>AA144/0.0045</f>
        <v>22.222222222222225</v>
      </c>
      <c r="AC144" s="63">
        <f t="shared" si="17"/>
        <v>1.7325333333333335E-2</v>
      </c>
      <c r="AD144" s="62"/>
      <c r="AE144" s="62">
        <f t="shared" si="11"/>
        <v>22.222222222222225</v>
      </c>
      <c r="AF144" s="64" t="s">
        <v>1015</v>
      </c>
      <c r="AG144" s="49">
        <v>0.56999999999999995</v>
      </c>
    </row>
    <row r="145" spans="1:33" ht="34.5" customHeight="1" x14ac:dyDescent="0.3">
      <c r="A145" s="46">
        <v>246</v>
      </c>
      <c r="B145" s="46" t="s">
        <v>1016</v>
      </c>
      <c r="C145" s="46" t="s">
        <v>46</v>
      </c>
      <c r="D145" s="60">
        <v>2012</v>
      </c>
      <c r="E145" s="60"/>
      <c r="F145" s="46" t="s">
        <v>226</v>
      </c>
      <c r="G145" s="46" t="s">
        <v>3</v>
      </c>
      <c r="H145" s="46"/>
      <c r="I145" s="46" t="s">
        <v>707</v>
      </c>
      <c r="J145" s="46"/>
      <c r="K145" s="46" t="s">
        <v>68</v>
      </c>
      <c r="L145" s="46"/>
      <c r="M145" s="46"/>
      <c r="N145" s="46"/>
      <c r="O145" s="46"/>
      <c r="P145" s="46"/>
      <c r="Q145" s="46">
        <v>1</v>
      </c>
      <c r="R145" s="46">
        <v>1</v>
      </c>
      <c r="S145" s="46">
        <v>1</v>
      </c>
      <c r="T145" s="46"/>
      <c r="U145" s="46"/>
      <c r="V145" s="46"/>
      <c r="W145" s="46"/>
      <c r="X145" s="46"/>
      <c r="Y145" s="46"/>
      <c r="Z145" s="46" t="s">
        <v>1017</v>
      </c>
      <c r="AA145" s="61">
        <v>0.03</v>
      </c>
      <c r="AB145" s="62">
        <f>AA145/0.0046</f>
        <v>6.5217391304347823</v>
      </c>
      <c r="AC145" s="63">
        <f t="shared" si="17"/>
        <v>5.0846086956521739E-3</v>
      </c>
      <c r="AD145" s="62"/>
      <c r="AE145" s="62">
        <f t="shared" si="11"/>
        <v>6.5217391304347823</v>
      </c>
      <c r="AF145" s="64" t="s">
        <v>1018</v>
      </c>
      <c r="AG145" s="49">
        <v>0.56999999999999995</v>
      </c>
    </row>
    <row r="146" spans="1:33" ht="34.5" customHeight="1" x14ac:dyDescent="0.3">
      <c r="A146" s="46">
        <v>249</v>
      </c>
      <c r="B146" s="46" t="s">
        <v>1019</v>
      </c>
      <c r="C146" s="46" t="s">
        <v>44</v>
      </c>
      <c r="D146" s="60">
        <v>2012</v>
      </c>
      <c r="E146" s="60"/>
      <c r="F146" s="46" t="s">
        <v>285</v>
      </c>
      <c r="G146" s="46" t="s">
        <v>1</v>
      </c>
      <c r="H146" s="46"/>
      <c r="I146" s="46" t="s">
        <v>157</v>
      </c>
      <c r="J146" s="46"/>
      <c r="K146" s="46" t="s">
        <v>68</v>
      </c>
      <c r="L146" s="46"/>
      <c r="M146" s="46"/>
      <c r="N146" s="46"/>
      <c r="O146" s="46"/>
      <c r="P146" s="46"/>
      <c r="Q146" s="46"/>
      <c r="R146" s="46">
        <v>1</v>
      </c>
      <c r="S146" s="46"/>
      <c r="T146" s="46"/>
      <c r="U146" s="46">
        <v>1</v>
      </c>
      <c r="V146" s="46"/>
      <c r="W146" s="46"/>
      <c r="X146" s="46"/>
      <c r="Y146" s="46"/>
      <c r="Z146" s="46" t="s">
        <v>1020</v>
      </c>
      <c r="AA146" s="61">
        <f>AB146*0.0052</f>
        <v>8.8399999999999989E-3</v>
      </c>
      <c r="AB146" s="62">
        <v>1.7</v>
      </c>
      <c r="AC146" s="63">
        <f t="shared" si="17"/>
        <v>1.3253879999999998E-3</v>
      </c>
      <c r="AD146" s="62"/>
      <c r="AE146" s="62">
        <f t="shared" si="11"/>
        <v>1.7</v>
      </c>
      <c r="AF146" s="64" t="s">
        <v>1021</v>
      </c>
      <c r="AG146" s="49">
        <v>0.56999999999999995</v>
      </c>
    </row>
    <row r="147" spans="1:33" ht="34.5" customHeight="1" x14ac:dyDescent="0.3">
      <c r="A147" s="46">
        <v>250</v>
      </c>
      <c r="B147" s="46" t="s">
        <v>1022</v>
      </c>
      <c r="C147" s="46" t="s">
        <v>66</v>
      </c>
      <c r="D147" s="60">
        <v>2012</v>
      </c>
      <c r="E147" s="60"/>
      <c r="F147" s="46" t="s">
        <v>285</v>
      </c>
      <c r="G147" s="46" t="s">
        <v>159</v>
      </c>
      <c r="H147" s="46" t="s">
        <v>592</v>
      </c>
      <c r="I147" s="46" t="s">
        <v>707</v>
      </c>
      <c r="J147" s="46"/>
      <c r="K147" s="46" t="s">
        <v>72</v>
      </c>
      <c r="L147" s="46"/>
      <c r="M147" s="46"/>
      <c r="N147" s="46"/>
      <c r="O147" s="46"/>
      <c r="P147" s="46"/>
      <c r="Q147" s="46"/>
      <c r="R147" s="46"/>
      <c r="S147" s="46"/>
      <c r="T147" s="46"/>
      <c r="U147" s="46"/>
      <c r="V147" s="46"/>
      <c r="W147" s="46"/>
      <c r="X147" s="46">
        <v>1</v>
      </c>
      <c r="Y147" s="46"/>
      <c r="Z147" s="46"/>
      <c r="AA147" s="61"/>
      <c r="AB147" s="62"/>
      <c r="AC147" s="63"/>
      <c r="AD147" s="62"/>
      <c r="AE147" s="62">
        <f t="shared" si="11"/>
        <v>0</v>
      </c>
      <c r="AF147" s="64" t="s">
        <v>1023</v>
      </c>
      <c r="AG147" s="49">
        <v>0.56999999999999995</v>
      </c>
    </row>
    <row r="148" spans="1:33" ht="34.5" customHeight="1" x14ac:dyDescent="0.3">
      <c r="A148" s="46">
        <v>251</v>
      </c>
      <c r="B148" s="46" t="s">
        <v>1024</v>
      </c>
      <c r="C148" s="46" t="s">
        <v>54</v>
      </c>
      <c r="D148" s="60">
        <v>2012</v>
      </c>
      <c r="E148" s="60"/>
      <c r="F148" s="46" t="s">
        <v>226</v>
      </c>
      <c r="G148" s="46" t="s">
        <v>159</v>
      </c>
      <c r="H148" s="46" t="s">
        <v>592</v>
      </c>
      <c r="I148" s="46" t="s">
        <v>169</v>
      </c>
      <c r="J148" s="46" t="s">
        <v>248</v>
      </c>
      <c r="K148" s="46" t="s">
        <v>140</v>
      </c>
      <c r="L148" s="46"/>
      <c r="M148" s="46"/>
      <c r="N148" s="46">
        <v>1</v>
      </c>
      <c r="O148" s="46"/>
      <c r="P148" s="46"/>
      <c r="Q148" s="46"/>
      <c r="R148" s="46"/>
      <c r="S148" s="46"/>
      <c r="T148" s="46"/>
      <c r="U148" s="46"/>
      <c r="V148" s="46"/>
      <c r="W148" s="46"/>
      <c r="X148" s="46"/>
      <c r="Y148" s="46"/>
      <c r="Z148" s="46" t="s">
        <v>1025</v>
      </c>
      <c r="AA148" s="61">
        <v>6</v>
      </c>
      <c r="AB148" s="62">
        <v>1200</v>
      </c>
      <c r="AC148" s="63">
        <f t="shared" ref="AC148:AC159" si="18">AB148*H2dens*HoursInYear/10^6</f>
        <v>0.93556799999999996</v>
      </c>
      <c r="AD148" s="62"/>
      <c r="AE148" s="62">
        <f t="shared" si="11"/>
        <v>1200</v>
      </c>
      <c r="AF148" s="64" t="s">
        <v>1026</v>
      </c>
      <c r="AG148" s="49">
        <v>0.5</v>
      </c>
    </row>
    <row r="149" spans="1:33" ht="34.5" customHeight="1" x14ac:dyDescent="0.3">
      <c r="A149" s="46">
        <v>254</v>
      </c>
      <c r="B149" s="46" t="s">
        <v>1027</v>
      </c>
      <c r="C149" s="46" t="s">
        <v>203</v>
      </c>
      <c r="D149" s="60">
        <v>2011</v>
      </c>
      <c r="E149" s="60"/>
      <c r="F149" s="46" t="s">
        <v>226</v>
      </c>
      <c r="G149" s="46" t="s">
        <v>3</v>
      </c>
      <c r="H149" s="46"/>
      <c r="I149" s="46" t="s">
        <v>707</v>
      </c>
      <c r="J149" s="46"/>
      <c r="K149" s="46" t="s">
        <v>68</v>
      </c>
      <c r="L149" s="46"/>
      <c r="M149" s="46"/>
      <c r="N149" s="46"/>
      <c r="O149" s="46"/>
      <c r="P149" s="46"/>
      <c r="Q149" s="46">
        <v>1</v>
      </c>
      <c r="R149" s="46"/>
      <c r="S149" s="46"/>
      <c r="T149" s="46"/>
      <c r="U149" s="46"/>
      <c r="V149" s="46"/>
      <c r="W149" s="46"/>
      <c r="X149" s="46"/>
      <c r="Y149" s="46"/>
      <c r="Z149" s="46" t="s">
        <v>979</v>
      </c>
      <c r="AA149" s="61">
        <v>0.6</v>
      </c>
      <c r="AB149" s="62">
        <v>120</v>
      </c>
      <c r="AC149" s="63">
        <f t="shared" si="18"/>
        <v>9.3556800000000009E-2</v>
      </c>
      <c r="AD149" s="62"/>
      <c r="AE149" s="62">
        <f t="shared" si="11"/>
        <v>120</v>
      </c>
      <c r="AF149" s="64" t="s">
        <v>1028</v>
      </c>
      <c r="AG149" s="49">
        <v>0.56999999999999995</v>
      </c>
    </row>
    <row r="150" spans="1:33" ht="34.5" customHeight="1" x14ac:dyDescent="0.3">
      <c r="A150" s="46">
        <v>258</v>
      </c>
      <c r="B150" s="46" t="s">
        <v>1029</v>
      </c>
      <c r="C150" s="46" t="s">
        <v>203</v>
      </c>
      <c r="D150" s="60">
        <v>2011</v>
      </c>
      <c r="E150" s="60"/>
      <c r="F150" s="46" t="s">
        <v>226</v>
      </c>
      <c r="G150" s="46" t="s">
        <v>3</v>
      </c>
      <c r="H150" s="46"/>
      <c r="I150" s="46" t="s">
        <v>707</v>
      </c>
      <c r="J150" s="46"/>
      <c r="K150" s="46" t="s">
        <v>68</v>
      </c>
      <c r="L150" s="46"/>
      <c r="M150" s="46"/>
      <c r="N150" s="46"/>
      <c r="O150" s="46"/>
      <c r="P150" s="46"/>
      <c r="Q150" s="46">
        <v>1</v>
      </c>
      <c r="R150" s="46">
        <v>1</v>
      </c>
      <c r="S150" s="46">
        <v>1</v>
      </c>
      <c r="T150" s="46"/>
      <c r="U150" s="46">
        <v>1</v>
      </c>
      <c r="V150" s="46"/>
      <c r="W150" s="46"/>
      <c r="X150" s="46"/>
      <c r="Y150" s="46"/>
      <c r="Z150" s="46" t="s">
        <v>1030</v>
      </c>
      <c r="AA150" s="61">
        <v>0.5</v>
      </c>
      <c r="AB150" s="62">
        <v>120</v>
      </c>
      <c r="AC150" s="63">
        <f t="shared" si="18"/>
        <v>9.3556800000000009E-2</v>
      </c>
      <c r="AD150" s="62"/>
      <c r="AE150" s="62">
        <f t="shared" si="11"/>
        <v>120</v>
      </c>
      <c r="AF150" s="64" t="s">
        <v>1031</v>
      </c>
      <c r="AG150" s="49">
        <v>0.56999999999999995</v>
      </c>
    </row>
    <row r="151" spans="1:33" ht="34.5" customHeight="1" x14ac:dyDescent="0.3">
      <c r="A151" s="46">
        <v>259</v>
      </c>
      <c r="B151" s="46" t="s">
        <v>1032</v>
      </c>
      <c r="C151" s="46" t="s">
        <v>203</v>
      </c>
      <c r="D151" s="60">
        <v>2011</v>
      </c>
      <c r="E151" s="60"/>
      <c r="F151" s="46" t="s">
        <v>226</v>
      </c>
      <c r="G151" s="46" t="s">
        <v>3</v>
      </c>
      <c r="H151" s="46"/>
      <c r="I151" s="46" t="s">
        <v>707</v>
      </c>
      <c r="J151" s="46"/>
      <c r="K151" s="46" t="s">
        <v>68</v>
      </c>
      <c r="L151" s="46"/>
      <c r="M151" s="46"/>
      <c r="N151" s="46"/>
      <c r="O151" s="46"/>
      <c r="P151" s="46"/>
      <c r="Q151" s="46">
        <v>1</v>
      </c>
      <c r="R151" s="46"/>
      <c r="S151" s="46"/>
      <c r="T151" s="46"/>
      <c r="U151" s="46"/>
      <c r="V151" s="46"/>
      <c r="W151" s="46"/>
      <c r="X151" s="46"/>
      <c r="Y151" s="46"/>
      <c r="Z151" s="46" t="s">
        <v>1033</v>
      </c>
      <c r="AA151" s="61">
        <v>0.3</v>
      </c>
      <c r="AB151" s="62">
        <f>IF(OR(G151="ALK",G151="PEM",G151="SOEC",G151="Other Electrolysis"),
AA151/VLOOKUP(G151,ElectrolysisConvF,3,FALSE),
AC151*10^6/(H2dens*HoursInYear))</f>
        <v>65.217391304347828</v>
      </c>
      <c r="AC151" s="63">
        <f t="shared" si="18"/>
        <v>5.0846086956521735E-2</v>
      </c>
      <c r="AD151" s="62"/>
      <c r="AE151" s="62">
        <f t="shared" si="11"/>
        <v>65.217391304347828</v>
      </c>
      <c r="AF151" s="64" t="s">
        <v>1034</v>
      </c>
      <c r="AG151" s="49">
        <v>0.56999999999999995</v>
      </c>
    </row>
    <row r="152" spans="1:33" ht="34.5" customHeight="1" x14ac:dyDescent="0.3">
      <c r="A152" s="46">
        <v>270</v>
      </c>
      <c r="B152" s="46" t="s">
        <v>1035</v>
      </c>
      <c r="C152" s="46" t="s">
        <v>37</v>
      </c>
      <c r="D152" s="60">
        <v>2011</v>
      </c>
      <c r="E152" s="60"/>
      <c r="F152" s="46" t="s">
        <v>226</v>
      </c>
      <c r="G152" s="46" t="s">
        <v>3</v>
      </c>
      <c r="H152" s="46"/>
      <c r="I152" s="46" t="s">
        <v>707</v>
      </c>
      <c r="J152" s="46"/>
      <c r="K152" s="46" t="s">
        <v>68</v>
      </c>
      <c r="L152" s="46"/>
      <c r="M152" s="46"/>
      <c r="N152" s="46"/>
      <c r="O152" s="46"/>
      <c r="P152" s="46"/>
      <c r="Q152" s="46"/>
      <c r="R152" s="46">
        <v>1</v>
      </c>
      <c r="S152" s="46"/>
      <c r="T152" s="46"/>
      <c r="U152" s="46"/>
      <c r="V152" s="46"/>
      <c r="W152" s="46"/>
      <c r="X152" s="46"/>
      <c r="Y152" s="46"/>
      <c r="Z152" s="46" t="s">
        <v>1036</v>
      </c>
      <c r="AA152" s="61">
        <f>AB152*0.0046</f>
        <v>0.1242</v>
      </c>
      <c r="AB152" s="62">
        <v>27</v>
      </c>
      <c r="AC152" s="63">
        <f t="shared" si="18"/>
        <v>2.1050279999999998E-2</v>
      </c>
      <c r="AD152" s="62"/>
      <c r="AE152" s="62">
        <f t="shared" si="11"/>
        <v>27</v>
      </c>
      <c r="AF152" s="64" t="s">
        <v>1037</v>
      </c>
      <c r="AG152" s="49">
        <v>0.56999999999999995</v>
      </c>
    </row>
    <row r="153" spans="1:33" ht="34.5" customHeight="1" x14ac:dyDescent="0.3">
      <c r="A153" s="46">
        <v>275</v>
      </c>
      <c r="B153" s="46" t="s">
        <v>1038</v>
      </c>
      <c r="C153" s="46" t="s">
        <v>57</v>
      </c>
      <c r="D153" s="60">
        <v>2011</v>
      </c>
      <c r="E153" s="60"/>
      <c r="F153" s="46" t="s">
        <v>226</v>
      </c>
      <c r="G153" s="46" t="s">
        <v>159</v>
      </c>
      <c r="H153" s="46" t="s">
        <v>592</v>
      </c>
      <c r="I153" s="46" t="s">
        <v>707</v>
      </c>
      <c r="J153" s="46"/>
      <c r="K153" s="46" t="s">
        <v>68</v>
      </c>
      <c r="L153" s="46"/>
      <c r="M153" s="46"/>
      <c r="N153" s="46"/>
      <c r="O153" s="46"/>
      <c r="P153" s="46"/>
      <c r="Q153" s="46"/>
      <c r="R153" s="46">
        <v>1</v>
      </c>
      <c r="S153" s="46"/>
      <c r="T153" s="46"/>
      <c r="U153" s="46"/>
      <c r="V153" s="46"/>
      <c r="W153" s="46"/>
      <c r="X153" s="46"/>
      <c r="Y153" s="46"/>
      <c r="Z153" s="46" t="s">
        <v>1039</v>
      </c>
      <c r="AA153" s="61">
        <f>AB153*0.0045</f>
        <v>4.9499999999999995E-2</v>
      </c>
      <c r="AB153" s="62">
        <v>11</v>
      </c>
      <c r="AC153" s="63">
        <f t="shared" si="18"/>
        <v>8.5760399999999983E-3</v>
      </c>
      <c r="AD153" s="62"/>
      <c r="AE153" s="62">
        <f t="shared" si="11"/>
        <v>11</v>
      </c>
      <c r="AF153" s="64"/>
      <c r="AG153" s="49">
        <v>0.56999999999999995</v>
      </c>
    </row>
    <row r="154" spans="1:33" ht="34.5" customHeight="1" x14ac:dyDescent="0.3">
      <c r="A154" s="46">
        <v>279</v>
      </c>
      <c r="B154" s="46" t="s">
        <v>1040</v>
      </c>
      <c r="C154" s="46" t="s">
        <v>50</v>
      </c>
      <c r="D154" s="60">
        <v>2011</v>
      </c>
      <c r="E154" s="60"/>
      <c r="F154" s="46" t="s">
        <v>226</v>
      </c>
      <c r="G154" s="46" t="s">
        <v>1</v>
      </c>
      <c r="H154" s="46"/>
      <c r="I154" s="46" t="s">
        <v>707</v>
      </c>
      <c r="J154" s="46"/>
      <c r="K154" s="46" t="s">
        <v>68</v>
      </c>
      <c r="L154" s="46"/>
      <c r="M154" s="46"/>
      <c r="N154" s="46"/>
      <c r="O154" s="46"/>
      <c r="P154" s="46"/>
      <c r="Q154" s="46"/>
      <c r="R154" s="46"/>
      <c r="S154" s="46">
        <v>1</v>
      </c>
      <c r="T154" s="46">
        <v>1</v>
      </c>
      <c r="U154" s="46"/>
      <c r="V154" s="46"/>
      <c r="W154" s="46"/>
      <c r="X154" s="46"/>
      <c r="Y154" s="46"/>
      <c r="Z154" s="46" t="s">
        <v>1041</v>
      </c>
      <c r="AA154" s="61">
        <v>0.01</v>
      </c>
      <c r="AB154" s="62">
        <f>AA154/0.0052</f>
        <v>1.9230769230769231</v>
      </c>
      <c r="AC154" s="63">
        <f t="shared" si="18"/>
        <v>1.4993076923076924E-3</v>
      </c>
      <c r="AD154" s="62"/>
      <c r="AE154" s="62">
        <f t="shared" si="11"/>
        <v>1.9230769230769231</v>
      </c>
      <c r="AF154" s="64" t="s">
        <v>1042</v>
      </c>
      <c r="AG154" s="49">
        <v>0.56999999999999995</v>
      </c>
    </row>
    <row r="155" spans="1:33" ht="34.5" customHeight="1" x14ac:dyDescent="0.3">
      <c r="A155" s="46">
        <v>282</v>
      </c>
      <c r="B155" s="46" t="s">
        <v>1043</v>
      </c>
      <c r="C155" s="46" t="s">
        <v>37</v>
      </c>
      <c r="D155" s="60">
        <v>2010</v>
      </c>
      <c r="E155" s="60"/>
      <c r="F155" s="46" t="s">
        <v>226</v>
      </c>
      <c r="G155" s="46" t="s">
        <v>3</v>
      </c>
      <c r="H155" s="46"/>
      <c r="I155" s="46" t="s">
        <v>707</v>
      </c>
      <c r="J155" s="46"/>
      <c r="K155" s="46" t="s">
        <v>68</v>
      </c>
      <c r="L155" s="46"/>
      <c r="M155" s="46"/>
      <c r="N155" s="46"/>
      <c r="O155" s="46"/>
      <c r="P155" s="46"/>
      <c r="Q155" s="46">
        <v>1</v>
      </c>
      <c r="R155" s="46">
        <v>1</v>
      </c>
      <c r="S155" s="46"/>
      <c r="T155" s="46"/>
      <c r="U155" s="46"/>
      <c r="V155" s="46"/>
      <c r="W155" s="46"/>
      <c r="X155" s="46"/>
      <c r="Y155" s="46"/>
      <c r="Z155" s="46" t="s">
        <v>1033</v>
      </c>
      <c r="AA155" s="61">
        <v>0.3</v>
      </c>
      <c r="AB155" s="62">
        <f>IF(OR(G155="ALK",G155="PEM",G155="SOEC",G155="Other Electrolysis"),
AA155/VLOOKUP(G155,ElectrolysisConvF,3,FALSE),
AC155*10^6/(H2dens*HoursInYear))</f>
        <v>65.217391304347828</v>
      </c>
      <c r="AC155" s="63">
        <f t="shared" si="18"/>
        <v>5.0846086956521735E-2</v>
      </c>
      <c r="AD155" s="62"/>
      <c r="AE155" s="62">
        <f t="shared" si="11"/>
        <v>65.217391304347828</v>
      </c>
      <c r="AF155" s="64" t="s">
        <v>1044</v>
      </c>
      <c r="AG155" s="49">
        <v>0.56999999999999995</v>
      </c>
    </row>
    <row r="156" spans="1:33" ht="34.5" customHeight="1" x14ac:dyDescent="0.3">
      <c r="A156" s="46">
        <v>286</v>
      </c>
      <c r="B156" s="46" t="s">
        <v>1045</v>
      </c>
      <c r="C156" s="46" t="s">
        <v>49</v>
      </c>
      <c r="D156" s="60">
        <v>2010</v>
      </c>
      <c r="E156" s="60"/>
      <c r="F156" s="46" t="s">
        <v>226</v>
      </c>
      <c r="G156" s="46" t="s">
        <v>3</v>
      </c>
      <c r="H156" s="46"/>
      <c r="I156" s="46" t="s">
        <v>707</v>
      </c>
      <c r="J156" s="46"/>
      <c r="K156" s="46" t="s">
        <v>68</v>
      </c>
      <c r="L156" s="46"/>
      <c r="M156" s="46"/>
      <c r="N156" s="46"/>
      <c r="O156" s="46"/>
      <c r="P156" s="46"/>
      <c r="Q156" s="46">
        <v>1</v>
      </c>
      <c r="R156" s="46">
        <v>1</v>
      </c>
      <c r="S156" s="46">
        <v>1</v>
      </c>
      <c r="T156" s="46"/>
      <c r="U156" s="46"/>
      <c r="V156" s="46"/>
      <c r="W156" s="46"/>
      <c r="X156" s="46"/>
      <c r="Y156" s="46"/>
      <c r="Z156" s="46" t="s">
        <v>1046</v>
      </c>
      <c r="AA156" s="61">
        <f>AB156*0.0046</f>
        <v>8.7400000000000005E-2</v>
      </c>
      <c r="AB156" s="62">
        <v>19</v>
      </c>
      <c r="AC156" s="63">
        <f t="shared" si="18"/>
        <v>1.4813159999999999E-2</v>
      </c>
      <c r="AD156" s="62"/>
      <c r="AE156" s="62">
        <f t="shared" si="11"/>
        <v>19</v>
      </c>
      <c r="AF156" s="64" t="s">
        <v>1047</v>
      </c>
      <c r="AG156" s="49">
        <v>0.56999999999999995</v>
      </c>
    </row>
    <row r="157" spans="1:33" ht="34.5" customHeight="1" x14ac:dyDescent="0.3">
      <c r="A157" s="46">
        <v>288</v>
      </c>
      <c r="B157" s="46" t="s">
        <v>1048</v>
      </c>
      <c r="C157" s="46" t="s">
        <v>321</v>
      </c>
      <c r="D157" s="60">
        <v>2010</v>
      </c>
      <c r="E157" s="60"/>
      <c r="F157" s="46" t="s">
        <v>285</v>
      </c>
      <c r="G157" s="46" t="s">
        <v>3</v>
      </c>
      <c r="H157" s="46"/>
      <c r="I157" s="46" t="s">
        <v>707</v>
      </c>
      <c r="J157" s="46"/>
      <c r="K157" s="46" t="s">
        <v>68</v>
      </c>
      <c r="L157" s="46"/>
      <c r="M157" s="46"/>
      <c r="N157" s="46"/>
      <c r="O157" s="46"/>
      <c r="P157" s="46"/>
      <c r="Q157" s="46">
        <v>1</v>
      </c>
      <c r="R157" s="46"/>
      <c r="S157" s="46"/>
      <c r="T157" s="46"/>
      <c r="U157" s="46"/>
      <c r="V157" s="46"/>
      <c r="W157" s="46"/>
      <c r="X157" s="46"/>
      <c r="Y157" s="46"/>
      <c r="Z157" s="46" t="s">
        <v>1049</v>
      </c>
      <c r="AA157" s="61">
        <v>6.5000000000000002E-2</v>
      </c>
      <c r="AB157" s="62">
        <f>AA157/0.0046</f>
        <v>14.130434782608697</v>
      </c>
      <c r="AC157" s="63">
        <f t="shared" si="18"/>
        <v>1.1016652173913044E-2</v>
      </c>
      <c r="AD157" s="62"/>
      <c r="AE157" s="62">
        <f t="shared" si="11"/>
        <v>14.130434782608697</v>
      </c>
      <c r="AF157" s="64" t="s">
        <v>1050</v>
      </c>
      <c r="AG157" s="49">
        <v>0.56999999999999995</v>
      </c>
    </row>
    <row r="158" spans="1:33" ht="34.5" customHeight="1" x14ac:dyDescent="0.3">
      <c r="A158" s="46">
        <v>295</v>
      </c>
      <c r="B158" s="46" t="s">
        <v>1051</v>
      </c>
      <c r="C158" s="46" t="s">
        <v>58</v>
      </c>
      <c r="D158" s="60">
        <v>2010</v>
      </c>
      <c r="E158" s="60"/>
      <c r="F158" s="46" t="s">
        <v>285</v>
      </c>
      <c r="G158" s="46" t="s">
        <v>159</v>
      </c>
      <c r="H158" s="46" t="s">
        <v>592</v>
      </c>
      <c r="I158" s="46" t="s">
        <v>707</v>
      </c>
      <c r="J158" s="46"/>
      <c r="K158" s="46" t="s">
        <v>68</v>
      </c>
      <c r="L158" s="46"/>
      <c r="M158" s="46"/>
      <c r="N158" s="46"/>
      <c r="O158" s="46"/>
      <c r="P158" s="46"/>
      <c r="Q158" s="46"/>
      <c r="R158" s="46">
        <v>1</v>
      </c>
      <c r="S158" s="46"/>
      <c r="T158" s="46"/>
      <c r="U158" s="46"/>
      <c r="V158" s="46"/>
      <c r="W158" s="46"/>
      <c r="X158" s="46"/>
      <c r="Y158" s="46"/>
      <c r="Z158" s="46" t="s">
        <v>1052</v>
      </c>
      <c r="AA158" s="61">
        <v>0.22</v>
      </c>
      <c r="AB158" s="62">
        <f>AA158/0.0045</f>
        <v>48.888888888888893</v>
      </c>
      <c r="AC158" s="63">
        <f t="shared" si="18"/>
        <v>3.8115733333333332E-2</v>
      </c>
      <c r="AD158" s="62"/>
      <c r="AE158" s="62">
        <f t="shared" si="11"/>
        <v>48.888888888888893</v>
      </c>
      <c r="AF158" s="64" t="s">
        <v>1053</v>
      </c>
      <c r="AG158" s="49">
        <v>0.56999999999999995</v>
      </c>
    </row>
    <row r="159" spans="1:33" ht="34.5" customHeight="1" x14ac:dyDescent="0.3">
      <c r="A159" s="46">
        <v>296</v>
      </c>
      <c r="B159" s="46" t="s">
        <v>1054</v>
      </c>
      <c r="C159" s="46" t="s">
        <v>40</v>
      </c>
      <c r="D159" s="60">
        <v>2010</v>
      </c>
      <c r="E159" s="60"/>
      <c r="F159" s="46" t="s">
        <v>285</v>
      </c>
      <c r="G159" s="46" t="s">
        <v>1</v>
      </c>
      <c r="H159" s="46"/>
      <c r="I159" s="46" t="s">
        <v>707</v>
      </c>
      <c r="J159" s="46"/>
      <c r="K159" s="46" t="s">
        <v>68</v>
      </c>
      <c r="L159" s="46"/>
      <c r="M159" s="46"/>
      <c r="N159" s="46"/>
      <c r="O159" s="46"/>
      <c r="P159" s="46"/>
      <c r="Q159" s="46"/>
      <c r="R159" s="46">
        <v>1</v>
      </c>
      <c r="S159" s="46"/>
      <c r="T159" s="46"/>
      <c r="U159" s="46"/>
      <c r="V159" s="46"/>
      <c r="W159" s="46"/>
      <c r="X159" s="46"/>
      <c r="Y159" s="46"/>
      <c r="Z159" s="46" t="s">
        <v>1055</v>
      </c>
      <c r="AA159" s="61">
        <v>7.0000000000000001E-3</v>
      </c>
      <c r="AB159" s="62">
        <f>AA159/0.0052</f>
        <v>1.3461538461538463</v>
      </c>
      <c r="AC159" s="63">
        <f t="shared" si="18"/>
        <v>1.0495153846153847E-3</v>
      </c>
      <c r="AD159" s="62"/>
      <c r="AE159" s="62">
        <f t="shared" si="11"/>
        <v>1.3461538461538463</v>
      </c>
      <c r="AF159" s="64" t="s">
        <v>1056</v>
      </c>
      <c r="AG159" s="49">
        <v>0.56999999999999995</v>
      </c>
    </row>
    <row r="160" spans="1:33" ht="34.5" customHeight="1" x14ac:dyDescent="0.3">
      <c r="A160" s="46">
        <v>299</v>
      </c>
      <c r="B160" s="46" t="s">
        <v>1057</v>
      </c>
      <c r="C160" s="46" t="s">
        <v>49</v>
      </c>
      <c r="D160" s="60">
        <v>2010</v>
      </c>
      <c r="E160" s="60"/>
      <c r="F160" s="46" t="s">
        <v>226</v>
      </c>
      <c r="G160" s="46" t="s">
        <v>3</v>
      </c>
      <c r="H160" s="46"/>
      <c r="I160" s="46" t="s">
        <v>707</v>
      </c>
      <c r="J160" s="46"/>
      <c r="K160" s="46" t="s">
        <v>68</v>
      </c>
      <c r="L160" s="46"/>
      <c r="M160" s="46"/>
      <c r="N160" s="46"/>
      <c r="O160" s="46"/>
      <c r="P160" s="46"/>
      <c r="Q160" s="46"/>
      <c r="R160" s="46">
        <v>1</v>
      </c>
      <c r="S160" s="46"/>
      <c r="T160" s="46"/>
      <c r="U160" s="46"/>
      <c r="V160" s="46"/>
      <c r="W160" s="46"/>
      <c r="X160" s="46"/>
      <c r="Y160" s="46"/>
      <c r="Z160" s="46"/>
      <c r="AA160" s="61"/>
      <c r="AB160" s="62"/>
      <c r="AC160" s="63"/>
      <c r="AD160" s="62"/>
      <c r="AE160" s="62">
        <f t="shared" si="11"/>
        <v>0</v>
      </c>
      <c r="AF160" s="64"/>
      <c r="AG160" s="49">
        <v>0.56999999999999995</v>
      </c>
    </row>
    <row r="161" spans="1:33" ht="34.5" customHeight="1" x14ac:dyDescent="0.3">
      <c r="A161" s="46">
        <v>302</v>
      </c>
      <c r="B161" s="46" t="s">
        <v>1058</v>
      </c>
      <c r="C161" s="46" t="s">
        <v>43</v>
      </c>
      <c r="D161" s="60">
        <v>2012</v>
      </c>
      <c r="E161" s="60"/>
      <c r="F161" s="46" t="s">
        <v>226</v>
      </c>
      <c r="G161" s="46" t="s">
        <v>1</v>
      </c>
      <c r="H161" s="46"/>
      <c r="I161" s="46" t="s">
        <v>707</v>
      </c>
      <c r="J161" s="46"/>
      <c r="K161" s="46" t="s">
        <v>68</v>
      </c>
      <c r="L161" s="46"/>
      <c r="M161" s="46"/>
      <c r="N161" s="46"/>
      <c r="O161" s="46"/>
      <c r="P161" s="46"/>
      <c r="Q161" s="46"/>
      <c r="R161" s="46">
        <v>1</v>
      </c>
      <c r="S161" s="46"/>
      <c r="T161" s="46"/>
      <c r="U161" s="46"/>
      <c r="V161" s="46"/>
      <c r="W161" s="46"/>
      <c r="X161" s="46"/>
      <c r="Y161" s="46"/>
      <c r="Z161" s="46" t="s">
        <v>1059</v>
      </c>
      <c r="AA161" s="61">
        <f>AB161*0.0052</f>
        <v>1.04E-2</v>
      </c>
      <c r="AB161" s="62">
        <v>2</v>
      </c>
      <c r="AC161" s="63">
        <f t="shared" ref="AC161:AC186" si="19">AB161*H2dens*HoursInYear/10^6</f>
        <v>1.5592799999999999E-3</v>
      </c>
      <c r="AD161" s="62"/>
      <c r="AE161" s="62">
        <f t="shared" si="11"/>
        <v>2</v>
      </c>
      <c r="AF161" s="64" t="s">
        <v>1060</v>
      </c>
      <c r="AG161" s="49">
        <v>0.56999999999999995</v>
      </c>
    </row>
    <row r="162" spans="1:33" ht="34.5" customHeight="1" x14ac:dyDescent="0.3">
      <c r="A162" s="46">
        <v>303</v>
      </c>
      <c r="B162" s="46" t="s">
        <v>1061</v>
      </c>
      <c r="C162" s="46" t="s">
        <v>67</v>
      </c>
      <c r="D162" s="60">
        <v>2009</v>
      </c>
      <c r="E162" s="60"/>
      <c r="F162" s="46" t="s">
        <v>226</v>
      </c>
      <c r="G162" s="46" t="s">
        <v>3</v>
      </c>
      <c r="H162" s="46"/>
      <c r="I162" s="46" t="s">
        <v>169</v>
      </c>
      <c r="J162" s="46" t="s">
        <v>245</v>
      </c>
      <c r="K162" s="46" t="s">
        <v>68</v>
      </c>
      <c r="L162" s="46"/>
      <c r="M162" s="46"/>
      <c r="N162" s="46"/>
      <c r="O162" s="46"/>
      <c r="P162" s="46"/>
      <c r="Q162" s="46"/>
      <c r="R162" s="46">
        <v>1</v>
      </c>
      <c r="S162" s="46"/>
      <c r="T162" s="46"/>
      <c r="U162" s="46"/>
      <c r="V162" s="46"/>
      <c r="W162" s="46"/>
      <c r="X162" s="46"/>
      <c r="Y162" s="46"/>
      <c r="Z162" s="46" t="s">
        <v>1062</v>
      </c>
      <c r="AA162" s="61">
        <f>AB162*0.0046</f>
        <v>0.82799999999999996</v>
      </c>
      <c r="AB162" s="62">
        <v>180</v>
      </c>
      <c r="AC162" s="63">
        <f t="shared" si="19"/>
        <v>0.14033519999999999</v>
      </c>
      <c r="AD162" s="62"/>
      <c r="AE162" s="62">
        <f t="shared" si="11"/>
        <v>180</v>
      </c>
      <c r="AF162" s="64" t="s">
        <v>1063</v>
      </c>
      <c r="AG162" s="49">
        <v>0.4</v>
      </c>
    </row>
    <row r="163" spans="1:33" ht="34.5" customHeight="1" x14ac:dyDescent="0.3">
      <c r="A163" s="46">
        <v>305</v>
      </c>
      <c r="B163" s="46" t="s">
        <v>1064</v>
      </c>
      <c r="C163" s="46" t="s">
        <v>76</v>
      </c>
      <c r="D163" s="60">
        <v>2009</v>
      </c>
      <c r="E163" s="60"/>
      <c r="F163" s="46" t="s">
        <v>226</v>
      </c>
      <c r="G163" s="46" t="s">
        <v>159</v>
      </c>
      <c r="H163" s="46" t="s">
        <v>592</v>
      </c>
      <c r="I163" s="46" t="s">
        <v>707</v>
      </c>
      <c r="J163" s="46"/>
      <c r="K163" s="46" t="s">
        <v>68</v>
      </c>
      <c r="L163" s="46"/>
      <c r="M163" s="46"/>
      <c r="N163" s="46"/>
      <c r="O163" s="46"/>
      <c r="P163" s="46"/>
      <c r="Q163" s="46"/>
      <c r="R163" s="46">
        <v>1</v>
      </c>
      <c r="S163" s="46"/>
      <c r="T163" s="46"/>
      <c r="U163" s="46"/>
      <c r="V163" s="46"/>
      <c r="W163" s="46"/>
      <c r="X163" s="46"/>
      <c r="Y163" s="46"/>
      <c r="Z163" s="46" t="s">
        <v>853</v>
      </c>
      <c r="AA163" s="61">
        <v>0.2</v>
      </c>
      <c r="AB163" s="62">
        <f>AA163/0.0045</f>
        <v>44.44444444444445</v>
      </c>
      <c r="AC163" s="63">
        <f t="shared" si="19"/>
        <v>3.465066666666667E-2</v>
      </c>
      <c r="AD163" s="62"/>
      <c r="AE163" s="62">
        <f t="shared" si="11"/>
        <v>44.44444444444445</v>
      </c>
      <c r="AF163" s="64" t="s">
        <v>1065</v>
      </c>
      <c r="AG163" s="49">
        <v>0.56999999999999995</v>
      </c>
    </row>
    <row r="164" spans="1:33" ht="34.5" customHeight="1" x14ac:dyDescent="0.3">
      <c r="A164" s="46">
        <v>306</v>
      </c>
      <c r="B164" s="46" t="s">
        <v>1066</v>
      </c>
      <c r="C164" s="46" t="s">
        <v>57</v>
      </c>
      <c r="D164" s="60">
        <v>2009</v>
      </c>
      <c r="E164" s="60"/>
      <c r="F164" s="46" t="s">
        <v>226</v>
      </c>
      <c r="G164" s="46" t="s">
        <v>3</v>
      </c>
      <c r="H164" s="46"/>
      <c r="I164" s="46" t="s">
        <v>707</v>
      </c>
      <c r="J164" s="46"/>
      <c r="K164" s="46" t="s">
        <v>68</v>
      </c>
      <c r="L164" s="46"/>
      <c r="M164" s="46"/>
      <c r="N164" s="46"/>
      <c r="O164" s="46"/>
      <c r="P164" s="46"/>
      <c r="Q164" s="46">
        <v>1</v>
      </c>
      <c r="R164" s="46"/>
      <c r="S164" s="46"/>
      <c r="T164" s="46"/>
      <c r="U164" s="46"/>
      <c r="V164" s="46"/>
      <c r="W164" s="46"/>
      <c r="X164" s="46"/>
      <c r="Y164" s="46"/>
      <c r="Z164" s="46" t="s">
        <v>1067</v>
      </c>
      <c r="AA164" s="61">
        <v>0.16</v>
      </c>
      <c r="AB164" s="62">
        <v>30</v>
      </c>
      <c r="AC164" s="63">
        <f t="shared" si="19"/>
        <v>2.3389200000000002E-2</v>
      </c>
      <c r="AD164" s="62"/>
      <c r="AE164" s="62">
        <f t="shared" si="11"/>
        <v>30</v>
      </c>
      <c r="AF164" s="64"/>
      <c r="AG164" s="49">
        <v>0.56999999999999995</v>
      </c>
    </row>
    <row r="165" spans="1:33" ht="34.5" customHeight="1" x14ac:dyDescent="0.3">
      <c r="A165" s="46">
        <v>309</v>
      </c>
      <c r="B165" s="46" t="s">
        <v>1068</v>
      </c>
      <c r="C165" s="46" t="s">
        <v>34</v>
      </c>
      <c r="D165" s="60">
        <v>2009</v>
      </c>
      <c r="E165" s="60"/>
      <c r="F165" s="46" t="s">
        <v>285</v>
      </c>
      <c r="G165" s="46" t="s">
        <v>3</v>
      </c>
      <c r="H165" s="46"/>
      <c r="I165" s="46" t="s">
        <v>707</v>
      </c>
      <c r="J165" s="46"/>
      <c r="K165" s="46" t="s">
        <v>72</v>
      </c>
      <c r="L165" s="46"/>
      <c r="M165" s="46"/>
      <c r="N165" s="46"/>
      <c r="O165" s="46"/>
      <c r="P165" s="46"/>
      <c r="Q165" s="46"/>
      <c r="R165" s="46"/>
      <c r="S165" s="46"/>
      <c r="T165" s="46"/>
      <c r="U165" s="46"/>
      <c r="V165" s="46"/>
      <c r="W165" s="46"/>
      <c r="X165" s="46"/>
      <c r="Y165" s="46">
        <v>1</v>
      </c>
      <c r="Z165" s="46" t="s">
        <v>1069</v>
      </c>
      <c r="AA165" s="61">
        <v>0.08</v>
      </c>
      <c r="AB165" s="62">
        <f>IF(OR(G165="ALK",G165="PEM",G165="SOEC",G165="Other Electrolysis"),
AA165/VLOOKUP(G165,ElectrolysisConvF,3,FALSE),
AC165*10^6/(H2dens*HoursInYear))</f>
        <v>17.391304347826086</v>
      </c>
      <c r="AC165" s="63">
        <f t="shared" si="19"/>
        <v>1.355895652173913E-2</v>
      </c>
      <c r="AD165" s="62"/>
      <c r="AE165" s="62">
        <f t="shared" si="11"/>
        <v>17.391304347826086</v>
      </c>
      <c r="AF165" s="64"/>
      <c r="AG165" s="49">
        <v>0.56999999999999995</v>
      </c>
    </row>
    <row r="166" spans="1:33" ht="34.5" customHeight="1" x14ac:dyDescent="0.3">
      <c r="A166" s="46">
        <v>312</v>
      </c>
      <c r="B166" s="46" t="s">
        <v>1070</v>
      </c>
      <c r="C166" s="46" t="s">
        <v>203</v>
      </c>
      <c r="D166" s="60">
        <v>2009</v>
      </c>
      <c r="E166" s="60"/>
      <c r="F166" s="46" t="s">
        <v>226</v>
      </c>
      <c r="G166" s="46" t="s">
        <v>3</v>
      </c>
      <c r="H166" s="46"/>
      <c r="I166" s="46" t="s">
        <v>166</v>
      </c>
      <c r="J166" s="46"/>
      <c r="K166" s="46" t="s">
        <v>68</v>
      </c>
      <c r="L166" s="46"/>
      <c r="M166" s="46"/>
      <c r="N166" s="46"/>
      <c r="O166" s="46"/>
      <c r="P166" s="46"/>
      <c r="Q166" s="46"/>
      <c r="R166" s="46">
        <v>1</v>
      </c>
      <c r="S166" s="46"/>
      <c r="T166" s="46"/>
      <c r="U166" s="46"/>
      <c r="V166" s="46"/>
      <c r="W166" s="46"/>
      <c r="X166" s="46"/>
      <c r="Y166" s="46"/>
      <c r="Z166" s="46" t="s">
        <v>804</v>
      </c>
      <c r="AA166" s="61">
        <v>6.0000000000000001E-3</v>
      </c>
      <c r="AB166" s="62">
        <f>AA166/0.0046</f>
        <v>1.3043478260869565</v>
      </c>
      <c r="AC166" s="63">
        <f t="shared" si="19"/>
        <v>1.0169217391304346E-3</v>
      </c>
      <c r="AD166" s="62"/>
      <c r="AE166" s="62">
        <f t="shared" ref="AE166:AE205" si="20">AB166</f>
        <v>1.3043478260869565</v>
      </c>
      <c r="AF166" s="64" t="s">
        <v>1071</v>
      </c>
      <c r="AG166" s="49">
        <v>0.56999999999999995</v>
      </c>
    </row>
    <row r="167" spans="1:33" ht="34.5" customHeight="1" x14ac:dyDescent="0.3">
      <c r="A167" s="46">
        <v>313</v>
      </c>
      <c r="B167" s="46" t="s">
        <v>1072</v>
      </c>
      <c r="C167" s="46" t="s">
        <v>40</v>
      </c>
      <c r="D167" s="60">
        <v>2009</v>
      </c>
      <c r="E167" s="60"/>
      <c r="F167" s="46" t="s">
        <v>285</v>
      </c>
      <c r="G167" s="46" t="s">
        <v>1</v>
      </c>
      <c r="H167" s="46"/>
      <c r="I167" s="46" t="s">
        <v>707</v>
      </c>
      <c r="J167" s="46"/>
      <c r="K167" s="46"/>
      <c r="L167" s="46"/>
      <c r="M167" s="46"/>
      <c r="N167" s="46"/>
      <c r="O167" s="46"/>
      <c r="P167" s="46">
        <v>1</v>
      </c>
      <c r="Q167" s="46"/>
      <c r="R167" s="46"/>
      <c r="S167" s="46"/>
      <c r="T167" s="46"/>
      <c r="U167" s="46"/>
      <c r="V167" s="46"/>
      <c r="W167" s="46"/>
      <c r="X167" s="46"/>
      <c r="Y167" s="46"/>
      <c r="Z167" s="46" t="s">
        <v>1073</v>
      </c>
      <c r="AA167" s="61">
        <v>5.0000000000000001E-3</v>
      </c>
      <c r="AB167" s="62">
        <f>AA167/0.0052</f>
        <v>0.96153846153846156</v>
      </c>
      <c r="AC167" s="63">
        <f t="shared" si="19"/>
        <v>7.4965384615384618E-4</v>
      </c>
      <c r="AD167" s="62"/>
      <c r="AE167" s="62">
        <f t="shared" si="20"/>
        <v>0.96153846153846156</v>
      </c>
      <c r="AF167" s="64" t="s">
        <v>1074</v>
      </c>
      <c r="AG167" s="49">
        <v>0.56999999999999995</v>
      </c>
    </row>
    <row r="168" spans="1:33" ht="34.5" customHeight="1" x14ac:dyDescent="0.3">
      <c r="A168" s="46">
        <v>314</v>
      </c>
      <c r="B168" s="46" t="s">
        <v>1075</v>
      </c>
      <c r="C168" s="46" t="s">
        <v>58</v>
      </c>
      <c r="D168" s="60">
        <v>2009</v>
      </c>
      <c r="E168" s="60"/>
      <c r="F168" s="46" t="s">
        <v>285</v>
      </c>
      <c r="G168" s="46" t="s">
        <v>1</v>
      </c>
      <c r="H168" s="46"/>
      <c r="I168" s="46" t="s">
        <v>707</v>
      </c>
      <c r="J168" s="46"/>
      <c r="K168" s="46" t="s">
        <v>68</v>
      </c>
      <c r="L168" s="46"/>
      <c r="M168" s="46"/>
      <c r="N168" s="46"/>
      <c r="O168" s="46"/>
      <c r="P168" s="46"/>
      <c r="Q168" s="46"/>
      <c r="R168" s="46">
        <v>1</v>
      </c>
      <c r="S168" s="46"/>
      <c r="T168" s="46"/>
      <c r="U168" s="46"/>
      <c r="V168" s="46"/>
      <c r="W168" s="46"/>
      <c r="X168" s="46"/>
      <c r="Y168" s="46"/>
      <c r="Z168" s="46" t="s">
        <v>1076</v>
      </c>
      <c r="AA168" s="61">
        <v>4.0000000000000001E-3</v>
      </c>
      <c r="AB168" s="62">
        <f>AA168/0.0052</f>
        <v>0.76923076923076927</v>
      </c>
      <c r="AC168" s="63">
        <f t="shared" si="19"/>
        <v>5.9972307692307699E-4</v>
      </c>
      <c r="AD168" s="62"/>
      <c r="AE168" s="62">
        <f t="shared" si="20"/>
        <v>0.76923076923076927</v>
      </c>
      <c r="AF168" s="64" t="s">
        <v>1077</v>
      </c>
      <c r="AG168" s="49">
        <v>0.56999999999999995</v>
      </c>
    </row>
    <row r="169" spans="1:33" ht="34.5" customHeight="1" x14ac:dyDescent="0.3">
      <c r="A169" s="46">
        <v>315</v>
      </c>
      <c r="B169" s="46" t="s">
        <v>1078</v>
      </c>
      <c r="C169" s="46" t="s">
        <v>53</v>
      </c>
      <c r="D169" s="60">
        <v>2009</v>
      </c>
      <c r="E169" s="60"/>
      <c r="F169" s="46" t="s">
        <v>285</v>
      </c>
      <c r="G169" s="46" t="s">
        <v>1</v>
      </c>
      <c r="H169" s="46"/>
      <c r="I169" s="46" t="s">
        <v>707</v>
      </c>
      <c r="J169" s="46"/>
      <c r="K169" s="46" t="s">
        <v>68</v>
      </c>
      <c r="L169" s="46"/>
      <c r="M169" s="46"/>
      <c r="N169" s="46"/>
      <c r="O169" s="46"/>
      <c r="P169" s="46"/>
      <c r="Q169" s="46"/>
      <c r="R169" s="46">
        <v>1</v>
      </c>
      <c r="S169" s="46"/>
      <c r="T169" s="46"/>
      <c r="U169" s="46"/>
      <c r="V169" s="46"/>
      <c r="W169" s="46"/>
      <c r="X169" s="46"/>
      <c r="Y169" s="46"/>
      <c r="Z169" s="46" t="s">
        <v>1079</v>
      </c>
      <c r="AA169" s="61">
        <v>2.5000000000000001E-3</v>
      </c>
      <c r="AB169" s="62">
        <f>AA169/0.0052</f>
        <v>0.48076923076923078</v>
      </c>
      <c r="AC169" s="63">
        <f t="shared" si="19"/>
        <v>3.7482692307692309E-4</v>
      </c>
      <c r="AD169" s="62"/>
      <c r="AE169" s="62">
        <f t="shared" si="20"/>
        <v>0.48076923076923078</v>
      </c>
      <c r="AF169" s="64" t="s">
        <v>1080</v>
      </c>
      <c r="AG169" s="49">
        <v>0.56999999999999995</v>
      </c>
    </row>
    <row r="170" spans="1:33" ht="34.5" customHeight="1" x14ac:dyDescent="0.3">
      <c r="A170" s="46">
        <v>333</v>
      </c>
      <c r="B170" s="46" t="s">
        <v>1081</v>
      </c>
      <c r="C170" s="46" t="s">
        <v>46</v>
      </c>
      <c r="D170" s="60">
        <v>2008</v>
      </c>
      <c r="E170" s="60"/>
      <c r="F170" s="46" t="s">
        <v>226</v>
      </c>
      <c r="G170" s="46" t="s">
        <v>3</v>
      </c>
      <c r="H170" s="46"/>
      <c r="I170" s="46" t="s">
        <v>707</v>
      </c>
      <c r="J170" s="46"/>
      <c r="K170" s="46" t="s">
        <v>68</v>
      </c>
      <c r="L170" s="46"/>
      <c r="M170" s="46"/>
      <c r="N170" s="46"/>
      <c r="O170" s="46"/>
      <c r="P170" s="46"/>
      <c r="Q170" s="46">
        <v>1</v>
      </c>
      <c r="R170" s="46">
        <v>1</v>
      </c>
      <c r="S170" s="46"/>
      <c r="T170" s="46"/>
      <c r="U170" s="46"/>
      <c r="V170" s="46"/>
      <c r="W170" s="46"/>
      <c r="X170" s="46"/>
      <c r="Y170" s="46"/>
      <c r="Z170" s="46" t="s">
        <v>898</v>
      </c>
      <c r="AA170" s="61">
        <f>AB170*0.0046</f>
        <v>4.5999999999999999E-2</v>
      </c>
      <c r="AB170" s="62">
        <v>10</v>
      </c>
      <c r="AC170" s="63">
        <f t="shared" si="19"/>
        <v>7.7963999999999985E-3</v>
      </c>
      <c r="AD170" s="62"/>
      <c r="AE170" s="62">
        <f t="shared" si="20"/>
        <v>10</v>
      </c>
      <c r="AF170" s="64" t="s">
        <v>1082</v>
      </c>
      <c r="AG170" s="49">
        <v>0.56999999999999995</v>
      </c>
    </row>
    <row r="171" spans="1:33" ht="34.5" customHeight="1" x14ac:dyDescent="0.3">
      <c r="A171" s="46">
        <v>340</v>
      </c>
      <c r="B171" s="46" t="s">
        <v>1083</v>
      </c>
      <c r="C171" s="46" t="s">
        <v>40</v>
      </c>
      <c r="D171" s="60">
        <v>2008</v>
      </c>
      <c r="E171" s="60"/>
      <c r="F171" s="46" t="s">
        <v>285</v>
      </c>
      <c r="G171" s="46" t="s">
        <v>1</v>
      </c>
      <c r="H171" s="46"/>
      <c r="I171" s="46" t="s">
        <v>707</v>
      </c>
      <c r="J171" s="46"/>
      <c r="K171" s="46" t="s">
        <v>68</v>
      </c>
      <c r="L171" s="46"/>
      <c r="M171" s="46"/>
      <c r="N171" s="46"/>
      <c r="O171" s="46"/>
      <c r="P171" s="46">
        <v>1</v>
      </c>
      <c r="Q171" s="46"/>
      <c r="R171" s="46"/>
      <c r="S171" s="46"/>
      <c r="T171" s="46"/>
      <c r="U171" s="46"/>
      <c r="V171" s="46"/>
      <c r="W171" s="46"/>
      <c r="X171" s="46"/>
      <c r="Y171" s="46"/>
      <c r="Z171" s="46" t="s">
        <v>1084</v>
      </c>
      <c r="AA171" s="61">
        <f>AB171*0.0052</f>
        <v>3.6400000000000002E-2</v>
      </c>
      <c r="AB171" s="62">
        <v>7</v>
      </c>
      <c r="AC171" s="63">
        <f t="shared" si="19"/>
        <v>5.4574799999999998E-3</v>
      </c>
      <c r="AD171" s="62"/>
      <c r="AE171" s="62">
        <f t="shared" si="20"/>
        <v>7</v>
      </c>
      <c r="AF171" s="64"/>
      <c r="AG171" s="49">
        <v>0.56999999999999995</v>
      </c>
    </row>
    <row r="172" spans="1:33" ht="34.5" customHeight="1" x14ac:dyDescent="0.3">
      <c r="A172" s="46">
        <v>341</v>
      </c>
      <c r="B172" s="46" t="s">
        <v>1085</v>
      </c>
      <c r="C172" s="46" t="s">
        <v>57</v>
      </c>
      <c r="D172" s="60">
        <v>2008</v>
      </c>
      <c r="E172" s="60"/>
      <c r="F172" s="46" t="s">
        <v>285</v>
      </c>
      <c r="G172" s="46" t="s">
        <v>1</v>
      </c>
      <c r="H172" s="46"/>
      <c r="I172" s="46" t="s">
        <v>707</v>
      </c>
      <c r="J172" s="46"/>
      <c r="K172" s="46" t="s">
        <v>68</v>
      </c>
      <c r="L172" s="46"/>
      <c r="M172" s="46"/>
      <c r="N172" s="46"/>
      <c r="O172" s="46"/>
      <c r="P172" s="46"/>
      <c r="Q172" s="46">
        <v>1</v>
      </c>
      <c r="R172" s="46"/>
      <c r="S172" s="46"/>
      <c r="T172" s="46"/>
      <c r="U172" s="46"/>
      <c r="V172" s="46"/>
      <c r="W172" s="46"/>
      <c r="X172" s="46"/>
      <c r="Y172" s="46"/>
      <c r="Z172" s="46" t="s">
        <v>1055</v>
      </c>
      <c r="AA172" s="61">
        <v>7.0000000000000001E-3</v>
      </c>
      <c r="AB172" s="62">
        <f>AA172/0.0052</f>
        <v>1.3461538461538463</v>
      </c>
      <c r="AC172" s="63">
        <f t="shared" si="19"/>
        <v>1.0495153846153847E-3</v>
      </c>
      <c r="AD172" s="62"/>
      <c r="AE172" s="62">
        <f t="shared" si="20"/>
        <v>1.3461538461538463</v>
      </c>
      <c r="AF172" s="64" t="s">
        <v>1086</v>
      </c>
      <c r="AG172" s="49">
        <v>0.56999999999999995</v>
      </c>
    </row>
    <row r="173" spans="1:33" ht="34.5" customHeight="1" x14ac:dyDescent="0.3">
      <c r="A173" s="46">
        <v>342</v>
      </c>
      <c r="B173" s="46" t="s">
        <v>1087</v>
      </c>
      <c r="C173" s="46" t="s">
        <v>58</v>
      </c>
      <c r="D173" s="60">
        <v>2008</v>
      </c>
      <c r="E173" s="60"/>
      <c r="F173" s="46" t="s">
        <v>285</v>
      </c>
      <c r="G173" s="46" t="s">
        <v>1</v>
      </c>
      <c r="H173" s="46"/>
      <c r="I173" s="46" t="s">
        <v>707</v>
      </c>
      <c r="J173" s="46"/>
      <c r="K173" s="46" t="s">
        <v>68</v>
      </c>
      <c r="L173" s="46"/>
      <c r="M173" s="46"/>
      <c r="N173" s="46"/>
      <c r="O173" s="46"/>
      <c r="P173" s="46"/>
      <c r="Q173" s="46">
        <v>1</v>
      </c>
      <c r="R173" s="46"/>
      <c r="S173" s="46"/>
      <c r="T173" s="46"/>
      <c r="U173" s="46"/>
      <c r="V173" s="46"/>
      <c r="W173" s="46"/>
      <c r="X173" s="46"/>
      <c r="Y173" s="46"/>
      <c r="Z173" s="46" t="s">
        <v>1088</v>
      </c>
      <c r="AA173" s="61">
        <f>AB173*0.0052</f>
        <v>3.6399999999999996E-3</v>
      </c>
      <c r="AB173" s="62">
        <v>0.7</v>
      </c>
      <c r="AC173" s="63">
        <f t="shared" si="19"/>
        <v>5.4574799999999998E-4</v>
      </c>
      <c r="AD173" s="62"/>
      <c r="AE173" s="62">
        <f t="shared" si="20"/>
        <v>0.7</v>
      </c>
      <c r="AF173" s="64" t="s">
        <v>1089</v>
      </c>
      <c r="AG173" s="49">
        <v>0.56999999999999995</v>
      </c>
    </row>
    <row r="174" spans="1:33" ht="34.5" customHeight="1" x14ac:dyDescent="0.3">
      <c r="A174" s="46">
        <v>343</v>
      </c>
      <c r="B174" s="46" t="s">
        <v>1090</v>
      </c>
      <c r="C174" s="46" t="s">
        <v>53</v>
      </c>
      <c r="D174" s="60">
        <v>2008</v>
      </c>
      <c r="E174" s="60"/>
      <c r="F174" s="46" t="s">
        <v>285</v>
      </c>
      <c r="G174" s="46" t="s">
        <v>1</v>
      </c>
      <c r="H174" s="46"/>
      <c r="I174" s="46" t="s">
        <v>707</v>
      </c>
      <c r="J174" s="46"/>
      <c r="K174" s="46" t="s">
        <v>68</v>
      </c>
      <c r="L174" s="46"/>
      <c r="M174" s="46"/>
      <c r="N174" s="46"/>
      <c r="O174" s="46"/>
      <c r="P174" s="46"/>
      <c r="Q174" s="46">
        <v>1</v>
      </c>
      <c r="R174" s="46">
        <v>1</v>
      </c>
      <c r="S174" s="46"/>
      <c r="T174" s="46"/>
      <c r="U174" s="46"/>
      <c r="V174" s="46"/>
      <c r="W174" s="46"/>
      <c r="X174" s="46"/>
      <c r="Y174" s="46"/>
      <c r="Z174" s="46" t="s">
        <v>1091</v>
      </c>
      <c r="AA174" s="61">
        <f>AB174*0.0052</f>
        <v>4.6799999999999994E-4</v>
      </c>
      <c r="AB174" s="62">
        <v>0.09</v>
      </c>
      <c r="AC174" s="63">
        <f t="shared" si="19"/>
        <v>7.0167599999999995E-5</v>
      </c>
      <c r="AD174" s="62"/>
      <c r="AE174" s="62">
        <f t="shared" si="20"/>
        <v>0.09</v>
      </c>
      <c r="AF174" s="64" t="s">
        <v>1092</v>
      </c>
      <c r="AG174" s="49">
        <v>0.56999999999999995</v>
      </c>
    </row>
    <row r="175" spans="1:33" ht="34.5" customHeight="1" x14ac:dyDescent="0.3">
      <c r="A175" s="46">
        <v>356</v>
      </c>
      <c r="B175" s="46" t="s">
        <v>1093</v>
      </c>
      <c r="C175" s="46" t="s">
        <v>321</v>
      </c>
      <c r="D175" s="60">
        <v>2007</v>
      </c>
      <c r="E175" s="60"/>
      <c r="F175" s="46" t="s">
        <v>285</v>
      </c>
      <c r="G175" s="46" t="s">
        <v>3</v>
      </c>
      <c r="H175" s="46"/>
      <c r="I175" s="46" t="s">
        <v>707</v>
      </c>
      <c r="J175" s="46"/>
      <c r="K175" s="46" t="s">
        <v>68</v>
      </c>
      <c r="L175" s="46"/>
      <c r="M175" s="46"/>
      <c r="N175" s="46"/>
      <c r="O175" s="46"/>
      <c r="P175" s="46"/>
      <c r="Q175" s="46">
        <v>1</v>
      </c>
      <c r="R175" s="46"/>
      <c r="S175" s="46"/>
      <c r="T175" s="46"/>
      <c r="U175" s="46"/>
      <c r="V175" s="46"/>
      <c r="W175" s="46"/>
      <c r="X175" s="46"/>
      <c r="Y175" s="46"/>
      <c r="Z175" s="46" t="s">
        <v>1094</v>
      </c>
      <c r="AA175" s="61">
        <v>5.5E-2</v>
      </c>
      <c r="AB175" s="62">
        <f>AA175/0.0046</f>
        <v>11.956521739130435</v>
      </c>
      <c r="AC175" s="63">
        <f t="shared" si="19"/>
        <v>9.3217826086956519E-3</v>
      </c>
      <c r="AD175" s="62"/>
      <c r="AE175" s="62">
        <f t="shared" si="20"/>
        <v>11.956521739130435</v>
      </c>
      <c r="AF175" s="64" t="s">
        <v>1095</v>
      </c>
      <c r="AG175" s="49">
        <v>0.56999999999999995</v>
      </c>
    </row>
    <row r="176" spans="1:33" ht="34.5" customHeight="1" x14ac:dyDescent="0.3">
      <c r="A176" s="46">
        <v>362</v>
      </c>
      <c r="B176" s="46" t="s">
        <v>1096</v>
      </c>
      <c r="C176" s="46" t="s">
        <v>45</v>
      </c>
      <c r="D176" s="60">
        <v>2007</v>
      </c>
      <c r="E176" s="60"/>
      <c r="F176" s="46" t="s">
        <v>285</v>
      </c>
      <c r="G176" s="46" t="s">
        <v>3</v>
      </c>
      <c r="H176" s="46"/>
      <c r="I176" s="46" t="s">
        <v>707</v>
      </c>
      <c r="J176" s="46"/>
      <c r="K176" s="46" t="s">
        <v>68</v>
      </c>
      <c r="L176" s="46"/>
      <c r="M176" s="46"/>
      <c r="N176" s="46"/>
      <c r="O176" s="46"/>
      <c r="P176" s="46"/>
      <c r="Q176" s="46"/>
      <c r="R176" s="46">
        <v>1</v>
      </c>
      <c r="S176" s="46"/>
      <c r="T176" s="46"/>
      <c r="U176" s="46"/>
      <c r="V176" s="46"/>
      <c r="W176" s="46"/>
      <c r="X176" s="46"/>
      <c r="Y176" s="46"/>
      <c r="Z176" s="46" t="s">
        <v>1055</v>
      </c>
      <c r="AA176" s="61">
        <v>7.0000000000000001E-3</v>
      </c>
      <c r="AB176" s="62">
        <f>AA176/0.0046</f>
        <v>1.5217391304347827</v>
      </c>
      <c r="AC176" s="63">
        <f t="shared" si="19"/>
        <v>1.186408695652174E-3</v>
      </c>
      <c r="AD176" s="62"/>
      <c r="AE176" s="62">
        <f t="shared" si="20"/>
        <v>1.5217391304347827</v>
      </c>
      <c r="AF176" s="64" t="s">
        <v>1097</v>
      </c>
      <c r="AG176" s="49">
        <v>0.56999999999999995</v>
      </c>
    </row>
    <row r="177" spans="1:33" ht="34.5" customHeight="1" x14ac:dyDescent="0.3">
      <c r="A177" s="46">
        <v>363</v>
      </c>
      <c r="B177" s="46" t="s">
        <v>1098</v>
      </c>
      <c r="C177" s="46" t="s">
        <v>57</v>
      </c>
      <c r="D177" s="60">
        <v>2007</v>
      </c>
      <c r="E177" s="60"/>
      <c r="F177" s="46" t="s">
        <v>285</v>
      </c>
      <c r="G177" s="46" t="s">
        <v>1</v>
      </c>
      <c r="H177" s="46"/>
      <c r="I177" s="46" t="s">
        <v>707</v>
      </c>
      <c r="J177" s="46"/>
      <c r="K177" s="46" t="s">
        <v>68</v>
      </c>
      <c r="L177" s="46"/>
      <c r="M177" s="46"/>
      <c r="N177" s="46"/>
      <c r="O177" s="46"/>
      <c r="P177" s="46"/>
      <c r="Q177" s="46"/>
      <c r="R177" s="46">
        <v>1</v>
      </c>
      <c r="S177" s="46"/>
      <c r="T177" s="46"/>
      <c r="U177" s="46"/>
      <c r="V177" s="46"/>
      <c r="W177" s="46"/>
      <c r="X177" s="46"/>
      <c r="Y177" s="46"/>
      <c r="Z177" s="46" t="s">
        <v>1088</v>
      </c>
      <c r="AA177" s="61">
        <f>AB177*0.0052</f>
        <v>3.6399999999999996E-3</v>
      </c>
      <c r="AB177" s="62">
        <v>0.7</v>
      </c>
      <c r="AC177" s="63">
        <f t="shared" si="19"/>
        <v>5.4574799999999998E-4</v>
      </c>
      <c r="AD177" s="62"/>
      <c r="AE177" s="62">
        <f t="shared" si="20"/>
        <v>0.7</v>
      </c>
      <c r="AF177" s="64" t="s">
        <v>1099</v>
      </c>
      <c r="AG177" s="49">
        <v>0.56999999999999995</v>
      </c>
    </row>
    <row r="178" spans="1:33" ht="34.5" customHeight="1" x14ac:dyDescent="0.3">
      <c r="A178" s="46">
        <v>366</v>
      </c>
      <c r="B178" s="46" t="s">
        <v>1100</v>
      </c>
      <c r="C178" s="46" t="s">
        <v>321</v>
      </c>
      <c r="D178" s="60">
        <v>2006</v>
      </c>
      <c r="E178" s="60"/>
      <c r="F178" s="46" t="s">
        <v>285</v>
      </c>
      <c r="G178" s="46" t="s">
        <v>3</v>
      </c>
      <c r="H178" s="46"/>
      <c r="I178" s="46" t="s">
        <v>707</v>
      </c>
      <c r="J178" s="46"/>
      <c r="K178" s="46" t="s">
        <v>68</v>
      </c>
      <c r="L178" s="46"/>
      <c r="M178" s="46"/>
      <c r="N178" s="46"/>
      <c r="O178" s="46"/>
      <c r="P178" s="46"/>
      <c r="Q178" s="46">
        <v>1</v>
      </c>
      <c r="R178" s="46"/>
      <c r="S178" s="46"/>
      <c r="T178" s="46"/>
      <c r="U178" s="46"/>
      <c r="V178" s="46"/>
      <c r="W178" s="46"/>
      <c r="X178" s="46"/>
      <c r="Y178" s="46"/>
      <c r="Z178" s="46" t="s">
        <v>1033</v>
      </c>
      <c r="AA178" s="61">
        <v>0.3</v>
      </c>
      <c r="AB178" s="62">
        <f>IF(OR(G178="ALK",G178="PEM",G178="SOEC",G178="Other Electrolysis"),
AA178/VLOOKUP(G178,ElectrolysisConvF,3,FALSE),
AC178*10^6/(H2dens*HoursInYear))</f>
        <v>65.217391304347828</v>
      </c>
      <c r="AC178" s="63">
        <f t="shared" si="19"/>
        <v>5.0846086956521735E-2</v>
      </c>
      <c r="AD178" s="62"/>
      <c r="AE178" s="62">
        <f t="shared" si="20"/>
        <v>65.217391304347828</v>
      </c>
      <c r="AF178" s="64" t="s">
        <v>1101</v>
      </c>
      <c r="AG178" s="49">
        <v>0.56999999999999995</v>
      </c>
    </row>
    <row r="179" spans="1:33" ht="34.5" customHeight="1" x14ac:dyDescent="0.3">
      <c r="A179" s="46">
        <v>387</v>
      </c>
      <c r="B179" s="46" t="s">
        <v>1102</v>
      </c>
      <c r="C179" s="46" t="s">
        <v>43</v>
      </c>
      <c r="D179" s="60">
        <v>2013</v>
      </c>
      <c r="E179" s="60"/>
      <c r="F179" s="46" t="s">
        <v>285</v>
      </c>
      <c r="G179" s="46" t="s">
        <v>159</v>
      </c>
      <c r="H179" s="46" t="s">
        <v>592</v>
      </c>
      <c r="I179" s="46" t="s">
        <v>707</v>
      </c>
      <c r="J179" s="46"/>
      <c r="K179" s="46" t="s">
        <v>68</v>
      </c>
      <c r="L179" s="46"/>
      <c r="M179" s="46"/>
      <c r="N179" s="46"/>
      <c r="O179" s="46"/>
      <c r="P179" s="46"/>
      <c r="Q179" s="46"/>
      <c r="R179" s="46">
        <v>1</v>
      </c>
      <c r="S179" s="46"/>
      <c r="T179" s="46"/>
      <c r="U179" s="46"/>
      <c r="V179" s="46"/>
      <c r="W179" s="46"/>
      <c r="X179" s="46"/>
      <c r="Y179" s="46"/>
      <c r="Z179" s="46" t="s">
        <v>1073</v>
      </c>
      <c r="AA179" s="61">
        <v>5.0000000000000001E-3</v>
      </c>
      <c r="AB179" s="62">
        <f>AA179/0.0045</f>
        <v>1.1111111111111112</v>
      </c>
      <c r="AC179" s="63">
        <f t="shared" si="19"/>
        <v>8.6626666666666662E-4</v>
      </c>
      <c r="AD179" s="62"/>
      <c r="AE179" s="62">
        <f t="shared" si="20"/>
        <v>1.1111111111111112</v>
      </c>
      <c r="AF179" s="64"/>
      <c r="AG179" s="49">
        <v>0.56999999999999995</v>
      </c>
    </row>
    <row r="180" spans="1:33" ht="34.5" customHeight="1" x14ac:dyDescent="0.3">
      <c r="A180" s="46">
        <v>405</v>
      </c>
      <c r="B180" s="46" t="s">
        <v>1103</v>
      </c>
      <c r="C180" s="46" t="s">
        <v>43</v>
      </c>
      <c r="D180" s="60">
        <v>2014</v>
      </c>
      <c r="E180" s="60"/>
      <c r="F180" s="46" t="s">
        <v>226</v>
      </c>
      <c r="G180" s="46" t="s">
        <v>3</v>
      </c>
      <c r="H180" s="46"/>
      <c r="I180" s="46" t="s">
        <v>707</v>
      </c>
      <c r="J180" s="46"/>
      <c r="K180" s="46" t="s">
        <v>68</v>
      </c>
      <c r="L180" s="46"/>
      <c r="M180" s="46"/>
      <c r="N180" s="46"/>
      <c r="O180" s="46"/>
      <c r="P180" s="46"/>
      <c r="Q180" s="46"/>
      <c r="R180" s="46">
        <v>1</v>
      </c>
      <c r="S180" s="46"/>
      <c r="T180" s="46"/>
      <c r="U180" s="46"/>
      <c r="V180" s="46"/>
      <c r="W180" s="46"/>
      <c r="X180" s="46"/>
      <c r="Y180" s="46"/>
      <c r="Z180" s="46" t="s">
        <v>1104</v>
      </c>
      <c r="AA180" s="61">
        <f>AB180*0.0046</f>
        <v>2.0423999999999998</v>
      </c>
      <c r="AB180" s="62">
        <v>444</v>
      </c>
      <c r="AC180" s="63">
        <f t="shared" si="19"/>
        <v>0.34616015999999999</v>
      </c>
      <c r="AD180" s="62"/>
      <c r="AE180" s="62">
        <f t="shared" si="20"/>
        <v>444</v>
      </c>
      <c r="AF180" s="64" t="s">
        <v>1105</v>
      </c>
      <c r="AG180" s="49">
        <v>0.56999999999999995</v>
      </c>
    </row>
    <row r="181" spans="1:33" ht="34.5" customHeight="1" x14ac:dyDescent="0.3">
      <c r="A181" s="46">
        <v>427</v>
      </c>
      <c r="B181" s="46" t="s">
        <v>1106</v>
      </c>
      <c r="C181" s="46" t="s">
        <v>46</v>
      </c>
      <c r="D181" s="60">
        <v>2004</v>
      </c>
      <c r="E181" s="60"/>
      <c r="F181" s="46" t="s">
        <v>226</v>
      </c>
      <c r="G181" s="46" t="s">
        <v>3</v>
      </c>
      <c r="H181" s="46"/>
      <c r="I181" s="46" t="s">
        <v>707</v>
      </c>
      <c r="J181" s="46"/>
      <c r="K181" s="46" t="s">
        <v>68</v>
      </c>
      <c r="L181" s="46"/>
      <c r="M181" s="46"/>
      <c r="N181" s="46"/>
      <c r="O181" s="46"/>
      <c r="P181" s="46"/>
      <c r="Q181" s="46"/>
      <c r="R181" s="46">
        <v>1</v>
      </c>
      <c r="S181" s="46"/>
      <c r="T181" s="46">
        <v>1</v>
      </c>
      <c r="U181" s="46"/>
      <c r="V181" s="46"/>
      <c r="W181" s="46"/>
      <c r="X181" s="46"/>
      <c r="Y181" s="46"/>
      <c r="Z181" s="46" t="s">
        <v>1107</v>
      </c>
      <c r="AA181" s="61">
        <v>3.4000000000000002E-2</v>
      </c>
      <c r="AB181" s="62">
        <f>AA181/0.0046</f>
        <v>7.3913043478260878</v>
      </c>
      <c r="AC181" s="63">
        <f t="shared" si="19"/>
        <v>5.7625565217391305E-3</v>
      </c>
      <c r="AD181" s="62"/>
      <c r="AE181" s="62">
        <f t="shared" si="20"/>
        <v>7.3913043478260878</v>
      </c>
      <c r="AF181" s="64" t="s">
        <v>1108</v>
      </c>
      <c r="AG181" s="49">
        <v>0.56999999999999995</v>
      </c>
    </row>
    <row r="182" spans="1:33" ht="34.5" customHeight="1" x14ac:dyDescent="0.3">
      <c r="A182" s="46">
        <v>433</v>
      </c>
      <c r="B182" s="46" t="s">
        <v>1109</v>
      </c>
      <c r="C182" s="46" t="s">
        <v>318</v>
      </c>
      <c r="D182" s="60">
        <v>2003</v>
      </c>
      <c r="E182" s="60"/>
      <c r="F182" s="46" t="s">
        <v>285</v>
      </c>
      <c r="G182" s="46" t="s">
        <v>3</v>
      </c>
      <c r="H182" s="46"/>
      <c r="I182" s="46" t="s">
        <v>707</v>
      </c>
      <c r="J182" s="46"/>
      <c r="K182" s="46" t="s">
        <v>68</v>
      </c>
      <c r="L182" s="46"/>
      <c r="M182" s="46"/>
      <c r="N182" s="46"/>
      <c r="O182" s="46"/>
      <c r="P182" s="46"/>
      <c r="Q182" s="46">
        <v>1</v>
      </c>
      <c r="R182" s="46"/>
      <c r="S182" s="46"/>
      <c r="T182" s="46"/>
      <c r="U182" s="46"/>
      <c r="V182" s="46"/>
      <c r="W182" s="46"/>
      <c r="X182" s="46"/>
      <c r="Y182" s="46"/>
      <c r="Z182" s="46" t="s">
        <v>1033</v>
      </c>
      <c r="AA182" s="61">
        <v>0.3</v>
      </c>
      <c r="AB182" s="62">
        <f>IF(OR(G182="ALK",G182="PEM",G182="SOEC",G182="Other Electrolysis"),
AA182/VLOOKUP(G182,ElectrolysisConvF,3,FALSE),
AC182*10^6/(H2dens*HoursInYear))</f>
        <v>65.217391304347828</v>
      </c>
      <c r="AC182" s="63">
        <f t="shared" si="19"/>
        <v>5.0846086956521735E-2</v>
      </c>
      <c r="AD182" s="62"/>
      <c r="AE182" s="62">
        <f t="shared" si="20"/>
        <v>65.217391304347828</v>
      </c>
      <c r="AF182" s="64"/>
      <c r="AG182" s="49">
        <v>0.56999999999999995</v>
      </c>
    </row>
    <row r="183" spans="1:33" ht="34.5" customHeight="1" x14ac:dyDescent="0.3">
      <c r="A183" s="46">
        <v>437</v>
      </c>
      <c r="B183" s="46" t="s">
        <v>1110</v>
      </c>
      <c r="C183" s="46" t="s">
        <v>203</v>
      </c>
      <c r="D183" s="60">
        <v>2017</v>
      </c>
      <c r="E183" s="60"/>
      <c r="F183" s="46" t="s">
        <v>226</v>
      </c>
      <c r="G183" s="46" t="s">
        <v>1</v>
      </c>
      <c r="H183" s="46"/>
      <c r="I183" s="46" t="s">
        <v>169</v>
      </c>
      <c r="J183" s="46" t="s">
        <v>245</v>
      </c>
      <c r="K183" s="46" t="s">
        <v>68</v>
      </c>
      <c r="L183" s="46"/>
      <c r="M183" s="46"/>
      <c r="N183" s="46"/>
      <c r="O183" s="46"/>
      <c r="P183" s="46">
        <v>1</v>
      </c>
      <c r="Q183" s="46">
        <v>1</v>
      </c>
      <c r="R183" s="46"/>
      <c r="S183" s="46">
        <v>1</v>
      </c>
      <c r="T183" s="46"/>
      <c r="U183" s="46"/>
      <c r="V183" s="46"/>
      <c r="W183" s="46"/>
      <c r="X183" s="46"/>
      <c r="Y183" s="46"/>
      <c r="Z183" s="46" t="s">
        <v>745</v>
      </c>
      <c r="AA183" s="61">
        <v>6</v>
      </c>
      <c r="AB183" s="62">
        <f>AA183/0.0052</f>
        <v>1153.8461538461538</v>
      </c>
      <c r="AC183" s="63">
        <f t="shared" si="19"/>
        <v>0.8995846153846152</v>
      </c>
      <c r="AD183" s="62"/>
      <c r="AE183" s="62">
        <f t="shared" si="20"/>
        <v>1153.8461538461538</v>
      </c>
      <c r="AF183" s="64" t="s">
        <v>1111</v>
      </c>
      <c r="AG183" s="49">
        <v>0.4</v>
      </c>
    </row>
    <row r="184" spans="1:33" ht="34.5" customHeight="1" x14ac:dyDescent="0.3">
      <c r="A184" s="46">
        <v>449</v>
      </c>
      <c r="B184" s="46" t="s">
        <v>1112</v>
      </c>
      <c r="C184" s="46" t="s">
        <v>45</v>
      </c>
      <c r="D184" s="60">
        <v>2016</v>
      </c>
      <c r="E184" s="60"/>
      <c r="F184" s="46" t="s">
        <v>226</v>
      </c>
      <c r="G184" s="46" t="s">
        <v>3</v>
      </c>
      <c r="H184" s="46"/>
      <c r="I184" s="46" t="s">
        <v>707</v>
      </c>
      <c r="J184" s="46"/>
      <c r="K184" s="46" t="s">
        <v>68</v>
      </c>
      <c r="L184" s="46"/>
      <c r="M184" s="46"/>
      <c r="N184" s="46"/>
      <c r="O184" s="46"/>
      <c r="P184" s="46">
        <v>1</v>
      </c>
      <c r="Q184" s="46">
        <v>1</v>
      </c>
      <c r="R184" s="46">
        <v>1</v>
      </c>
      <c r="S184" s="46">
        <v>1</v>
      </c>
      <c r="T184" s="46"/>
      <c r="U184" s="46"/>
      <c r="V184" s="46"/>
      <c r="W184" s="46"/>
      <c r="X184" s="46"/>
      <c r="Y184" s="46"/>
      <c r="Z184" s="46" t="s">
        <v>1113</v>
      </c>
      <c r="AA184" s="61">
        <v>1.2</v>
      </c>
      <c r="AB184" s="62">
        <f>AA184/0.0046</f>
        <v>260.86956521739131</v>
      </c>
      <c r="AC184" s="63">
        <f t="shared" si="19"/>
        <v>0.20338434782608694</v>
      </c>
      <c r="AD184" s="62"/>
      <c r="AE184" s="62">
        <f t="shared" si="20"/>
        <v>260.86956521739131</v>
      </c>
      <c r="AF184" s="64" t="s">
        <v>1114</v>
      </c>
      <c r="AG184" s="49">
        <v>0.56999999999999995</v>
      </c>
    </row>
    <row r="185" spans="1:33" ht="34.5" customHeight="1" x14ac:dyDescent="0.3">
      <c r="A185" s="46">
        <v>452</v>
      </c>
      <c r="B185" s="46" t="s">
        <v>1115</v>
      </c>
      <c r="C185" s="46" t="s">
        <v>42</v>
      </c>
      <c r="D185" s="60">
        <v>2003</v>
      </c>
      <c r="E185" s="60"/>
      <c r="F185" s="46" t="s">
        <v>285</v>
      </c>
      <c r="G185" s="46" t="s">
        <v>3</v>
      </c>
      <c r="H185" s="46"/>
      <c r="I185" s="46" t="s">
        <v>707</v>
      </c>
      <c r="J185" s="46"/>
      <c r="K185" s="46" t="s">
        <v>68</v>
      </c>
      <c r="L185" s="46"/>
      <c r="M185" s="46"/>
      <c r="N185" s="46"/>
      <c r="O185" s="46"/>
      <c r="P185" s="46">
        <v>1</v>
      </c>
      <c r="Q185" s="46"/>
      <c r="R185" s="46"/>
      <c r="S185" s="46"/>
      <c r="T185" s="46"/>
      <c r="U185" s="46"/>
      <c r="V185" s="46"/>
      <c r="W185" s="46"/>
      <c r="X185" s="46"/>
      <c r="Y185" s="46"/>
      <c r="Z185" s="46" t="s">
        <v>870</v>
      </c>
      <c r="AA185" s="61">
        <f>AB185*0.0046</f>
        <v>1.84E-2</v>
      </c>
      <c r="AB185" s="62">
        <v>4</v>
      </c>
      <c r="AC185" s="63">
        <f t="shared" si="19"/>
        <v>3.1185599999999998E-3</v>
      </c>
      <c r="AD185" s="62"/>
      <c r="AE185" s="62">
        <f t="shared" si="20"/>
        <v>4</v>
      </c>
      <c r="AF185" s="64" t="s">
        <v>1116</v>
      </c>
      <c r="AG185" s="49">
        <v>0.56999999999999995</v>
      </c>
    </row>
    <row r="186" spans="1:33" ht="34.5" customHeight="1" x14ac:dyDescent="0.3">
      <c r="A186" s="46">
        <v>453</v>
      </c>
      <c r="B186" s="46" t="s">
        <v>1117</v>
      </c>
      <c r="C186" s="46" t="s">
        <v>43</v>
      </c>
      <c r="D186" s="60">
        <v>2015</v>
      </c>
      <c r="E186" s="60"/>
      <c r="F186" s="46" t="s">
        <v>226</v>
      </c>
      <c r="G186" s="46" t="s">
        <v>159</v>
      </c>
      <c r="H186" s="46" t="s">
        <v>592</v>
      </c>
      <c r="I186" s="46" t="s">
        <v>169</v>
      </c>
      <c r="J186" s="46" t="s">
        <v>244</v>
      </c>
      <c r="K186" s="46" t="s">
        <v>68</v>
      </c>
      <c r="L186" s="46"/>
      <c r="M186" s="46"/>
      <c r="N186" s="46"/>
      <c r="O186" s="46"/>
      <c r="P186" s="46"/>
      <c r="Q186" s="46">
        <v>1</v>
      </c>
      <c r="R186" s="46">
        <v>1</v>
      </c>
      <c r="S186" s="46"/>
      <c r="T186" s="46"/>
      <c r="U186" s="46"/>
      <c r="V186" s="46"/>
      <c r="W186" s="46"/>
      <c r="X186" s="46"/>
      <c r="Y186" s="46"/>
      <c r="Z186" s="46" t="s">
        <v>1118</v>
      </c>
      <c r="AA186" s="61">
        <v>0.12</v>
      </c>
      <c r="AB186" s="62">
        <f>AA186/0.0045</f>
        <v>26.666666666666668</v>
      </c>
      <c r="AC186" s="63">
        <f t="shared" si="19"/>
        <v>2.0790400000000001E-2</v>
      </c>
      <c r="AD186" s="62"/>
      <c r="AE186" s="62">
        <f t="shared" si="20"/>
        <v>26.666666666666668</v>
      </c>
      <c r="AF186" s="64" t="s">
        <v>1119</v>
      </c>
      <c r="AG186" s="49">
        <v>0.3</v>
      </c>
    </row>
    <row r="187" spans="1:33" ht="34.5" customHeight="1" x14ac:dyDescent="0.3">
      <c r="A187" s="46">
        <v>461</v>
      </c>
      <c r="B187" s="46" t="s">
        <v>1120</v>
      </c>
      <c r="C187" s="46" t="s">
        <v>43</v>
      </c>
      <c r="D187" s="60">
        <v>2015</v>
      </c>
      <c r="E187" s="60"/>
      <c r="F187" s="46" t="s">
        <v>226</v>
      </c>
      <c r="G187" s="46" t="s">
        <v>159</v>
      </c>
      <c r="H187" s="46" t="s">
        <v>592</v>
      </c>
      <c r="I187" s="46" t="s">
        <v>169</v>
      </c>
      <c r="J187" s="46" t="s">
        <v>244</v>
      </c>
      <c r="K187" s="46" t="s">
        <v>68</v>
      </c>
      <c r="L187" s="46"/>
      <c r="M187" s="46"/>
      <c r="N187" s="46"/>
      <c r="O187" s="46"/>
      <c r="P187" s="46"/>
      <c r="Q187" s="46">
        <v>1</v>
      </c>
      <c r="R187" s="46"/>
      <c r="S187" s="46"/>
      <c r="T187" s="46"/>
      <c r="U187" s="46"/>
      <c r="V187" s="46"/>
      <c r="W187" s="46"/>
      <c r="X187" s="46"/>
      <c r="Y187" s="46"/>
      <c r="Z187" s="46"/>
      <c r="AA187" s="61"/>
      <c r="AB187" s="62"/>
      <c r="AC187" s="63"/>
      <c r="AD187" s="62"/>
      <c r="AE187" s="62">
        <f t="shared" si="20"/>
        <v>0</v>
      </c>
      <c r="AF187" s="64"/>
      <c r="AG187" s="49">
        <v>0.3</v>
      </c>
    </row>
    <row r="188" spans="1:33" ht="34.5" customHeight="1" x14ac:dyDescent="0.3">
      <c r="A188" s="46">
        <v>472</v>
      </c>
      <c r="B188" s="46" t="s">
        <v>1121</v>
      </c>
      <c r="C188" s="46" t="s">
        <v>34</v>
      </c>
      <c r="D188" s="60">
        <v>2017</v>
      </c>
      <c r="E188" s="60"/>
      <c r="F188" s="46" t="s">
        <v>226</v>
      </c>
      <c r="G188" s="46" t="s">
        <v>3</v>
      </c>
      <c r="H188" s="46"/>
      <c r="I188" s="46" t="s">
        <v>707</v>
      </c>
      <c r="J188" s="46"/>
      <c r="K188" s="46" t="s">
        <v>68</v>
      </c>
      <c r="L188" s="46"/>
      <c r="M188" s="46"/>
      <c r="N188" s="46"/>
      <c r="O188" s="46"/>
      <c r="P188" s="46"/>
      <c r="Q188" s="46">
        <v>1</v>
      </c>
      <c r="R188" s="46"/>
      <c r="S188" s="46"/>
      <c r="T188" s="46"/>
      <c r="U188" s="46"/>
      <c r="V188" s="46"/>
      <c r="W188" s="46"/>
      <c r="X188" s="46"/>
      <c r="Y188" s="46"/>
      <c r="Z188" s="46" t="s">
        <v>1122</v>
      </c>
      <c r="AA188" s="61">
        <f>AB188*0.0046</f>
        <v>0.13800000000000001</v>
      </c>
      <c r="AB188" s="62">
        <v>30</v>
      </c>
      <c r="AC188" s="63">
        <f t="shared" ref="AC188:AC197" si="21">AB188*H2dens*HoursInYear/10^6</f>
        <v>2.3389200000000002E-2</v>
      </c>
      <c r="AD188" s="62"/>
      <c r="AE188" s="62">
        <f t="shared" si="20"/>
        <v>30</v>
      </c>
      <c r="AF188" s="64" t="s">
        <v>1123</v>
      </c>
      <c r="AG188" s="49">
        <v>0.56999999999999995</v>
      </c>
    </row>
    <row r="189" spans="1:33" ht="34.5" customHeight="1" x14ac:dyDescent="0.3">
      <c r="A189" s="46">
        <v>477</v>
      </c>
      <c r="B189" s="46" t="s">
        <v>1124</v>
      </c>
      <c r="C189" s="46" t="s">
        <v>41</v>
      </c>
      <c r="D189" s="60">
        <v>2017</v>
      </c>
      <c r="E189" s="60"/>
      <c r="F189" s="46" t="s">
        <v>226</v>
      </c>
      <c r="G189" s="46" t="s">
        <v>3</v>
      </c>
      <c r="H189" s="46"/>
      <c r="I189" s="46" t="s">
        <v>707</v>
      </c>
      <c r="J189" s="46"/>
      <c r="K189" s="46" t="s">
        <v>68</v>
      </c>
      <c r="L189" s="46"/>
      <c r="M189" s="46"/>
      <c r="N189" s="46"/>
      <c r="O189" s="46"/>
      <c r="P189" s="46">
        <v>1</v>
      </c>
      <c r="Q189" s="46"/>
      <c r="R189" s="46">
        <v>1</v>
      </c>
      <c r="S189" s="46"/>
      <c r="T189" s="46"/>
      <c r="U189" s="46"/>
      <c r="V189" s="46"/>
      <c r="W189" s="46"/>
      <c r="X189" s="46"/>
      <c r="Y189" s="46"/>
      <c r="Z189" s="46" t="s">
        <v>1125</v>
      </c>
      <c r="AA189" s="61">
        <f>AB189*0.0046</f>
        <v>9.1999999999999998E-2</v>
      </c>
      <c r="AB189" s="62">
        <v>20</v>
      </c>
      <c r="AC189" s="63">
        <f t="shared" si="21"/>
        <v>1.5592799999999997E-2</v>
      </c>
      <c r="AD189" s="62"/>
      <c r="AE189" s="62">
        <f t="shared" si="20"/>
        <v>20</v>
      </c>
      <c r="AF189" s="64"/>
      <c r="AG189" s="49">
        <v>0.56999999999999995</v>
      </c>
    </row>
    <row r="190" spans="1:33" ht="34.5" customHeight="1" x14ac:dyDescent="0.3">
      <c r="A190" s="46">
        <v>487</v>
      </c>
      <c r="B190" s="46" t="s">
        <v>1126</v>
      </c>
      <c r="C190" s="46" t="s">
        <v>37</v>
      </c>
      <c r="D190" s="60">
        <v>2001</v>
      </c>
      <c r="E190" s="60"/>
      <c r="F190" s="46" t="s">
        <v>285</v>
      </c>
      <c r="G190" s="46" t="s">
        <v>3</v>
      </c>
      <c r="H190" s="46"/>
      <c r="I190" s="46" t="s">
        <v>707</v>
      </c>
      <c r="J190" s="46"/>
      <c r="K190" s="46" t="s">
        <v>68</v>
      </c>
      <c r="L190" s="46"/>
      <c r="M190" s="46"/>
      <c r="N190" s="46"/>
      <c r="O190" s="46"/>
      <c r="P190" s="46"/>
      <c r="Q190" s="46">
        <v>1</v>
      </c>
      <c r="R190" s="46"/>
      <c r="S190" s="46"/>
      <c r="T190" s="46"/>
      <c r="U190" s="46"/>
      <c r="V190" s="46"/>
      <c r="W190" s="46"/>
      <c r="X190" s="46"/>
      <c r="Y190" s="46"/>
      <c r="Z190" s="46" t="s">
        <v>1127</v>
      </c>
      <c r="AA190" s="61">
        <v>5.0000000000000001E-3</v>
      </c>
      <c r="AB190" s="62">
        <f>IF(OR(G190="ALK",G190="PEM",G190="SOEC",G190="Other Electrolysis"),
AA190/VLOOKUP(G190,ElectrolysisConvF,3,FALSE),
AC190*10^6/(H2dens*HoursInYear))</f>
        <v>1.0869565217391304</v>
      </c>
      <c r="AC190" s="63">
        <f t="shared" si="21"/>
        <v>8.4743478260869561E-4</v>
      </c>
      <c r="AD190" s="62"/>
      <c r="AE190" s="62">
        <f t="shared" si="20"/>
        <v>1.0869565217391304</v>
      </c>
      <c r="AF190" s="64" t="s">
        <v>1128</v>
      </c>
      <c r="AG190" s="49">
        <v>0.56999999999999995</v>
      </c>
    </row>
    <row r="191" spans="1:33" ht="34.5" customHeight="1" x14ac:dyDescent="0.3">
      <c r="A191" s="46">
        <v>491</v>
      </c>
      <c r="B191" s="46" t="s">
        <v>1129</v>
      </c>
      <c r="C191" s="46" t="s">
        <v>61</v>
      </c>
      <c r="D191" s="60">
        <v>2018</v>
      </c>
      <c r="E191" s="60"/>
      <c r="F191" s="46" t="s">
        <v>226</v>
      </c>
      <c r="G191" s="46" t="s">
        <v>3</v>
      </c>
      <c r="H191" s="46"/>
      <c r="I191" s="46" t="s">
        <v>707</v>
      </c>
      <c r="J191" s="46"/>
      <c r="K191" s="46" t="s">
        <v>68</v>
      </c>
      <c r="L191" s="46"/>
      <c r="M191" s="46"/>
      <c r="N191" s="46"/>
      <c r="O191" s="46"/>
      <c r="P191" s="46"/>
      <c r="Q191" s="46"/>
      <c r="R191" s="46">
        <v>1</v>
      </c>
      <c r="S191" s="46"/>
      <c r="T191" s="46"/>
      <c r="U191" s="46"/>
      <c r="V191" s="46"/>
      <c r="W191" s="46"/>
      <c r="X191" s="46"/>
      <c r="Y191" s="46"/>
      <c r="Z191" s="46" t="s">
        <v>1130</v>
      </c>
      <c r="AA191" s="61">
        <v>0.114</v>
      </c>
      <c r="AB191" s="62">
        <f>AA191/0.0046</f>
        <v>24.782608695652176</v>
      </c>
      <c r="AC191" s="63">
        <f t="shared" si="21"/>
        <v>1.9321513043478261E-2</v>
      </c>
      <c r="AD191" s="62"/>
      <c r="AE191" s="62">
        <f t="shared" si="20"/>
        <v>24.782608695652176</v>
      </c>
      <c r="AF191" s="64"/>
      <c r="AG191" s="49">
        <v>0.56999999999999995</v>
      </c>
    </row>
    <row r="192" spans="1:33" ht="34.5" customHeight="1" x14ac:dyDescent="0.3">
      <c r="A192" s="46">
        <v>492</v>
      </c>
      <c r="B192" s="46" t="s">
        <v>1131</v>
      </c>
      <c r="C192" s="46" t="s">
        <v>34</v>
      </c>
      <c r="D192" s="60">
        <v>2018</v>
      </c>
      <c r="E192" s="60"/>
      <c r="F192" s="46" t="s">
        <v>226</v>
      </c>
      <c r="G192" s="46" t="s">
        <v>3</v>
      </c>
      <c r="H192" s="46"/>
      <c r="I192" s="46" t="s">
        <v>707</v>
      </c>
      <c r="J192" s="46"/>
      <c r="K192" s="46" t="s">
        <v>68</v>
      </c>
      <c r="L192" s="46"/>
      <c r="M192" s="46"/>
      <c r="N192" s="46"/>
      <c r="O192" s="46"/>
      <c r="P192" s="46">
        <v>1</v>
      </c>
      <c r="Q192" s="46"/>
      <c r="R192" s="46"/>
      <c r="S192" s="46"/>
      <c r="T192" s="46"/>
      <c r="U192" s="46"/>
      <c r="V192" s="46"/>
      <c r="W192" s="46"/>
      <c r="X192" s="46"/>
      <c r="Y192" s="46"/>
      <c r="Z192" s="46" t="s">
        <v>1132</v>
      </c>
      <c r="AA192" s="61">
        <f>AB192*0.0046</f>
        <v>5.5199999999999999E-2</v>
      </c>
      <c r="AB192" s="62">
        <v>12</v>
      </c>
      <c r="AC192" s="63">
        <f t="shared" si="21"/>
        <v>9.3556799999999999E-3</v>
      </c>
      <c r="AD192" s="62"/>
      <c r="AE192" s="62">
        <f t="shared" si="20"/>
        <v>12</v>
      </c>
      <c r="AF192" s="64"/>
      <c r="AG192" s="49">
        <v>0.56999999999999995</v>
      </c>
    </row>
    <row r="193" spans="1:33" ht="34.5" customHeight="1" x14ac:dyDescent="0.3">
      <c r="A193" s="46">
        <v>494</v>
      </c>
      <c r="B193" s="46" t="s">
        <v>1133</v>
      </c>
      <c r="C193" s="46" t="s">
        <v>35</v>
      </c>
      <c r="D193" s="60">
        <v>2000</v>
      </c>
      <c r="E193" s="60"/>
      <c r="F193" s="46" t="s">
        <v>226</v>
      </c>
      <c r="G193" s="46" t="s">
        <v>3</v>
      </c>
      <c r="H193" s="46"/>
      <c r="I193" s="46" t="s">
        <v>166</v>
      </c>
      <c r="J193" s="46"/>
      <c r="K193" s="46" t="s">
        <v>68</v>
      </c>
      <c r="L193" s="46"/>
      <c r="M193" s="46"/>
      <c r="N193" s="46"/>
      <c r="O193" s="46"/>
      <c r="P193" s="46"/>
      <c r="Q193" s="46"/>
      <c r="R193" s="46">
        <v>1</v>
      </c>
      <c r="S193" s="46"/>
      <c r="T193" s="46"/>
      <c r="U193" s="46"/>
      <c r="V193" s="46"/>
      <c r="W193" s="46"/>
      <c r="X193" s="46"/>
      <c r="Y193" s="46"/>
      <c r="Z193" s="46" t="s">
        <v>925</v>
      </c>
      <c r="AA193" s="61">
        <v>0.05</v>
      </c>
      <c r="AB193" s="62">
        <f>AA193/0.0046</f>
        <v>10.869565217391305</v>
      </c>
      <c r="AC193" s="63">
        <f t="shared" si="21"/>
        <v>8.4743478260869559E-3</v>
      </c>
      <c r="AD193" s="62"/>
      <c r="AE193" s="62">
        <f t="shared" si="20"/>
        <v>10.869565217391305</v>
      </c>
      <c r="AF193" s="64" t="s">
        <v>1134</v>
      </c>
      <c r="AG193" s="49">
        <v>0.56999999999999995</v>
      </c>
    </row>
    <row r="194" spans="1:33" ht="34.5" customHeight="1" x14ac:dyDescent="0.3">
      <c r="A194" s="46">
        <v>497</v>
      </c>
      <c r="B194" s="46" t="s">
        <v>1135</v>
      </c>
      <c r="C194" s="46" t="s">
        <v>203</v>
      </c>
      <c r="D194" s="60">
        <v>2019</v>
      </c>
      <c r="E194" s="60"/>
      <c r="F194" s="46" t="s">
        <v>285</v>
      </c>
      <c r="G194" s="46" t="s">
        <v>2</v>
      </c>
      <c r="H194" s="46"/>
      <c r="I194" s="46" t="s">
        <v>707</v>
      </c>
      <c r="J194" s="46"/>
      <c r="K194" s="46" t="s">
        <v>68</v>
      </c>
      <c r="L194" s="46"/>
      <c r="M194" s="46"/>
      <c r="N194" s="46"/>
      <c r="O194" s="46"/>
      <c r="P194" s="46">
        <v>1</v>
      </c>
      <c r="Q194" s="46"/>
      <c r="R194" s="46"/>
      <c r="S194" s="46"/>
      <c r="T194" s="46"/>
      <c r="U194" s="46"/>
      <c r="V194" s="46"/>
      <c r="W194" s="46"/>
      <c r="X194" s="46"/>
      <c r="Y194" s="46"/>
      <c r="Z194" s="46" t="s">
        <v>1136</v>
      </c>
      <c r="AA194" s="61">
        <v>0.18</v>
      </c>
      <c r="AB194" s="62">
        <v>50</v>
      </c>
      <c r="AC194" s="63">
        <f t="shared" si="21"/>
        <v>3.8982000000000003E-2</v>
      </c>
      <c r="AD194" s="62"/>
      <c r="AE194" s="62">
        <f t="shared" si="20"/>
        <v>50</v>
      </c>
      <c r="AF194" s="64" t="s">
        <v>1137</v>
      </c>
      <c r="AG194" s="49">
        <v>0.56999999999999995</v>
      </c>
    </row>
    <row r="195" spans="1:33" ht="34.5" customHeight="1" x14ac:dyDescent="0.3">
      <c r="A195" s="46">
        <v>498</v>
      </c>
      <c r="B195" s="46" t="s">
        <v>1138</v>
      </c>
      <c r="C195" s="46" t="s">
        <v>49</v>
      </c>
      <c r="D195" s="60">
        <v>2014</v>
      </c>
      <c r="E195" s="60">
        <v>2017</v>
      </c>
      <c r="F195" s="46" t="s">
        <v>285</v>
      </c>
      <c r="G195" s="46" t="s">
        <v>3</v>
      </c>
      <c r="H195" s="46"/>
      <c r="I195" s="46" t="s">
        <v>707</v>
      </c>
      <c r="J195" s="46"/>
      <c r="K195" s="46" t="s">
        <v>72</v>
      </c>
      <c r="L195" s="46"/>
      <c r="M195" s="46"/>
      <c r="N195" s="46"/>
      <c r="O195" s="46"/>
      <c r="P195" s="46"/>
      <c r="Q195" s="46"/>
      <c r="R195" s="46"/>
      <c r="S195" s="46"/>
      <c r="T195" s="46"/>
      <c r="U195" s="46"/>
      <c r="V195" s="46"/>
      <c r="W195" s="46"/>
      <c r="X195" s="46">
        <v>1</v>
      </c>
      <c r="Y195" s="46"/>
      <c r="Z195" s="46" t="s">
        <v>1139</v>
      </c>
      <c r="AA195" s="61">
        <v>1.2</v>
      </c>
      <c r="AB195" s="62">
        <v>200</v>
      </c>
      <c r="AC195" s="63">
        <f t="shared" si="21"/>
        <v>0.15592800000000001</v>
      </c>
      <c r="AD195" s="62"/>
      <c r="AE195" s="62">
        <f t="shared" si="20"/>
        <v>200</v>
      </c>
      <c r="AF195" s="64" t="s">
        <v>1140</v>
      </c>
      <c r="AG195" s="49">
        <v>0.56999999999999995</v>
      </c>
    </row>
    <row r="196" spans="1:33" ht="34.5" customHeight="1" x14ac:dyDescent="0.3">
      <c r="A196" s="46">
        <v>499</v>
      </c>
      <c r="B196" s="46" t="s">
        <v>1141</v>
      </c>
      <c r="C196" s="46" t="s">
        <v>58</v>
      </c>
      <c r="D196" s="60">
        <v>2021</v>
      </c>
      <c r="E196" s="60"/>
      <c r="F196" s="46" t="s">
        <v>226</v>
      </c>
      <c r="G196" s="46" t="s">
        <v>3</v>
      </c>
      <c r="H196" s="46"/>
      <c r="I196" s="46" t="s">
        <v>169</v>
      </c>
      <c r="J196" s="46" t="s">
        <v>247</v>
      </c>
      <c r="K196" s="46" t="s">
        <v>68</v>
      </c>
      <c r="L196" s="46"/>
      <c r="M196" s="46"/>
      <c r="N196" s="46"/>
      <c r="O196" s="46"/>
      <c r="P196" s="46"/>
      <c r="Q196" s="46"/>
      <c r="R196" s="46">
        <v>1</v>
      </c>
      <c r="S196" s="46"/>
      <c r="T196" s="46"/>
      <c r="U196" s="46"/>
      <c r="V196" s="46"/>
      <c r="W196" s="46"/>
      <c r="X196" s="46"/>
      <c r="Y196" s="46"/>
      <c r="Z196" s="46" t="s">
        <v>795</v>
      </c>
      <c r="AA196" s="61">
        <v>2.5000000000000001E-2</v>
      </c>
      <c r="AB196" s="62">
        <f>IF(OR(G196="ALK",G196="PEM",G196="SOEC",G196="Other Electrolysis"),
AA196/VLOOKUP(G196,ElectrolysisConvF,3,FALSE),
AC196*10^6/(H2dens*HoursInYear))</f>
        <v>5.4347826086956523</v>
      </c>
      <c r="AC196" s="63">
        <f t="shared" si="21"/>
        <v>4.237173913043478E-3</v>
      </c>
      <c r="AD196" s="62"/>
      <c r="AE196" s="62">
        <f t="shared" si="20"/>
        <v>5.4347826086956523</v>
      </c>
      <c r="AF196" s="64" t="s">
        <v>1142</v>
      </c>
      <c r="AG196" s="49">
        <v>0.8</v>
      </c>
    </row>
    <row r="197" spans="1:33" ht="34.5" customHeight="1" x14ac:dyDescent="0.3">
      <c r="A197" s="46">
        <v>500</v>
      </c>
      <c r="B197" s="46" t="s">
        <v>1143</v>
      </c>
      <c r="C197" s="46" t="s">
        <v>321</v>
      </c>
      <c r="D197" s="60">
        <v>2023</v>
      </c>
      <c r="E197" s="60"/>
      <c r="F197" s="46" t="s">
        <v>226</v>
      </c>
      <c r="G197" s="46" t="s">
        <v>3</v>
      </c>
      <c r="H197" s="46"/>
      <c r="I197" s="46" t="s">
        <v>169</v>
      </c>
      <c r="J197" s="46" t="s">
        <v>248</v>
      </c>
      <c r="K197" s="46" t="s">
        <v>68</v>
      </c>
      <c r="L197" s="46"/>
      <c r="M197" s="46"/>
      <c r="N197" s="46"/>
      <c r="O197" s="46"/>
      <c r="P197" s="46"/>
      <c r="Q197" s="46"/>
      <c r="R197" s="46">
        <v>1</v>
      </c>
      <c r="S197" s="46"/>
      <c r="T197" s="46"/>
      <c r="U197" s="46"/>
      <c r="V197" s="46"/>
      <c r="W197" s="46"/>
      <c r="X197" s="46"/>
      <c r="Y197" s="46"/>
      <c r="Z197" s="46" t="s">
        <v>1144</v>
      </c>
      <c r="AA197" s="61">
        <v>0.08</v>
      </c>
      <c r="AB197" s="62">
        <f>IF(OR(G197="ALK",G197="PEM",G197="SOEC",G197="Other Electrolysis"),
AA197/VLOOKUP(G197,ElectrolysisConvF,3,FALSE),
AC197*10^6/(H2dens*HoursInYear))</f>
        <v>17.391304347826086</v>
      </c>
      <c r="AC197" s="63">
        <f t="shared" si="21"/>
        <v>1.355895652173913E-2</v>
      </c>
      <c r="AD197" s="62"/>
      <c r="AE197" s="62">
        <f t="shared" si="20"/>
        <v>17.391304347826086</v>
      </c>
      <c r="AF197" s="64" t="s">
        <v>736</v>
      </c>
      <c r="AG197" s="49">
        <v>0.5</v>
      </c>
    </row>
    <row r="198" spans="1:33" ht="34.5" customHeight="1" x14ac:dyDescent="0.3">
      <c r="A198" s="46">
        <v>501</v>
      </c>
      <c r="B198" s="46" t="s">
        <v>1145</v>
      </c>
      <c r="C198" s="46" t="s">
        <v>553</v>
      </c>
      <c r="D198" s="60">
        <v>2030</v>
      </c>
      <c r="E198" s="60"/>
      <c r="F198" s="46" t="s">
        <v>225</v>
      </c>
      <c r="G198" s="46" t="s">
        <v>159</v>
      </c>
      <c r="H198" s="46" t="s">
        <v>592</v>
      </c>
      <c r="I198" s="46" t="s">
        <v>169</v>
      </c>
      <c r="J198" s="46" t="s">
        <v>248</v>
      </c>
      <c r="K198" s="46" t="s">
        <v>141</v>
      </c>
      <c r="L198" s="46"/>
      <c r="M198" s="46">
        <v>1</v>
      </c>
      <c r="N198" s="46"/>
      <c r="O198" s="46"/>
      <c r="P198" s="46"/>
      <c r="Q198" s="46"/>
      <c r="R198" s="46"/>
      <c r="S198" s="46"/>
      <c r="T198" s="46"/>
      <c r="U198" s="46"/>
      <c r="V198" s="46"/>
      <c r="W198" s="46"/>
      <c r="X198" s="46"/>
      <c r="Y198" s="46"/>
      <c r="Z198" s="46"/>
      <c r="AA198" s="62"/>
      <c r="AB198" s="62"/>
      <c r="AC198" s="63"/>
      <c r="AD198" s="62"/>
      <c r="AE198" s="62">
        <f t="shared" si="20"/>
        <v>0</v>
      </c>
      <c r="AF198" s="64" t="s">
        <v>1146</v>
      </c>
      <c r="AG198" s="49">
        <v>0.5</v>
      </c>
    </row>
    <row r="199" spans="1:33" ht="34.5" customHeight="1" x14ac:dyDescent="0.3">
      <c r="A199" s="46">
        <v>502</v>
      </c>
      <c r="B199" s="46" t="s">
        <v>1147</v>
      </c>
      <c r="C199" s="46" t="s">
        <v>52</v>
      </c>
      <c r="D199" s="60">
        <v>2021</v>
      </c>
      <c r="E199" s="60"/>
      <c r="F199" s="46" t="s">
        <v>226</v>
      </c>
      <c r="G199" s="46" t="s">
        <v>1</v>
      </c>
      <c r="H199" s="46"/>
      <c r="I199" s="46" t="s">
        <v>707</v>
      </c>
      <c r="J199" s="46"/>
      <c r="K199" s="46" t="s">
        <v>68</v>
      </c>
      <c r="L199" s="46"/>
      <c r="M199" s="46"/>
      <c r="N199" s="46"/>
      <c r="O199" s="46"/>
      <c r="P199" s="46"/>
      <c r="Q199" s="46">
        <v>1</v>
      </c>
      <c r="R199" s="46"/>
      <c r="S199" s="46"/>
      <c r="T199" s="46"/>
      <c r="U199" s="46"/>
      <c r="V199" s="46"/>
      <c r="W199" s="46"/>
      <c r="X199" s="46"/>
      <c r="Y199" s="46"/>
      <c r="Z199" s="46" t="s">
        <v>708</v>
      </c>
      <c r="AA199" s="61">
        <v>1</v>
      </c>
      <c r="AB199" s="62">
        <f>AA199/0.0052</f>
        <v>192.30769230769232</v>
      </c>
      <c r="AC199" s="63">
        <f>AB199*H2dens*HoursInYear/10^6</f>
        <v>0.14993076923076926</v>
      </c>
      <c r="AD199" s="62"/>
      <c r="AE199" s="62">
        <f t="shared" si="20"/>
        <v>192.30769230769232</v>
      </c>
      <c r="AF199" s="64" t="s">
        <v>1148</v>
      </c>
      <c r="AG199" s="49">
        <v>0.56999999999999995</v>
      </c>
    </row>
    <row r="200" spans="1:33" ht="34.5" customHeight="1" x14ac:dyDescent="0.3">
      <c r="A200" s="46">
        <v>503</v>
      </c>
      <c r="B200" s="46" t="s">
        <v>1149</v>
      </c>
      <c r="C200" s="46" t="s">
        <v>49</v>
      </c>
      <c r="D200" s="60">
        <v>2013</v>
      </c>
      <c r="E200" s="60">
        <v>2017</v>
      </c>
      <c r="F200" s="46" t="s">
        <v>285</v>
      </c>
      <c r="G200" s="46" t="s">
        <v>2</v>
      </c>
      <c r="H200" s="46"/>
      <c r="I200" s="46" t="s">
        <v>707</v>
      </c>
      <c r="J200" s="46"/>
      <c r="K200" s="46" t="s">
        <v>72</v>
      </c>
      <c r="L200" s="46"/>
      <c r="M200" s="46"/>
      <c r="N200" s="46"/>
      <c r="O200" s="46"/>
      <c r="P200" s="46"/>
      <c r="Q200" s="46"/>
      <c r="R200" s="46"/>
      <c r="S200" s="46"/>
      <c r="T200" s="46"/>
      <c r="U200" s="46"/>
      <c r="V200" s="46"/>
      <c r="W200" s="46"/>
      <c r="X200" s="46">
        <v>1</v>
      </c>
      <c r="Y200" s="46"/>
      <c r="Z200" s="46" t="s">
        <v>898</v>
      </c>
      <c r="AA200" s="61">
        <f>AB200*0.0038</f>
        <v>3.7999999999999999E-2</v>
      </c>
      <c r="AB200" s="62">
        <v>10</v>
      </c>
      <c r="AC200" s="63">
        <f>AB200*H2dens*HoursInYear/10^6</f>
        <v>7.7963999999999985E-3</v>
      </c>
      <c r="AD200" s="62"/>
      <c r="AE200" s="62">
        <f t="shared" si="20"/>
        <v>10</v>
      </c>
      <c r="AF200" s="64" t="s">
        <v>1150</v>
      </c>
      <c r="AG200" s="49">
        <v>0.56999999999999995</v>
      </c>
    </row>
    <row r="201" spans="1:33" ht="34.5" customHeight="1" x14ac:dyDescent="0.3">
      <c r="A201" s="46">
        <v>504</v>
      </c>
      <c r="B201" s="46" t="s">
        <v>1151</v>
      </c>
      <c r="C201" s="46" t="s">
        <v>49</v>
      </c>
      <c r="D201" s="60">
        <v>2015</v>
      </c>
      <c r="E201" s="60">
        <v>2016</v>
      </c>
      <c r="F201" s="46" t="s">
        <v>285</v>
      </c>
      <c r="G201" s="46" t="s">
        <v>3</v>
      </c>
      <c r="H201" s="46"/>
      <c r="I201" s="46" t="s">
        <v>707</v>
      </c>
      <c r="J201" s="46"/>
      <c r="K201" s="46" t="s">
        <v>72</v>
      </c>
      <c r="L201" s="46"/>
      <c r="M201" s="46"/>
      <c r="N201" s="46"/>
      <c r="O201" s="46"/>
      <c r="P201" s="46"/>
      <c r="Q201" s="46"/>
      <c r="R201" s="46"/>
      <c r="S201" s="46"/>
      <c r="T201" s="46"/>
      <c r="U201" s="46"/>
      <c r="V201" s="46"/>
      <c r="W201" s="46"/>
      <c r="X201" s="46">
        <v>1</v>
      </c>
      <c r="Y201" s="46"/>
      <c r="Z201" s="46" t="s">
        <v>938</v>
      </c>
      <c r="AA201" s="61">
        <v>0.5</v>
      </c>
      <c r="AB201" s="62">
        <f>IF(OR(G201="ALK",G201="PEM",G201="SOEC",G201="Other Electrolysis"),
AA201/VLOOKUP(G201,ElectrolysisConvF,3,FALSE),
AC201*10^6/(H2dens*HoursInYear))</f>
        <v>108.69565217391305</v>
      </c>
      <c r="AC201" s="63">
        <f t="shared" ref="AC201" si="22">AB201*H2dens*HoursInYear/10^6</f>
        <v>8.4743478260869559E-2</v>
      </c>
      <c r="AD201" s="62"/>
      <c r="AE201" s="62">
        <f t="shared" si="20"/>
        <v>108.69565217391305</v>
      </c>
      <c r="AF201" s="64" t="s">
        <v>1152</v>
      </c>
      <c r="AG201" s="49">
        <v>0.56999999999999995</v>
      </c>
    </row>
    <row r="202" spans="1:33" ht="34.5" customHeight="1" x14ac:dyDescent="0.3">
      <c r="A202" s="46">
        <v>505</v>
      </c>
      <c r="B202" s="46" t="s">
        <v>1153</v>
      </c>
      <c r="C202" s="46" t="s">
        <v>49</v>
      </c>
      <c r="D202" s="60">
        <v>2013</v>
      </c>
      <c r="E202" s="60"/>
      <c r="F202" s="46" t="s">
        <v>226</v>
      </c>
      <c r="G202" s="46" t="s">
        <v>3</v>
      </c>
      <c r="H202" s="46"/>
      <c r="I202" s="46" t="s">
        <v>166</v>
      </c>
      <c r="J202" s="46"/>
      <c r="K202" s="46" t="s">
        <v>68</v>
      </c>
      <c r="L202" s="46"/>
      <c r="M202" s="46"/>
      <c r="N202" s="46"/>
      <c r="O202" s="46"/>
      <c r="P202" s="46"/>
      <c r="Q202" s="46">
        <v>1</v>
      </c>
      <c r="R202" s="46"/>
      <c r="S202" s="46"/>
      <c r="T202" s="46"/>
      <c r="U202" s="46"/>
      <c r="V202" s="46"/>
      <c r="W202" s="46"/>
      <c r="X202" s="46"/>
      <c r="Y202" s="46"/>
      <c r="Z202" s="46" t="s">
        <v>973</v>
      </c>
      <c r="AA202" s="61">
        <f>AB202*0.0046</f>
        <v>0.43071161048689133</v>
      </c>
      <c r="AB202" s="62">
        <f>AC202/(0.089*24*365/10^6)</f>
        <v>93.63295880149812</v>
      </c>
      <c r="AC202" s="63">
        <v>7.2999999999999995E-2</v>
      </c>
      <c r="AD202" s="62"/>
      <c r="AE202" s="62">
        <f t="shared" si="20"/>
        <v>93.63295880149812</v>
      </c>
      <c r="AF202" s="66" t="s">
        <v>974</v>
      </c>
      <c r="AG202" s="49">
        <v>0.56999999999999995</v>
      </c>
    </row>
    <row r="203" spans="1:33" ht="34.5" customHeight="1" x14ac:dyDescent="0.3">
      <c r="A203" s="46">
        <v>506</v>
      </c>
      <c r="B203" s="46" t="s">
        <v>1154</v>
      </c>
      <c r="C203" s="46" t="s">
        <v>49</v>
      </c>
      <c r="D203" s="60">
        <v>2013</v>
      </c>
      <c r="E203" s="60"/>
      <c r="F203" s="46" t="s">
        <v>226</v>
      </c>
      <c r="G203" s="46" t="s">
        <v>3</v>
      </c>
      <c r="H203" s="46"/>
      <c r="I203" s="46" t="s">
        <v>166</v>
      </c>
      <c r="J203" s="46"/>
      <c r="K203" s="46" t="s">
        <v>68</v>
      </c>
      <c r="L203" s="46"/>
      <c r="M203" s="46"/>
      <c r="N203" s="46"/>
      <c r="O203" s="46"/>
      <c r="P203" s="46"/>
      <c r="Q203" s="46">
        <v>1</v>
      </c>
      <c r="R203" s="46"/>
      <c r="S203" s="46"/>
      <c r="T203" s="46"/>
      <c r="U203" s="46"/>
      <c r="V203" s="46"/>
      <c r="W203" s="46"/>
      <c r="X203" s="46"/>
      <c r="Y203" s="46"/>
      <c r="Z203" s="46" t="s">
        <v>973</v>
      </c>
      <c r="AA203" s="61">
        <f>AB203*0.0046</f>
        <v>0.43071161048689133</v>
      </c>
      <c r="AB203" s="62">
        <f>AC203/(0.089*24*365/10^6)</f>
        <v>93.63295880149812</v>
      </c>
      <c r="AC203" s="63">
        <v>7.2999999999999995E-2</v>
      </c>
      <c r="AD203" s="62"/>
      <c r="AE203" s="62">
        <f t="shared" si="20"/>
        <v>93.63295880149812</v>
      </c>
      <c r="AF203" s="66" t="s">
        <v>974</v>
      </c>
      <c r="AG203" s="49">
        <v>0.56999999999999995</v>
      </c>
    </row>
    <row r="204" spans="1:33" ht="34.5" customHeight="1" x14ac:dyDescent="0.3">
      <c r="A204" s="46">
        <v>507</v>
      </c>
      <c r="B204" s="46" t="s">
        <v>1155</v>
      </c>
      <c r="C204" s="46" t="s">
        <v>49</v>
      </c>
      <c r="D204" s="60">
        <v>2013</v>
      </c>
      <c r="E204" s="60"/>
      <c r="F204" s="46" t="s">
        <v>226</v>
      </c>
      <c r="G204" s="46" t="s">
        <v>3</v>
      </c>
      <c r="H204" s="46"/>
      <c r="I204" s="46" t="s">
        <v>166</v>
      </c>
      <c r="J204" s="46"/>
      <c r="K204" s="46" t="s">
        <v>68</v>
      </c>
      <c r="L204" s="46"/>
      <c r="M204" s="46"/>
      <c r="N204" s="46"/>
      <c r="O204" s="46"/>
      <c r="P204" s="46"/>
      <c r="Q204" s="46">
        <v>1</v>
      </c>
      <c r="R204" s="46"/>
      <c r="S204" s="46"/>
      <c r="T204" s="46"/>
      <c r="U204" s="46"/>
      <c r="V204" s="46"/>
      <c r="W204" s="46"/>
      <c r="X204" s="46"/>
      <c r="Y204" s="46"/>
      <c r="Z204" s="46" t="s">
        <v>1156</v>
      </c>
      <c r="AA204" s="61">
        <f>AB204*0.0046</f>
        <v>1.292134831460674</v>
      </c>
      <c r="AB204" s="62">
        <f>AC204/(0.089*24*365/10^6)</f>
        <v>280.89887640449433</v>
      </c>
      <c r="AC204" s="63">
        <f>3*0.073</f>
        <v>0.21899999999999997</v>
      </c>
      <c r="AD204" s="62"/>
      <c r="AE204" s="62">
        <f t="shared" si="20"/>
        <v>280.89887640449433</v>
      </c>
      <c r="AF204" s="66" t="s">
        <v>974</v>
      </c>
      <c r="AG204" s="49">
        <v>0.56999999999999995</v>
      </c>
    </row>
    <row r="205" spans="1:33" ht="34.5" customHeight="1" x14ac:dyDescent="0.3">
      <c r="A205" s="46">
        <v>508</v>
      </c>
      <c r="B205" s="46" t="s">
        <v>1157</v>
      </c>
      <c r="C205" s="46" t="s">
        <v>321</v>
      </c>
      <c r="D205" s="60">
        <v>2027</v>
      </c>
      <c r="E205" s="60"/>
      <c r="F205" s="46" t="s">
        <v>225</v>
      </c>
      <c r="G205" s="46" t="s">
        <v>159</v>
      </c>
      <c r="H205" s="46" t="s">
        <v>592</v>
      </c>
      <c r="I205" s="46" t="s">
        <v>169</v>
      </c>
      <c r="J205" s="46" t="s">
        <v>244</v>
      </c>
      <c r="K205" s="46" t="s">
        <v>141</v>
      </c>
      <c r="L205" s="46"/>
      <c r="M205" s="46">
        <v>1</v>
      </c>
      <c r="N205" s="46"/>
      <c r="O205" s="46"/>
      <c r="P205" s="46"/>
      <c r="Q205" s="46"/>
      <c r="R205" s="46"/>
      <c r="S205" s="46"/>
      <c r="T205" s="46"/>
      <c r="U205" s="46"/>
      <c r="V205" s="46"/>
      <c r="W205" s="46"/>
      <c r="X205" s="46"/>
      <c r="Y205" s="46"/>
      <c r="Z205" s="46" t="s">
        <v>1158</v>
      </c>
      <c r="AA205" s="61">
        <v>210</v>
      </c>
      <c r="AB205" s="62">
        <f>AA205/0.0045</f>
        <v>46666.666666666672</v>
      </c>
      <c r="AC205" s="63">
        <f>AB205*H2dens*HoursInYear/10^6</f>
        <v>36.383200000000009</v>
      </c>
      <c r="AD205" s="62"/>
      <c r="AE205" s="62">
        <f t="shared" si="20"/>
        <v>46666.666666666672</v>
      </c>
      <c r="AF205" s="66" t="s">
        <v>1159</v>
      </c>
      <c r="AG205" s="49">
        <v>0.3</v>
      </c>
    </row>
    <row r="206" spans="1:33" ht="34.5" customHeight="1" x14ac:dyDescent="0.3">
      <c r="A206" s="46">
        <v>510</v>
      </c>
      <c r="B206" s="46" t="s">
        <v>1160</v>
      </c>
      <c r="C206" s="46" t="s">
        <v>52</v>
      </c>
      <c r="D206" s="60">
        <v>2025</v>
      </c>
      <c r="E206" s="60"/>
      <c r="F206" s="46" t="s">
        <v>225</v>
      </c>
      <c r="G206" s="46" t="s">
        <v>159</v>
      </c>
      <c r="H206" s="46" t="s">
        <v>592</v>
      </c>
      <c r="I206" s="46" t="s">
        <v>169</v>
      </c>
      <c r="J206" s="46" t="s">
        <v>246</v>
      </c>
      <c r="K206" s="46" t="s">
        <v>68</v>
      </c>
      <c r="L206" s="46"/>
      <c r="M206" s="46"/>
      <c r="N206" s="46"/>
      <c r="O206" s="46"/>
      <c r="P206" s="46"/>
      <c r="Q206" s="46">
        <v>1</v>
      </c>
      <c r="R206" s="46"/>
      <c r="S206" s="46">
        <v>1</v>
      </c>
      <c r="T206" s="46"/>
      <c r="U206" s="46"/>
      <c r="V206" s="46"/>
      <c r="W206" s="46"/>
      <c r="X206" s="46"/>
      <c r="Y206" s="46"/>
      <c r="Z206" s="46" t="s">
        <v>1161</v>
      </c>
      <c r="AA206" s="61">
        <v>25</v>
      </c>
      <c r="AB206" s="62">
        <f>AA206/0.0045</f>
        <v>5555.5555555555557</v>
      </c>
      <c r="AC206" s="63">
        <f>AB206*H2dens*HoursInYear/10^6</f>
        <v>4.3313333333333333</v>
      </c>
      <c r="AD206" s="62"/>
      <c r="AE206" s="62">
        <f>AB206</f>
        <v>5555.5555555555557</v>
      </c>
      <c r="AF206" s="64"/>
      <c r="AG206" s="49">
        <v>0.55000000000000004</v>
      </c>
    </row>
    <row r="207" spans="1:33" ht="34.5" customHeight="1" x14ac:dyDescent="0.3">
      <c r="A207" s="46">
        <v>513</v>
      </c>
      <c r="B207" s="46" t="s">
        <v>1162</v>
      </c>
      <c r="C207" s="46" t="s">
        <v>52</v>
      </c>
      <c r="D207" s="60"/>
      <c r="E207" s="60"/>
      <c r="F207" s="46" t="s">
        <v>225</v>
      </c>
      <c r="G207" s="46" t="s">
        <v>159</v>
      </c>
      <c r="H207" s="46" t="s">
        <v>592</v>
      </c>
      <c r="I207" s="46" t="s">
        <v>169</v>
      </c>
      <c r="J207" s="46" t="s">
        <v>248</v>
      </c>
      <c r="K207" s="46" t="s">
        <v>68</v>
      </c>
      <c r="L207" s="46"/>
      <c r="M207" s="46"/>
      <c r="N207" s="46"/>
      <c r="O207" s="46"/>
      <c r="P207" s="46"/>
      <c r="Q207" s="46">
        <v>1</v>
      </c>
      <c r="R207" s="46"/>
      <c r="S207" s="46"/>
      <c r="T207" s="46"/>
      <c r="U207" s="46"/>
      <c r="V207" s="46"/>
      <c r="W207" s="46"/>
      <c r="X207" s="46"/>
      <c r="Y207" s="46"/>
      <c r="Z207" s="46"/>
      <c r="AA207" s="61"/>
      <c r="AB207" s="62"/>
      <c r="AC207" s="63"/>
      <c r="AD207" s="62"/>
      <c r="AE207" s="62">
        <f>AB207</f>
        <v>0</v>
      </c>
      <c r="AF207" s="64" t="s">
        <v>1163</v>
      </c>
      <c r="AG207" s="49">
        <v>0.5</v>
      </c>
    </row>
    <row r="208" spans="1:33" ht="34.5" customHeight="1" x14ac:dyDescent="0.3">
      <c r="A208" s="46">
        <v>514</v>
      </c>
      <c r="B208" s="46" t="s">
        <v>1164</v>
      </c>
      <c r="C208" s="46" t="s">
        <v>52</v>
      </c>
      <c r="D208" s="60">
        <v>2024</v>
      </c>
      <c r="E208" s="60"/>
      <c r="F208" s="46" t="s">
        <v>225</v>
      </c>
      <c r="G208" s="46" t="s">
        <v>159</v>
      </c>
      <c r="H208" s="46" t="s">
        <v>592</v>
      </c>
      <c r="I208" s="46" t="s">
        <v>169</v>
      </c>
      <c r="J208" s="46" t="s">
        <v>248</v>
      </c>
      <c r="K208" s="46" t="s">
        <v>140</v>
      </c>
      <c r="L208" s="46"/>
      <c r="M208" s="46"/>
      <c r="N208" s="46">
        <v>1</v>
      </c>
      <c r="O208" s="46"/>
      <c r="P208" s="46"/>
      <c r="Q208" s="46"/>
      <c r="R208" s="46"/>
      <c r="S208" s="46"/>
      <c r="T208" s="46"/>
      <c r="U208" s="46"/>
      <c r="V208" s="46"/>
      <c r="W208" s="46"/>
      <c r="X208" s="46"/>
      <c r="Y208" s="46"/>
      <c r="Z208" s="46" t="s">
        <v>1165</v>
      </c>
      <c r="AA208" s="61">
        <v>10</v>
      </c>
      <c r="AB208" s="62">
        <f>AC208/(0.089*24*365/10^6)</f>
        <v>1963.2343132727924</v>
      </c>
      <c r="AC208" s="63">
        <f>8*0.191327</f>
        <v>1.530616</v>
      </c>
      <c r="AD208" s="62"/>
      <c r="AE208" s="62">
        <f>AB208</f>
        <v>1963.2343132727924</v>
      </c>
      <c r="AF208" s="64" t="s">
        <v>1166</v>
      </c>
      <c r="AG208" s="49">
        <v>0.5</v>
      </c>
    </row>
    <row r="209" spans="1:33" ht="34.5" customHeight="1" x14ac:dyDescent="0.3">
      <c r="A209" s="46">
        <v>516</v>
      </c>
      <c r="B209" s="46" t="s">
        <v>1167</v>
      </c>
      <c r="C209" s="46" t="s">
        <v>49</v>
      </c>
      <c r="D209" s="60">
        <v>2024</v>
      </c>
      <c r="E209" s="60"/>
      <c r="F209" s="46" t="s">
        <v>675</v>
      </c>
      <c r="G209" s="46" t="s">
        <v>159</v>
      </c>
      <c r="H209" s="46" t="s">
        <v>592</v>
      </c>
      <c r="I209" s="46" t="s">
        <v>169</v>
      </c>
      <c r="J209" s="46" t="s">
        <v>248</v>
      </c>
      <c r="K209" s="46" t="s">
        <v>68</v>
      </c>
      <c r="L209" s="46"/>
      <c r="M209" s="46"/>
      <c r="N209" s="46"/>
      <c r="O209" s="46"/>
      <c r="P209" s="46"/>
      <c r="Q209" s="46">
        <v>1</v>
      </c>
      <c r="R209" s="46"/>
      <c r="S209" s="46"/>
      <c r="T209" s="46"/>
      <c r="U209" s="46"/>
      <c r="V209" s="46"/>
      <c r="W209" s="46"/>
      <c r="X209" s="46"/>
      <c r="Y209" s="46"/>
      <c r="Z209" s="46" t="s">
        <v>1168</v>
      </c>
      <c r="AA209" s="61">
        <v>10</v>
      </c>
      <c r="AB209" s="62">
        <f>AA209/0.0045</f>
        <v>2222.2222222222222</v>
      </c>
      <c r="AC209" s="63">
        <f>AB209*H2dens*HoursInYear/10^6</f>
        <v>1.7325333333333333</v>
      </c>
      <c r="AD209" s="62"/>
      <c r="AE209" s="62">
        <f t="shared" ref="AE209:AE232" si="23">AB209</f>
        <v>2222.2222222222222</v>
      </c>
      <c r="AF209" s="64" t="s">
        <v>1169</v>
      </c>
      <c r="AG209" s="49">
        <v>0.5</v>
      </c>
    </row>
    <row r="210" spans="1:33" ht="34.5" customHeight="1" x14ac:dyDescent="0.3">
      <c r="A210" s="46">
        <v>517</v>
      </c>
      <c r="B210" s="46" t="s">
        <v>1170</v>
      </c>
      <c r="C210" s="46" t="s">
        <v>50</v>
      </c>
      <c r="D210" s="60">
        <v>2021</v>
      </c>
      <c r="E210" s="60"/>
      <c r="F210" s="46" t="s">
        <v>226</v>
      </c>
      <c r="G210" s="46" t="s">
        <v>1</v>
      </c>
      <c r="H210" s="46"/>
      <c r="I210" s="46" t="s">
        <v>169</v>
      </c>
      <c r="J210" s="46" t="s">
        <v>244</v>
      </c>
      <c r="K210" s="46" t="s">
        <v>68</v>
      </c>
      <c r="L210" s="46"/>
      <c r="M210" s="46"/>
      <c r="N210" s="46"/>
      <c r="O210" s="46"/>
      <c r="P210" s="46">
        <v>1</v>
      </c>
      <c r="Q210" s="46">
        <v>1</v>
      </c>
      <c r="R210" s="46"/>
      <c r="S210" s="46"/>
      <c r="T210" s="46"/>
      <c r="U210" s="46"/>
      <c r="V210" s="46"/>
      <c r="W210" s="46"/>
      <c r="X210" s="46"/>
      <c r="Y210" s="46"/>
      <c r="Z210" s="46" t="s">
        <v>1171</v>
      </c>
      <c r="AA210" s="61">
        <v>1</v>
      </c>
      <c r="AB210" s="62">
        <f>AA210/0.0052</f>
        <v>192.30769230769232</v>
      </c>
      <c r="AC210" s="63">
        <f>AB210*H2dens*HoursInYear/10^6</f>
        <v>0.14993076923076926</v>
      </c>
      <c r="AD210" s="62"/>
      <c r="AE210" s="62">
        <f t="shared" si="23"/>
        <v>192.30769230769232</v>
      </c>
      <c r="AF210" s="64" t="s">
        <v>1172</v>
      </c>
      <c r="AG210" s="49">
        <v>0.3</v>
      </c>
    </row>
    <row r="211" spans="1:33" ht="34.5" customHeight="1" x14ac:dyDescent="0.3">
      <c r="A211" s="46">
        <v>518</v>
      </c>
      <c r="B211" s="46" t="s">
        <v>1173</v>
      </c>
      <c r="C211" s="46" t="s">
        <v>35</v>
      </c>
      <c r="D211" s="60">
        <v>2021</v>
      </c>
      <c r="E211" s="60"/>
      <c r="F211" s="46" t="s">
        <v>226</v>
      </c>
      <c r="G211" s="46" t="s">
        <v>1</v>
      </c>
      <c r="H211" s="46"/>
      <c r="I211" s="46" t="s">
        <v>169</v>
      </c>
      <c r="J211" s="46" t="s">
        <v>245</v>
      </c>
      <c r="K211" s="46" t="s">
        <v>68</v>
      </c>
      <c r="L211" s="46"/>
      <c r="M211" s="46"/>
      <c r="N211" s="46"/>
      <c r="O211" s="46"/>
      <c r="P211" s="46">
        <v>1</v>
      </c>
      <c r="Q211" s="46">
        <v>1</v>
      </c>
      <c r="R211" s="46">
        <v>1</v>
      </c>
      <c r="S211" s="46"/>
      <c r="T211" s="46"/>
      <c r="U211" s="46"/>
      <c r="V211" s="46"/>
      <c r="W211" s="46"/>
      <c r="X211" s="46"/>
      <c r="Y211" s="46"/>
      <c r="Z211" s="46" t="s">
        <v>1174</v>
      </c>
      <c r="AA211" s="61">
        <v>2.5</v>
      </c>
      <c r="AB211" s="62">
        <f>IF(OR(G211="ALK",G211="PEM",G211="SOEC",G211="Other Electrolysis"),
AA211/VLOOKUP(G211,ElectrolysisConvF,3,FALSE),
AC211*10^6/(H2dens*HoursInYear))</f>
        <v>480.76923076923077</v>
      </c>
      <c r="AC211" s="63">
        <f>AB211*H2dens*HoursInYear/10^6</f>
        <v>0.37482692307692306</v>
      </c>
      <c r="AD211" s="62"/>
      <c r="AE211" s="62">
        <f t="shared" si="23"/>
        <v>480.76923076923077</v>
      </c>
      <c r="AF211" s="64" t="s">
        <v>1175</v>
      </c>
      <c r="AG211" s="49">
        <v>0.4</v>
      </c>
    </row>
    <row r="212" spans="1:33" ht="34.5" customHeight="1" x14ac:dyDescent="0.3">
      <c r="A212" s="46">
        <v>519</v>
      </c>
      <c r="B212" s="46" t="s">
        <v>1176</v>
      </c>
      <c r="C212" s="46" t="s">
        <v>49</v>
      </c>
      <c r="D212" s="60"/>
      <c r="E212" s="60"/>
      <c r="F212" s="46" t="s">
        <v>591</v>
      </c>
      <c r="G212" s="46" t="s">
        <v>159</v>
      </c>
      <c r="H212" s="46" t="s">
        <v>592</v>
      </c>
      <c r="I212" s="46" t="s">
        <v>707</v>
      </c>
      <c r="J212" s="46"/>
      <c r="K212" s="46" t="s">
        <v>168</v>
      </c>
      <c r="L212" s="46"/>
      <c r="M212" s="46"/>
      <c r="N212" s="46">
        <v>1</v>
      </c>
      <c r="O212" s="46"/>
      <c r="P212" s="46">
        <v>1</v>
      </c>
      <c r="Q212" s="46"/>
      <c r="R212" s="46"/>
      <c r="S212" s="46"/>
      <c r="T212" s="46"/>
      <c r="U212" s="46"/>
      <c r="V212" s="46"/>
      <c r="W212" s="46">
        <v>1</v>
      </c>
      <c r="X212" s="46"/>
      <c r="Y212" s="46"/>
      <c r="Z212" s="46" t="s">
        <v>1177</v>
      </c>
      <c r="AA212" s="61">
        <v>100</v>
      </c>
      <c r="AB212" s="62">
        <f>AA212/0.0045</f>
        <v>22222.222222222223</v>
      </c>
      <c r="AC212" s="63">
        <f>AB212*H2dens*HoursInYear/10^6</f>
        <v>17.325333333333333</v>
      </c>
      <c r="AD212" s="62"/>
      <c r="AE212" s="62">
        <f t="shared" si="23"/>
        <v>22222.222222222223</v>
      </c>
      <c r="AF212" s="64"/>
      <c r="AG212" s="49">
        <v>0.56999999999999995</v>
      </c>
    </row>
    <row r="213" spans="1:33" ht="34.5" customHeight="1" x14ac:dyDescent="0.3">
      <c r="A213" s="46">
        <v>520</v>
      </c>
      <c r="B213" s="46" t="s">
        <v>1178</v>
      </c>
      <c r="C213" s="46" t="s">
        <v>49</v>
      </c>
      <c r="D213" s="60">
        <v>2010</v>
      </c>
      <c r="E213" s="60">
        <v>2012</v>
      </c>
      <c r="F213" s="46" t="s">
        <v>285</v>
      </c>
      <c r="G213" s="46" t="s">
        <v>1</v>
      </c>
      <c r="H213" s="46"/>
      <c r="I213" s="46" t="s">
        <v>707</v>
      </c>
      <c r="J213" s="46"/>
      <c r="K213" s="46" t="s">
        <v>68</v>
      </c>
      <c r="L213" s="46"/>
      <c r="M213" s="46"/>
      <c r="N213" s="46"/>
      <c r="O213" s="46"/>
      <c r="P213" s="46"/>
      <c r="Q213" s="46"/>
      <c r="R213" s="46">
        <v>1</v>
      </c>
      <c r="S213" s="46"/>
      <c r="T213" s="46"/>
      <c r="U213" s="46"/>
      <c r="V213" s="46"/>
      <c r="W213" s="46"/>
      <c r="X213" s="46"/>
      <c r="Y213" s="46"/>
      <c r="Z213" s="46" t="s">
        <v>873</v>
      </c>
      <c r="AA213" s="61">
        <f>AB213*0.0052</f>
        <v>5.1999999999999998E-3</v>
      </c>
      <c r="AB213" s="62">
        <v>1</v>
      </c>
      <c r="AC213" s="63">
        <f>AB213*H2dens*HoursInYear/10^6</f>
        <v>7.7963999999999996E-4</v>
      </c>
      <c r="AD213" s="62"/>
      <c r="AE213" s="62">
        <f t="shared" si="23"/>
        <v>1</v>
      </c>
      <c r="AF213" s="64" t="s">
        <v>1179</v>
      </c>
      <c r="AG213" s="49">
        <v>0.56999999999999995</v>
      </c>
    </row>
    <row r="214" spans="1:33" ht="34.5" customHeight="1" x14ac:dyDescent="0.3">
      <c r="A214" s="46">
        <v>521</v>
      </c>
      <c r="B214" s="46" t="s">
        <v>1180</v>
      </c>
      <c r="C214" s="46" t="s">
        <v>49</v>
      </c>
      <c r="D214" s="60">
        <v>2010</v>
      </c>
      <c r="E214" s="60">
        <v>2013</v>
      </c>
      <c r="F214" s="46" t="s">
        <v>285</v>
      </c>
      <c r="G214" s="46" t="s">
        <v>1</v>
      </c>
      <c r="H214" s="46"/>
      <c r="I214" s="46" t="s">
        <v>707</v>
      </c>
      <c r="J214" s="46"/>
      <c r="K214" s="46" t="s">
        <v>68</v>
      </c>
      <c r="L214" s="46"/>
      <c r="M214" s="46"/>
      <c r="N214" s="46"/>
      <c r="O214" s="46"/>
      <c r="P214" s="46"/>
      <c r="Q214" s="46"/>
      <c r="R214" s="46"/>
      <c r="S214" s="46"/>
      <c r="T214" s="46"/>
      <c r="U214" s="46"/>
      <c r="V214" s="46"/>
      <c r="W214" s="46"/>
      <c r="X214" s="46"/>
      <c r="Y214" s="46"/>
      <c r="Z214" s="46"/>
      <c r="AA214" s="61"/>
      <c r="AB214" s="62"/>
      <c r="AC214" s="63"/>
      <c r="AD214" s="62"/>
      <c r="AE214" s="62">
        <f t="shared" si="23"/>
        <v>0</v>
      </c>
      <c r="AF214" s="64" t="s">
        <v>1181</v>
      </c>
      <c r="AG214" s="49">
        <v>0.56999999999999995</v>
      </c>
    </row>
    <row r="215" spans="1:33" ht="34.5" customHeight="1" x14ac:dyDescent="0.3">
      <c r="A215" s="46">
        <v>522</v>
      </c>
      <c r="B215" s="46" t="s">
        <v>1182</v>
      </c>
      <c r="C215" s="46" t="s">
        <v>49</v>
      </c>
      <c r="D215" s="60">
        <v>2011</v>
      </c>
      <c r="E215" s="60">
        <v>2013</v>
      </c>
      <c r="F215" s="46" t="s">
        <v>285</v>
      </c>
      <c r="G215" s="46" t="s">
        <v>1</v>
      </c>
      <c r="H215" s="46"/>
      <c r="I215" s="46" t="s">
        <v>707</v>
      </c>
      <c r="J215" s="46"/>
      <c r="K215" s="46" t="s">
        <v>72</v>
      </c>
      <c r="L215" s="46"/>
      <c r="M215" s="46"/>
      <c r="N215" s="46"/>
      <c r="O215" s="46"/>
      <c r="P215" s="46"/>
      <c r="Q215" s="46"/>
      <c r="R215" s="46"/>
      <c r="S215" s="46"/>
      <c r="T215" s="46"/>
      <c r="U215" s="46"/>
      <c r="V215" s="46"/>
      <c r="W215" s="46"/>
      <c r="X215" s="46">
        <v>1</v>
      </c>
      <c r="Y215" s="46">
        <v>1</v>
      </c>
      <c r="Z215" s="46" t="s">
        <v>782</v>
      </c>
      <c r="AA215" s="61">
        <v>0.25</v>
      </c>
      <c r="AB215" s="62">
        <f>AA215/0.0052</f>
        <v>48.07692307692308</v>
      </c>
      <c r="AC215" s="63">
        <f>AB215*H2dens*HoursInYear/10^6</f>
        <v>3.7482692307692314E-2</v>
      </c>
      <c r="AD215" s="62"/>
      <c r="AE215" s="62">
        <f t="shared" si="23"/>
        <v>48.07692307692308</v>
      </c>
      <c r="AF215" s="64" t="s">
        <v>1183</v>
      </c>
      <c r="AG215" s="49">
        <v>0.56999999999999995</v>
      </c>
    </row>
    <row r="216" spans="1:33" ht="34.5" customHeight="1" x14ac:dyDescent="0.3">
      <c r="A216" s="46">
        <v>524</v>
      </c>
      <c r="B216" s="46" t="s">
        <v>1184</v>
      </c>
      <c r="C216" s="46" t="s">
        <v>49</v>
      </c>
      <c r="D216" s="60">
        <v>2011</v>
      </c>
      <c r="E216" s="60">
        <v>2014</v>
      </c>
      <c r="F216" s="46" t="s">
        <v>285</v>
      </c>
      <c r="G216" s="46" t="s">
        <v>2</v>
      </c>
      <c r="H216" s="46"/>
      <c r="I216" s="46" t="s">
        <v>707</v>
      </c>
      <c r="J216" s="46"/>
      <c r="K216" s="46" t="s">
        <v>72</v>
      </c>
      <c r="L216" s="46"/>
      <c r="M216" s="46"/>
      <c r="N216" s="46"/>
      <c r="O216" s="46"/>
      <c r="P216" s="46"/>
      <c r="Q216" s="46"/>
      <c r="R216" s="46"/>
      <c r="S216" s="46"/>
      <c r="T216" s="46"/>
      <c r="U216" s="46"/>
      <c r="V216" s="46"/>
      <c r="W216" s="46"/>
      <c r="X216" s="46">
        <v>1</v>
      </c>
      <c r="Y216" s="46"/>
      <c r="Z216" s="46" t="s">
        <v>991</v>
      </c>
      <c r="AA216" s="61">
        <v>0.04</v>
      </c>
      <c r="AB216" s="62">
        <f>AA216/0.0038</f>
        <v>10.526315789473685</v>
      </c>
      <c r="AC216" s="63">
        <f>AB216*H2dens*HoursInYear/10^6</f>
        <v>8.2067368421052632E-3</v>
      </c>
      <c r="AD216" s="62"/>
      <c r="AE216" s="62">
        <f t="shared" si="23"/>
        <v>10.526315789473685</v>
      </c>
      <c r="AF216" s="64" t="s">
        <v>1185</v>
      </c>
      <c r="AG216" s="49">
        <v>0.56999999999999995</v>
      </c>
    </row>
    <row r="217" spans="1:33" ht="34.5" customHeight="1" x14ac:dyDescent="0.3">
      <c r="A217" s="46">
        <v>525</v>
      </c>
      <c r="B217" s="46" t="s">
        <v>1186</v>
      </c>
      <c r="C217" s="46" t="s">
        <v>49</v>
      </c>
      <c r="D217" s="60">
        <v>2011</v>
      </c>
      <c r="E217" s="60">
        <v>2012</v>
      </c>
      <c r="F217" s="46" t="s">
        <v>285</v>
      </c>
      <c r="G217" s="46" t="s">
        <v>159</v>
      </c>
      <c r="H217" s="46" t="s">
        <v>592</v>
      </c>
      <c r="I217" s="46" t="s">
        <v>707</v>
      </c>
      <c r="J217" s="46"/>
      <c r="K217" s="46" t="s">
        <v>72</v>
      </c>
      <c r="L217" s="46"/>
      <c r="M217" s="46"/>
      <c r="N217" s="46"/>
      <c r="O217" s="46"/>
      <c r="P217" s="46"/>
      <c r="Q217" s="46"/>
      <c r="R217" s="46"/>
      <c r="S217" s="46"/>
      <c r="T217" s="46"/>
      <c r="U217" s="46"/>
      <c r="V217" s="46"/>
      <c r="W217" s="46"/>
      <c r="X217" s="46">
        <v>1</v>
      </c>
      <c r="Y217" s="46">
        <v>1</v>
      </c>
      <c r="Z217" s="46"/>
      <c r="AA217" s="61"/>
      <c r="AB217" s="62"/>
      <c r="AC217" s="63"/>
      <c r="AD217" s="62"/>
      <c r="AE217" s="62">
        <f t="shared" si="23"/>
        <v>0</v>
      </c>
      <c r="AF217" s="64" t="s">
        <v>977</v>
      </c>
      <c r="AG217" s="49">
        <v>0.56999999999999995</v>
      </c>
    </row>
    <row r="218" spans="1:33" ht="34.5" customHeight="1" x14ac:dyDescent="0.3">
      <c r="A218" s="46">
        <v>526</v>
      </c>
      <c r="B218" s="46" t="s">
        <v>1187</v>
      </c>
      <c r="C218" s="46" t="s">
        <v>49</v>
      </c>
      <c r="D218" s="60">
        <v>2011</v>
      </c>
      <c r="E218" s="60">
        <v>2015</v>
      </c>
      <c r="F218" s="46" t="s">
        <v>285</v>
      </c>
      <c r="G218" s="46" t="s">
        <v>159</v>
      </c>
      <c r="H218" s="46" t="s">
        <v>592</v>
      </c>
      <c r="I218" s="46" t="s">
        <v>707</v>
      </c>
      <c r="J218" s="46"/>
      <c r="K218" s="46" t="s">
        <v>68</v>
      </c>
      <c r="L218" s="46"/>
      <c r="M218" s="46"/>
      <c r="N218" s="46"/>
      <c r="O218" s="46"/>
      <c r="P218" s="46"/>
      <c r="Q218" s="46"/>
      <c r="R218" s="46"/>
      <c r="S218" s="46"/>
      <c r="T218" s="46"/>
      <c r="U218" s="46"/>
      <c r="V218" s="46"/>
      <c r="W218" s="46"/>
      <c r="X218" s="46"/>
      <c r="Y218" s="46"/>
      <c r="Z218" s="46"/>
      <c r="AA218" s="61"/>
      <c r="AB218" s="62"/>
      <c r="AC218" s="63"/>
      <c r="AD218" s="62"/>
      <c r="AE218" s="62">
        <f t="shared" si="23"/>
        <v>0</v>
      </c>
      <c r="AF218" s="64"/>
      <c r="AG218" s="49">
        <v>0.56999999999999995</v>
      </c>
    </row>
    <row r="219" spans="1:33" ht="34.5" customHeight="1" x14ac:dyDescent="0.3">
      <c r="A219" s="46">
        <v>527</v>
      </c>
      <c r="B219" s="46" t="s">
        <v>1188</v>
      </c>
      <c r="C219" s="46" t="s">
        <v>49</v>
      </c>
      <c r="D219" s="60">
        <v>2014</v>
      </c>
      <c r="E219" s="60">
        <v>2015</v>
      </c>
      <c r="F219" s="46" t="s">
        <v>285</v>
      </c>
      <c r="G219" s="46" t="s">
        <v>3</v>
      </c>
      <c r="H219" s="46"/>
      <c r="I219" s="46" t="s">
        <v>166</v>
      </c>
      <c r="J219" s="46"/>
      <c r="K219" s="46" t="s">
        <v>72</v>
      </c>
      <c r="L219" s="46"/>
      <c r="M219" s="46"/>
      <c r="N219" s="46"/>
      <c r="O219" s="46"/>
      <c r="P219" s="46"/>
      <c r="Q219" s="46"/>
      <c r="R219" s="46"/>
      <c r="S219" s="46"/>
      <c r="T219" s="46"/>
      <c r="U219" s="46"/>
      <c r="V219" s="46"/>
      <c r="W219" s="46"/>
      <c r="X219" s="46">
        <v>1</v>
      </c>
      <c r="Y219" s="46">
        <v>1</v>
      </c>
      <c r="Z219" s="46" t="s">
        <v>1189</v>
      </c>
      <c r="AA219" s="61">
        <f>AB219*0.0046</f>
        <v>6.4399999999999995E-3</v>
      </c>
      <c r="AB219" s="62">
        <v>1.4</v>
      </c>
      <c r="AC219" s="63">
        <f>AB219*H2dens*HoursInYear/10^6</f>
        <v>1.091496E-3</v>
      </c>
      <c r="AD219" s="62"/>
      <c r="AE219" s="62">
        <f t="shared" si="23"/>
        <v>1.4</v>
      </c>
      <c r="AF219" s="64" t="s">
        <v>1190</v>
      </c>
      <c r="AG219" s="49">
        <v>0.56999999999999995</v>
      </c>
    </row>
    <row r="220" spans="1:33" ht="34.5" customHeight="1" x14ac:dyDescent="0.3">
      <c r="A220" s="46">
        <v>528</v>
      </c>
      <c r="B220" s="46" t="s">
        <v>1191</v>
      </c>
      <c r="C220" s="46" t="s">
        <v>49</v>
      </c>
      <c r="D220" s="60">
        <v>2015</v>
      </c>
      <c r="E220" s="60">
        <v>2018</v>
      </c>
      <c r="F220" s="46" t="s">
        <v>285</v>
      </c>
      <c r="G220" s="46" t="s">
        <v>3</v>
      </c>
      <c r="H220" s="46"/>
      <c r="I220" s="46" t="s">
        <v>166</v>
      </c>
      <c r="J220" s="46"/>
      <c r="K220" s="46" t="s">
        <v>72</v>
      </c>
      <c r="L220" s="46"/>
      <c r="M220" s="46"/>
      <c r="N220" s="46"/>
      <c r="O220" s="46"/>
      <c r="P220" s="46"/>
      <c r="Q220" s="46"/>
      <c r="R220" s="46"/>
      <c r="S220" s="46"/>
      <c r="T220" s="46"/>
      <c r="U220" s="46"/>
      <c r="V220" s="46"/>
      <c r="W220" s="46"/>
      <c r="X220" s="46">
        <v>1</v>
      </c>
      <c r="Y220" s="46">
        <v>1</v>
      </c>
      <c r="Z220" s="46" t="s">
        <v>1192</v>
      </c>
      <c r="AA220" s="61">
        <v>0.25</v>
      </c>
      <c r="AB220" s="62">
        <f>AA220/0.0046</f>
        <v>54.347826086956523</v>
      </c>
      <c r="AC220" s="63">
        <f>AB220*H2dens*HoursInYear/10^6</f>
        <v>4.237173913043478E-2</v>
      </c>
      <c r="AD220" s="62"/>
      <c r="AE220" s="62">
        <f t="shared" si="23"/>
        <v>54.347826086956523</v>
      </c>
      <c r="AF220" s="64" t="s">
        <v>1193</v>
      </c>
      <c r="AG220" s="49">
        <v>0.56999999999999995</v>
      </c>
    </row>
    <row r="221" spans="1:33" ht="34.5" customHeight="1" x14ac:dyDescent="0.3">
      <c r="A221" s="46">
        <v>529</v>
      </c>
      <c r="B221" s="46" t="s">
        <v>1194</v>
      </c>
      <c r="C221" s="46" t="s">
        <v>49</v>
      </c>
      <c r="D221" s="60">
        <v>2007</v>
      </c>
      <c r="E221" s="60">
        <v>2014</v>
      </c>
      <c r="F221" s="46" t="s">
        <v>285</v>
      </c>
      <c r="G221" s="46" t="s">
        <v>1</v>
      </c>
      <c r="H221" s="46"/>
      <c r="I221" s="46" t="s">
        <v>707</v>
      </c>
      <c r="J221" s="46"/>
      <c r="K221" s="46" t="s">
        <v>68</v>
      </c>
      <c r="L221" s="46"/>
      <c r="M221" s="46"/>
      <c r="N221" s="46"/>
      <c r="O221" s="46"/>
      <c r="P221" s="46"/>
      <c r="Q221" s="46"/>
      <c r="R221" s="46">
        <v>1</v>
      </c>
      <c r="S221" s="46"/>
      <c r="T221" s="46">
        <v>1</v>
      </c>
      <c r="U221" s="46"/>
      <c r="V221" s="46"/>
      <c r="W221" s="46"/>
      <c r="X221" s="46"/>
      <c r="Y221" s="46"/>
      <c r="Z221" s="46" t="s">
        <v>1195</v>
      </c>
      <c r="AA221" s="61">
        <f>AB221*0.0052</f>
        <v>8.3199999999999996E-2</v>
      </c>
      <c r="AB221" s="62">
        <v>16</v>
      </c>
      <c r="AC221" s="63">
        <f>AB221*H2dens*HoursInYear/10^6</f>
        <v>1.2474239999999999E-2</v>
      </c>
      <c r="AD221" s="62"/>
      <c r="AE221" s="62">
        <f t="shared" si="23"/>
        <v>16</v>
      </c>
      <c r="AF221" s="64" t="s">
        <v>1196</v>
      </c>
      <c r="AG221" s="49">
        <v>0.56999999999999995</v>
      </c>
    </row>
    <row r="222" spans="1:33" ht="34.5" customHeight="1" x14ac:dyDescent="0.3">
      <c r="A222" s="46">
        <v>530</v>
      </c>
      <c r="B222" s="46" t="s">
        <v>1197</v>
      </c>
      <c r="C222" s="46" t="s">
        <v>49</v>
      </c>
      <c r="D222" s="60">
        <v>2022</v>
      </c>
      <c r="E222" s="60"/>
      <c r="F222" s="46" t="s">
        <v>226</v>
      </c>
      <c r="G222" s="46" t="s">
        <v>3</v>
      </c>
      <c r="H222" s="46"/>
      <c r="I222" s="46" t="s">
        <v>169</v>
      </c>
      <c r="J222" s="46" t="s">
        <v>246</v>
      </c>
      <c r="K222" s="46" t="s">
        <v>68</v>
      </c>
      <c r="L222" s="46"/>
      <c r="M222" s="46"/>
      <c r="N222" s="46"/>
      <c r="O222" s="46"/>
      <c r="P222" s="46"/>
      <c r="Q222" s="46">
        <v>1</v>
      </c>
      <c r="R222" s="46"/>
      <c r="S222" s="46"/>
      <c r="T222" s="46"/>
      <c r="U222" s="46"/>
      <c r="V222" s="46"/>
      <c r="W222" s="46"/>
      <c r="X222" s="46"/>
      <c r="Y222" s="46"/>
      <c r="Z222" s="46" t="s">
        <v>1198</v>
      </c>
      <c r="AA222" s="61">
        <v>2</v>
      </c>
      <c r="AB222" s="62">
        <f>AA222/0.0046</f>
        <v>434.78260869565219</v>
      </c>
      <c r="AC222" s="63">
        <f>AB222*H2dens*HoursInYear/10^6</f>
        <v>0.33897391304347824</v>
      </c>
      <c r="AD222" s="62"/>
      <c r="AE222" s="62">
        <f t="shared" si="23"/>
        <v>434.78260869565219</v>
      </c>
      <c r="AF222" s="64" t="s">
        <v>1199</v>
      </c>
      <c r="AG222" s="49">
        <v>0.55000000000000004</v>
      </c>
    </row>
    <row r="223" spans="1:33" ht="34.5" customHeight="1" x14ac:dyDescent="0.3">
      <c r="A223" s="46">
        <v>531</v>
      </c>
      <c r="B223" s="46" t="s">
        <v>1200</v>
      </c>
      <c r="C223" s="46" t="s">
        <v>49</v>
      </c>
      <c r="D223" s="60"/>
      <c r="E223" s="60"/>
      <c r="F223" s="46" t="s">
        <v>157</v>
      </c>
      <c r="G223" s="46" t="s">
        <v>3</v>
      </c>
      <c r="H223" s="46"/>
      <c r="I223" s="46" t="s">
        <v>707</v>
      </c>
      <c r="J223" s="46"/>
      <c r="K223" s="46" t="s">
        <v>68</v>
      </c>
      <c r="L223" s="46"/>
      <c r="M223" s="46"/>
      <c r="N223" s="46"/>
      <c r="O223" s="46"/>
      <c r="P223" s="46"/>
      <c r="Q223" s="46">
        <v>1</v>
      </c>
      <c r="R223" s="46"/>
      <c r="S223" s="46"/>
      <c r="T223" s="46"/>
      <c r="U223" s="46"/>
      <c r="V223" s="46"/>
      <c r="W223" s="46"/>
      <c r="X223" s="46"/>
      <c r="Y223" s="46"/>
      <c r="Z223" s="46"/>
      <c r="AA223" s="61"/>
      <c r="AB223" s="62"/>
      <c r="AC223" s="63"/>
      <c r="AD223" s="62"/>
      <c r="AE223" s="62">
        <f t="shared" si="23"/>
        <v>0</v>
      </c>
      <c r="AF223" s="64" t="s">
        <v>7185</v>
      </c>
      <c r="AG223" s="49">
        <v>0.56999999999999995</v>
      </c>
    </row>
    <row r="224" spans="1:33" ht="34.5" customHeight="1" x14ac:dyDescent="0.3">
      <c r="A224" s="46">
        <v>532</v>
      </c>
      <c r="B224" s="46" t="s">
        <v>1201</v>
      </c>
      <c r="C224" s="46" t="s">
        <v>49</v>
      </c>
      <c r="D224" s="60">
        <v>2026</v>
      </c>
      <c r="E224" s="60"/>
      <c r="F224" s="46" t="s">
        <v>591</v>
      </c>
      <c r="G224" s="46" t="s">
        <v>159</v>
      </c>
      <c r="H224" s="46" t="s">
        <v>592</v>
      </c>
      <c r="I224" s="46" t="s">
        <v>169</v>
      </c>
      <c r="J224" s="46" t="s">
        <v>248</v>
      </c>
      <c r="K224" s="46" t="s">
        <v>141</v>
      </c>
      <c r="L224" s="46"/>
      <c r="M224" s="46">
        <v>1</v>
      </c>
      <c r="N224" s="46"/>
      <c r="O224" s="46"/>
      <c r="P224" s="46"/>
      <c r="Q224" s="46">
        <v>1</v>
      </c>
      <c r="R224" s="46"/>
      <c r="S224" s="46"/>
      <c r="T224" s="46"/>
      <c r="U224" s="46"/>
      <c r="V224" s="46"/>
      <c r="W224" s="46"/>
      <c r="X224" s="46"/>
      <c r="Y224" s="46"/>
      <c r="Z224" s="46" t="s">
        <v>672</v>
      </c>
      <c r="AA224" s="61">
        <v>1000</v>
      </c>
      <c r="AB224" s="62">
        <f>AA224/0.0045</f>
        <v>222222.22222222225</v>
      </c>
      <c r="AC224" s="63">
        <f>AB224*H2dens*HoursInYear/10^6</f>
        <v>173.25333333333333</v>
      </c>
      <c r="AD224" s="62"/>
      <c r="AE224" s="62">
        <f t="shared" si="23"/>
        <v>222222.22222222225</v>
      </c>
      <c r="AF224" s="64" t="s">
        <v>1202</v>
      </c>
      <c r="AG224" s="49">
        <v>0.5</v>
      </c>
    </row>
    <row r="225" spans="1:33" ht="34.5" customHeight="1" x14ac:dyDescent="0.3">
      <c r="A225" s="46">
        <v>533</v>
      </c>
      <c r="B225" s="46" t="s">
        <v>1203</v>
      </c>
      <c r="C225" s="46" t="s">
        <v>49</v>
      </c>
      <c r="D225" s="60">
        <v>2020</v>
      </c>
      <c r="E225" s="60"/>
      <c r="F225" s="46" t="s">
        <v>226</v>
      </c>
      <c r="G225" s="46" t="s">
        <v>3</v>
      </c>
      <c r="H225" s="46"/>
      <c r="I225" s="46" t="s">
        <v>166</v>
      </c>
      <c r="J225" s="46"/>
      <c r="K225" s="46" t="s">
        <v>68</v>
      </c>
      <c r="L225" s="46"/>
      <c r="M225" s="46"/>
      <c r="N225" s="46"/>
      <c r="O225" s="46"/>
      <c r="P225" s="46"/>
      <c r="Q225" s="46">
        <v>1</v>
      </c>
      <c r="R225" s="46"/>
      <c r="S225" s="46"/>
      <c r="T225" s="46"/>
      <c r="U225" s="46"/>
      <c r="V225" s="46"/>
      <c r="W225" s="46"/>
      <c r="X225" s="46"/>
      <c r="Y225" s="46"/>
      <c r="Z225" s="46" t="s">
        <v>1204</v>
      </c>
      <c r="AA225" s="61">
        <v>0.25</v>
      </c>
      <c r="AB225" s="62">
        <f>IF(OR(G225="ALK",G225="PEM",G225="SOEC",G225="Other Electrolysis"),
AA225/VLOOKUP(G225,ElectrolysisConvF,3,FALSE),
AC225*10^6/(H2dens*HoursInYear))</f>
        <v>54.347826086956523</v>
      </c>
      <c r="AC225" s="63">
        <f t="shared" ref="AC225" si="24">AB225*H2dens*HoursInYear/10^6</f>
        <v>4.237173913043478E-2</v>
      </c>
      <c r="AD225" s="62"/>
      <c r="AE225" s="62">
        <f t="shared" si="23"/>
        <v>54.347826086956523</v>
      </c>
      <c r="AF225" s="64" t="s">
        <v>1205</v>
      </c>
      <c r="AG225" s="49">
        <v>0.56999999999999995</v>
      </c>
    </row>
    <row r="226" spans="1:33" ht="34.5" customHeight="1" x14ac:dyDescent="0.3">
      <c r="A226" s="46">
        <v>535</v>
      </c>
      <c r="B226" s="46" t="s">
        <v>1206</v>
      </c>
      <c r="C226" s="46" t="s">
        <v>49</v>
      </c>
      <c r="D226" s="60">
        <v>2022</v>
      </c>
      <c r="E226" s="60"/>
      <c r="F226" s="46" t="s">
        <v>285</v>
      </c>
      <c r="G226" s="46" t="s">
        <v>159</v>
      </c>
      <c r="H226" s="46" t="s">
        <v>592</v>
      </c>
      <c r="I226" s="46" t="s">
        <v>166</v>
      </c>
      <c r="J226" s="46"/>
      <c r="K226" s="46" t="s">
        <v>140</v>
      </c>
      <c r="L226" s="46"/>
      <c r="M226" s="46"/>
      <c r="N226" s="46">
        <v>1</v>
      </c>
      <c r="O226" s="46"/>
      <c r="P226" s="46"/>
      <c r="Q226" s="46"/>
      <c r="R226" s="46"/>
      <c r="S226" s="46"/>
      <c r="T226" s="46"/>
      <c r="U226" s="46"/>
      <c r="V226" s="46"/>
      <c r="W226" s="46"/>
      <c r="X226" s="46"/>
      <c r="Y226" s="46"/>
      <c r="Z226" s="46" t="s">
        <v>1207</v>
      </c>
      <c r="AA226" s="61">
        <f>AB226*0.0045</f>
        <v>2.642690145813658</v>
      </c>
      <c r="AB226" s="62">
        <f>AC226/(0.089*24*365/10^6)</f>
        <v>587.26447684747961</v>
      </c>
      <c r="AC226" s="63">
        <f>10*HoursInYear/(10^6*0.191327)</f>
        <v>0.45785487672936909</v>
      </c>
      <c r="AD226" s="62"/>
      <c r="AE226" s="62">
        <f t="shared" si="23"/>
        <v>587.26447684747961</v>
      </c>
      <c r="AF226" s="64" t="s">
        <v>1208</v>
      </c>
      <c r="AG226" s="49">
        <v>0.56999999999999995</v>
      </c>
    </row>
    <row r="227" spans="1:33" ht="34.5" customHeight="1" x14ac:dyDescent="0.3">
      <c r="A227" s="46">
        <v>536</v>
      </c>
      <c r="B227" s="46" t="s">
        <v>1209</v>
      </c>
      <c r="C227" s="46" t="s">
        <v>49</v>
      </c>
      <c r="D227" s="60">
        <v>2008</v>
      </c>
      <c r="E227" s="60">
        <v>2011</v>
      </c>
      <c r="F227" s="46" t="s">
        <v>285</v>
      </c>
      <c r="G227" s="46" t="s">
        <v>1</v>
      </c>
      <c r="H227" s="46"/>
      <c r="I227" s="46" t="s">
        <v>707</v>
      </c>
      <c r="J227" s="46"/>
      <c r="K227" s="46" t="s">
        <v>68</v>
      </c>
      <c r="L227" s="46"/>
      <c r="M227" s="46"/>
      <c r="N227" s="46"/>
      <c r="O227" s="46"/>
      <c r="P227" s="46"/>
      <c r="Q227" s="46"/>
      <c r="R227" s="46"/>
      <c r="S227" s="46"/>
      <c r="T227" s="46"/>
      <c r="U227" s="46"/>
      <c r="V227" s="46"/>
      <c r="W227" s="46"/>
      <c r="X227" s="46"/>
      <c r="Y227" s="46"/>
      <c r="Z227" s="46"/>
      <c r="AA227" s="61"/>
      <c r="AB227" s="62"/>
      <c r="AC227" s="63"/>
      <c r="AD227" s="62"/>
      <c r="AE227" s="62">
        <f t="shared" si="23"/>
        <v>0</v>
      </c>
      <c r="AF227" s="64" t="s">
        <v>977</v>
      </c>
      <c r="AG227" s="49">
        <v>0.56999999999999995</v>
      </c>
    </row>
    <row r="228" spans="1:33" ht="34.5" customHeight="1" x14ac:dyDescent="0.3">
      <c r="A228" s="46">
        <v>537</v>
      </c>
      <c r="B228" s="46" t="s">
        <v>1210</v>
      </c>
      <c r="C228" s="46" t="s">
        <v>35</v>
      </c>
      <c r="D228" s="60">
        <v>2010</v>
      </c>
      <c r="E228" s="60">
        <v>2012</v>
      </c>
      <c r="F228" s="46" t="s">
        <v>285</v>
      </c>
      <c r="G228" s="46" t="s">
        <v>1</v>
      </c>
      <c r="H228" s="46"/>
      <c r="I228" s="46" t="s">
        <v>707</v>
      </c>
      <c r="J228" s="46"/>
      <c r="K228" s="46" t="s">
        <v>68</v>
      </c>
      <c r="L228" s="46"/>
      <c r="M228" s="46"/>
      <c r="N228" s="46"/>
      <c r="O228" s="46"/>
      <c r="P228" s="46"/>
      <c r="Q228" s="46"/>
      <c r="R228" s="46"/>
      <c r="S228" s="46"/>
      <c r="T228" s="46"/>
      <c r="U228" s="46"/>
      <c r="V228" s="46"/>
      <c r="W228" s="46"/>
      <c r="X228" s="46"/>
      <c r="Y228" s="46"/>
      <c r="Z228" s="46"/>
      <c r="AA228" s="61"/>
      <c r="AB228" s="62"/>
      <c r="AC228" s="63"/>
      <c r="AD228" s="62"/>
      <c r="AE228" s="62">
        <f t="shared" si="23"/>
        <v>0</v>
      </c>
      <c r="AF228" s="64" t="s">
        <v>1211</v>
      </c>
      <c r="AG228" s="49">
        <v>0.56999999999999995</v>
      </c>
    </row>
    <row r="229" spans="1:33" ht="34.5" customHeight="1" x14ac:dyDescent="0.3">
      <c r="A229" s="46">
        <v>538</v>
      </c>
      <c r="B229" s="46" t="s">
        <v>1212</v>
      </c>
      <c r="C229" s="46" t="s">
        <v>35</v>
      </c>
      <c r="D229" s="60"/>
      <c r="E229" s="60"/>
      <c r="F229" s="46" t="s">
        <v>225</v>
      </c>
      <c r="G229" s="46" t="s">
        <v>3</v>
      </c>
      <c r="H229" s="46"/>
      <c r="I229" s="46" t="s">
        <v>169</v>
      </c>
      <c r="J229" s="46" t="s">
        <v>247</v>
      </c>
      <c r="K229" s="46" t="s">
        <v>68</v>
      </c>
      <c r="L229" s="46"/>
      <c r="M229" s="46"/>
      <c r="N229" s="46"/>
      <c r="O229" s="46"/>
      <c r="P229" s="46"/>
      <c r="Q229" s="46">
        <v>1</v>
      </c>
      <c r="R229" s="46"/>
      <c r="S229" s="46"/>
      <c r="T229" s="46"/>
      <c r="U229" s="46"/>
      <c r="V229" s="46"/>
      <c r="W229" s="46"/>
      <c r="X229" s="46"/>
      <c r="Y229" s="46"/>
      <c r="Z229" s="46" t="s">
        <v>1198</v>
      </c>
      <c r="AA229" s="61">
        <v>2</v>
      </c>
      <c r="AB229" s="62">
        <f>AA229/0.0046</f>
        <v>434.78260869565219</v>
      </c>
      <c r="AC229" s="63">
        <f>AB229*H2dens*HoursInYear/10^6</f>
        <v>0.33897391304347824</v>
      </c>
      <c r="AD229" s="62"/>
      <c r="AE229" s="62">
        <f t="shared" si="23"/>
        <v>434.78260869565219</v>
      </c>
      <c r="AF229" s="64" t="s">
        <v>1213</v>
      </c>
      <c r="AG229" s="49">
        <v>0.8</v>
      </c>
    </row>
    <row r="230" spans="1:33" ht="34.5" customHeight="1" x14ac:dyDescent="0.3">
      <c r="A230" s="46">
        <v>539</v>
      </c>
      <c r="B230" s="46" t="s">
        <v>1214</v>
      </c>
      <c r="C230" s="46" t="s">
        <v>35</v>
      </c>
      <c r="D230" s="60">
        <v>2013</v>
      </c>
      <c r="E230" s="60"/>
      <c r="F230" s="46" t="s">
        <v>226</v>
      </c>
      <c r="G230" s="46" t="s">
        <v>163</v>
      </c>
      <c r="H230" s="46"/>
      <c r="I230" s="46"/>
      <c r="J230" s="46"/>
      <c r="K230" s="46" t="s">
        <v>68</v>
      </c>
      <c r="L230" s="46"/>
      <c r="M230" s="46"/>
      <c r="N230" s="46"/>
      <c r="O230" s="46"/>
      <c r="P230" s="46"/>
      <c r="Q230" s="46">
        <v>1</v>
      </c>
      <c r="R230" s="46">
        <v>1</v>
      </c>
      <c r="S230" s="46"/>
      <c r="T230" s="46"/>
      <c r="U230" s="46"/>
      <c r="V230" s="46"/>
      <c r="W230" s="46"/>
      <c r="X230" s="46"/>
      <c r="Y230" s="46"/>
      <c r="Z230" s="46" t="s">
        <v>865</v>
      </c>
      <c r="AA230" s="61"/>
      <c r="AB230" s="62">
        <v>10</v>
      </c>
      <c r="AC230" s="63">
        <f>AB230*H2dens*HoursInYear/10^6</f>
        <v>7.7963999999999985E-3</v>
      </c>
      <c r="AD230" s="62"/>
      <c r="AE230" s="62">
        <f t="shared" si="23"/>
        <v>10</v>
      </c>
      <c r="AF230" s="64"/>
      <c r="AG230" s="49">
        <v>0.9</v>
      </c>
    </row>
    <row r="231" spans="1:33" ht="34.5" customHeight="1" x14ac:dyDescent="0.3">
      <c r="A231" s="46">
        <v>540</v>
      </c>
      <c r="B231" s="46" t="s">
        <v>1215</v>
      </c>
      <c r="C231" s="46" t="s">
        <v>35</v>
      </c>
      <c r="D231" s="60">
        <v>2024</v>
      </c>
      <c r="E231" s="60"/>
      <c r="F231" s="46" t="s">
        <v>225</v>
      </c>
      <c r="G231" s="46" t="s">
        <v>3</v>
      </c>
      <c r="H231" s="46"/>
      <c r="I231" s="46" t="s">
        <v>169</v>
      </c>
      <c r="J231" s="46" t="s">
        <v>248</v>
      </c>
      <c r="K231" s="46" t="s">
        <v>68</v>
      </c>
      <c r="L231" s="46"/>
      <c r="M231" s="46"/>
      <c r="N231" s="46"/>
      <c r="O231" s="46">
        <v>1</v>
      </c>
      <c r="P231" s="46"/>
      <c r="Q231" s="46"/>
      <c r="R231" s="46"/>
      <c r="S231" s="46"/>
      <c r="T231" s="46"/>
      <c r="U231" s="46"/>
      <c r="V231" s="46"/>
      <c r="W231" s="46"/>
      <c r="X231" s="46"/>
      <c r="Y231" s="46"/>
      <c r="Z231" s="46" t="s">
        <v>1216</v>
      </c>
      <c r="AA231" s="61">
        <v>45</v>
      </c>
      <c r="AB231" s="62">
        <f>AA231/0.0046</f>
        <v>9782.608695652174</v>
      </c>
      <c r="AC231" s="63">
        <f>AB231*H2dens*HoursInYear/10^6</f>
        <v>7.626913043478261</v>
      </c>
      <c r="AD231" s="62"/>
      <c r="AE231" s="62">
        <f t="shared" si="23"/>
        <v>9782.608695652174</v>
      </c>
      <c r="AF231" s="64" t="s">
        <v>1217</v>
      </c>
      <c r="AG231" s="49">
        <v>0.5</v>
      </c>
    </row>
    <row r="232" spans="1:33" ht="34.5" customHeight="1" x14ac:dyDescent="0.3">
      <c r="A232" s="46">
        <v>541</v>
      </c>
      <c r="B232" s="46" t="s">
        <v>1218</v>
      </c>
      <c r="C232" s="46" t="s">
        <v>35</v>
      </c>
      <c r="D232" s="60">
        <v>2004</v>
      </c>
      <c r="E232" s="60">
        <v>2008</v>
      </c>
      <c r="F232" s="46" t="s">
        <v>285</v>
      </c>
      <c r="G232" s="46" t="s">
        <v>3</v>
      </c>
      <c r="H232" s="46"/>
      <c r="I232" s="46" t="s">
        <v>707</v>
      </c>
      <c r="J232" s="46"/>
      <c r="K232" s="46" t="s">
        <v>68</v>
      </c>
      <c r="L232" s="46"/>
      <c r="M232" s="46"/>
      <c r="N232" s="46"/>
      <c r="O232" s="46"/>
      <c r="P232" s="46"/>
      <c r="Q232" s="46"/>
      <c r="R232" s="46">
        <v>1</v>
      </c>
      <c r="S232" s="46"/>
      <c r="T232" s="46"/>
      <c r="U232" s="46"/>
      <c r="V232" s="46"/>
      <c r="W232" s="46"/>
      <c r="X232" s="46"/>
      <c r="Y232" s="46"/>
      <c r="Z232" s="46" t="s">
        <v>1219</v>
      </c>
      <c r="AA232" s="61">
        <v>4.8000000000000001E-2</v>
      </c>
      <c r="AB232" s="62">
        <f>IF(OR(G232="ALK",G232="PEM",G232="SOEC",G232="Other Electrolysis"),
AA232/VLOOKUP(G232,ElectrolysisConvF,3,FALSE),
AC232*10^6/(H2dens*HoursInYear))</f>
        <v>10.434782608695652</v>
      </c>
      <c r="AC232" s="63">
        <f t="shared" ref="AC232" si="25">AB232*H2dens*HoursInYear/10^6</f>
        <v>8.1353739130434772E-3</v>
      </c>
      <c r="AD232" s="62"/>
      <c r="AE232" s="62">
        <f t="shared" si="23"/>
        <v>10.434782608695652</v>
      </c>
      <c r="AF232" s="64" t="s">
        <v>1220</v>
      </c>
      <c r="AG232" s="49">
        <v>0.56999999999999995</v>
      </c>
    </row>
    <row r="233" spans="1:33" ht="34.5" customHeight="1" x14ac:dyDescent="0.3">
      <c r="A233" s="46">
        <v>543</v>
      </c>
      <c r="B233" s="46" t="s">
        <v>1221</v>
      </c>
      <c r="C233" s="46" t="s">
        <v>46</v>
      </c>
      <c r="D233" s="60">
        <v>2028</v>
      </c>
      <c r="E233" s="60"/>
      <c r="F233" s="46" t="s">
        <v>225</v>
      </c>
      <c r="G233" s="46" t="s">
        <v>161</v>
      </c>
      <c r="H233" s="46" t="s">
        <v>882</v>
      </c>
      <c r="I233" s="46"/>
      <c r="J233" s="46"/>
      <c r="K233" s="46" t="s">
        <v>68</v>
      </c>
      <c r="L233" s="46">
        <v>1</v>
      </c>
      <c r="M233" s="46"/>
      <c r="N233" s="46"/>
      <c r="O233" s="46"/>
      <c r="P233" s="46">
        <v>1</v>
      </c>
      <c r="Q233" s="46"/>
      <c r="R233" s="46"/>
      <c r="S233" s="46">
        <v>1</v>
      </c>
      <c r="T233" s="46"/>
      <c r="U233" s="46"/>
      <c r="V233" s="46"/>
      <c r="W233" s="46"/>
      <c r="X233" s="46"/>
      <c r="Y233" s="46"/>
      <c r="Z233" s="46" t="s">
        <v>1222</v>
      </c>
      <c r="AA233" s="61"/>
      <c r="AB233" s="62">
        <f>IF(OR(G233="ALK",G233="PEM",G233="SOEC",G233="Other Electrolysis"),
AA233/VLOOKUP(G233,ElectrolysisConvF,3,FALSE),
AC233*10^6/(H2dens*HoursInYear))</f>
        <v>64044.943820224718</v>
      </c>
      <c r="AC233" s="63">
        <f>200*HoursInYear*0.95*3600/120/10^6</f>
        <v>49.932000000000002</v>
      </c>
      <c r="AD233" s="62">
        <v>400000</v>
      </c>
      <c r="AE233" s="62">
        <f>IF(AND(G233&lt;&gt;"NG w CCUS",G233&lt;&gt;"Oil w CCUS",G233&lt;&gt;"Coal w CCUS"),AB233,AD233*10^3/(HoursInYear*IF(G233="NG w CCUS",0.9105,1.9075)))</f>
        <v>50150.577107766068</v>
      </c>
      <c r="AF233" s="64" t="s">
        <v>1223</v>
      </c>
      <c r="AG233" s="49">
        <v>0.9</v>
      </c>
    </row>
    <row r="234" spans="1:33" ht="34.5" customHeight="1" x14ac:dyDescent="0.3">
      <c r="A234" s="46">
        <v>544</v>
      </c>
      <c r="B234" s="46" t="s">
        <v>1224</v>
      </c>
      <c r="C234" s="46" t="s">
        <v>35</v>
      </c>
      <c r="D234" s="60">
        <v>2003</v>
      </c>
      <c r="E234" s="60">
        <v>2016</v>
      </c>
      <c r="F234" s="46" t="s">
        <v>285</v>
      </c>
      <c r="G234" s="46" t="s">
        <v>1</v>
      </c>
      <c r="H234" s="46"/>
      <c r="I234" s="46" t="s">
        <v>157</v>
      </c>
      <c r="J234" s="46"/>
      <c r="K234" s="46" t="s">
        <v>68</v>
      </c>
      <c r="L234" s="46"/>
      <c r="M234" s="46"/>
      <c r="N234" s="46"/>
      <c r="O234" s="46"/>
      <c r="P234" s="46"/>
      <c r="Q234" s="46"/>
      <c r="R234" s="46">
        <v>1</v>
      </c>
      <c r="S234" s="46"/>
      <c r="T234" s="46"/>
      <c r="U234" s="46"/>
      <c r="V234" s="46"/>
      <c r="W234" s="46"/>
      <c r="X234" s="46"/>
      <c r="Y234" s="46"/>
      <c r="Z234" s="46" t="s">
        <v>1225</v>
      </c>
      <c r="AA234" s="61">
        <f>AB234*0.0052</f>
        <v>3.6399999999999996E-3</v>
      </c>
      <c r="AB234" s="62">
        <v>0.7</v>
      </c>
      <c r="AC234" s="63">
        <f t="shared" ref="AC234:AC239" si="26">AB234*H2dens*HoursInYear/10^6</f>
        <v>5.4574799999999998E-4</v>
      </c>
      <c r="AD234" s="62"/>
      <c r="AE234" s="62">
        <f>AB234</f>
        <v>0.7</v>
      </c>
      <c r="AF234" s="64" t="s">
        <v>1226</v>
      </c>
      <c r="AG234" s="49">
        <v>0.56999999999999995</v>
      </c>
    </row>
    <row r="235" spans="1:33" ht="34.5" customHeight="1" x14ac:dyDescent="0.3">
      <c r="A235" s="46">
        <v>548</v>
      </c>
      <c r="B235" s="46" t="s">
        <v>1227</v>
      </c>
      <c r="C235" s="46" t="s">
        <v>35</v>
      </c>
      <c r="D235" s="60">
        <v>2023</v>
      </c>
      <c r="E235" s="60"/>
      <c r="F235" s="46" t="s">
        <v>675</v>
      </c>
      <c r="G235" s="46" t="s">
        <v>1</v>
      </c>
      <c r="H235" s="46"/>
      <c r="I235" s="46" t="s">
        <v>166</v>
      </c>
      <c r="J235" s="46"/>
      <c r="K235" s="46" t="s">
        <v>141</v>
      </c>
      <c r="L235" s="46"/>
      <c r="M235" s="46">
        <v>1</v>
      </c>
      <c r="N235" s="46"/>
      <c r="O235" s="46"/>
      <c r="P235" s="46"/>
      <c r="Q235" s="46"/>
      <c r="R235" s="46"/>
      <c r="S235" s="46"/>
      <c r="T235" s="46"/>
      <c r="U235" s="46"/>
      <c r="V235" s="46"/>
      <c r="W235" s="46"/>
      <c r="X235" s="46"/>
      <c r="Y235" s="46"/>
      <c r="Z235" s="46" t="s">
        <v>1228</v>
      </c>
      <c r="AA235" s="61">
        <v>24</v>
      </c>
      <c r="AB235" s="62">
        <f>IF(OR(G235="ALK",G235="PEM",G235="SOEC",G235="Other Electrolysis"),
AA235/VLOOKUP(G235,ElectrolysisConvF,3,FALSE),
AC235*10^6/(H2dens*HoursInYear))</f>
        <v>4615.3846153846152</v>
      </c>
      <c r="AC235" s="63">
        <f t="shared" si="26"/>
        <v>3.5983384615384608</v>
      </c>
      <c r="AD235" s="62"/>
      <c r="AE235" s="62">
        <f>AB235</f>
        <v>4615.3846153846152</v>
      </c>
      <c r="AF235" s="64" t="s">
        <v>1229</v>
      </c>
      <c r="AG235" s="49">
        <v>0.56999999999999995</v>
      </c>
    </row>
    <row r="236" spans="1:33" ht="34.5" customHeight="1" x14ac:dyDescent="0.3">
      <c r="A236" s="46">
        <v>549</v>
      </c>
      <c r="B236" s="46" t="s">
        <v>1230</v>
      </c>
      <c r="C236" s="46" t="s">
        <v>35</v>
      </c>
      <c r="D236" s="60">
        <v>2024</v>
      </c>
      <c r="E236" s="60"/>
      <c r="F236" s="46" t="s">
        <v>225</v>
      </c>
      <c r="G236" s="46" t="s">
        <v>159</v>
      </c>
      <c r="H236" s="46" t="s">
        <v>592</v>
      </c>
      <c r="I236" s="46" t="s">
        <v>707</v>
      </c>
      <c r="J236" s="46"/>
      <c r="K236" s="46" t="s">
        <v>68</v>
      </c>
      <c r="L236" s="46"/>
      <c r="M236" s="46"/>
      <c r="N236" s="46"/>
      <c r="O236" s="46"/>
      <c r="P236" s="46"/>
      <c r="Q236" s="46">
        <v>1</v>
      </c>
      <c r="R236" s="46">
        <v>1</v>
      </c>
      <c r="S236" s="46"/>
      <c r="T236" s="46"/>
      <c r="U236" s="46"/>
      <c r="V236" s="46"/>
      <c r="W236" s="46"/>
      <c r="X236" s="46"/>
      <c r="Y236" s="46"/>
      <c r="Z236" s="46" t="s">
        <v>1231</v>
      </c>
      <c r="AA236" s="61">
        <v>45</v>
      </c>
      <c r="AB236" s="62">
        <f>AA236/0.0045</f>
        <v>10000</v>
      </c>
      <c r="AC236" s="63">
        <f t="shared" si="26"/>
        <v>7.7964000000000002</v>
      </c>
      <c r="AD236" s="62"/>
      <c r="AE236" s="62">
        <f>AB236</f>
        <v>10000</v>
      </c>
      <c r="AF236" s="64" t="s">
        <v>1213</v>
      </c>
      <c r="AG236" s="49">
        <v>0.56999999999999995</v>
      </c>
    </row>
    <row r="237" spans="1:33" ht="34.5" customHeight="1" x14ac:dyDescent="0.3">
      <c r="A237" s="46">
        <v>552</v>
      </c>
      <c r="B237" s="46" t="s">
        <v>1232</v>
      </c>
      <c r="C237" s="46" t="s">
        <v>46</v>
      </c>
      <c r="D237" s="60">
        <v>2025</v>
      </c>
      <c r="E237" s="60"/>
      <c r="F237" s="46" t="s">
        <v>157</v>
      </c>
      <c r="G237" s="46" t="s">
        <v>1</v>
      </c>
      <c r="H237" s="46"/>
      <c r="I237" s="46" t="s">
        <v>169</v>
      </c>
      <c r="J237" s="46" t="s">
        <v>246</v>
      </c>
      <c r="K237" s="46" t="s">
        <v>68</v>
      </c>
      <c r="L237" s="46">
        <v>1</v>
      </c>
      <c r="M237" s="46"/>
      <c r="N237" s="46"/>
      <c r="O237" s="46"/>
      <c r="P237" s="46"/>
      <c r="Q237" s="46"/>
      <c r="R237" s="46"/>
      <c r="S237" s="46"/>
      <c r="T237" s="46"/>
      <c r="U237" s="46"/>
      <c r="V237" s="46"/>
      <c r="W237" s="46"/>
      <c r="X237" s="46"/>
      <c r="Y237" s="46"/>
      <c r="Z237" s="46" t="s">
        <v>1177</v>
      </c>
      <c r="AA237" s="61">
        <v>100</v>
      </c>
      <c r="AB237" s="62">
        <f>AA237/0.0052</f>
        <v>19230.76923076923</v>
      </c>
      <c r="AC237" s="63">
        <f t="shared" si="26"/>
        <v>14.993076923076922</v>
      </c>
      <c r="AD237" s="62"/>
      <c r="AE237" s="62">
        <f t="shared" ref="AE237:AE244" si="27">AB237</f>
        <v>19230.76923076923</v>
      </c>
      <c r="AF237" s="64" t="s">
        <v>1233</v>
      </c>
      <c r="AG237" s="49">
        <v>0.55000000000000004</v>
      </c>
    </row>
    <row r="238" spans="1:33" ht="34.5" customHeight="1" x14ac:dyDescent="0.3">
      <c r="A238" s="46">
        <v>553</v>
      </c>
      <c r="B238" s="46" t="s">
        <v>1234</v>
      </c>
      <c r="C238" s="46" t="s">
        <v>46</v>
      </c>
      <c r="D238" s="60">
        <v>2010</v>
      </c>
      <c r="E238" s="60">
        <v>2014</v>
      </c>
      <c r="F238" s="46" t="s">
        <v>285</v>
      </c>
      <c r="G238" s="46" t="s">
        <v>3</v>
      </c>
      <c r="H238" s="46"/>
      <c r="I238" s="46" t="s">
        <v>707</v>
      </c>
      <c r="J238" s="46"/>
      <c r="K238" s="46" t="s">
        <v>68</v>
      </c>
      <c r="L238" s="46"/>
      <c r="M238" s="46"/>
      <c r="N238" s="46"/>
      <c r="O238" s="46"/>
      <c r="P238" s="46"/>
      <c r="Q238" s="46"/>
      <c r="R238" s="46">
        <v>1</v>
      </c>
      <c r="S238" s="46"/>
      <c r="T238" s="46"/>
      <c r="U238" s="46">
        <v>1</v>
      </c>
      <c r="V238" s="46"/>
      <c r="W238" s="46"/>
      <c r="X238" s="46"/>
      <c r="Y238" s="46"/>
      <c r="Z238" s="46" t="s">
        <v>1235</v>
      </c>
      <c r="AA238" s="61">
        <f>AB238*0.0046</f>
        <v>2.4379999999999999E-2</v>
      </c>
      <c r="AB238" s="62">
        <v>5.3</v>
      </c>
      <c r="AC238" s="63">
        <f t="shared" si="26"/>
        <v>4.1320919999999995E-3</v>
      </c>
      <c r="AD238" s="62"/>
      <c r="AE238" s="62">
        <f t="shared" si="27"/>
        <v>5.3</v>
      </c>
      <c r="AF238" s="64" t="s">
        <v>1236</v>
      </c>
      <c r="AG238" s="49">
        <v>0.56999999999999995</v>
      </c>
    </row>
    <row r="239" spans="1:33" ht="34.5" customHeight="1" x14ac:dyDescent="0.3">
      <c r="A239" s="46">
        <v>554</v>
      </c>
      <c r="B239" s="46" t="s">
        <v>1237</v>
      </c>
      <c r="C239" s="46" t="s">
        <v>46</v>
      </c>
      <c r="D239" s="60">
        <v>2011</v>
      </c>
      <c r="E239" s="60">
        <v>2014</v>
      </c>
      <c r="F239" s="46" t="s">
        <v>285</v>
      </c>
      <c r="G239" s="46" t="s">
        <v>3</v>
      </c>
      <c r="H239" s="46"/>
      <c r="I239" s="46" t="s">
        <v>707</v>
      </c>
      <c r="J239" s="46"/>
      <c r="K239" s="46" t="s">
        <v>68</v>
      </c>
      <c r="L239" s="46"/>
      <c r="M239" s="46"/>
      <c r="N239" s="46"/>
      <c r="O239" s="46"/>
      <c r="P239" s="46"/>
      <c r="Q239" s="46">
        <v>1</v>
      </c>
      <c r="R239" s="46">
        <v>1</v>
      </c>
      <c r="S239" s="46"/>
      <c r="T239" s="46"/>
      <c r="U239" s="46"/>
      <c r="V239" s="46"/>
      <c r="W239" s="46"/>
      <c r="X239" s="46"/>
      <c r="Y239" s="46"/>
      <c r="Z239" s="46" t="s">
        <v>1073</v>
      </c>
      <c r="AA239" s="61">
        <v>5.0000000000000001E-3</v>
      </c>
      <c r="AB239" s="62">
        <f>AA239/0.0046</f>
        <v>1.0869565217391304</v>
      </c>
      <c r="AC239" s="63">
        <f t="shared" si="26"/>
        <v>8.4743478260869561E-4</v>
      </c>
      <c r="AD239" s="62"/>
      <c r="AE239" s="62">
        <f t="shared" si="27"/>
        <v>1.0869565217391304</v>
      </c>
      <c r="AF239" s="64" t="s">
        <v>1238</v>
      </c>
      <c r="AG239" s="49">
        <v>0.56999999999999995</v>
      </c>
    </row>
    <row r="240" spans="1:33" ht="34.5" customHeight="1" x14ac:dyDescent="0.3">
      <c r="A240" s="46">
        <v>555</v>
      </c>
      <c r="B240" s="46" t="s">
        <v>1239</v>
      </c>
      <c r="C240" s="46" t="s">
        <v>46</v>
      </c>
      <c r="D240" s="60">
        <v>2012</v>
      </c>
      <c r="E240" s="60">
        <v>2013</v>
      </c>
      <c r="F240" s="46" t="s">
        <v>285</v>
      </c>
      <c r="G240" s="46" t="s">
        <v>159</v>
      </c>
      <c r="H240" s="46" t="s">
        <v>592</v>
      </c>
      <c r="I240" s="46" t="s">
        <v>707</v>
      </c>
      <c r="J240" s="46"/>
      <c r="K240" s="46" t="s">
        <v>167</v>
      </c>
      <c r="L240" s="46"/>
      <c r="M240" s="46"/>
      <c r="N240" s="46"/>
      <c r="O240" s="46"/>
      <c r="P240" s="46"/>
      <c r="Q240" s="46"/>
      <c r="R240" s="46"/>
      <c r="S240" s="46"/>
      <c r="T240" s="46"/>
      <c r="U240" s="46"/>
      <c r="V240" s="46"/>
      <c r="W240" s="46">
        <v>1</v>
      </c>
      <c r="X240" s="46"/>
      <c r="Y240" s="46"/>
      <c r="Z240" s="46"/>
      <c r="AA240" s="61"/>
      <c r="AB240" s="62"/>
      <c r="AC240" s="63"/>
      <c r="AD240" s="62"/>
      <c r="AE240" s="62">
        <f t="shared" si="27"/>
        <v>0</v>
      </c>
      <c r="AF240" s="64" t="s">
        <v>1240</v>
      </c>
      <c r="AG240" s="49">
        <v>0.56999999999999995</v>
      </c>
    </row>
    <row r="241" spans="1:33" ht="34.5" customHeight="1" x14ac:dyDescent="0.3">
      <c r="A241" s="46">
        <v>556</v>
      </c>
      <c r="B241" s="46" t="s">
        <v>1241</v>
      </c>
      <c r="C241" s="46" t="s">
        <v>46</v>
      </c>
      <c r="D241" s="60">
        <v>2015</v>
      </c>
      <c r="E241" s="60">
        <v>2018</v>
      </c>
      <c r="F241" s="46" t="s">
        <v>285</v>
      </c>
      <c r="G241" s="46" t="s">
        <v>3</v>
      </c>
      <c r="H241" s="46"/>
      <c r="I241" s="46" t="s">
        <v>157</v>
      </c>
      <c r="J241" s="46"/>
      <c r="K241" s="46" t="s">
        <v>68</v>
      </c>
      <c r="L241" s="46"/>
      <c r="M241" s="46"/>
      <c r="N241" s="46"/>
      <c r="O241" s="46"/>
      <c r="P241" s="46"/>
      <c r="Q241" s="46">
        <v>1</v>
      </c>
      <c r="R241" s="46"/>
      <c r="S241" s="46"/>
      <c r="T241" s="46"/>
      <c r="U241" s="46"/>
      <c r="V241" s="46"/>
      <c r="W241" s="46"/>
      <c r="X241" s="46"/>
      <c r="Y241" s="46"/>
      <c r="Z241" s="46" t="s">
        <v>1242</v>
      </c>
      <c r="AA241" s="61">
        <v>1</v>
      </c>
      <c r="AB241" s="62">
        <f>IF(OR(G241="ALK",G241="PEM",G241="SOEC",G241="Other Electrolysis"),
AA241/VLOOKUP(G241,ElectrolysisConvF,3,FALSE),
AC241*10^6/(H2dens*HoursInYear))</f>
        <v>217.39130434782609</v>
      </c>
      <c r="AC241" s="63">
        <f t="shared" ref="AC241" si="28">AB241*H2dens*HoursInYear/10^6</f>
        <v>0.16948695652173912</v>
      </c>
      <c r="AD241" s="62"/>
      <c r="AE241" s="62">
        <f t="shared" si="27"/>
        <v>217.39130434782609</v>
      </c>
      <c r="AF241" s="64" t="s">
        <v>1243</v>
      </c>
      <c r="AG241" s="49">
        <v>0.56999999999999995</v>
      </c>
    </row>
    <row r="242" spans="1:33" ht="34.5" customHeight="1" x14ac:dyDescent="0.3">
      <c r="A242" s="46">
        <v>557</v>
      </c>
      <c r="B242" s="46" t="s">
        <v>1244</v>
      </c>
      <c r="C242" s="46" t="s">
        <v>46</v>
      </c>
      <c r="D242" s="60">
        <v>2016</v>
      </c>
      <c r="E242" s="60"/>
      <c r="F242" s="46" t="s">
        <v>226</v>
      </c>
      <c r="G242" s="46" t="s">
        <v>159</v>
      </c>
      <c r="H242" s="46" t="s">
        <v>592</v>
      </c>
      <c r="I242" s="46" t="s">
        <v>169</v>
      </c>
      <c r="J242" s="46" t="s">
        <v>245</v>
      </c>
      <c r="K242" s="46" t="s">
        <v>68</v>
      </c>
      <c r="L242" s="46"/>
      <c r="M242" s="46"/>
      <c r="N242" s="46"/>
      <c r="O242" s="46"/>
      <c r="P242" s="46"/>
      <c r="Q242" s="46">
        <v>1</v>
      </c>
      <c r="R242" s="46">
        <v>1</v>
      </c>
      <c r="S242" s="46"/>
      <c r="T242" s="46"/>
      <c r="U242" s="46"/>
      <c r="V242" s="46"/>
      <c r="W242" s="46"/>
      <c r="X242" s="46"/>
      <c r="Y242" s="46"/>
      <c r="Z242" s="46" t="s">
        <v>1245</v>
      </c>
      <c r="AA242" s="61">
        <v>0.37</v>
      </c>
      <c r="AB242" s="62">
        <f>AA242/0.0045</f>
        <v>82.222222222222229</v>
      </c>
      <c r="AC242" s="63">
        <f>AB242*H2dens*HoursInYear/10^6</f>
        <v>6.4103733333333329E-2</v>
      </c>
      <c r="AD242" s="62"/>
      <c r="AE242" s="62">
        <f t="shared" si="27"/>
        <v>82.222222222222229</v>
      </c>
      <c r="AF242" s="64" t="s">
        <v>1246</v>
      </c>
      <c r="AG242" s="49">
        <v>0.4</v>
      </c>
    </row>
    <row r="243" spans="1:33" ht="34.5" customHeight="1" x14ac:dyDescent="0.3">
      <c r="A243" s="46">
        <v>558</v>
      </c>
      <c r="B243" s="46" t="s">
        <v>1247</v>
      </c>
      <c r="C243" s="46" t="s">
        <v>46</v>
      </c>
      <c r="D243" s="60">
        <v>2005</v>
      </c>
      <c r="E243" s="60"/>
      <c r="F243" s="46" t="s">
        <v>226</v>
      </c>
      <c r="G243" s="46" t="s">
        <v>3</v>
      </c>
      <c r="H243" s="46"/>
      <c r="I243" s="46" t="s">
        <v>707</v>
      </c>
      <c r="J243" s="46"/>
      <c r="K243" s="46" t="s">
        <v>68</v>
      </c>
      <c r="L243" s="46"/>
      <c r="M243" s="46"/>
      <c r="N243" s="46"/>
      <c r="O243" s="46"/>
      <c r="P243" s="46"/>
      <c r="Q243" s="46">
        <v>1</v>
      </c>
      <c r="R243" s="46">
        <v>1</v>
      </c>
      <c r="S243" s="46"/>
      <c r="T243" s="46">
        <v>1</v>
      </c>
      <c r="U243" s="46"/>
      <c r="V243" s="46"/>
      <c r="W243" s="46"/>
      <c r="X243" s="46"/>
      <c r="Y243" s="46"/>
      <c r="Z243" s="46" t="s">
        <v>1248</v>
      </c>
      <c r="AA243" s="61">
        <v>1.4999999999999999E-2</v>
      </c>
      <c r="AB243" s="62">
        <f>AA243/0.0046</f>
        <v>3.2608695652173911</v>
      </c>
      <c r="AC243" s="63">
        <f>AB243*H2dens*HoursInYear/10^6</f>
        <v>2.5423043478260869E-3</v>
      </c>
      <c r="AD243" s="62"/>
      <c r="AE243" s="62">
        <f t="shared" si="27"/>
        <v>3.2608695652173911</v>
      </c>
      <c r="AF243" s="64" t="s">
        <v>1249</v>
      </c>
      <c r="AG243" s="49">
        <v>0.56999999999999995</v>
      </c>
    </row>
    <row r="244" spans="1:33" ht="34.5" customHeight="1" x14ac:dyDescent="0.3">
      <c r="A244" s="46">
        <v>559</v>
      </c>
      <c r="B244" s="46" t="s">
        <v>1250</v>
      </c>
      <c r="C244" s="46" t="s">
        <v>46</v>
      </c>
      <c r="D244" s="60">
        <v>2021</v>
      </c>
      <c r="E244" s="60"/>
      <c r="F244" s="46" t="s">
        <v>226</v>
      </c>
      <c r="G244" s="46" t="s">
        <v>1</v>
      </c>
      <c r="H244" s="46"/>
      <c r="I244" s="46" t="s">
        <v>169</v>
      </c>
      <c r="J244" s="46" t="s">
        <v>248</v>
      </c>
      <c r="K244" s="46" t="s">
        <v>68</v>
      </c>
      <c r="L244" s="46"/>
      <c r="M244" s="46"/>
      <c r="N244" s="46"/>
      <c r="O244" s="46"/>
      <c r="P244" s="46"/>
      <c r="Q244" s="46">
        <v>1</v>
      </c>
      <c r="R244" s="46"/>
      <c r="S244" s="46"/>
      <c r="T244" s="46"/>
      <c r="U244" s="46"/>
      <c r="V244" s="46"/>
      <c r="W244" s="46"/>
      <c r="X244" s="46"/>
      <c r="Y244" s="46"/>
      <c r="Z244" s="46" t="s">
        <v>1251</v>
      </c>
      <c r="AA244" s="61">
        <v>3</v>
      </c>
      <c r="AB244" s="62">
        <f>AA244/0.0052</f>
        <v>576.92307692307691</v>
      </c>
      <c r="AC244" s="63">
        <f>AB244*H2dens*HoursInYear/10^6</f>
        <v>0.4497923076923076</v>
      </c>
      <c r="AD244" s="62"/>
      <c r="AE244" s="62">
        <f t="shared" si="27"/>
        <v>576.92307692307691</v>
      </c>
      <c r="AF244" s="64" t="s">
        <v>1252</v>
      </c>
      <c r="AG244" s="49">
        <v>0.5</v>
      </c>
    </row>
    <row r="245" spans="1:33" ht="34.5" customHeight="1" x14ac:dyDescent="0.3">
      <c r="A245" s="46">
        <v>562</v>
      </c>
      <c r="B245" s="46" t="s">
        <v>1253</v>
      </c>
      <c r="C245" s="46" t="s">
        <v>46</v>
      </c>
      <c r="D245" s="60">
        <v>2028</v>
      </c>
      <c r="E245" s="60"/>
      <c r="F245" s="46" t="s">
        <v>225</v>
      </c>
      <c r="G245" s="46" t="s">
        <v>161</v>
      </c>
      <c r="H245" s="46" t="s">
        <v>882</v>
      </c>
      <c r="I245" s="46"/>
      <c r="J245" s="46"/>
      <c r="K245" s="46" t="s">
        <v>68</v>
      </c>
      <c r="L245" s="46"/>
      <c r="M245" s="46"/>
      <c r="N245" s="46"/>
      <c r="O245" s="46"/>
      <c r="P245" s="46">
        <v>1</v>
      </c>
      <c r="Q245" s="46"/>
      <c r="R245" s="46">
        <v>1</v>
      </c>
      <c r="S245" s="46">
        <v>1</v>
      </c>
      <c r="T245" s="46"/>
      <c r="U245" s="46"/>
      <c r="V245" s="46"/>
      <c r="W245" s="46"/>
      <c r="X245" s="46"/>
      <c r="Y245" s="46"/>
      <c r="Z245" s="46" t="s">
        <v>1254</v>
      </c>
      <c r="AA245" s="61"/>
      <c r="AB245" s="62">
        <f>IF(OR(G245="ALK",G245="PEM",G245="SOEC",G245="Other Electrolysis"),
AA245/VLOOKUP(G245,ElectrolysisConvF,3,FALSE),
AC245*10^6/(H2dens*HoursInYear))</f>
        <v>192134.83146067415</v>
      </c>
      <c r="AC245" s="63">
        <f>600*HoursInYear*0.95*3600/120/10^6</f>
        <v>149.79599999999999</v>
      </c>
      <c r="AD245" s="62">
        <v>1000000</v>
      </c>
      <c r="AE245" s="62">
        <f>IF(AND(G245&lt;&gt;"NG w CCUS",G245&lt;&gt;"Oil w CCUS",G245&lt;&gt;"Coal w CCUS"),AB245,AD245*10^3/(HoursInYear*IF(G245="NG w CCUS",0.9105,1.9075)))</f>
        <v>125376.44276941518</v>
      </c>
      <c r="AF245" s="64" t="s">
        <v>1255</v>
      </c>
      <c r="AG245" s="49">
        <v>0.9</v>
      </c>
    </row>
    <row r="246" spans="1:33" ht="34.5" customHeight="1" x14ac:dyDescent="0.3">
      <c r="A246" s="46">
        <v>563</v>
      </c>
      <c r="B246" s="46" t="s">
        <v>1256</v>
      </c>
      <c r="C246" s="46" t="s">
        <v>49</v>
      </c>
      <c r="D246" s="60">
        <v>2025</v>
      </c>
      <c r="E246" s="60"/>
      <c r="F246" s="46" t="s">
        <v>225</v>
      </c>
      <c r="G246" s="46" t="s">
        <v>159</v>
      </c>
      <c r="H246" s="46" t="s">
        <v>592</v>
      </c>
      <c r="I246" s="46" t="s">
        <v>169</v>
      </c>
      <c r="J246" s="46" t="s">
        <v>248</v>
      </c>
      <c r="K246" s="46" t="s">
        <v>168</v>
      </c>
      <c r="L246" s="46"/>
      <c r="M246" s="46"/>
      <c r="N246" s="46"/>
      <c r="O246" s="46"/>
      <c r="P246" s="46">
        <v>1</v>
      </c>
      <c r="Q246" s="46">
        <v>1</v>
      </c>
      <c r="R246" s="46"/>
      <c r="S246" s="46"/>
      <c r="T246" s="46"/>
      <c r="U246" s="46"/>
      <c r="V246" s="46"/>
      <c r="W246" s="46">
        <v>1</v>
      </c>
      <c r="X246" s="46"/>
      <c r="Y246" s="46"/>
      <c r="Z246" s="46" t="s">
        <v>1257</v>
      </c>
      <c r="AA246" s="61">
        <v>90</v>
      </c>
      <c r="AB246" s="62">
        <f>AA246/0.0045</f>
        <v>20000</v>
      </c>
      <c r="AC246" s="63">
        <f>AB246*H2dens*HoursInYear/10^6</f>
        <v>15.5928</v>
      </c>
      <c r="AD246" s="62"/>
      <c r="AE246" s="62">
        <f>AB246</f>
        <v>20000</v>
      </c>
      <c r="AF246" s="64" t="s">
        <v>1258</v>
      </c>
      <c r="AG246" s="49">
        <v>0.5</v>
      </c>
    </row>
    <row r="247" spans="1:33" ht="34.5" customHeight="1" x14ac:dyDescent="0.3">
      <c r="A247" s="46">
        <v>565</v>
      </c>
      <c r="B247" s="46" t="s">
        <v>1259</v>
      </c>
      <c r="C247" s="46" t="s">
        <v>49</v>
      </c>
      <c r="D247" s="60">
        <v>2027</v>
      </c>
      <c r="E247" s="60"/>
      <c r="F247" s="46" t="s">
        <v>225</v>
      </c>
      <c r="G247" s="46" t="s">
        <v>159</v>
      </c>
      <c r="H247" s="46" t="s">
        <v>592</v>
      </c>
      <c r="I247" s="46" t="s">
        <v>169</v>
      </c>
      <c r="J247" s="46" t="s">
        <v>248</v>
      </c>
      <c r="K247" s="46" t="s">
        <v>168</v>
      </c>
      <c r="L247" s="46"/>
      <c r="M247" s="46"/>
      <c r="N247" s="46"/>
      <c r="O247" s="46"/>
      <c r="P247" s="46">
        <v>1</v>
      </c>
      <c r="Q247" s="46">
        <v>1</v>
      </c>
      <c r="R247" s="46"/>
      <c r="S247" s="46"/>
      <c r="T247" s="46"/>
      <c r="U247" s="46"/>
      <c r="V247" s="46"/>
      <c r="W247" s="46">
        <v>1</v>
      </c>
      <c r="X247" s="46"/>
      <c r="Y247" s="46"/>
      <c r="Z247" s="46" t="s">
        <v>1260</v>
      </c>
      <c r="AA247" s="61">
        <v>150</v>
      </c>
      <c r="AB247" s="62">
        <f>AA247/0.0045</f>
        <v>33333.333333333336</v>
      </c>
      <c r="AC247" s="63">
        <f>AB247*H2dens*HoursInYear/10^6</f>
        <v>25.988</v>
      </c>
      <c r="AD247" s="62"/>
      <c r="AE247" s="62">
        <f>AB247</f>
        <v>33333.333333333336</v>
      </c>
      <c r="AF247" s="64" t="s">
        <v>1169</v>
      </c>
      <c r="AG247" s="49">
        <v>0.5</v>
      </c>
    </row>
    <row r="248" spans="1:33" ht="34.5" customHeight="1" x14ac:dyDescent="0.3">
      <c r="A248" s="46">
        <v>566</v>
      </c>
      <c r="B248" s="46" t="s">
        <v>1261</v>
      </c>
      <c r="C248" s="46" t="s">
        <v>46</v>
      </c>
      <c r="D248" s="60">
        <v>2024</v>
      </c>
      <c r="E248" s="60"/>
      <c r="F248" s="46" t="s">
        <v>675</v>
      </c>
      <c r="G248" s="46" t="s">
        <v>1</v>
      </c>
      <c r="H248" s="46"/>
      <c r="I248" s="46" t="s">
        <v>169</v>
      </c>
      <c r="J248" s="46" t="s">
        <v>244</v>
      </c>
      <c r="K248" s="46" t="s">
        <v>68</v>
      </c>
      <c r="L248" s="46"/>
      <c r="M248" s="46"/>
      <c r="N248" s="46"/>
      <c r="O248" s="46"/>
      <c r="P248" s="46"/>
      <c r="Q248" s="46">
        <v>1</v>
      </c>
      <c r="R248" s="46"/>
      <c r="S248" s="46"/>
      <c r="T248" s="46"/>
      <c r="U248" s="46"/>
      <c r="V248" s="46"/>
      <c r="W248" s="46"/>
      <c r="X248" s="46"/>
      <c r="Y248" s="46"/>
      <c r="Z248" s="46" t="s">
        <v>981</v>
      </c>
      <c r="AA248" s="61">
        <v>20</v>
      </c>
      <c r="AB248" s="62">
        <f>AA248/0.0052</f>
        <v>3846.1538461538462</v>
      </c>
      <c r="AC248" s="63">
        <f>AB248*H2dens*HoursInYear/10^6</f>
        <v>2.9986153846153845</v>
      </c>
      <c r="AD248" s="62"/>
      <c r="AE248" s="62">
        <f>AB248</f>
        <v>3846.1538461538462</v>
      </c>
      <c r="AF248" s="64" t="s">
        <v>1262</v>
      </c>
      <c r="AG248" s="49">
        <v>0.3</v>
      </c>
    </row>
    <row r="249" spans="1:33" ht="34.5" customHeight="1" x14ac:dyDescent="0.3">
      <c r="A249" s="46">
        <v>571</v>
      </c>
      <c r="B249" s="46" t="s">
        <v>1263</v>
      </c>
      <c r="C249" s="46" t="s">
        <v>40</v>
      </c>
      <c r="D249" s="60">
        <v>2024</v>
      </c>
      <c r="E249" s="60"/>
      <c r="F249" s="46" t="s">
        <v>675</v>
      </c>
      <c r="G249" s="46" t="s">
        <v>3</v>
      </c>
      <c r="H249" s="46"/>
      <c r="I249" s="46" t="s">
        <v>169</v>
      </c>
      <c r="J249" s="46" t="s">
        <v>69</v>
      </c>
      <c r="K249" s="46" t="s">
        <v>141</v>
      </c>
      <c r="L249" s="46"/>
      <c r="M249" s="46">
        <v>1</v>
      </c>
      <c r="N249" s="46"/>
      <c r="O249" s="46"/>
      <c r="P249" s="46"/>
      <c r="Q249" s="46"/>
      <c r="R249" s="46"/>
      <c r="S249" s="46"/>
      <c r="T249" s="46"/>
      <c r="U249" s="46"/>
      <c r="V249" s="46"/>
      <c r="W249" s="46"/>
      <c r="X249" s="46"/>
      <c r="Y249" s="46"/>
      <c r="Z249" s="46" t="s">
        <v>1264</v>
      </c>
      <c r="AA249" s="61">
        <v>20</v>
      </c>
      <c r="AB249" s="62">
        <f>AA249/0.0046</f>
        <v>4347.826086956522</v>
      </c>
      <c r="AC249" s="63">
        <f>AB249*H2dens*HoursInYear/10^6</f>
        <v>3.3897391304347826</v>
      </c>
      <c r="AD249" s="62"/>
      <c r="AE249" s="62">
        <f>AB249</f>
        <v>4347.826086956522</v>
      </c>
      <c r="AF249" s="64" t="s">
        <v>1265</v>
      </c>
      <c r="AG249" s="49">
        <v>0.5</v>
      </c>
    </row>
    <row r="250" spans="1:33" ht="34.5" customHeight="1" x14ac:dyDescent="0.3">
      <c r="A250" s="46">
        <v>572</v>
      </c>
      <c r="B250" s="46" t="s">
        <v>1266</v>
      </c>
      <c r="C250" s="46" t="s">
        <v>40</v>
      </c>
      <c r="D250" s="60">
        <v>2024</v>
      </c>
      <c r="E250" s="60"/>
      <c r="F250" s="46" t="s">
        <v>225</v>
      </c>
      <c r="G250" s="46" t="s">
        <v>1</v>
      </c>
      <c r="H250" s="46"/>
      <c r="I250" s="46" t="s">
        <v>169</v>
      </c>
      <c r="J250" s="46" t="s">
        <v>69</v>
      </c>
      <c r="K250" s="46" t="s">
        <v>68</v>
      </c>
      <c r="L250" s="46"/>
      <c r="M250" s="46"/>
      <c r="N250" s="46"/>
      <c r="O250" s="46"/>
      <c r="P250" s="46"/>
      <c r="Q250" s="46">
        <v>1</v>
      </c>
      <c r="R250" s="46"/>
      <c r="S250" s="46"/>
      <c r="T250" s="46"/>
      <c r="U250" s="46"/>
      <c r="V250" s="46"/>
      <c r="W250" s="46"/>
      <c r="X250" s="46"/>
      <c r="Y250" s="46"/>
      <c r="Z250" s="46" t="s">
        <v>1001</v>
      </c>
      <c r="AA250" s="61">
        <v>5</v>
      </c>
      <c r="AB250" s="62">
        <f>AA250/0.0052</f>
        <v>961.53846153846155</v>
      </c>
      <c r="AC250" s="63">
        <f>AB250*H2dens*HoursInYear/10^6</f>
        <v>0.74965384615384612</v>
      </c>
      <c r="AD250" s="62"/>
      <c r="AE250" s="62">
        <f>IF(AND(G250&lt;&gt;"NG w CCUS",G250&lt;&gt;"Oil w CCUS",G250&lt;&gt;"Coal w CCUS"),AB250,AD250*10^3/(HoursInYear*IF(G250="NG w CCUS",0.9105,1.9075)))</f>
        <v>961.53846153846155</v>
      </c>
      <c r="AF250" s="64" t="s">
        <v>1267</v>
      </c>
      <c r="AG250" s="49">
        <v>0.5</v>
      </c>
    </row>
    <row r="251" spans="1:33" ht="34.5" customHeight="1" x14ac:dyDescent="0.3">
      <c r="A251" s="46">
        <v>573</v>
      </c>
      <c r="B251" s="46" t="s">
        <v>1268</v>
      </c>
      <c r="C251" s="46" t="s">
        <v>203</v>
      </c>
      <c r="D251" s="60">
        <v>2028</v>
      </c>
      <c r="E251" s="60"/>
      <c r="F251" s="46" t="s">
        <v>225</v>
      </c>
      <c r="G251" s="46" t="s">
        <v>3</v>
      </c>
      <c r="H251" s="46"/>
      <c r="I251" s="46" t="s">
        <v>169</v>
      </c>
      <c r="J251" s="46" t="s">
        <v>248</v>
      </c>
      <c r="K251" s="46" t="s">
        <v>68</v>
      </c>
      <c r="L251" s="46"/>
      <c r="M251" s="46"/>
      <c r="N251" s="46">
        <v>1</v>
      </c>
      <c r="O251" s="46">
        <v>1</v>
      </c>
      <c r="P251" s="46"/>
      <c r="Q251" s="46"/>
      <c r="R251" s="46"/>
      <c r="S251" s="46">
        <v>1</v>
      </c>
      <c r="T251" s="46"/>
      <c r="U251" s="46"/>
      <c r="V251" s="46"/>
      <c r="W251" s="46">
        <v>1</v>
      </c>
      <c r="X251" s="46"/>
      <c r="Y251" s="46"/>
      <c r="Z251" s="46" t="s">
        <v>1269</v>
      </c>
      <c r="AA251" s="61">
        <v>670</v>
      </c>
      <c r="AB251" s="62">
        <f>IF(OR(G251="ALK",G251="PEM",G251="SOEC",G251="Other Electrolysis"),
AA251/VLOOKUP(G251,ElectrolysisConvF,3,FALSE),
AC251*10^6/(H2dens*HoursInYear))</f>
        <v>145652.17391304349</v>
      </c>
      <c r="AC251" s="63">
        <f t="shared" ref="AC251:AC252" si="29">AB251*H2dens*HoursInYear/10^6</f>
        <v>113.55626086956522</v>
      </c>
      <c r="AD251" s="62"/>
      <c r="AE251" s="62">
        <f t="shared" ref="AE251:AE314" si="30">AB251</f>
        <v>145652.17391304349</v>
      </c>
      <c r="AF251" s="64" t="s">
        <v>1270</v>
      </c>
      <c r="AG251" s="49">
        <v>0.5</v>
      </c>
    </row>
    <row r="252" spans="1:33" ht="34.5" customHeight="1" x14ac:dyDescent="0.3">
      <c r="A252" s="46">
        <v>574</v>
      </c>
      <c r="B252" s="46" t="s">
        <v>1271</v>
      </c>
      <c r="C252" s="46" t="s">
        <v>203</v>
      </c>
      <c r="D252" s="60">
        <v>2023</v>
      </c>
      <c r="E252" s="60"/>
      <c r="F252" s="46" t="s">
        <v>675</v>
      </c>
      <c r="G252" s="46" t="s">
        <v>3</v>
      </c>
      <c r="H252" s="46"/>
      <c r="I252" s="46" t="s">
        <v>169</v>
      </c>
      <c r="J252" s="46" t="s">
        <v>246</v>
      </c>
      <c r="K252" s="46" t="s">
        <v>68</v>
      </c>
      <c r="L252" s="46">
        <v>1</v>
      </c>
      <c r="M252" s="46"/>
      <c r="N252" s="46"/>
      <c r="O252" s="46">
        <v>1</v>
      </c>
      <c r="P252" s="46"/>
      <c r="Q252" s="46"/>
      <c r="R252" s="46">
        <v>1</v>
      </c>
      <c r="S252" s="46"/>
      <c r="T252" s="46"/>
      <c r="U252" s="46"/>
      <c r="V252" s="46"/>
      <c r="W252" s="46"/>
      <c r="X252" s="46"/>
      <c r="Y252" s="46"/>
      <c r="Z252" s="46" t="s">
        <v>1168</v>
      </c>
      <c r="AA252" s="61">
        <v>10</v>
      </c>
      <c r="AB252" s="62">
        <f>IF(OR(G252="ALK",G252="PEM",G252="SOEC",G252="Other Electrolysis"),
AA252/VLOOKUP(G252,ElectrolysisConvF,3,FALSE),
AC252*10^6/(H2dens*HoursInYear))</f>
        <v>2173.913043478261</v>
      </c>
      <c r="AC252" s="63">
        <f t="shared" si="29"/>
        <v>1.6948695652173913</v>
      </c>
      <c r="AD252" s="62"/>
      <c r="AE252" s="62">
        <f t="shared" si="30"/>
        <v>2173.913043478261</v>
      </c>
      <c r="AF252" s="64" t="s">
        <v>1272</v>
      </c>
      <c r="AG252" s="49">
        <v>0.55000000000000004</v>
      </c>
    </row>
    <row r="253" spans="1:33" ht="34.5" customHeight="1" x14ac:dyDescent="0.3">
      <c r="A253" s="46">
        <v>575</v>
      </c>
      <c r="B253" s="46" t="s">
        <v>1273</v>
      </c>
      <c r="C253" s="46" t="s">
        <v>203</v>
      </c>
      <c r="D253" s="60"/>
      <c r="E253" s="60"/>
      <c r="F253" s="46" t="s">
        <v>225</v>
      </c>
      <c r="G253" s="46" t="s">
        <v>1</v>
      </c>
      <c r="H253" s="46"/>
      <c r="I253" s="46" t="s">
        <v>707</v>
      </c>
      <c r="J253" s="46"/>
      <c r="K253" s="46" t="s">
        <v>72</v>
      </c>
      <c r="L253" s="46"/>
      <c r="M253" s="46"/>
      <c r="N253" s="46"/>
      <c r="O253" s="46"/>
      <c r="P253" s="46"/>
      <c r="Q253" s="46"/>
      <c r="R253" s="46"/>
      <c r="S253" s="46"/>
      <c r="T253" s="46"/>
      <c r="U253" s="46"/>
      <c r="V253" s="46"/>
      <c r="W253" s="46"/>
      <c r="X253" s="46">
        <v>1</v>
      </c>
      <c r="Y253" s="46">
        <v>1</v>
      </c>
      <c r="Z253" s="46" t="s">
        <v>1274</v>
      </c>
      <c r="AA253" s="61">
        <v>50</v>
      </c>
      <c r="AB253" s="62">
        <f>AA253/0.0052</f>
        <v>9615.3846153846152</v>
      </c>
      <c r="AC253" s="63">
        <f>AB253*H2dens*HoursInYear/10^6</f>
        <v>7.4965384615384609</v>
      </c>
      <c r="AD253" s="62"/>
      <c r="AE253" s="62">
        <f t="shared" si="30"/>
        <v>9615.3846153846152</v>
      </c>
      <c r="AF253" s="64" t="s">
        <v>1275</v>
      </c>
      <c r="AG253" s="49">
        <v>0.56999999999999995</v>
      </c>
    </row>
    <row r="254" spans="1:33" ht="34.5" customHeight="1" x14ac:dyDescent="0.3">
      <c r="A254" s="46">
        <v>576</v>
      </c>
      <c r="B254" s="46" t="s">
        <v>1276</v>
      </c>
      <c r="C254" s="46" t="s">
        <v>46</v>
      </c>
      <c r="D254" s="60">
        <v>2025</v>
      </c>
      <c r="E254" s="60"/>
      <c r="F254" s="46" t="s">
        <v>225</v>
      </c>
      <c r="G254" s="46" t="s">
        <v>159</v>
      </c>
      <c r="H254" s="46" t="s">
        <v>592</v>
      </c>
      <c r="I254" s="46" t="s">
        <v>169</v>
      </c>
      <c r="J254" s="46" t="s">
        <v>245</v>
      </c>
      <c r="K254" s="46" t="s">
        <v>68</v>
      </c>
      <c r="L254" s="46"/>
      <c r="M254" s="46"/>
      <c r="N254" s="46"/>
      <c r="O254" s="46"/>
      <c r="P254" s="46"/>
      <c r="Q254" s="46">
        <v>1</v>
      </c>
      <c r="R254" s="46"/>
      <c r="S254" s="46"/>
      <c r="T254" s="46"/>
      <c r="U254" s="46"/>
      <c r="V254" s="46"/>
      <c r="W254" s="46"/>
      <c r="X254" s="46"/>
      <c r="Y254" s="46"/>
      <c r="Z254" s="46" t="s">
        <v>708</v>
      </c>
      <c r="AA254" s="61">
        <v>1</v>
      </c>
      <c r="AB254" s="62">
        <f>AA254/0.0045</f>
        <v>222.22222222222223</v>
      </c>
      <c r="AC254" s="63">
        <f>AB254*H2dens*HoursInYear/10^6</f>
        <v>0.17325333333333334</v>
      </c>
      <c r="AD254" s="62"/>
      <c r="AE254" s="62">
        <f t="shared" si="30"/>
        <v>222.22222222222223</v>
      </c>
      <c r="AF254" s="64" t="s">
        <v>1277</v>
      </c>
      <c r="AG254" s="49">
        <v>0.4</v>
      </c>
    </row>
    <row r="255" spans="1:33" ht="34.5" customHeight="1" x14ac:dyDescent="0.3">
      <c r="A255" s="46">
        <v>577</v>
      </c>
      <c r="B255" s="46" t="s">
        <v>1278</v>
      </c>
      <c r="C255" s="46" t="s">
        <v>63</v>
      </c>
      <c r="D255" s="60">
        <v>2024</v>
      </c>
      <c r="E255" s="60"/>
      <c r="F255" s="46" t="s">
        <v>675</v>
      </c>
      <c r="G255" s="46" t="s">
        <v>1</v>
      </c>
      <c r="H255" s="46"/>
      <c r="I255" s="46" t="s">
        <v>169</v>
      </c>
      <c r="J255" s="46" t="s">
        <v>245</v>
      </c>
      <c r="K255" s="46" t="s">
        <v>140</v>
      </c>
      <c r="L255" s="46"/>
      <c r="M255" s="46"/>
      <c r="N255" s="46">
        <v>1</v>
      </c>
      <c r="O255" s="46"/>
      <c r="P255" s="46"/>
      <c r="Q255" s="46"/>
      <c r="R255" s="46"/>
      <c r="S255" s="46"/>
      <c r="T255" s="46"/>
      <c r="U255" s="46"/>
      <c r="V255" s="46"/>
      <c r="W255" s="46"/>
      <c r="X255" s="46"/>
      <c r="Y255" s="46"/>
      <c r="Z255" s="46" t="s">
        <v>1279</v>
      </c>
      <c r="AA255" s="61">
        <v>70</v>
      </c>
      <c r="AB255" s="62">
        <f>AC255/(0.089*24*365/10^6)</f>
        <v>12270.214457954953</v>
      </c>
      <c r="AC255" s="63">
        <f>50*0.191327</f>
        <v>9.5663499999999999</v>
      </c>
      <c r="AD255" s="62"/>
      <c r="AE255" s="62">
        <f t="shared" si="30"/>
        <v>12270.214457954953</v>
      </c>
      <c r="AF255" s="64" t="s">
        <v>1280</v>
      </c>
      <c r="AG255" s="49">
        <v>0.4</v>
      </c>
    </row>
    <row r="256" spans="1:33" ht="34.5" customHeight="1" x14ac:dyDescent="0.3">
      <c r="A256" s="46">
        <v>578</v>
      </c>
      <c r="B256" s="46" t="s">
        <v>1281</v>
      </c>
      <c r="C256" s="46" t="s">
        <v>39</v>
      </c>
      <c r="D256" s="60">
        <v>2024</v>
      </c>
      <c r="E256" s="60"/>
      <c r="F256" s="46" t="s">
        <v>225</v>
      </c>
      <c r="G256" s="46" t="s">
        <v>159</v>
      </c>
      <c r="H256" s="46" t="s">
        <v>592</v>
      </c>
      <c r="I256" s="46" t="s">
        <v>169</v>
      </c>
      <c r="J256" s="46" t="s">
        <v>69</v>
      </c>
      <c r="K256" s="46" t="s">
        <v>141</v>
      </c>
      <c r="L256" s="46"/>
      <c r="M256" s="46">
        <v>1</v>
      </c>
      <c r="N256" s="46"/>
      <c r="O256" s="46"/>
      <c r="P256" s="46"/>
      <c r="Q256" s="46"/>
      <c r="R256" s="46"/>
      <c r="S256" s="46"/>
      <c r="T256" s="46"/>
      <c r="U256" s="46"/>
      <c r="V256" s="46"/>
      <c r="W256" s="46"/>
      <c r="X256" s="46"/>
      <c r="Y256" s="46"/>
      <c r="Z256" s="46" t="s">
        <v>1282</v>
      </c>
      <c r="AA256" s="61">
        <v>100</v>
      </c>
      <c r="AB256" s="62">
        <f>AA256/0.0045</f>
        <v>22222.222222222223</v>
      </c>
      <c r="AC256" s="63">
        <f>AB256*H2dens*HoursInYear/10^6</f>
        <v>17.325333333333333</v>
      </c>
      <c r="AD256" s="62"/>
      <c r="AE256" s="62">
        <f t="shared" si="30"/>
        <v>22222.222222222223</v>
      </c>
      <c r="AF256" s="64" t="s">
        <v>1283</v>
      </c>
      <c r="AG256" s="49">
        <v>0.5</v>
      </c>
    </row>
    <row r="257" spans="1:33" ht="34.5" customHeight="1" x14ac:dyDescent="0.3">
      <c r="A257" s="46">
        <v>579</v>
      </c>
      <c r="B257" s="46" t="s">
        <v>1284</v>
      </c>
      <c r="C257" s="46" t="s">
        <v>52</v>
      </c>
      <c r="D257" s="60">
        <v>2024</v>
      </c>
      <c r="E257" s="60"/>
      <c r="F257" s="46" t="s">
        <v>225</v>
      </c>
      <c r="G257" s="46" t="s">
        <v>159</v>
      </c>
      <c r="H257" s="46" t="s">
        <v>592</v>
      </c>
      <c r="I257" s="46" t="s">
        <v>169</v>
      </c>
      <c r="J257" s="46" t="s">
        <v>248</v>
      </c>
      <c r="K257" s="46" t="s">
        <v>68</v>
      </c>
      <c r="L257" s="46"/>
      <c r="M257" s="46"/>
      <c r="N257" s="46">
        <v>1</v>
      </c>
      <c r="O257" s="46"/>
      <c r="P257" s="46"/>
      <c r="Q257" s="46">
        <v>1</v>
      </c>
      <c r="R257" s="46"/>
      <c r="S257" s="46"/>
      <c r="T257" s="46"/>
      <c r="U257" s="46"/>
      <c r="V257" s="46"/>
      <c r="W257" s="46"/>
      <c r="X257" s="46"/>
      <c r="Y257" s="46"/>
      <c r="Z257" s="46" t="s">
        <v>1285</v>
      </c>
      <c r="AA257" s="61">
        <v>65</v>
      </c>
      <c r="AB257" s="62">
        <f>AA257/0.0045</f>
        <v>14444.444444444445</v>
      </c>
      <c r="AC257" s="63">
        <f>AB257*H2dens*HoursInYear/10^6</f>
        <v>11.261466666666667</v>
      </c>
      <c r="AD257" s="62"/>
      <c r="AE257" s="62">
        <f t="shared" si="30"/>
        <v>14444.444444444445</v>
      </c>
      <c r="AF257" s="64" t="s">
        <v>1286</v>
      </c>
      <c r="AG257" s="49">
        <v>0.5</v>
      </c>
    </row>
    <row r="258" spans="1:33" ht="34.5" customHeight="1" x14ac:dyDescent="0.3">
      <c r="A258" s="46">
        <v>580</v>
      </c>
      <c r="B258" s="46" t="s">
        <v>1287</v>
      </c>
      <c r="C258" s="46" t="s">
        <v>46</v>
      </c>
      <c r="D258" s="60"/>
      <c r="E258" s="60"/>
      <c r="F258" s="46" t="s">
        <v>157</v>
      </c>
      <c r="G258" s="46" t="s">
        <v>1</v>
      </c>
      <c r="H258" s="46"/>
      <c r="I258" s="46" t="s">
        <v>169</v>
      </c>
      <c r="J258" s="46" t="s">
        <v>248</v>
      </c>
      <c r="K258" s="46" t="s">
        <v>68</v>
      </c>
      <c r="L258" s="46"/>
      <c r="M258" s="46"/>
      <c r="N258" s="46"/>
      <c r="O258" s="46"/>
      <c r="P258" s="46">
        <v>1</v>
      </c>
      <c r="Q258" s="46">
        <v>1</v>
      </c>
      <c r="R258" s="46"/>
      <c r="S258" s="46">
        <v>1</v>
      </c>
      <c r="T258" s="46"/>
      <c r="U258" s="46"/>
      <c r="V258" s="46"/>
      <c r="W258" s="46"/>
      <c r="X258" s="46"/>
      <c r="Y258" s="46"/>
      <c r="Z258" s="46" t="s">
        <v>1177</v>
      </c>
      <c r="AA258" s="61">
        <v>100</v>
      </c>
      <c r="AB258" s="62">
        <f>AA258/0.0052</f>
        <v>19230.76923076923</v>
      </c>
      <c r="AC258" s="63">
        <f>AB258*H2dens*HoursInYear/10^6</f>
        <v>14.993076923076922</v>
      </c>
      <c r="AD258" s="62"/>
      <c r="AE258" s="62">
        <f t="shared" si="30"/>
        <v>19230.76923076923</v>
      </c>
      <c r="AF258" s="64" t="s">
        <v>1288</v>
      </c>
      <c r="AG258" s="49">
        <v>0.5</v>
      </c>
    </row>
    <row r="259" spans="1:33" ht="34.5" customHeight="1" x14ac:dyDescent="0.3">
      <c r="A259" s="46">
        <v>581</v>
      </c>
      <c r="B259" s="46" t="s">
        <v>1289</v>
      </c>
      <c r="C259" s="46" t="s">
        <v>39</v>
      </c>
      <c r="D259" s="60"/>
      <c r="E259" s="60"/>
      <c r="F259" s="46" t="s">
        <v>225</v>
      </c>
      <c r="G259" s="46" t="s">
        <v>159</v>
      </c>
      <c r="H259" s="46" t="s">
        <v>592</v>
      </c>
      <c r="I259" s="46" t="s">
        <v>169</v>
      </c>
      <c r="J259" s="46" t="s">
        <v>248</v>
      </c>
      <c r="K259" s="46" t="s">
        <v>168</v>
      </c>
      <c r="L259" s="46"/>
      <c r="M259" s="46">
        <v>1</v>
      </c>
      <c r="N259" s="46"/>
      <c r="O259" s="46"/>
      <c r="P259" s="46"/>
      <c r="Q259" s="46"/>
      <c r="R259" s="46">
        <v>1</v>
      </c>
      <c r="S259" s="46"/>
      <c r="T259" s="46"/>
      <c r="U259" s="46"/>
      <c r="V259" s="46"/>
      <c r="W259" s="46"/>
      <c r="X259" s="46"/>
      <c r="Y259" s="46"/>
      <c r="Z259" s="46"/>
      <c r="AA259" s="61"/>
      <c r="AB259" s="62"/>
      <c r="AC259" s="62"/>
      <c r="AD259" s="62"/>
      <c r="AE259" s="62">
        <f t="shared" si="30"/>
        <v>0</v>
      </c>
      <c r="AF259" s="64" t="s">
        <v>1290</v>
      </c>
      <c r="AG259" s="49">
        <v>0.5</v>
      </c>
    </row>
    <row r="260" spans="1:33" ht="34.5" customHeight="1" x14ac:dyDescent="0.3">
      <c r="A260" s="53">
        <v>582</v>
      </c>
      <c r="B260" s="53" t="s">
        <v>1291</v>
      </c>
      <c r="C260" s="53" t="s">
        <v>45</v>
      </c>
      <c r="D260" s="54">
        <v>2030</v>
      </c>
      <c r="E260" s="54"/>
      <c r="F260" s="53" t="s">
        <v>591</v>
      </c>
      <c r="G260" s="53" t="s">
        <v>1</v>
      </c>
      <c r="H260" s="53"/>
      <c r="I260" s="53" t="s">
        <v>169</v>
      </c>
      <c r="J260" s="53" t="s">
        <v>248</v>
      </c>
      <c r="K260" s="53" t="s">
        <v>68</v>
      </c>
      <c r="L260" s="53"/>
      <c r="M260" s="53"/>
      <c r="N260" s="53"/>
      <c r="O260" s="53"/>
      <c r="P260" s="53">
        <v>1</v>
      </c>
      <c r="Q260" s="53">
        <v>1</v>
      </c>
      <c r="R260" s="53"/>
      <c r="S260" s="53">
        <v>1</v>
      </c>
      <c r="T260" s="53"/>
      <c r="U260" s="53"/>
      <c r="V260" s="53"/>
      <c r="W260" s="53"/>
      <c r="X260" s="53"/>
      <c r="Y260" s="53"/>
      <c r="Z260" s="53" t="s">
        <v>1292</v>
      </c>
      <c r="AA260" s="55"/>
      <c r="AB260" s="56">
        <f>AA260/0.0052</f>
        <v>0</v>
      </c>
      <c r="AC260" s="57">
        <f>AB260*H2dens*HoursInYear/10^6</f>
        <v>0</v>
      </c>
      <c r="AD260" s="56"/>
      <c r="AE260" s="56">
        <f t="shared" si="30"/>
        <v>0</v>
      </c>
      <c r="AF260" s="58" t="s">
        <v>1293</v>
      </c>
      <c r="AG260" s="49">
        <v>0.5</v>
      </c>
    </row>
    <row r="261" spans="1:33" ht="34.5" customHeight="1" x14ac:dyDescent="0.3">
      <c r="A261" s="53">
        <v>583</v>
      </c>
      <c r="B261" s="53" t="s">
        <v>1294</v>
      </c>
      <c r="C261" s="58" t="s">
        <v>1295</v>
      </c>
      <c r="D261" s="54"/>
      <c r="E261" s="54"/>
      <c r="F261" s="53" t="s">
        <v>591</v>
      </c>
      <c r="G261" s="53" t="s">
        <v>159</v>
      </c>
      <c r="H261" s="53" t="s">
        <v>592</v>
      </c>
      <c r="I261" s="53" t="s">
        <v>169</v>
      </c>
      <c r="J261" s="53" t="s">
        <v>248</v>
      </c>
      <c r="K261" s="53" t="s">
        <v>68</v>
      </c>
      <c r="L261" s="53"/>
      <c r="M261" s="53"/>
      <c r="N261" s="53"/>
      <c r="O261" s="53"/>
      <c r="P261" s="53"/>
      <c r="Q261" s="53"/>
      <c r="R261" s="53"/>
      <c r="S261" s="53"/>
      <c r="T261" s="53"/>
      <c r="U261" s="53"/>
      <c r="V261" s="53"/>
      <c r="W261" s="53"/>
      <c r="X261" s="53"/>
      <c r="Y261" s="53"/>
      <c r="Z261" s="53" t="s">
        <v>1296</v>
      </c>
      <c r="AA261" s="55"/>
      <c r="AB261" s="56">
        <f>AA261/0.0045</f>
        <v>0</v>
      </c>
      <c r="AC261" s="57">
        <f>AB261*H2dens*HoursInYear/10^6</f>
        <v>0</v>
      </c>
      <c r="AD261" s="56"/>
      <c r="AE261" s="56">
        <f t="shared" si="30"/>
        <v>0</v>
      </c>
      <c r="AF261" s="58" t="s">
        <v>1297</v>
      </c>
      <c r="AG261" s="49">
        <v>0.5</v>
      </c>
    </row>
    <row r="262" spans="1:33" ht="34.5" customHeight="1" x14ac:dyDescent="0.3">
      <c r="A262" s="46">
        <v>584</v>
      </c>
      <c r="B262" s="46" t="s">
        <v>1298</v>
      </c>
      <c r="C262" s="46" t="s">
        <v>39</v>
      </c>
      <c r="D262" s="60">
        <v>2028</v>
      </c>
      <c r="E262" s="60"/>
      <c r="F262" s="46" t="s">
        <v>225</v>
      </c>
      <c r="G262" s="46" t="s">
        <v>1</v>
      </c>
      <c r="H262" s="46"/>
      <c r="I262" s="46" t="s">
        <v>169</v>
      </c>
      <c r="J262" s="46" t="s">
        <v>244</v>
      </c>
      <c r="K262" s="46" t="s">
        <v>68</v>
      </c>
      <c r="L262" s="46"/>
      <c r="M262" s="46"/>
      <c r="N262" s="46"/>
      <c r="O262" s="46"/>
      <c r="P262" s="46">
        <v>1</v>
      </c>
      <c r="Q262" s="46">
        <v>1</v>
      </c>
      <c r="R262" s="46">
        <v>1</v>
      </c>
      <c r="S262" s="46"/>
      <c r="T262" s="46"/>
      <c r="U262" s="46"/>
      <c r="V262" s="46"/>
      <c r="W262" s="46"/>
      <c r="X262" s="46"/>
      <c r="Y262" s="46"/>
      <c r="Z262" s="46" t="s">
        <v>1299</v>
      </c>
      <c r="AA262" s="61">
        <v>5000</v>
      </c>
      <c r="AB262" s="62">
        <f>AA262/0.0052</f>
        <v>961538.46153846162</v>
      </c>
      <c r="AC262" s="63">
        <f>AB262*H2dens*HoursInYear/10^6</f>
        <v>749.65384615384619</v>
      </c>
      <c r="AD262" s="62"/>
      <c r="AE262" s="62">
        <f t="shared" si="30"/>
        <v>961538.46153846162</v>
      </c>
      <c r="AF262" s="64" t="s">
        <v>1300</v>
      </c>
      <c r="AG262" s="49">
        <v>0.3</v>
      </c>
    </row>
    <row r="263" spans="1:33" ht="34.5" customHeight="1" x14ac:dyDescent="0.3">
      <c r="A263" s="46">
        <v>585</v>
      </c>
      <c r="B263" s="46" t="s">
        <v>1301</v>
      </c>
      <c r="C263" s="46" t="s">
        <v>104</v>
      </c>
      <c r="D263" s="60">
        <v>2026</v>
      </c>
      <c r="E263" s="60"/>
      <c r="F263" s="46" t="s">
        <v>675</v>
      </c>
      <c r="G263" s="46" t="s">
        <v>3</v>
      </c>
      <c r="H263" s="46"/>
      <c r="I263" s="46" t="s">
        <v>169</v>
      </c>
      <c r="J263" s="46" t="s">
        <v>248</v>
      </c>
      <c r="K263" s="46" t="s">
        <v>141</v>
      </c>
      <c r="L263" s="46"/>
      <c r="M263" s="46"/>
      <c r="N263" s="46"/>
      <c r="O263" s="46"/>
      <c r="P263" s="46"/>
      <c r="Q263" s="46"/>
      <c r="R263" s="46"/>
      <c r="S263" s="46"/>
      <c r="T263" s="46"/>
      <c r="U263" s="46"/>
      <c r="V263" s="46"/>
      <c r="W263" s="46"/>
      <c r="X263" s="46"/>
      <c r="Y263" s="46"/>
      <c r="Z263" s="46" t="s">
        <v>1302</v>
      </c>
      <c r="AA263" s="62">
        <v>2000</v>
      </c>
      <c r="AB263" s="62">
        <f>IF(OR(G263="ALK",G263="PEM",G263="SOEC",G263="Other Electrolysis"),
AA263/VLOOKUP(G263,ElectrolysisConvF,3,FALSE),
AC263*10^6/(H2dens*HoursInYear))</f>
        <v>434782.60869565216</v>
      </c>
      <c r="AC263" s="63">
        <f>AB263*H2dens*HoursInYear/10^6</f>
        <v>338.97391304347826</v>
      </c>
      <c r="AD263" s="62"/>
      <c r="AE263" s="62">
        <f t="shared" si="30"/>
        <v>434782.60869565216</v>
      </c>
      <c r="AF263" s="64" t="s">
        <v>1303</v>
      </c>
      <c r="AG263" s="49">
        <v>0.5</v>
      </c>
    </row>
    <row r="264" spans="1:33" ht="34.5" customHeight="1" x14ac:dyDescent="0.3">
      <c r="A264" s="53">
        <v>586</v>
      </c>
      <c r="B264" s="53" t="s">
        <v>1304</v>
      </c>
      <c r="C264" s="58" t="s">
        <v>1305</v>
      </c>
      <c r="D264" s="54"/>
      <c r="E264" s="54"/>
      <c r="F264" s="53" t="s">
        <v>591</v>
      </c>
      <c r="G264" s="53" t="s">
        <v>159</v>
      </c>
      <c r="H264" s="53" t="s">
        <v>592</v>
      </c>
      <c r="I264" s="53" t="s">
        <v>169</v>
      </c>
      <c r="J264" s="53" t="s">
        <v>248</v>
      </c>
      <c r="K264" s="53" t="s">
        <v>68</v>
      </c>
      <c r="L264" s="53"/>
      <c r="M264" s="53"/>
      <c r="N264" s="53"/>
      <c r="O264" s="53"/>
      <c r="P264" s="53">
        <v>1</v>
      </c>
      <c r="Q264" s="53">
        <v>1</v>
      </c>
      <c r="R264" s="53"/>
      <c r="S264" s="53"/>
      <c r="T264" s="53"/>
      <c r="U264" s="53"/>
      <c r="V264" s="53"/>
      <c r="W264" s="53"/>
      <c r="X264" s="53"/>
      <c r="Y264" s="53"/>
      <c r="Z264" s="53" t="s">
        <v>1306</v>
      </c>
      <c r="AA264" s="55"/>
      <c r="AB264" s="56">
        <f>AA264/0.0045</f>
        <v>0</v>
      </c>
      <c r="AC264" s="57">
        <f>AB264*H2dens*HoursInYear/10^6</f>
        <v>0</v>
      </c>
      <c r="AD264" s="56"/>
      <c r="AE264" s="56">
        <f t="shared" si="30"/>
        <v>0</v>
      </c>
      <c r="AF264" s="58"/>
      <c r="AG264" s="49">
        <v>0.5</v>
      </c>
    </row>
    <row r="265" spans="1:33" ht="34.5" customHeight="1" x14ac:dyDescent="0.3">
      <c r="A265" s="46">
        <v>587</v>
      </c>
      <c r="B265" s="46" t="s">
        <v>1307</v>
      </c>
      <c r="C265" s="46" t="s">
        <v>39</v>
      </c>
      <c r="D265" s="60"/>
      <c r="E265" s="60"/>
      <c r="F265" s="46" t="s">
        <v>225</v>
      </c>
      <c r="G265" s="46" t="s">
        <v>159</v>
      </c>
      <c r="H265" s="46" t="s">
        <v>592</v>
      </c>
      <c r="I265" s="46" t="s">
        <v>169</v>
      </c>
      <c r="J265" s="46" t="s">
        <v>248</v>
      </c>
      <c r="K265" s="46" t="s">
        <v>141</v>
      </c>
      <c r="L265" s="46"/>
      <c r="M265" s="46">
        <v>1</v>
      </c>
      <c r="N265" s="46"/>
      <c r="O265" s="46"/>
      <c r="P265" s="46">
        <v>1</v>
      </c>
      <c r="Q265" s="46"/>
      <c r="R265" s="46"/>
      <c r="S265" s="46"/>
      <c r="T265" s="46"/>
      <c r="U265" s="46"/>
      <c r="V265" s="46"/>
      <c r="W265" s="46"/>
      <c r="X265" s="46"/>
      <c r="Y265" s="46"/>
      <c r="Z265" s="46"/>
      <c r="AA265" s="61"/>
      <c r="AB265" s="62"/>
      <c r="AC265" s="63"/>
      <c r="AD265" s="62"/>
      <c r="AE265" s="62">
        <f t="shared" si="30"/>
        <v>0</v>
      </c>
      <c r="AF265" s="64" t="s">
        <v>1308</v>
      </c>
      <c r="AG265" s="49">
        <v>0.5</v>
      </c>
    </row>
    <row r="266" spans="1:33" ht="34.5" customHeight="1" x14ac:dyDescent="0.3">
      <c r="A266" s="53">
        <v>588</v>
      </c>
      <c r="B266" s="53" t="s">
        <v>1309</v>
      </c>
      <c r="C266" s="58" t="s">
        <v>1310</v>
      </c>
      <c r="D266" s="54">
        <v>2030</v>
      </c>
      <c r="E266" s="54"/>
      <c r="F266" s="53" t="s">
        <v>591</v>
      </c>
      <c r="G266" s="53" t="s">
        <v>159</v>
      </c>
      <c r="H266" s="53" t="s">
        <v>592</v>
      </c>
      <c r="I266" s="53" t="s">
        <v>169</v>
      </c>
      <c r="J266" s="53" t="s">
        <v>248</v>
      </c>
      <c r="K266" s="53" t="s">
        <v>68</v>
      </c>
      <c r="L266" s="53"/>
      <c r="M266" s="53"/>
      <c r="N266" s="53"/>
      <c r="O266" s="53"/>
      <c r="P266" s="53"/>
      <c r="Q266" s="53"/>
      <c r="R266" s="53"/>
      <c r="S266" s="53"/>
      <c r="T266" s="53"/>
      <c r="U266" s="53"/>
      <c r="V266" s="53"/>
      <c r="W266" s="53"/>
      <c r="X266" s="53"/>
      <c r="Y266" s="53"/>
      <c r="Z266" s="53" t="s">
        <v>1311</v>
      </c>
      <c r="AA266" s="55"/>
      <c r="AB266" s="56">
        <f>AA266/0.0045</f>
        <v>0</v>
      </c>
      <c r="AC266" s="57">
        <f t="shared" ref="AC266:AC276" si="31">AB266*H2dens*HoursInYear/10^6</f>
        <v>0</v>
      </c>
      <c r="AD266" s="56"/>
      <c r="AE266" s="56">
        <f t="shared" si="30"/>
        <v>0</v>
      </c>
      <c r="AF266" s="58"/>
      <c r="AG266" s="49">
        <v>0.5</v>
      </c>
    </row>
    <row r="267" spans="1:33" ht="34.5" customHeight="1" x14ac:dyDescent="0.3">
      <c r="A267" s="46">
        <v>589</v>
      </c>
      <c r="B267" s="46" t="s">
        <v>1312</v>
      </c>
      <c r="C267" s="64" t="s">
        <v>39</v>
      </c>
      <c r="D267" s="60">
        <v>2027</v>
      </c>
      <c r="E267" s="60"/>
      <c r="F267" s="46" t="s">
        <v>591</v>
      </c>
      <c r="G267" s="46" t="s">
        <v>159</v>
      </c>
      <c r="H267" s="46" t="s">
        <v>592</v>
      </c>
      <c r="I267" s="46" t="s">
        <v>169</v>
      </c>
      <c r="J267" s="46" t="s">
        <v>248</v>
      </c>
      <c r="K267" s="46" t="s">
        <v>68</v>
      </c>
      <c r="L267" s="46"/>
      <c r="M267" s="46"/>
      <c r="N267" s="46"/>
      <c r="O267" s="46"/>
      <c r="P267" s="46"/>
      <c r="Q267" s="46"/>
      <c r="R267" s="46"/>
      <c r="S267" s="46"/>
      <c r="T267" s="46"/>
      <c r="U267" s="46"/>
      <c r="V267" s="46"/>
      <c r="W267" s="46"/>
      <c r="X267" s="46"/>
      <c r="Y267" s="46"/>
      <c r="Z267" s="46" t="s">
        <v>1292</v>
      </c>
      <c r="AA267" s="61">
        <v>1000</v>
      </c>
      <c r="AB267" s="62">
        <f>AA267/0.0045</f>
        <v>222222.22222222225</v>
      </c>
      <c r="AC267" s="63">
        <f t="shared" si="31"/>
        <v>173.25333333333333</v>
      </c>
      <c r="AD267" s="62"/>
      <c r="AE267" s="62">
        <f t="shared" si="30"/>
        <v>222222.22222222225</v>
      </c>
      <c r="AF267" s="64" t="s">
        <v>1313</v>
      </c>
      <c r="AG267" s="49">
        <v>0.5</v>
      </c>
    </row>
    <row r="268" spans="1:33" ht="34.5" customHeight="1" x14ac:dyDescent="0.3">
      <c r="A268" s="46">
        <v>590</v>
      </c>
      <c r="B268" s="46" t="s">
        <v>1314</v>
      </c>
      <c r="C268" s="64" t="s">
        <v>40</v>
      </c>
      <c r="D268" s="60"/>
      <c r="E268" s="60"/>
      <c r="F268" s="46" t="s">
        <v>591</v>
      </c>
      <c r="G268" s="46" t="s">
        <v>159</v>
      </c>
      <c r="H268" s="46" t="s">
        <v>592</v>
      </c>
      <c r="I268" s="46" t="s">
        <v>707</v>
      </c>
      <c r="J268" s="46"/>
      <c r="K268" s="46" t="s">
        <v>68</v>
      </c>
      <c r="L268" s="46"/>
      <c r="M268" s="46"/>
      <c r="N268" s="46"/>
      <c r="O268" s="46"/>
      <c r="P268" s="46"/>
      <c r="Q268" s="46">
        <v>1</v>
      </c>
      <c r="R268" s="46"/>
      <c r="S268" s="46"/>
      <c r="T268" s="46"/>
      <c r="U268" s="46"/>
      <c r="V268" s="46"/>
      <c r="W268" s="46"/>
      <c r="X268" s="46"/>
      <c r="Y268" s="46"/>
      <c r="Z268" s="46" t="s">
        <v>1292</v>
      </c>
      <c r="AA268" s="61">
        <v>915</v>
      </c>
      <c r="AB268" s="62">
        <f>AA268/0.0045</f>
        <v>203333.33333333334</v>
      </c>
      <c r="AC268" s="63">
        <f t="shared" si="31"/>
        <v>158.52680000000001</v>
      </c>
      <c r="AD268" s="62"/>
      <c r="AE268" s="62">
        <f t="shared" si="30"/>
        <v>203333.33333333334</v>
      </c>
      <c r="AF268" s="64" t="s">
        <v>1315</v>
      </c>
      <c r="AG268" s="49">
        <v>0.56999999999999995</v>
      </c>
    </row>
    <row r="269" spans="1:33" ht="34.5" customHeight="1" x14ac:dyDescent="0.3">
      <c r="A269" s="46">
        <v>592</v>
      </c>
      <c r="B269" s="46" t="s">
        <v>1316</v>
      </c>
      <c r="C269" s="64" t="s">
        <v>64</v>
      </c>
      <c r="D269" s="60">
        <v>2025</v>
      </c>
      <c r="E269" s="60"/>
      <c r="F269" s="46" t="s">
        <v>225</v>
      </c>
      <c r="G269" s="46" t="s">
        <v>159</v>
      </c>
      <c r="H269" s="46" t="s">
        <v>592</v>
      </c>
      <c r="I269" s="46" t="s">
        <v>1317</v>
      </c>
      <c r="J269" s="46" t="s">
        <v>244</v>
      </c>
      <c r="K269" s="46" t="s">
        <v>141</v>
      </c>
      <c r="L269" s="46"/>
      <c r="M269" s="46">
        <v>1</v>
      </c>
      <c r="N269" s="46"/>
      <c r="O269" s="46"/>
      <c r="P269" s="46"/>
      <c r="Q269" s="46"/>
      <c r="R269" s="46"/>
      <c r="S269" s="46"/>
      <c r="T269" s="46"/>
      <c r="U269" s="46"/>
      <c r="V269" s="46"/>
      <c r="W269" s="46"/>
      <c r="X269" s="46"/>
      <c r="Y269" s="46"/>
      <c r="Z269" s="46" t="s">
        <v>679</v>
      </c>
      <c r="AA269" s="61">
        <v>26</v>
      </c>
      <c r="AB269" s="62">
        <f t="shared" ref="AB269:AB276" si="32">AA269/0.0045</f>
        <v>5777.7777777777783</v>
      </c>
      <c r="AC269" s="63">
        <f t="shared" si="31"/>
        <v>4.5045866666666674</v>
      </c>
      <c r="AD269" s="62"/>
      <c r="AE269" s="62">
        <f t="shared" si="30"/>
        <v>5777.7777777777783</v>
      </c>
      <c r="AF269" s="64" t="s">
        <v>1318</v>
      </c>
      <c r="AG269" s="49">
        <v>0.7</v>
      </c>
    </row>
    <row r="270" spans="1:33" ht="34.5" customHeight="1" x14ac:dyDescent="0.3">
      <c r="A270" s="46">
        <v>593</v>
      </c>
      <c r="B270" s="46" t="s">
        <v>1319</v>
      </c>
      <c r="C270" s="64" t="s">
        <v>64</v>
      </c>
      <c r="D270" s="60">
        <v>2030</v>
      </c>
      <c r="E270" s="60"/>
      <c r="F270" s="46" t="s">
        <v>225</v>
      </c>
      <c r="G270" s="46" t="s">
        <v>159</v>
      </c>
      <c r="H270" s="46" t="s">
        <v>592</v>
      </c>
      <c r="I270" s="46" t="s">
        <v>1317</v>
      </c>
      <c r="J270" s="46" t="s">
        <v>244</v>
      </c>
      <c r="K270" s="46" t="s">
        <v>141</v>
      </c>
      <c r="L270" s="46"/>
      <c r="M270" s="46">
        <v>1</v>
      </c>
      <c r="N270" s="46"/>
      <c r="O270" s="46"/>
      <c r="P270" s="46"/>
      <c r="Q270" s="46"/>
      <c r="R270" s="46"/>
      <c r="S270" s="46"/>
      <c r="T270" s="46"/>
      <c r="U270" s="46"/>
      <c r="V270" s="46"/>
      <c r="W270" s="46"/>
      <c r="X270" s="46"/>
      <c r="Y270" s="46"/>
      <c r="Z270" s="46" t="s">
        <v>1320</v>
      </c>
      <c r="AA270" s="61">
        <v>2000</v>
      </c>
      <c r="AB270" s="62">
        <f t="shared" si="32"/>
        <v>444444.4444444445</v>
      </c>
      <c r="AC270" s="63">
        <f t="shared" si="31"/>
        <v>346.50666666666666</v>
      </c>
      <c r="AD270" s="62"/>
      <c r="AE270" s="62">
        <f t="shared" si="30"/>
        <v>444444.4444444445</v>
      </c>
      <c r="AF270" s="64" t="s">
        <v>1321</v>
      </c>
      <c r="AG270" s="49">
        <v>0.7</v>
      </c>
    </row>
    <row r="271" spans="1:33" ht="34.5" customHeight="1" x14ac:dyDescent="0.3">
      <c r="A271" s="46">
        <v>594</v>
      </c>
      <c r="B271" s="46" t="s">
        <v>906</v>
      </c>
      <c r="C271" s="64" t="s">
        <v>139</v>
      </c>
      <c r="D271" s="60">
        <v>2025</v>
      </c>
      <c r="E271" s="60"/>
      <c r="F271" s="46" t="s">
        <v>225</v>
      </c>
      <c r="G271" s="46" t="s">
        <v>1</v>
      </c>
      <c r="H271" s="46"/>
      <c r="I271" s="46" t="s">
        <v>169</v>
      </c>
      <c r="J271" s="46" t="s">
        <v>248</v>
      </c>
      <c r="K271" s="46" t="s">
        <v>68</v>
      </c>
      <c r="L271" s="46"/>
      <c r="M271" s="46"/>
      <c r="N271" s="46"/>
      <c r="O271" s="46"/>
      <c r="P271" s="46"/>
      <c r="Q271" s="46">
        <v>1</v>
      </c>
      <c r="R271" s="46"/>
      <c r="S271" s="46"/>
      <c r="T271" s="46"/>
      <c r="U271" s="46"/>
      <c r="V271" s="46"/>
      <c r="W271" s="46"/>
      <c r="X271" s="46"/>
      <c r="Y271" s="46"/>
      <c r="Z271" s="46" t="s">
        <v>708</v>
      </c>
      <c r="AA271" s="61">
        <v>1</v>
      </c>
      <c r="AB271" s="62">
        <f>AA271/0.0052</f>
        <v>192.30769230769232</v>
      </c>
      <c r="AC271" s="63">
        <f>AB271*H2dens*HoursInYear/10^6</f>
        <v>0.14993076923076926</v>
      </c>
      <c r="AD271" s="62"/>
      <c r="AE271" s="62">
        <f t="shared" si="30"/>
        <v>192.30769230769232</v>
      </c>
      <c r="AF271" s="64"/>
      <c r="AG271" s="49">
        <v>0.5</v>
      </c>
    </row>
    <row r="272" spans="1:33" ht="34.5" customHeight="1" x14ac:dyDescent="0.3">
      <c r="A272" s="46">
        <v>595</v>
      </c>
      <c r="B272" s="46" t="s">
        <v>1322</v>
      </c>
      <c r="C272" s="64" t="s">
        <v>50</v>
      </c>
      <c r="D272" s="60">
        <v>2024</v>
      </c>
      <c r="E272" s="60"/>
      <c r="F272" s="46" t="s">
        <v>225</v>
      </c>
      <c r="G272" s="46" t="s">
        <v>159</v>
      </c>
      <c r="H272" s="46" t="s">
        <v>592</v>
      </c>
      <c r="I272" s="46" t="s">
        <v>169</v>
      </c>
      <c r="J272" s="46" t="s">
        <v>246</v>
      </c>
      <c r="K272" s="46" t="s">
        <v>68</v>
      </c>
      <c r="L272" s="46"/>
      <c r="M272" s="46"/>
      <c r="N272" s="46"/>
      <c r="O272" s="46"/>
      <c r="P272" s="46"/>
      <c r="Q272" s="46"/>
      <c r="R272" s="46">
        <v>1</v>
      </c>
      <c r="S272" s="46">
        <v>1</v>
      </c>
      <c r="T272" s="46"/>
      <c r="U272" s="46"/>
      <c r="V272" s="46"/>
      <c r="W272" s="46"/>
      <c r="X272" s="46"/>
      <c r="Y272" s="46"/>
      <c r="Z272" s="46" t="s">
        <v>1257</v>
      </c>
      <c r="AA272" s="61">
        <v>100</v>
      </c>
      <c r="AB272" s="62">
        <f t="shared" si="32"/>
        <v>22222.222222222223</v>
      </c>
      <c r="AC272" s="63">
        <f t="shared" si="31"/>
        <v>17.325333333333333</v>
      </c>
      <c r="AD272" s="62"/>
      <c r="AE272" s="62">
        <f t="shared" si="30"/>
        <v>22222.222222222223</v>
      </c>
      <c r="AF272" s="64" t="s">
        <v>1323</v>
      </c>
      <c r="AG272" s="49">
        <v>0.55000000000000004</v>
      </c>
    </row>
    <row r="273" spans="1:33" ht="34.5" customHeight="1" x14ac:dyDescent="0.3">
      <c r="A273" s="46">
        <v>596</v>
      </c>
      <c r="B273" s="46" t="s">
        <v>1324</v>
      </c>
      <c r="C273" s="64" t="s">
        <v>50</v>
      </c>
      <c r="D273" s="60">
        <v>2028</v>
      </c>
      <c r="E273" s="60"/>
      <c r="F273" s="46" t="s">
        <v>225</v>
      </c>
      <c r="G273" s="46" t="s">
        <v>159</v>
      </c>
      <c r="H273" s="46" t="s">
        <v>592</v>
      </c>
      <c r="I273" s="46" t="s">
        <v>169</v>
      </c>
      <c r="J273" s="46" t="s">
        <v>246</v>
      </c>
      <c r="K273" s="46" t="s">
        <v>68</v>
      </c>
      <c r="L273" s="46"/>
      <c r="M273" s="46"/>
      <c r="N273" s="46"/>
      <c r="O273" s="46"/>
      <c r="P273" s="46"/>
      <c r="Q273" s="46"/>
      <c r="R273" s="46">
        <v>1</v>
      </c>
      <c r="S273" s="46">
        <v>1</v>
      </c>
      <c r="T273" s="46"/>
      <c r="U273" s="46"/>
      <c r="V273" s="46"/>
      <c r="W273" s="46"/>
      <c r="X273" s="46"/>
      <c r="Y273" s="46"/>
      <c r="Z273" s="46" t="s">
        <v>1292</v>
      </c>
      <c r="AA273" s="61">
        <v>900</v>
      </c>
      <c r="AB273" s="62">
        <f t="shared" si="32"/>
        <v>200000.00000000003</v>
      </c>
      <c r="AC273" s="63">
        <f t="shared" si="31"/>
        <v>155.928</v>
      </c>
      <c r="AD273" s="62"/>
      <c r="AE273" s="62">
        <f t="shared" si="30"/>
        <v>200000.00000000003</v>
      </c>
      <c r="AF273" s="64" t="s">
        <v>1325</v>
      </c>
      <c r="AG273" s="49">
        <v>0.55000000000000004</v>
      </c>
    </row>
    <row r="274" spans="1:33" ht="34.5" customHeight="1" x14ac:dyDescent="0.3">
      <c r="A274" s="46">
        <v>597</v>
      </c>
      <c r="B274" s="46" t="s">
        <v>1326</v>
      </c>
      <c r="C274" s="64" t="s">
        <v>34</v>
      </c>
      <c r="D274" s="60">
        <v>2023</v>
      </c>
      <c r="E274" s="60"/>
      <c r="F274" s="46" t="s">
        <v>225</v>
      </c>
      <c r="G274" s="46" t="s">
        <v>159</v>
      </c>
      <c r="H274" s="46" t="s">
        <v>592</v>
      </c>
      <c r="I274" s="46" t="s">
        <v>169</v>
      </c>
      <c r="J274" s="46" t="s">
        <v>244</v>
      </c>
      <c r="K274" s="46" t="s">
        <v>68</v>
      </c>
      <c r="L274" s="46"/>
      <c r="M274" s="46"/>
      <c r="N274" s="46"/>
      <c r="O274" s="46"/>
      <c r="P274" s="46">
        <v>1</v>
      </c>
      <c r="Q274" s="46">
        <v>1</v>
      </c>
      <c r="R274" s="46">
        <v>1</v>
      </c>
      <c r="S274" s="46">
        <v>1</v>
      </c>
      <c r="T274" s="46"/>
      <c r="U274" s="46"/>
      <c r="V274" s="46"/>
      <c r="W274" s="46"/>
      <c r="X274" s="46"/>
      <c r="Y274" s="46"/>
      <c r="Z274" s="46" t="s">
        <v>1327</v>
      </c>
      <c r="AA274" s="61">
        <v>1</v>
      </c>
      <c r="AB274" s="62">
        <f t="shared" si="32"/>
        <v>222.22222222222223</v>
      </c>
      <c r="AC274" s="63">
        <f t="shared" si="31"/>
        <v>0.17325333333333334</v>
      </c>
      <c r="AD274" s="62"/>
      <c r="AE274" s="62">
        <f t="shared" si="30"/>
        <v>222.22222222222223</v>
      </c>
      <c r="AF274" s="64" t="s">
        <v>1328</v>
      </c>
      <c r="AG274" s="49">
        <v>0.3</v>
      </c>
    </row>
    <row r="275" spans="1:33" ht="34.5" customHeight="1" x14ac:dyDescent="0.3">
      <c r="A275" s="46">
        <v>598</v>
      </c>
      <c r="B275" s="46" t="s">
        <v>1329</v>
      </c>
      <c r="C275" s="64" t="s">
        <v>34</v>
      </c>
      <c r="D275" s="60">
        <v>2025</v>
      </c>
      <c r="E275" s="60"/>
      <c r="F275" s="46" t="s">
        <v>591</v>
      </c>
      <c r="G275" s="46" t="s">
        <v>159</v>
      </c>
      <c r="H275" s="46" t="s">
        <v>592</v>
      </c>
      <c r="I275" s="46" t="s">
        <v>169</v>
      </c>
      <c r="J275" s="46" t="s">
        <v>244</v>
      </c>
      <c r="K275" s="46" t="s">
        <v>68</v>
      </c>
      <c r="L275" s="46"/>
      <c r="M275" s="46"/>
      <c r="N275" s="46"/>
      <c r="O275" s="46"/>
      <c r="P275" s="46">
        <v>1</v>
      </c>
      <c r="Q275" s="46">
        <v>1</v>
      </c>
      <c r="R275" s="46">
        <v>1</v>
      </c>
      <c r="S275" s="46">
        <v>1</v>
      </c>
      <c r="T275" s="46"/>
      <c r="U275" s="46"/>
      <c r="V275" s="46"/>
      <c r="W275" s="46"/>
      <c r="X275" s="46"/>
      <c r="Y275" s="46"/>
      <c r="Z275" s="46" t="s">
        <v>1330</v>
      </c>
      <c r="AA275" s="61">
        <f>130-1</f>
        <v>129</v>
      </c>
      <c r="AB275" s="62">
        <f t="shared" si="32"/>
        <v>28666.666666666668</v>
      </c>
      <c r="AC275" s="63">
        <f t="shared" si="31"/>
        <v>22.349679999999999</v>
      </c>
      <c r="AD275" s="62"/>
      <c r="AE275" s="62">
        <f t="shared" si="30"/>
        <v>28666.666666666668</v>
      </c>
      <c r="AF275" s="64"/>
      <c r="AG275" s="49">
        <v>0.3</v>
      </c>
    </row>
    <row r="276" spans="1:33" ht="34.5" customHeight="1" x14ac:dyDescent="0.3">
      <c r="A276" s="46">
        <v>599</v>
      </c>
      <c r="B276" s="46" t="s">
        <v>1331</v>
      </c>
      <c r="C276" s="64" t="s">
        <v>34</v>
      </c>
      <c r="D276" s="60">
        <v>2028</v>
      </c>
      <c r="E276" s="60"/>
      <c r="F276" s="46" t="s">
        <v>591</v>
      </c>
      <c r="G276" s="46" t="s">
        <v>159</v>
      </c>
      <c r="H276" s="46" t="s">
        <v>592</v>
      </c>
      <c r="I276" s="46" t="s">
        <v>169</v>
      </c>
      <c r="J276" s="46" t="s">
        <v>244</v>
      </c>
      <c r="K276" s="46" t="s">
        <v>68</v>
      </c>
      <c r="L276" s="46"/>
      <c r="M276" s="46"/>
      <c r="N276" s="46"/>
      <c r="O276" s="46"/>
      <c r="P276" s="46">
        <v>1</v>
      </c>
      <c r="Q276" s="46">
        <v>1</v>
      </c>
      <c r="R276" s="46">
        <v>1</v>
      </c>
      <c r="S276" s="46">
        <v>1</v>
      </c>
      <c r="T276" s="46"/>
      <c r="U276" s="46"/>
      <c r="V276" s="46"/>
      <c r="W276" s="46"/>
      <c r="X276" s="46"/>
      <c r="Y276" s="46"/>
      <c r="Z276" s="46" t="s">
        <v>1332</v>
      </c>
      <c r="AA276" s="61">
        <f>470-129-1</f>
        <v>340</v>
      </c>
      <c r="AB276" s="62">
        <f t="shared" si="32"/>
        <v>75555.555555555562</v>
      </c>
      <c r="AC276" s="63">
        <f t="shared" si="31"/>
        <v>58.906133333333337</v>
      </c>
      <c r="AD276" s="62"/>
      <c r="AE276" s="62">
        <f t="shared" si="30"/>
        <v>75555.555555555562</v>
      </c>
      <c r="AF276" s="64"/>
      <c r="AG276" s="49">
        <v>0.3</v>
      </c>
    </row>
    <row r="277" spans="1:33" ht="34.5" customHeight="1" x14ac:dyDescent="0.3">
      <c r="A277" s="46">
        <v>600</v>
      </c>
      <c r="B277" s="46" t="s">
        <v>1333</v>
      </c>
      <c r="C277" s="64" t="s">
        <v>37</v>
      </c>
      <c r="D277" s="60"/>
      <c r="E277" s="60"/>
      <c r="F277" s="46" t="s">
        <v>225</v>
      </c>
      <c r="G277" s="46" t="s">
        <v>159</v>
      </c>
      <c r="H277" s="46" t="s">
        <v>592</v>
      </c>
      <c r="I277" s="46" t="s">
        <v>169</v>
      </c>
      <c r="J277" s="46" t="s">
        <v>248</v>
      </c>
      <c r="K277" s="46" t="s">
        <v>140</v>
      </c>
      <c r="L277" s="46"/>
      <c r="M277" s="46"/>
      <c r="N277" s="46">
        <v>1</v>
      </c>
      <c r="O277" s="46"/>
      <c r="P277" s="46"/>
      <c r="Q277" s="46"/>
      <c r="R277" s="46"/>
      <c r="S277" s="46"/>
      <c r="T277" s="46"/>
      <c r="U277" s="46"/>
      <c r="V277" s="46"/>
      <c r="W277" s="46"/>
      <c r="X277" s="46"/>
      <c r="Y277" s="46"/>
      <c r="Z277" s="46" t="s">
        <v>1334</v>
      </c>
      <c r="AA277" s="61">
        <f>AB277*0.0045</f>
        <v>252.80898876404487</v>
      </c>
      <c r="AB277" s="62">
        <f>AC277/(0.089*24*365/10^6)</f>
        <v>56179.775280898866</v>
      </c>
      <c r="AC277" s="63">
        <f>0.06*365/H2ProjectDB4578610[[#This Row],[Column33]]</f>
        <v>43.8</v>
      </c>
      <c r="AD277" s="62"/>
      <c r="AE277" s="62">
        <f t="shared" si="30"/>
        <v>56179.775280898866</v>
      </c>
      <c r="AF277" s="64" t="s">
        <v>1335</v>
      </c>
      <c r="AG277" s="49">
        <v>0.5</v>
      </c>
    </row>
    <row r="278" spans="1:33" ht="34.5" customHeight="1" x14ac:dyDescent="0.3">
      <c r="A278" s="46">
        <v>601</v>
      </c>
      <c r="B278" s="46" t="s">
        <v>1336</v>
      </c>
      <c r="C278" s="64" t="s">
        <v>50</v>
      </c>
      <c r="D278" s="60"/>
      <c r="E278" s="60"/>
      <c r="F278" s="46" t="s">
        <v>225</v>
      </c>
      <c r="G278" s="46" t="s">
        <v>159</v>
      </c>
      <c r="H278" s="46" t="s">
        <v>592</v>
      </c>
      <c r="I278" s="46" t="s">
        <v>169</v>
      </c>
      <c r="J278" s="46" t="s">
        <v>248</v>
      </c>
      <c r="K278" s="46" t="s">
        <v>68</v>
      </c>
      <c r="L278" s="46">
        <v>1</v>
      </c>
      <c r="M278" s="46"/>
      <c r="N278" s="46"/>
      <c r="O278" s="46"/>
      <c r="P278" s="46"/>
      <c r="Q278" s="46"/>
      <c r="R278" s="46"/>
      <c r="S278" s="46"/>
      <c r="T278" s="46"/>
      <c r="U278" s="46"/>
      <c r="V278" s="46"/>
      <c r="W278" s="46"/>
      <c r="X278" s="46"/>
      <c r="Y278" s="46"/>
      <c r="Z278" s="46" t="s">
        <v>1260</v>
      </c>
      <c r="AA278" s="61">
        <v>250</v>
      </c>
      <c r="AB278" s="62">
        <f>AA278/0.0045</f>
        <v>55555.555555555562</v>
      </c>
      <c r="AC278" s="63">
        <f t="shared" ref="AC278:AC287" si="33">AB278*H2dens*HoursInYear/10^6</f>
        <v>43.313333333333333</v>
      </c>
      <c r="AD278" s="62"/>
      <c r="AE278" s="62">
        <f t="shared" si="30"/>
        <v>55555.555555555562</v>
      </c>
      <c r="AF278" s="64" t="s">
        <v>1337</v>
      </c>
      <c r="AG278" s="49">
        <v>0.5</v>
      </c>
    </row>
    <row r="279" spans="1:33" ht="34.5" customHeight="1" x14ac:dyDescent="0.3">
      <c r="A279" s="46">
        <v>602</v>
      </c>
      <c r="B279" s="46" t="s">
        <v>1338</v>
      </c>
      <c r="C279" s="46" t="s">
        <v>321</v>
      </c>
      <c r="D279" s="60">
        <v>2024</v>
      </c>
      <c r="E279" s="60"/>
      <c r="F279" s="46" t="s">
        <v>225</v>
      </c>
      <c r="G279" s="46" t="s">
        <v>159</v>
      </c>
      <c r="H279" s="46" t="s">
        <v>592</v>
      </c>
      <c r="I279" s="46" t="s">
        <v>169</v>
      </c>
      <c r="J279" s="46" t="s">
        <v>248</v>
      </c>
      <c r="K279" s="46" t="s">
        <v>68</v>
      </c>
      <c r="L279" s="46"/>
      <c r="M279" s="46"/>
      <c r="N279" s="46"/>
      <c r="O279" s="46"/>
      <c r="P279" s="46">
        <v>1</v>
      </c>
      <c r="Q279" s="46">
        <v>1</v>
      </c>
      <c r="R279" s="46"/>
      <c r="S279" s="46"/>
      <c r="T279" s="46"/>
      <c r="U279" s="46"/>
      <c r="V279" s="46"/>
      <c r="W279" s="46"/>
      <c r="X279" s="46"/>
      <c r="Y279" s="46"/>
      <c r="Z279" s="46" t="s">
        <v>1339</v>
      </c>
      <c r="AA279" s="61">
        <v>40</v>
      </c>
      <c r="AB279" s="62">
        <f>AA279/0.0045</f>
        <v>8888.8888888888887</v>
      </c>
      <c r="AC279" s="63">
        <f t="shared" si="33"/>
        <v>6.930133333333333</v>
      </c>
      <c r="AD279" s="62"/>
      <c r="AE279" s="62">
        <f t="shared" si="30"/>
        <v>8888.8888888888887</v>
      </c>
      <c r="AF279" s="64" t="s">
        <v>1340</v>
      </c>
      <c r="AG279" s="49">
        <v>0.5</v>
      </c>
    </row>
    <row r="280" spans="1:33" ht="34.5" customHeight="1" x14ac:dyDescent="0.3">
      <c r="A280" s="46">
        <v>603</v>
      </c>
      <c r="B280" s="46" t="s">
        <v>1341</v>
      </c>
      <c r="C280" s="46" t="s">
        <v>41</v>
      </c>
      <c r="D280" s="60">
        <v>2021</v>
      </c>
      <c r="E280" s="60"/>
      <c r="F280" s="46" t="s">
        <v>226</v>
      </c>
      <c r="G280" s="46" t="s">
        <v>3</v>
      </c>
      <c r="H280" s="46"/>
      <c r="I280" s="46" t="s">
        <v>169</v>
      </c>
      <c r="J280" s="46" t="s">
        <v>244</v>
      </c>
      <c r="K280" s="46" t="s">
        <v>68</v>
      </c>
      <c r="L280" s="46"/>
      <c r="M280" s="46"/>
      <c r="N280" s="46">
        <v>1</v>
      </c>
      <c r="O280" s="46"/>
      <c r="P280" s="46"/>
      <c r="Q280" s="46"/>
      <c r="R280" s="46"/>
      <c r="S280" s="46"/>
      <c r="T280" s="46"/>
      <c r="U280" s="46"/>
      <c r="V280" s="46"/>
      <c r="W280" s="46"/>
      <c r="X280" s="46"/>
      <c r="Y280" s="46"/>
      <c r="Z280" s="46" t="s">
        <v>964</v>
      </c>
      <c r="AA280" s="61">
        <v>30</v>
      </c>
      <c r="AB280" s="62">
        <f>AA280/0.0046</f>
        <v>6521.739130434783</v>
      </c>
      <c r="AC280" s="63">
        <f t="shared" si="33"/>
        <v>5.0846086956521734</v>
      </c>
      <c r="AD280" s="62"/>
      <c r="AE280" s="62">
        <f t="shared" si="30"/>
        <v>6521.739130434783</v>
      </c>
      <c r="AF280" s="64" t="s">
        <v>1342</v>
      </c>
      <c r="AG280" s="49">
        <v>0.3</v>
      </c>
    </row>
    <row r="281" spans="1:33" ht="34.5" customHeight="1" x14ac:dyDescent="0.3">
      <c r="A281" s="46">
        <v>604</v>
      </c>
      <c r="B281" s="46" t="s">
        <v>1343</v>
      </c>
      <c r="C281" s="46" t="s">
        <v>39</v>
      </c>
      <c r="D281" s="60">
        <v>2028</v>
      </c>
      <c r="E281" s="60"/>
      <c r="F281" s="46" t="s">
        <v>225</v>
      </c>
      <c r="G281" s="46" t="s">
        <v>159</v>
      </c>
      <c r="H281" s="46" t="s">
        <v>592</v>
      </c>
      <c r="I281" s="46" t="s">
        <v>169</v>
      </c>
      <c r="J281" s="46" t="s">
        <v>244</v>
      </c>
      <c r="K281" s="46" t="s">
        <v>141</v>
      </c>
      <c r="L281" s="46"/>
      <c r="M281" s="46">
        <v>1</v>
      </c>
      <c r="N281" s="46"/>
      <c r="O281" s="46"/>
      <c r="P281" s="46"/>
      <c r="Q281" s="46"/>
      <c r="R281" s="46"/>
      <c r="S281" s="46"/>
      <c r="T281" s="46"/>
      <c r="U281" s="46"/>
      <c r="V281" s="46"/>
      <c r="W281" s="46"/>
      <c r="X281" s="46"/>
      <c r="Y281" s="46"/>
      <c r="Z281" s="46" t="s">
        <v>1344</v>
      </c>
      <c r="AA281" s="61">
        <v>160</v>
      </c>
      <c r="AB281" s="62">
        <f t="shared" ref="AB281:AB287" si="34">AA281/0.0045</f>
        <v>35555.555555555555</v>
      </c>
      <c r="AC281" s="63">
        <f t="shared" si="33"/>
        <v>27.720533333333332</v>
      </c>
      <c r="AD281" s="62"/>
      <c r="AE281" s="62">
        <f t="shared" si="30"/>
        <v>35555.555555555555</v>
      </c>
      <c r="AF281" s="64" t="s">
        <v>1345</v>
      </c>
      <c r="AG281" s="49">
        <v>0.3</v>
      </c>
    </row>
    <row r="282" spans="1:33" ht="34.5" customHeight="1" x14ac:dyDescent="0.3">
      <c r="A282" s="46">
        <v>605</v>
      </c>
      <c r="B282" s="46" t="s">
        <v>1346</v>
      </c>
      <c r="C282" s="46" t="s">
        <v>321</v>
      </c>
      <c r="D282" s="60"/>
      <c r="E282" s="60"/>
      <c r="F282" s="46" t="s">
        <v>225</v>
      </c>
      <c r="G282" s="46" t="s">
        <v>159</v>
      </c>
      <c r="H282" s="46" t="s">
        <v>592</v>
      </c>
      <c r="I282" s="46" t="s">
        <v>169</v>
      </c>
      <c r="J282" s="46" t="s">
        <v>248</v>
      </c>
      <c r="K282" s="46" t="s">
        <v>68</v>
      </c>
      <c r="L282" s="46"/>
      <c r="M282" s="46"/>
      <c r="N282" s="46"/>
      <c r="O282" s="46"/>
      <c r="P282" s="46">
        <v>1</v>
      </c>
      <c r="Q282" s="46"/>
      <c r="R282" s="46"/>
      <c r="S282" s="46"/>
      <c r="T282" s="46"/>
      <c r="U282" s="46"/>
      <c r="V282" s="46"/>
      <c r="W282" s="46"/>
      <c r="X282" s="46"/>
      <c r="Y282" s="46"/>
      <c r="Z282" s="46" t="s">
        <v>1347</v>
      </c>
      <c r="AA282" s="61">
        <v>150</v>
      </c>
      <c r="AB282" s="62">
        <f t="shared" si="34"/>
        <v>33333.333333333336</v>
      </c>
      <c r="AC282" s="63">
        <f t="shared" si="33"/>
        <v>25.988</v>
      </c>
      <c r="AD282" s="62"/>
      <c r="AE282" s="62">
        <f t="shared" si="30"/>
        <v>33333.333333333336</v>
      </c>
      <c r="AF282" s="64" t="s">
        <v>1348</v>
      </c>
      <c r="AG282" s="49">
        <v>0.5</v>
      </c>
    </row>
    <row r="283" spans="1:33" ht="34.5" customHeight="1" x14ac:dyDescent="0.3">
      <c r="A283" s="46">
        <v>607</v>
      </c>
      <c r="B283" s="46" t="s">
        <v>1349</v>
      </c>
      <c r="C283" s="46" t="s">
        <v>321</v>
      </c>
      <c r="D283" s="60"/>
      <c r="E283" s="60"/>
      <c r="F283" s="46" t="s">
        <v>225</v>
      </c>
      <c r="G283" s="46" t="s">
        <v>159</v>
      </c>
      <c r="H283" s="46" t="s">
        <v>592</v>
      </c>
      <c r="I283" s="46" t="s">
        <v>169</v>
      </c>
      <c r="J283" s="46" t="s">
        <v>248</v>
      </c>
      <c r="K283" s="46" t="s">
        <v>68</v>
      </c>
      <c r="L283" s="46"/>
      <c r="M283" s="46"/>
      <c r="N283" s="46"/>
      <c r="O283" s="46"/>
      <c r="P283" s="46">
        <v>1</v>
      </c>
      <c r="Q283" s="46">
        <v>1</v>
      </c>
      <c r="R283" s="46"/>
      <c r="S283" s="46"/>
      <c r="T283" s="46"/>
      <c r="U283" s="46"/>
      <c r="V283" s="46"/>
      <c r="W283" s="46"/>
      <c r="X283" s="46"/>
      <c r="Y283" s="46"/>
      <c r="Z283" s="46" t="s">
        <v>1350</v>
      </c>
      <c r="AA283" s="61">
        <v>60</v>
      </c>
      <c r="AB283" s="62">
        <f t="shared" si="34"/>
        <v>13333.333333333334</v>
      </c>
      <c r="AC283" s="63">
        <f t="shared" si="33"/>
        <v>10.395200000000001</v>
      </c>
      <c r="AD283" s="62"/>
      <c r="AE283" s="62">
        <f t="shared" si="30"/>
        <v>13333.333333333334</v>
      </c>
      <c r="AF283" s="64" t="s">
        <v>1348</v>
      </c>
      <c r="AG283" s="49">
        <v>0.5</v>
      </c>
    </row>
    <row r="284" spans="1:33" ht="34.5" customHeight="1" x14ac:dyDescent="0.3">
      <c r="A284" s="46">
        <v>608</v>
      </c>
      <c r="B284" s="46" t="s">
        <v>1351</v>
      </c>
      <c r="C284" s="46" t="s">
        <v>321</v>
      </c>
      <c r="D284" s="60"/>
      <c r="E284" s="60"/>
      <c r="F284" s="46" t="s">
        <v>225</v>
      </c>
      <c r="G284" s="46" t="s">
        <v>159</v>
      </c>
      <c r="H284" s="46" t="s">
        <v>592</v>
      </c>
      <c r="I284" s="46" t="s">
        <v>169</v>
      </c>
      <c r="J284" s="46" t="s">
        <v>248</v>
      </c>
      <c r="K284" s="46" t="s">
        <v>68</v>
      </c>
      <c r="L284" s="46"/>
      <c r="M284" s="46"/>
      <c r="N284" s="46"/>
      <c r="O284" s="46"/>
      <c r="P284" s="46"/>
      <c r="Q284" s="46"/>
      <c r="R284" s="46"/>
      <c r="S284" s="46">
        <v>1</v>
      </c>
      <c r="T284" s="46"/>
      <c r="U284" s="46"/>
      <c r="V284" s="46"/>
      <c r="W284" s="46"/>
      <c r="X284" s="46"/>
      <c r="Y284" s="46"/>
      <c r="Z284" s="46" t="s">
        <v>964</v>
      </c>
      <c r="AA284" s="61">
        <v>30</v>
      </c>
      <c r="AB284" s="62">
        <f t="shared" si="34"/>
        <v>6666.666666666667</v>
      </c>
      <c r="AC284" s="63">
        <f t="shared" si="33"/>
        <v>5.1976000000000004</v>
      </c>
      <c r="AD284" s="62"/>
      <c r="AE284" s="62">
        <f t="shared" si="30"/>
        <v>6666.666666666667</v>
      </c>
      <c r="AF284" s="64" t="s">
        <v>1348</v>
      </c>
      <c r="AG284" s="49">
        <v>0.5</v>
      </c>
    </row>
    <row r="285" spans="1:33" ht="34.5" customHeight="1" x14ac:dyDescent="0.3">
      <c r="A285" s="46">
        <v>609</v>
      </c>
      <c r="B285" s="46" t="s">
        <v>1352</v>
      </c>
      <c r="C285" s="46" t="s">
        <v>50</v>
      </c>
      <c r="D285" s="60">
        <v>2026</v>
      </c>
      <c r="E285" s="60"/>
      <c r="F285" s="46" t="s">
        <v>225</v>
      </c>
      <c r="G285" s="46" t="s">
        <v>1</v>
      </c>
      <c r="H285" s="46"/>
      <c r="I285" s="46" t="s">
        <v>169</v>
      </c>
      <c r="J285" s="46" t="s">
        <v>245</v>
      </c>
      <c r="K285" s="46" t="s">
        <v>68</v>
      </c>
      <c r="L285" s="46"/>
      <c r="M285" s="46"/>
      <c r="N285" s="46"/>
      <c r="O285" s="46"/>
      <c r="P285" s="46"/>
      <c r="Q285" s="46"/>
      <c r="R285" s="46"/>
      <c r="S285" s="46"/>
      <c r="T285" s="46"/>
      <c r="U285" s="46">
        <v>1</v>
      </c>
      <c r="V285" s="46"/>
      <c r="W285" s="46"/>
      <c r="X285" s="46"/>
      <c r="Y285" s="46"/>
      <c r="Z285" s="46" t="s">
        <v>1274</v>
      </c>
      <c r="AA285" s="61">
        <v>50</v>
      </c>
      <c r="AB285" s="62">
        <f>AA285/0.0052</f>
        <v>9615.3846153846152</v>
      </c>
      <c r="AC285" s="63">
        <f>AB285*H2dens*HoursInYear/10^6</f>
        <v>7.4965384615384609</v>
      </c>
      <c r="AD285" s="62"/>
      <c r="AE285" s="62">
        <f t="shared" si="30"/>
        <v>9615.3846153846152</v>
      </c>
      <c r="AF285" s="64" t="s">
        <v>1353</v>
      </c>
      <c r="AG285" s="49">
        <v>0.4</v>
      </c>
    </row>
    <row r="286" spans="1:33" ht="34.5" customHeight="1" x14ac:dyDescent="0.3">
      <c r="A286" s="46">
        <v>610</v>
      </c>
      <c r="B286" s="46" t="s">
        <v>1354</v>
      </c>
      <c r="C286" s="46" t="s">
        <v>39</v>
      </c>
      <c r="D286" s="60">
        <v>2027</v>
      </c>
      <c r="E286" s="60"/>
      <c r="F286" s="46" t="s">
        <v>225</v>
      </c>
      <c r="G286" s="46" t="s">
        <v>159</v>
      </c>
      <c r="H286" s="46" t="s">
        <v>592</v>
      </c>
      <c r="I286" s="46" t="s">
        <v>169</v>
      </c>
      <c r="J286" s="46" t="s">
        <v>244</v>
      </c>
      <c r="K286" s="46" t="s">
        <v>141</v>
      </c>
      <c r="L286" s="46"/>
      <c r="M286" s="46">
        <v>1</v>
      </c>
      <c r="N286" s="46"/>
      <c r="O286" s="46"/>
      <c r="P286" s="46"/>
      <c r="Q286" s="46"/>
      <c r="R286" s="46"/>
      <c r="S286" s="46"/>
      <c r="T286" s="46"/>
      <c r="U286" s="46"/>
      <c r="V286" s="46"/>
      <c r="W286" s="46"/>
      <c r="X286" s="46"/>
      <c r="Y286" s="46"/>
      <c r="Z286" s="46" t="s">
        <v>964</v>
      </c>
      <c r="AA286" s="61">
        <v>30</v>
      </c>
      <c r="AB286" s="62">
        <f t="shared" si="34"/>
        <v>6666.666666666667</v>
      </c>
      <c r="AC286" s="63">
        <f t="shared" si="33"/>
        <v>5.1976000000000004</v>
      </c>
      <c r="AD286" s="62"/>
      <c r="AE286" s="62">
        <f t="shared" si="30"/>
        <v>6666.666666666667</v>
      </c>
      <c r="AF286" s="64" t="s">
        <v>1355</v>
      </c>
      <c r="AG286" s="49">
        <v>0.3</v>
      </c>
    </row>
    <row r="287" spans="1:33" ht="34.5" customHeight="1" x14ac:dyDescent="0.3">
      <c r="A287" s="46">
        <v>611</v>
      </c>
      <c r="B287" s="46" t="s">
        <v>1356</v>
      </c>
      <c r="C287" s="46" t="s">
        <v>50</v>
      </c>
      <c r="D287" s="60">
        <v>2026</v>
      </c>
      <c r="E287" s="60"/>
      <c r="F287" s="46" t="s">
        <v>225</v>
      </c>
      <c r="G287" s="46" t="s">
        <v>159</v>
      </c>
      <c r="H287" s="46" t="s">
        <v>592</v>
      </c>
      <c r="I287" s="46" t="s">
        <v>169</v>
      </c>
      <c r="J287" s="46" t="s">
        <v>246</v>
      </c>
      <c r="K287" s="46" t="s">
        <v>68</v>
      </c>
      <c r="L287" s="46"/>
      <c r="M287" s="46"/>
      <c r="N287" s="46"/>
      <c r="O287" s="46"/>
      <c r="P287" s="46"/>
      <c r="Q287" s="46"/>
      <c r="R287" s="46">
        <v>1</v>
      </c>
      <c r="S287" s="46">
        <v>1</v>
      </c>
      <c r="T287" s="46"/>
      <c r="U287" s="46"/>
      <c r="V287" s="46"/>
      <c r="W287" s="46"/>
      <c r="X287" s="46"/>
      <c r="Y287" s="46"/>
      <c r="Z287" s="46" t="s">
        <v>1168</v>
      </c>
      <c r="AA287" s="61">
        <v>10</v>
      </c>
      <c r="AB287" s="62">
        <f t="shared" si="34"/>
        <v>2222.2222222222222</v>
      </c>
      <c r="AC287" s="63">
        <f t="shared" si="33"/>
        <v>1.7325333333333333</v>
      </c>
      <c r="AD287" s="62"/>
      <c r="AE287" s="62">
        <f t="shared" si="30"/>
        <v>2222.2222222222222</v>
      </c>
      <c r="AF287" s="64" t="s">
        <v>1357</v>
      </c>
      <c r="AG287" s="49">
        <v>0.55000000000000004</v>
      </c>
    </row>
    <row r="288" spans="1:33" ht="34.5" customHeight="1" x14ac:dyDescent="0.3">
      <c r="A288" s="46">
        <v>613</v>
      </c>
      <c r="B288" s="46" t="s">
        <v>1358</v>
      </c>
      <c r="C288" s="46" t="s">
        <v>41</v>
      </c>
      <c r="D288" s="60"/>
      <c r="E288" s="60"/>
      <c r="F288" s="46" t="s">
        <v>591</v>
      </c>
      <c r="G288" s="46" t="s">
        <v>159</v>
      </c>
      <c r="H288" s="46" t="s">
        <v>592</v>
      </c>
      <c r="I288" s="46" t="s">
        <v>169</v>
      </c>
      <c r="J288" s="46" t="s">
        <v>244</v>
      </c>
      <c r="K288" s="46" t="s">
        <v>68</v>
      </c>
      <c r="L288" s="46"/>
      <c r="M288" s="46"/>
      <c r="N288" s="46"/>
      <c r="O288" s="46"/>
      <c r="P288" s="46"/>
      <c r="Q288" s="46"/>
      <c r="R288" s="46"/>
      <c r="S288" s="46"/>
      <c r="T288" s="46"/>
      <c r="U288" s="46"/>
      <c r="V288" s="46"/>
      <c r="W288" s="46"/>
      <c r="X288" s="46"/>
      <c r="Y288" s="46"/>
      <c r="Z288" s="46"/>
      <c r="AA288" s="61"/>
      <c r="AB288" s="62"/>
      <c r="AC288" s="63"/>
      <c r="AD288" s="62"/>
      <c r="AE288" s="62">
        <f t="shared" si="30"/>
        <v>0</v>
      </c>
      <c r="AF288" s="64" t="s">
        <v>1359</v>
      </c>
      <c r="AG288" s="49">
        <v>0.3</v>
      </c>
    </row>
    <row r="289" spans="1:33" ht="34.5" customHeight="1" x14ac:dyDescent="0.3">
      <c r="A289" s="46">
        <v>614</v>
      </c>
      <c r="B289" s="46" t="s">
        <v>1360</v>
      </c>
      <c r="C289" s="46" t="s">
        <v>50</v>
      </c>
      <c r="D289" s="60">
        <v>2030</v>
      </c>
      <c r="E289" s="60"/>
      <c r="F289" s="46" t="s">
        <v>225</v>
      </c>
      <c r="G289" s="46" t="s">
        <v>159</v>
      </c>
      <c r="H289" s="46" t="s">
        <v>592</v>
      </c>
      <c r="I289" s="46" t="s">
        <v>169</v>
      </c>
      <c r="J289" s="46" t="s">
        <v>245</v>
      </c>
      <c r="K289" s="46" t="s">
        <v>68</v>
      </c>
      <c r="L289" s="46"/>
      <c r="M289" s="46"/>
      <c r="N289" s="46"/>
      <c r="O289" s="46"/>
      <c r="P289" s="46">
        <v>1</v>
      </c>
      <c r="Q289" s="46">
        <v>1</v>
      </c>
      <c r="R289" s="46">
        <v>1</v>
      </c>
      <c r="S289" s="46">
        <v>1</v>
      </c>
      <c r="T289" s="46"/>
      <c r="U289" s="46"/>
      <c r="V289" s="46"/>
      <c r="W289" s="46"/>
      <c r="X289" s="46"/>
      <c r="Y289" s="46"/>
      <c r="Z289" s="46" t="s">
        <v>1257</v>
      </c>
      <c r="AA289" s="61">
        <v>95</v>
      </c>
      <c r="AB289" s="62">
        <f>AA289/0.0045</f>
        <v>21111.111111111113</v>
      </c>
      <c r="AC289" s="63">
        <f t="shared" ref="AC289:AC294" si="35">AB289*H2dens*HoursInYear/10^6</f>
        <v>16.459066666666665</v>
      </c>
      <c r="AD289" s="62"/>
      <c r="AE289" s="62">
        <f t="shared" si="30"/>
        <v>21111.111111111113</v>
      </c>
      <c r="AF289" s="64" t="s">
        <v>1361</v>
      </c>
      <c r="AG289" s="49">
        <v>0.4</v>
      </c>
    </row>
    <row r="290" spans="1:33" ht="34.5" customHeight="1" x14ac:dyDescent="0.3">
      <c r="A290" s="46">
        <v>615</v>
      </c>
      <c r="B290" s="46" t="s">
        <v>1362</v>
      </c>
      <c r="C290" s="46" t="s">
        <v>34</v>
      </c>
      <c r="D290" s="60">
        <v>2021</v>
      </c>
      <c r="E290" s="60"/>
      <c r="F290" s="46" t="s">
        <v>226</v>
      </c>
      <c r="G290" s="46" t="s">
        <v>3</v>
      </c>
      <c r="H290" s="46"/>
      <c r="I290" s="46" t="s">
        <v>169</v>
      </c>
      <c r="J290" s="46" t="s">
        <v>69</v>
      </c>
      <c r="K290" s="46" t="s">
        <v>68</v>
      </c>
      <c r="L290" s="46"/>
      <c r="M290" s="46"/>
      <c r="N290" s="46"/>
      <c r="O290" s="46"/>
      <c r="P290" s="46"/>
      <c r="Q290" s="46">
        <v>1</v>
      </c>
      <c r="R290" s="46"/>
      <c r="S290" s="46"/>
      <c r="T290" s="46"/>
      <c r="U290" s="46"/>
      <c r="V290" s="46"/>
      <c r="W290" s="46"/>
      <c r="X290" s="46"/>
      <c r="Y290" s="46"/>
      <c r="Z290" s="46" t="s">
        <v>1363</v>
      </c>
      <c r="AA290" s="61">
        <v>0.75</v>
      </c>
      <c r="AB290" s="62">
        <f>IF(OR(G290="ALK",G290="PEM",G290="SOEC",G290="Other Electrolysis"),
AA290/VLOOKUP(G290,ElectrolysisConvF,3,FALSE),
AC290*10^6/(H2dens*HoursInYear))</f>
        <v>163.04347826086956</v>
      </c>
      <c r="AC290" s="63">
        <f t="shared" si="35"/>
        <v>0.12711521739130432</v>
      </c>
      <c r="AD290" s="62"/>
      <c r="AE290" s="62">
        <f t="shared" si="30"/>
        <v>163.04347826086956</v>
      </c>
      <c r="AF290" s="64" t="s">
        <v>1364</v>
      </c>
      <c r="AG290" s="49">
        <v>0.5</v>
      </c>
    </row>
    <row r="291" spans="1:33" ht="34.5" customHeight="1" x14ac:dyDescent="0.3">
      <c r="A291" s="46">
        <v>616</v>
      </c>
      <c r="B291" s="46" t="s">
        <v>1365</v>
      </c>
      <c r="C291" s="46" t="s">
        <v>34</v>
      </c>
      <c r="D291" s="60">
        <v>2022</v>
      </c>
      <c r="E291" s="60"/>
      <c r="F291" s="46" t="s">
        <v>226</v>
      </c>
      <c r="G291" s="46" t="s">
        <v>159</v>
      </c>
      <c r="H291" s="46" t="s">
        <v>592</v>
      </c>
      <c r="I291" s="46" t="s">
        <v>169</v>
      </c>
      <c r="J291" s="46" t="s">
        <v>69</v>
      </c>
      <c r="K291" s="46" t="s">
        <v>68</v>
      </c>
      <c r="L291" s="46"/>
      <c r="M291" s="46"/>
      <c r="N291" s="46"/>
      <c r="O291" s="46"/>
      <c r="P291" s="46"/>
      <c r="Q291" s="46">
        <v>1</v>
      </c>
      <c r="R291" s="46"/>
      <c r="S291" s="46"/>
      <c r="T291" s="46"/>
      <c r="U291" s="46"/>
      <c r="V291" s="46"/>
      <c r="W291" s="46"/>
      <c r="X291" s="46"/>
      <c r="Y291" s="46"/>
      <c r="Z291" s="46" t="s">
        <v>1366</v>
      </c>
      <c r="AA291" s="61">
        <v>1</v>
      </c>
      <c r="AB291" s="62">
        <f>IF(OR(G291="ALK",G291="PEM",G291="SOEC",G291="Other Electrolysis"),
AA291/VLOOKUP(G291,ElectrolysisConvF,3,FALSE),
AC291*10^6/(H2dens*HoursInYear))</f>
        <v>222.22222222222223</v>
      </c>
      <c r="AC291" s="63">
        <f t="shared" si="35"/>
        <v>0.17325333333333334</v>
      </c>
      <c r="AD291" s="62"/>
      <c r="AE291" s="62">
        <f t="shared" si="30"/>
        <v>222.22222222222223</v>
      </c>
      <c r="AF291" s="64" t="s">
        <v>1367</v>
      </c>
      <c r="AG291" s="49">
        <v>0.5</v>
      </c>
    </row>
    <row r="292" spans="1:33" ht="34.5" customHeight="1" x14ac:dyDescent="0.3">
      <c r="A292" s="46">
        <v>617</v>
      </c>
      <c r="B292" s="46" t="s">
        <v>1368</v>
      </c>
      <c r="C292" s="46" t="s">
        <v>58</v>
      </c>
      <c r="D292" s="60">
        <v>2010</v>
      </c>
      <c r="E292" s="60">
        <v>2012</v>
      </c>
      <c r="F292" s="46" t="s">
        <v>285</v>
      </c>
      <c r="G292" s="46" t="s">
        <v>3</v>
      </c>
      <c r="H292" s="46"/>
      <c r="I292" s="46" t="s">
        <v>157</v>
      </c>
      <c r="J292" s="46"/>
      <c r="K292" s="46" t="s">
        <v>68</v>
      </c>
      <c r="L292" s="46"/>
      <c r="M292" s="46"/>
      <c r="N292" s="46"/>
      <c r="O292" s="46"/>
      <c r="P292" s="46"/>
      <c r="Q292" s="46"/>
      <c r="R292" s="46">
        <v>1</v>
      </c>
      <c r="S292" s="46"/>
      <c r="T292" s="46">
        <v>1</v>
      </c>
      <c r="U292" s="46"/>
      <c r="V292" s="46"/>
      <c r="W292" s="46"/>
      <c r="X292" s="46"/>
      <c r="Y292" s="46"/>
      <c r="Z292" s="46" t="s">
        <v>870</v>
      </c>
      <c r="AA292" s="61">
        <f>AB292*0.0046</f>
        <v>1.84E-2</v>
      </c>
      <c r="AB292" s="62">
        <v>4</v>
      </c>
      <c r="AC292" s="63">
        <f t="shared" si="35"/>
        <v>3.1185599999999998E-3</v>
      </c>
      <c r="AD292" s="62"/>
      <c r="AE292" s="62">
        <f t="shared" si="30"/>
        <v>4</v>
      </c>
      <c r="AF292" s="64" t="s">
        <v>1369</v>
      </c>
      <c r="AG292" s="49">
        <v>0.56999999999999995</v>
      </c>
    </row>
    <row r="293" spans="1:33" ht="34.5" customHeight="1" x14ac:dyDescent="0.3">
      <c r="A293" s="46">
        <v>618</v>
      </c>
      <c r="B293" s="46" t="s">
        <v>1370</v>
      </c>
      <c r="C293" s="46" t="s">
        <v>321</v>
      </c>
      <c r="D293" s="60">
        <v>2024</v>
      </c>
      <c r="E293" s="60"/>
      <c r="F293" s="46" t="s">
        <v>225</v>
      </c>
      <c r="G293" s="46" t="s">
        <v>1</v>
      </c>
      <c r="H293" s="46"/>
      <c r="I293" s="46" t="s">
        <v>169</v>
      </c>
      <c r="J293" s="46" t="s">
        <v>246</v>
      </c>
      <c r="K293" s="46" t="s">
        <v>68</v>
      </c>
      <c r="L293" s="46"/>
      <c r="M293" s="46"/>
      <c r="N293" s="46"/>
      <c r="O293" s="46"/>
      <c r="P293" s="46"/>
      <c r="Q293" s="46">
        <v>1</v>
      </c>
      <c r="R293" s="46"/>
      <c r="S293" s="46"/>
      <c r="T293" s="46"/>
      <c r="U293" s="46"/>
      <c r="V293" s="46"/>
      <c r="W293" s="46"/>
      <c r="X293" s="46"/>
      <c r="Y293" s="46"/>
      <c r="Z293" s="46" t="s">
        <v>981</v>
      </c>
      <c r="AA293" s="61">
        <v>20</v>
      </c>
      <c r="AB293" s="62">
        <f>AA293/0.0052</f>
        <v>3846.1538461538462</v>
      </c>
      <c r="AC293" s="63">
        <f>AB293*H2dens*HoursInYear/10^6</f>
        <v>2.9986153846153845</v>
      </c>
      <c r="AD293" s="62"/>
      <c r="AE293" s="62">
        <f t="shared" si="30"/>
        <v>3846.1538461538462</v>
      </c>
      <c r="AF293" s="64" t="s">
        <v>1371</v>
      </c>
      <c r="AG293" s="49">
        <v>0.55000000000000004</v>
      </c>
    </row>
    <row r="294" spans="1:33" ht="34.5" customHeight="1" x14ac:dyDescent="0.3">
      <c r="A294" s="46">
        <v>619</v>
      </c>
      <c r="B294" s="46" t="s">
        <v>1372</v>
      </c>
      <c r="C294" s="46" t="s">
        <v>321</v>
      </c>
      <c r="D294" s="60">
        <v>2011</v>
      </c>
      <c r="E294" s="60">
        <v>2014</v>
      </c>
      <c r="F294" s="46" t="s">
        <v>285</v>
      </c>
      <c r="G294" s="46" t="s">
        <v>3</v>
      </c>
      <c r="H294" s="46"/>
      <c r="I294" s="46" t="s">
        <v>707</v>
      </c>
      <c r="J294" s="46"/>
      <c r="K294" s="46" t="s">
        <v>68</v>
      </c>
      <c r="L294" s="46"/>
      <c r="M294" s="46"/>
      <c r="N294" s="46"/>
      <c r="O294" s="46"/>
      <c r="P294" s="46"/>
      <c r="Q294" s="46"/>
      <c r="R294" s="46">
        <v>1</v>
      </c>
      <c r="S294" s="46"/>
      <c r="T294" s="46"/>
      <c r="U294" s="46"/>
      <c r="V294" s="46"/>
      <c r="W294" s="46"/>
      <c r="X294" s="46"/>
      <c r="Y294" s="46"/>
      <c r="Z294" s="46" t="s">
        <v>1373</v>
      </c>
      <c r="AA294" s="61">
        <v>2.6</v>
      </c>
      <c r="AB294" s="62">
        <f>AA294/0.0046</f>
        <v>565.21739130434787</v>
      </c>
      <c r="AC294" s="63">
        <f t="shared" si="35"/>
        <v>0.44066608695652176</v>
      </c>
      <c r="AD294" s="62"/>
      <c r="AE294" s="62">
        <f t="shared" si="30"/>
        <v>565.21739130434787</v>
      </c>
      <c r="AF294" s="64" t="s">
        <v>1374</v>
      </c>
      <c r="AG294" s="49">
        <v>0.56999999999999995</v>
      </c>
    </row>
    <row r="295" spans="1:33" ht="34.5" customHeight="1" x14ac:dyDescent="0.3">
      <c r="A295" s="46">
        <v>620</v>
      </c>
      <c r="B295" s="46" t="s">
        <v>1375</v>
      </c>
      <c r="C295" s="46" t="s">
        <v>318</v>
      </c>
      <c r="D295" s="60"/>
      <c r="E295" s="60"/>
      <c r="F295" s="46" t="s">
        <v>225</v>
      </c>
      <c r="G295" s="46" t="s">
        <v>1</v>
      </c>
      <c r="H295" s="46"/>
      <c r="I295" s="46" t="s">
        <v>169</v>
      </c>
      <c r="J295" s="46" t="s">
        <v>248</v>
      </c>
      <c r="K295" s="46" t="s">
        <v>167</v>
      </c>
      <c r="L295" s="46"/>
      <c r="M295" s="46"/>
      <c r="N295" s="46"/>
      <c r="O295" s="46"/>
      <c r="P295" s="46"/>
      <c r="Q295" s="46"/>
      <c r="R295" s="46"/>
      <c r="S295" s="46"/>
      <c r="T295" s="46"/>
      <c r="U295" s="46"/>
      <c r="V295" s="46"/>
      <c r="W295" s="46">
        <v>1</v>
      </c>
      <c r="X295" s="46"/>
      <c r="Y295" s="46"/>
      <c r="Z295" s="46" t="s">
        <v>1376</v>
      </c>
      <c r="AA295" s="61">
        <f>AB295*0.0052</f>
        <v>68.524777505318568</v>
      </c>
      <c r="AB295" s="62">
        <f>AC295/(0.089*24*365/10^6)</f>
        <v>13177.841827945878</v>
      </c>
      <c r="AC295" s="63">
        <f>10*0.045/0.73/0.12/H2ProjectDB4578610[[#This Row],[Column33]]</f>
        <v>10.273972602739725</v>
      </c>
      <c r="AD295" s="62"/>
      <c r="AE295" s="62">
        <f t="shared" si="30"/>
        <v>13177.841827945878</v>
      </c>
      <c r="AF295" s="64" t="s">
        <v>1377</v>
      </c>
      <c r="AG295" s="49">
        <v>0.5</v>
      </c>
    </row>
    <row r="296" spans="1:33" ht="34.5" customHeight="1" x14ac:dyDescent="0.3">
      <c r="A296" s="46">
        <v>621</v>
      </c>
      <c r="B296" s="46" t="s">
        <v>1378</v>
      </c>
      <c r="C296" s="46" t="s">
        <v>318</v>
      </c>
      <c r="D296" s="60">
        <v>2024</v>
      </c>
      <c r="E296" s="60"/>
      <c r="F296" s="46" t="s">
        <v>225</v>
      </c>
      <c r="G296" s="46" t="s">
        <v>159</v>
      </c>
      <c r="H296" s="46" t="s">
        <v>592</v>
      </c>
      <c r="I296" s="46" t="s">
        <v>707</v>
      </c>
      <c r="J296" s="46"/>
      <c r="K296" s="46" t="s">
        <v>68</v>
      </c>
      <c r="L296" s="46"/>
      <c r="M296" s="46"/>
      <c r="N296" s="46"/>
      <c r="O296" s="46"/>
      <c r="P296" s="46"/>
      <c r="Q296" s="46"/>
      <c r="R296" s="46">
        <v>1</v>
      </c>
      <c r="S296" s="46"/>
      <c r="T296" s="46"/>
      <c r="U296" s="46"/>
      <c r="V296" s="46"/>
      <c r="W296" s="46"/>
      <c r="X296" s="46"/>
      <c r="Y296" s="46"/>
      <c r="Z296" s="46" t="s">
        <v>1379</v>
      </c>
      <c r="AA296" s="61">
        <v>15</v>
      </c>
      <c r="AB296" s="62">
        <f>AA296/0.0045</f>
        <v>3333.3333333333335</v>
      </c>
      <c r="AC296" s="63">
        <f>AB296*H2dens*HoursInYear/10^6</f>
        <v>2.5988000000000002</v>
      </c>
      <c r="AD296" s="62"/>
      <c r="AE296" s="62">
        <f t="shared" si="30"/>
        <v>3333.3333333333335</v>
      </c>
      <c r="AF296" s="64" t="s">
        <v>1377</v>
      </c>
      <c r="AG296" s="49">
        <v>0.56999999999999995</v>
      </c>
    </row>
    <row r="297" spans="1:33" ht="34.5" customHeight="1" x14ac:dyDescent="0.3">
      <c r="A297" s="46">
        <v>622</v>
      </c>
      <c r="B297" s="46" t="s">
        <v>1380</v>
      </c>
      <c r="C297" s="46" t="s">
        <v>203</v>
      </c>
      <c r="D297" s="60"/>
      <c r="E297" s="60"/>
      <c r="F297" s="46" t="s">
        <v>225</v>
      </c>
      <c r="G297" s="46" t="s">
        <v>159</v>
      </c>
      <c r="H297" s="46" t="s">
        <v>592</v>
      </c>
      <c r="I297" s="46" t="s">
        <v>166</v>
      </c>
      <c r="J297" s="46"/>
      <c r="K297" s="46" t="s">
        <v>68</v>
      </c>
      <c r="L297" s="46">
        <v>1</v>
      </c>
      <c r="M297" s="46"/>
      <c r="N297" s="46"/>
      <c r="O297" s="46"/>
      <c r="P297" s="46"/>
      <c r="Q297" s="46"/>
      <c r="R297" s="46"/>
      <c r="S297" s="46"/>
      <c r="T297" s="46"/>
      <c r="U297" s="46"/>
      <c r="V297" s="46"/>
      <c r="W297" s="46"/>
      <c r="X297" s="46"/>
      <c r="Y297" s="46"/>
      <c r="Z297" s="46" t="s">
        <v>1257</v>
      </c>
      <c r="AA297" s="61">
        <v>100</v>
      </c>
      <c r="AB297" s="62">
        <f>AA297/0.0045</f>
        <v>22222.222222222223</v>
      </c>
      <c r="AC297" s="63">
        <f>AB297*H2dens*HoursInYear/10^6</f>
        <v>17.325333333333333</v>
      </c>
      <c r="AD297" s="62"/>
      <c r="AE297" s="62">
        <f t="shared" si="30"/>
        <v>22222.222222222223</v>
      </c>
      <c r="AF297" s="64" t="s">
        <v>1381</v>
      </c>
      <c r="AG297" s="49">
        <v>0.56999999999999995</v>
      </c>
    </row>
    <row r="298" spans="1:33" ht="34.5" customHeight="1" x14ac:dyDescent="0.3">
      <c r="A298" s="46">
        <v>623</v>
      </c>
      <c r="B298" s="46" t="s">
        <v>1382</v>
      </c>
      <c r="C298" s="46" t="s">
        <v>203</v>
      </c>
      <c r="D298" s="60">
        <v>2022</v>
      </c>
      <c r="E298" s="60"/>
      <c r="F298" s="46" t="s">
        <v>226</v>
      </c>
      <c r="G298" s="46" t="s">
        <v>1</v>
      </c>
      <c r="H298" s="46"/>
      <c r="I298" s="46" t="s">
        <v>169</v>
      </c>
      <c r="J298" s="46" t="s">
        <v>248</v>
      </c>
      <c r="K298" s="46" t="s">
        <v>68</v>
      </c>
      <c r="L298" s="46"/>
      <c r="M298" s="46"/>
      <c r="N298" s="46"/>
      <c r="O298" s="46"/>
      <c r="P298" s="46">
        <v>1</v>
      </c>
      <c r="Q298" s="46">
        <v>1</v>
      </c>
      <c r="R298" s="46"/>
      <c r="S298" s="46"/>
      <c r="T298" s="46"/>
      <c r="U298" s="46"/>
      <c r="V298" s="46"/>
      <c r="W298" s="46"/>
      <c r="X298" s="46"/>
      <c r="Y298" s="46"/>
      <c r="Z298" s="46" t="s">
        <v>1383</v>
      </c>
      <c r="AA298" s="61">
        <v>8.8000000000000007</v>
      </c>
      <c r="AB298" s="62">
        <f>AA298/0.0052</f>
        <v>1692.3076923076926</v>
      </c>
      <c r="AC298" s="63">
        <f>AB298*H2dens*HoursInYear/10^6</f>
        <v>1.3193907692307696</v>
      </c>
      <c r="AD298" s="62"/>
      <c r="AE298" s="62">
        <f t="shared" si="30"/>
        <v>1692.3076923076926</v>
      </c>
      <c r="AF298" s="64" t="s">
        <v>1384</v>
      </c>
      <c r="AG298" s="49">
        <v>0.5</v>
      </c>
    </row>
    <row r="299" spans="1:33" ht="34.5" customHeight="1" x14ac:dyDescent="0.3">
      <c r="A299" s="46">
        <v>624</v>
      </c>
      <c r="B299" s="46" t="s">
        <v>1385</v>
      </c>
      <c r="C299" s="46" t="s">
        <v>203</v>
      </c>
      <c r="D299" s="60"/>
      <c r="E299" s="60"/>
      <c r="F299" s="46" t="s">
        <v>591</v>
      </c>
      <c r="G299" s="46" t="s">
        <v>1</v>
      </c>
      <c r="H299" s="46"/>
      <c r="I299" s="46" t="s">
        <v>169</v>
      </c>
      <c r="J299" s="46" t="s">
        <v>248</v>
      </c>
      <c r="K299" s="46" t="s">
        <v>68</v>
      </c>
      <c r="L299" s="46"/>
      <c r="M299" s="46"/>
      <c r="N299" s="46"/>
      <c r="O299" s="46"/>
      <c r="P299" s="46">
        <v>1</v>
      </c>
      <c r="Q299" s="46">
        <v>1</v>
      </c>
      <c r="R299" s="46"/>
      <c r="S299" s="46"/>
      <c r="T299" s="46"/>
      <c r="U299" s="46"/>
      <c r="V299" s="46"/>
      <c r="W299" s="46"/>
      <c r="X299" s="46"/>
      <c r="Y299" s="46"/>
      <c r="Z299" s="46" t="s">
        <v>1386</v>
      </c>
      <c r="AA299" s="61">
        <f>AB299*0.0052</f>
        <v>26.678980042070698</v>
      </c>
      <c r="AB299" s="62">
        <f>AC299/(0.089*24*365/10^6)</f>
        <v>5130.573085013596</v>
      </c>
      <c r="AC299" s="63">
        <f>2/H2ProjectDB4578610[[#This Row],[Column33]]</f>
        <v>4</v>
      </c>
      <c r="AD299" s="62"/>
      <c r="AE299" s="62">
        <f t="shared" si="30"/>
        <v>5130.573085013596</v>
      </c>
      <c r="AF299" s="64" t="s">
        <v>1387</v>
      </c>
      <c r="AG299" s="49">
        <v>0.5</v>
      </c>
    </row>
    <row r="300" spans="1:33" ht="34.5" customHeight="1" x14ac:dyDescent="0.3">
      <c r="A300" s="46">
        <v>625</v>
      </c>
      <c r="B300" s="46" t="s">
        <v>1388</v>
      </c>
      <c r="C300" s="46" t="s">
        <v>321</v>
      </c>
      <c r="D300" s="60">
        <v>2023</v>
      </c>
      <c r="E300" s="60"/>
      <c r="F300" s="46" t="s">
        <v>675</v>
      </c>
      <c r="G300" s="46" t="s">
        <v>3</v>
      </c>
      <c r="H300" s="46"/>
      <c r="I300" s="46" t="s">
        <v>166</v>
      </c>
      <c r="J300" s="46"/>
      <c r="K300" s="46" t="s">
        <v>68</v>
      </c>
      <c r="L300" s="46">
        <v>1</v>
      </c>
      <c r="M300" s="46"/>
      <c r="N300" s="46"/>
      <c r="O300" s="46"/>
      <c r="P300" s="46"/>
      <c r="Q300" s="46">
        <v>1</v>
      </c>
      <c r="R300" s="46"/>
      <c r="S300" s="46"/>
      <c r="T300" s="46"/>
      <c r="U300" s="46"/>
      <c r="V300" s="46"/>
      <c r="W300" s="46">
        <v>1</v>
      </c>
      <c r="X300" s="46"/>
      <c r="Y300" s="46"/>
      <c r="Z300" s="46" t="s">
        <v>676</v>
      </c>
      <c r="AA300" s="63">
        <v>2.5</v>
      </c>
      <c r="AB300" s="62">
        <f>IF(OR(G300="ALK",G300="PEM",G300="SOEC",G300="Other Electrolysis"),
AA300/VLOOKUP(G300,ElectrolysisConvF,3,FALSE),
AC300*10^6/(H2dens*HoursInYear))</f>
        <v>543.47826086956525</v>
      </c>
      <c r="AC300" s="63">
        <f t="shared" ref="AC300" si="36">AB300*H2dens*HoursInYear/10^6</f>
        <v>0.42371739130434782</v>
      </c>
      <c r="AD300" s="62"/>
      <c r="AE300" s="62">
        <f t="shared" si="30"/>
        <v>543.47826086956525</v>
      </c>
      <c r="AF300" s="64" t="s">
        <v>1389</v>
      </c>
      <c r="AG300" s="49">
        <v>0.56999999999999995</v>
      </c>
    </row>
    <row r="301" spans="1:33" ht="34.5" customHeight="1" x14ac:dyDescent="0.3">
      <c r="A301" s="46">
        <v>626</v>
      </c>
      <c r="B301" s="46" t="s">
        <v>793</v>
      </c>
      <c r="C301" s="46" t="s">
        <v>42</v>
      </c>
      <c r="D301" s="60">
        <v>2019</v>
      </c>
      <c r="E301" s="60"/>
      <c r="F301" s="46" t="s">
        <v>226</v>
      </c>
      <c r="G301" s="46" t="s">
        <v>159</v>
      </c>
      <c r="H301" s="46" t="s">
        <v>592</v>
      </c>
      <c r="I301" s="46" t="s">
        <v>707</v>
      </c>
      <c r="J301" s="46"/>
      <c r="K301" s="46" t="s">
        <v>72</v>
      </c>
      <c r="L301" s="46"/>
      <c r="M301" s="46"/>
      <c r="N301" s="46"/>
      <c r="O301" s="46"/>
      <c r="P301" s="46"/>
      <c r="Q301" s="46"/>
      <c r="R301" s="46"/>
      <c r="S301" s="46"/>
      <c r="T301" s="46"/>
      <c r="U301" s="46"/>
      <c r="V301" s="46"/>
      <c r="W301" s="46"/>
      <c r="X301" s="46"/>
      <c r="Y301" s="46"/>
      <c r="Z301" s="46" t="s">
        <v>1390</v>
      </c>
      <c r="AA301" s="61">
        <f>AB301*0.0045</f>
        <v>7.1999999999999995E-2</v>
      </c>
      <c r="AB301" s="62">
        <v>16</v>
      </c>
      <c r="AC301" s="63">
        <f t="shared" ref="AC301:AC310" si="37">AB301*H2dens*HoursInYear/10^6</f>
        <v>1.2474239999999999E-2</v>
      </c>
      <c r="AD301" s="62"/>
      <c r="AE301" s="62">
        <f t="shared" si="30"/>
        <v>16</v>
      </c>
      <c r="AF301" s="64" t="s">
        <v>1391</v>
      </c>
      <c r="AG301" s="49">
        <v>0.56999999999999995</v>
      </c>
    </row>
    <row r="302" spans="1:33" ht="34.5" customHeight="1" x14ac:dyDescent="0.3">
      <c r="A302" s="46">
        <v>627</v>
      </c>
      <c r="B302" s="46" t="s">
        <v>1392</v>
      </c>
      <c r="C302" s="46" t="s">
        <v>55</v>
      </c>
      <c r="D302" s="60">
        <v>2011</v>
      </c>
      <c r="E302" s="60">
        <v>2013</v>
      </c>
      <c r="F302" s="46" t="s">
        <v>285</v>
      </c>
      <c r="G302" s="46" t="s">
        <v>3</v>
      </c>
      <c r="H302" s="46"/>
      <c r="I302" s="46" t="s">
        <v>707</v>
      </c>
      <c r="J302" s="46"/>
      <c r="K302" s="46" t="s">
        <v>68</v>
      </c>
      <c r="L302" s="46"/>
      <c r="M302" s="46"/>
      <c r="N302" s="46"/>
      <c r="O302" s="46"/>
      <c r="P302" s="46"/>
      <c r="Q302" s="46">
        <v>1</v>
      </c>
      <c r="R302" s="46">
        <v>1</v>
      </c>
      <c r="S302" s="46"/>
      <c r="T302" s="46"/>
      <c r="U302" s="46"/>
      <c r="V302" s="46"/>
      <c r="W302" s="46"/>
      <c r="X302" s="46"/>
      <c r="Y302" s="46"/>
      <c r="Z302" s="46" t="s">
        <v>1094</v>
      </c>
      <c r="AA302" s="61">
        <v>5.5E-2</v>
      </c>
      <c r="AB302" s="62">
        <f>AA302/0.0046</f>
        <v>11.956521739130435</v>
      </c>
      <c r="AC302" s="63">
        <f t="shared" si="37"/>
        <v>9.3217826086956519E-3</v>
      </c>
      <c r="AD302" s="62"/>
      <c r="AE302" s="62">
        <f t="shared" si="30"/>
        <v>11.956521739130435</v>
      </c>
      <c r="AF302" s="64" t="s">
        <v>1393</v>
      </c>
      <c r="AG302" s="49">
        <v>0.56999999999999995</v>
      </c>
    </row>
    <row r="303" spans="1:33" ht="34.5" customHeight="1" x14ac:dyDescent="0.3">
      <c r="A303" s="46">
        <v>628</v>
      </c>
      <c r="B303" s="46" t="s">
        <v>1038</v>
      </c>
      <c r="C303" s="46" t="s">
        <v>57</v>
      </c>
      <c r="D303" s="60">
        <v>2011</v>
      </c>
      <c r="E303" s="60">
        <v>2014</v>
      </c>
      <c r="F303" s="46" t="s">
        <v>285</v>
      </c>
      <c r="G303" s="46" t="s">
        <v>3</v>
      </c>
      <c r="H303" s="46"/>
      <c r="I303" s="46" t="s">
        <v>707</v>
      </c>
      <c r="J303" s="46"/>
      <c r="K303" s="46" t="s">
        <v>68</v>
      </c>
      <c r="L303" s="46"/>
      <c r="M303" s="46"/>
      <c r="N303" s="46"/>
      <c r="O303" s="46"/>
      <c r="P303" s="46"/>
      <c r="Q303" s="46">
        <v>1</v>
      </c>
      <c r="R303" s="46">
        <v>1</v>
      </c>
      <c r="S303" s="46"/>
      <c r="T303" s="46"/>
      <c r="U303" s="46"/>
      <c r="V303" s="46"/>
      <c r="W303" s="46"/>
      <c r="X303" s="46"/>
      <c r="Y303" s="46"/>
      <c r="Z303" s="46" t="s">
        <v>1094</v>
      </c>
      <c r="AA303" s="61">
        <v>5.5E-2</v>
      </c>
      <c r="AB303" s="62">
        <f>AA303/0.0046</f>
        <v>11.956521739130435</v>
      </c>
      <c r="AC303" s="63">
        <f t="shared" si="37"/>
        <v>9.3217826086956519E-3</v>
      </c>
      <c r="AD303" s="62"/>
      <c r="AE303" s="62">
        <f t="shared" si="30"/>
        <v>11.956521739130435</v>
      </c>
      <c r="AF303" s="64" t="s">
        <v>1394</v>
      </c>
      <c r="AG303" s="49">
        <v>0.56999999999999995</v>
      </c>
    </row>
    <row r="304" spans="1:33" ht="34.5" customHeight="1" x14ac:dyDescent="0.3">
      <c r="A304" s="46">
        <v>629</v>
      </c>
      <c r="B304" s="46" t="s">
        <v>1395</v>
      </c>
      <c r="C304" s="46" t="s">
        <v>50</v>
      </c>
      <c r="D304" s="60"/>
      <c r="E304" s="60"/>
      <c r="F304" s="46" t="s">
        <v>225</v>
      </c>
      <c r="G304" s="46" t="s">
        <v>159</v>
      </c>
      <c r="H304" s="46" t="s">
        <v>592</v>
      </c>
      <c r="I304" s="46" t="s">
        <v>707</v>
      </c>
      <c r="J304" s="46"/>
      <c r="K304" s="46" t="s">
        <v>140</v>
      </c>
      <c r="L304" s="46"/>
      <c r="M304" s="46"/>
      <c r="N304" s="46">
        <v>1</v>
      </c>
      <c r="O304" s="46"/>
      <c r="P304" s="46"/>
      <c r="Q304" s="46"/>
      <c r="R304" s="46"/>
      <c r="S304" s="46"/>
      <c r="T304" s="46"/>
      <c r="U304" s="46"/>
      <c r="V304" s="46"/>
      <c r="W304" s="46"/>
      <c r="X304" s="46"/>
      <c r="Y304" s="46"/>
      <c r="Z304" s="46" t="s">
        <v>1396</v>
      </c>
      <c r="AA304" s="61">
        <v>5</v>
      </c>
      <c r="AB304" s="62">
        <f>AA304/0.0045</f>
        <v>1111.1111111111111</v>
      </c>
      <c r="AC304" s="63">
        <f t="shared" si="37"/>
        <v>0.86626666666666663</v>
      </c>
      <c r="AD304" s="62"/>
      <c r="AE304" s="62">
        <f t="shared" si="30"/>
        <v>1111.1111111111111</v>
      </c>
      <c r="AF304" s="64" t="s">
        <v>1397</v>
      </c>
      <c r="AG304" s="49">
        <v>0.56999999999999995</v>
      </c>
    </row>
    <row r="305" spans="1:33" ht="34.5" customHeight="1" x14ac:dyDescent="0.3">
      <c r="A305" s="46">
        <v>630</v>
      </c>
      <c r="B305" s="46" t="s">
        <v>1398</v>
      </c>
      <c r="C305" s="46" t="s">
        <v>50</v>
      </c>
      <c r="D305" s="60">
        <v>2030</v>
      </c>
      <c r="E305" s="60"/>
      <c r="F305" s="46" t="s">
        <v>225</v>
      </c>
      <c r="G305" s="46" t="s">
        <v>159</v>
      </c>
      <c r="H305" s="46" t="s">
        <v>592</v>
      </c>
      <c r="I305" s="46" t="s">
        <v>169</v>
      </c>
      <c r="J305" s="46" t="s">
        <v>244</v>
      </c>
      <c r="K305" s="46" t="s">
        <v>68</v>
      </c>
      <c r="L305" s="46"/>
      <c r="M305" s="46"/>
      <c r="N305" s="46"/>
      <c r="O305" s="46"/>
      <c r="P305" s="46"/>
      <c r="Q305" s="46">
        <v>1</v>
      </c>
      <c r="R305" s="46"/>
      <c r="S305" s="46">
        <v>1</v>
      </c>
      <c r="T305" s="46"/>
      <c r="U305" s="46"/>
      <c r="V305" s="46"/>
      <c r="W305" s="46"/>
      <c r="X305" s="46"/>
      <c r="Y305" s="46"/>
      <c r="Z305" s="46" t="s">
        <v>1396</v>
      </c>
      <c r="AA305" s="61">
        <v>5</v>
      </c>
      <c r="AB305" s="62">
        <f>AA305/0.0045</f>
        <v>1111.1111111111111</v>
      </c>
      <c r="AC305" s="63">
        <f t="shared" si="37"/>
        <v>0.86626666666666663</v>
      </c>
      <c r="AD305" s="62"/>
      <c r="AE305" s="62">
        <f t="shared" si="30"/>
        <v>1111.1111111111111</v>
      </c>
      <c r="AF305" s="64" t="s">
        <v>1399</v>
      </c>
      <c r="AG305" s="49">
        <v>0.3</v>
      </c>
    </row>
    <row r="306" spans="1:33" ht="34.5" customHeight="1" x14ac:dyDescent="0.3">
      <c r="A306" s="46">
        <v>631</v>
      </c>
      <c r="B306" s="46" t="s">
        <v>1400</v>
      </c>
      <c r="C306" s="46" t="s">
        <v>203</v>
      </c>
      <c r="D306" s="60">
        <v>2011</v>
      </c>
      <c r="E306" s="60">
        <v>2014</v>
      </c>
      <c r="F306" s="46" t="s">
        <v>285</v>
      </c>
      <c r="G306" s="46" t="s">
        <v>3</v>
      </c>
      <c r="H306" s="46"/>
      <c r="I306" s="46" t="s">
        <v>707</v>
      </c>
      <c r="J306" s="46"/>
      <c r="K306" s="46" t="s">
        <v>72</v>
      </c>
      <c r="L306" s="46"/>
      <c r="M306" s="46"/>
      <c r="N306" s="46"/>
      <c r="O306" s="46"/>
      <c r="P306" s="46"/>
      <c r="Q306" s="46"/>
      <c r="R306" s="46"/>
      <c r="S306" s="46"/>
      <c r="T306" s="46"/>
      <c r="U306" s="46"/>
      <c r="V306" s="46"/>
      <c r="W306" s="46"/>
      <c r="X306" s="46">
        <v>1</v>
      </c>
      <c r="Y306" s="46"/>
      <c r="Z306" s="46" t="s">
        <v>804</v>
      </c>
      <c r="AA306" s="61">
        <v>6.0000000000000001E-3</v>
      </c>
      <c r="AB306" s="62">
        <f>AA306/0.0046</f>
        <v>1.3043478260869565</v>
      </c>
      <c r="AC306" s="63">
        <f t="shared" si="37"/>
        <v>1.0169217391304346E-3</v>
      </c>
      <c r="AD306" s="62"/>
      <c r="AE306" s="62">
        <f t="shared" si="30"/>
        <v>1.3043478260869565</v>
      </c>
      <c r="AF306" s="64" t="s">
        <v>1401</v>
      </c>
      <c r="AG306" s="49">
        <v>0.56999999999999995</v>
      </c>
    </row>
    <row r="307" spans="1:33" ht="34.5" customHeight="1" x14ac:dyDescent="0.3">
      <c r="A307" s="46">
        <v>632</v>
      </c>
      <c r="B307" s="46" t="s">
        <v>1402</v>
      </c>
      <c r="C307" s="46" t="s">
        <v>53</v>
      </c>
      <c r="D307" s="60">
        <v>2011</v>
      </c>
      <c r="E307" s="60">
        <v>2012</v>
      </c>
      <c r="F307" s="46" t="s">
        <v>285</v>
      </c>
      <c r="G307" s="46" t="s">
        <v>3</v>
      </c>
      <c r="H307" s="46"/>
      <c r="I307" s="46" t="s">
        <v>707</v>
      </c>
      <c r="J307" s="46"/>
      <c r="K307" s="46" t="s">
        <v>68</v>
      </c>
      <c r="L307" s="46"/>
      <c r="M307" s="46"/>
      <c r="N307" s="46"/>
      <c r="O307" s="46"/>
      <c r="P307" s="46"/>
      <c r="Q307" s="46"/>
      <c r="R307" s="46"/>
      <c r="S307" s="46"/>
      <c r="T307" s="46">
        <v>1</v>
      </c>
      <c r="U307" s="46"/>
      <c r="V307" s="46"/>
      <c r="W307" s="46"/>
      <c r="X307" s="46"/>
      <c r="Y307" s="46"/>
      <c r="Z307" s="46" t="s">
        <v>1403</v>
      </c>
      <c r="AA307" s="61">
        <v>1.1999999999999999E-3</v>
      </c>
      <c r="AB307" s="62">
        <f>AA307/0.0046</f>
        <v>0.2608695652173913</v>
      </c>
      <c r="AC307" s="63">
        <f t="shared" si="37"/>
        <v>2.0338434782608695E-4</v>
      </c>
      <c r="AD307" s="62"/>
      <c r="AE307" s="62">
        <f t="shared" si="30"/>
        <v>0.2608695652173913</v>
      </c>
      <c r="AF307" s="64" t="s">
        <v>1404</v>
      </c>
      <c r="AG307" s="49">
        <v>0.56999999999999995</v>
      </c>
    </row>
    <row r="308" spans="1:33" ht="34.5" customHeight="1" x14ac:dyDescent="0.3">
      <c r="A308" s="46">
        <v>633</v>
      </c>
      <c r="B308" s="46" t="s">
        <v>1405</v>
      </c>
      <c r="C308" s="46" t="s">
        <v>34</v>
      </c>
      <c r="D308" s="60"/>
      <c r="E308" s="60"/>
      <c r="F308" s="46" t="s">
        <v>285</v>
      </c>
      <c r="G308" s="46" t="s">
        <v>159</v>
      </c>
      <c r="H308" s="46" t="s">
        <v>592</v>
      </c>
      <c r="I308" s="46" t="s">
        <v>707</v>
      </c>
      <c r="J308" s="46"/>
      <c r="K308" s="46" t="s">
        <v>68</v>
      </c>
      <c r="L308" s="46"/>
      <c r="M308" s="46"/>
      <c r="N308" s="46"/>
      <c r="O308" s="46"/>
      <c r="P308" s="46"/>
      <c r="Q308" s="46">
        <v>1</v>
      </c>
      <c r="R308" s="46"/>
      <c r="S308" s="46"/>
      <c r="T308" s="46"/>
      <c r="U308" s="46"/>
      <c r="V308" s="46"/>
      <c r="W308" s="46"/>
      <c r="X308" s="46"/>
      <c r="Y308" s="46"/>
      <c r="Z308" s="46" t="s">
        <v>1406</v>
      </c>
      <c r="AA308" s="61">
        <v>3.4</v>
      </c>
      <c r="AB308" s="62">
        <f>AA308/0.0045</f>
        <v>755.55555555555554</v>
      </c>
      <c r="AC308" s="63">
        <f t="shared" si="37"/>
        <v>0.58906133333333321</v>
      </c>
      <c r="AD308" s="62"/>
      <c r="AE308" s="62">
        <f t="shared" si="30"/>
        <v>755.55555555555554</v>
      </c>
      <c r="AF308" s="64"/>
      <c r="AG308" s="49">
        <v>0.56999999999999995</v>
      </c>
    </row>
    <row r="309" spans="1:33" ht="34.5" customHeight="1" x14ac:dyDescent="0.3">
      <c r="A309" s="46">
        <v>634</v>
      </c>
      <c r="B309" s="46" t="s">
        <v>806</v>
      </c>
      <c r="C309" s="46" t="s">
        <v>62</v>
      </c>
      <c r="D309" s="60">
        <v>2019</v>
      </c>
      <c r="E309" s="60"/>
      <c r="F309" s="46" t="s">
        <v>226</v>
      </c>
      <c r="G309" s="46" t="s">
        <v>1</v>
      </c>
      <c r="H309" s="46"/>
      <c r="I309" s="46" t="s">
        <v>166</v>
      </c>
      <c r="J309" s="46"/>
      <c r="K309" s="46" t="s">
        <v>68</v>
      </c>
      <c r="L309" s="46"/>
      <c r="M309" s="46"/>
      <c r="N309" s="46"/>
      <c r="O309" s="46"/>
      <c r="P309" s="46"/>
      <c r="Q309" s="46">
        <v>1</v>
      </c>
      <c r="R309" s="46"/>
      <c r="S309" s="46"/>
      <c r="T309" s="46"/>
      <c r="U309" s="46"/>
      <c r="V309" s="46"/>
      <c r="W309" s="46"/>
      <c r="X309" s="46"/>
      <c r="Y309" s="46"/>
      <c r="Z309" s="46" t="s">
        <v>873</v>
      </c>
      <c r="AA309" s="61">
        <f>AB309*0.0052</f>
        <v>5.1999999999999998E-3</v>
      </c>
      <c r="AB309" s="62">
        <v>1</v>
      </c>
      <c r="AC309" s="63">
        <f t="shared" si="37"/>
        <v>7.7963999999999996E-4</v>
      </c>
      <c r="AD309" s="62"/>
      <c r="AE309" s="62">
        <f t="shared" si="30"/>
        <v>1</v>
      </c>
      <c r="AF309" s="64" t="s">
        <v>808</v>
      </c>
      <c r="AG309" s="49">
        <v>0.56999999999999995</v>
      </c>
    </row>
    <row r="310" spans="1:33" ht="34.5" customHeight="1" x14ac:dyDescent="0.3">
      <c r="A310" s="46">
        <v>635</v>
      </c>
      <c r="B310" s="46" t="s">
        <v>1407</v>
      </c>
      <c r="C310" s="46" t="s">
        <v>203</v>
      </c>
      <c r="D310" s="60">
        <v>2011</v>
      </c>
      <c r="E310" s="60">
        <v>2014</v>
      </c>
      <c r="F310" s="46" t="s">
        <v>285</v>
      </c>
      <c r="G310" s="46" t="s">
        <v>3</v>
      </c>
      <c r="H310" s="46"/>
      <c r="I310" s="46" t="s">
        <v>707</v>
      </c>
      <c r="J310" s="46"/>
      <c r="K310" s="46" t="s">
        <v>68</v>
      </c>
      <c r="L310" s="46"/>
      <c r="M310" s="46"/>
      <c r="N310" s="46"/>
      <c r="O310" s="46"/>
      <c r="P310" s="46"/>
      <c r="Q310" s="46"/>
      <c r="R310" s="46">
        <v>1</v>
      </c>
      <c r="S310" s="46"/>
      <c r="T310" s="46"/>
      <c r="U310" s="46"/>
      <c r="V310" s="46"/>
      <c r="W310" s="46"/>
      <c r="X310" s="46"/>
      <c r="Y310" s="46"/>
      <c r="Z310" s="46" t="s">
        <v>1408</v>
      </c>
      <c r="AA310" s="61">
        <v>1E-3</v>
      </c>
      <c r="AB310" s="62">
        <f>AA310/0.0046</f>
        <v>0.21739130434782611</v>
      </c>
      <c r="AC310" s="63">
        <f t="shared" si="37"/>
        <v>1.6948695652173917E-4</v>
      </c>
      <c r="AD310" s="62"/>
      <c r="AE310" s="62">
        <f t="shared" si="30"/>
        <v>0.21739130434782611</v>
      </c>
      <c r="AF310" s="64" t="s">
        <v>1409</v>
      </c>
      <c r="AG310" s="49">
        <v>0.56999999999999995</v>
      </c>
    </row>
    <row r="311" spans="1:33" ht="34.5" customHeight="1" x14ac:dyDescent="0.3">
      <c r="A311" s="46">
        <v>636</v>
      </c>
      <c r="B311" s="46" t="s">
        <v>1410</v>
      </c>
      <c r="C311" s="46" t="s">
        <v>203</v>
      </c>
      <c r="D311" s="60">
        <v>2011</v>
      </c>
      <c r="E311" s="60">
        <v>2015</v>
      </c>
      <c r="F311" s="46" t="s">
        <v>285</v>
      </c>
      <c r="G311" s="46" t="s">
        <v>1</v>
      </c>
      <c r="H311" s="46"/>
      <c r="I311" s="46" t="s">
        <v>707</v>
      </c>
      <c r="J311" s="46"/>
      <c r="K311" s="46" t="s">
        <v>72</v>
      </c>
      <c r="L311" s="46"/>
      <c r="M311" s="46"/>
      <c r="N311" s="46"/>
      <c r="O311" s="46"/>
      <c r="P311" s="46"/>
      <c r="Q311" s="46"/>
      <c r="R311" s="46"/>
      <c r="S311" s="46"/>
      <c r="T311" s="46"/>
      <c r="U311" s="46"/>
      <c r="V311" s="46"/>
      <c r="W311" s="46"/>
      <c r="X311" s="46">
        <v>1</v>
      </c>
      <c r="Y311" s="46"/>
      <c r="Z311" s="46"/>
      <c r="AA311" s="61"/>
      <c r="AB311" s="62"/>
      <c r="AC311" s="63"/>
      <c r="AD311" s="62"/>
      <c r="AE311" s="62">
        <f t="shared" si="30"/>
        <v>0</v>
      </c>
      <c r="AF311" s="64" t="s">
        <v>1411</v>
      </c>
      <c r="AG311" s="49">
        <v>0.56999999999999995</v>
      </c>
    </row>
    <row r="312" spans="1:33" ht="34.5" customHeight="1" x14ac:dyDescent="0.3">
      <c r="A312" s="46">
        <v>637</v>
      </c>
      <c r="B312" s="46" t="s">
        <v>1412</v>
      </c>
      <c r="C312" s="46" t="s">
        <v>50</v>
      </c>
      <c r="D312" s="60">
        <v>2023</v>
      </c>
      <c r="E312" s="60"/>
      <c r="F312" s="46" t="s">
        <v>226</v>
      </c>
      <c r="G312" s="46" t="s">
        <v>2</v>
      </c>
      <c r="H312" s="46"/>
      <c r="I312" s="46" t="s">
        <v>169</v>
      </c>
      <c r="J312" s="46" t="s">
        <v>69</v>
      </c>
      <c r="K312" s="46" t="s">
        <v>68</v>
      </c>
      <c r="L312" s="46">
        <v>1</v>
      </c>
      <c r="M312" s="46"/>
      <c r="N312" s="46"/>
      <c r="O312" s="46"/>
      <c r="P312" s="46"/>
      <c r="Q312" s="46"/>
      <c r="R312" s="46"/>
      <c r="S312" s="46"/>
      <c r="T312" s="46"/>
      <c r="U312" s="46"/>
      <c r="V312" s="46"/>
      <c r="W312" s="46">
        <v>1</v>
      </c>
      <c r="X312" s="46"/>
      <c r="Y312" s="46"/>
      <c r="Z312" s="46" t="s">
        <v>676</v>
      </c>
      <c r="AA312" s="61">
        <v>2.5</v>
      </c>
      <c r="AB312" s="62">
        <f>AA312/0.0038</f>
        <v>657.89473684210532</v>
      </c>
      <c r="AC312" s="63">
        <f>AB312*H2dens*HoursInYear/10^6</f>
        <v>0.51292105263157894</v>
      </c>
      <c r="AD312" s="62"/>
      <c r="AE312" s="62">
        <f t="shared" si="30"/>
        <v>657.89473684210532</v>
      </c>
      <c r="AF312" s="64" t="s">
        <v>1413</v>
      </c>
      <c r="AG312" s="49">
        <v>0.5</v>
      </c>
    </row>
    <row r="313" spans="1:33" ht="34.5" customHeight="1" x14ac:dyDescent="0.3">
      <c r="A313" s="46">
        <v>638</v>
      </c>
      <c r="B313" s="46" t="s">
        <v>815</v>
      </c>
      <c r="C313" s="46" t="s">
        <v>62</v>
      </c>
      <c r="D313" s="60">
        <v>2019</v>
      </c>
      <c r="E313" s="60"/>
      <c r="F313" s="46" t="s">
        <v>226</v>
      </c>
      <c r="G313" s="46" t="s">
        <v>159</v>
      </c>
      <c r="H313" s="46" t="s">
        <v>592</v>
      </c>
      <c r="I313" s="46" t="s">
        <v>707</v>
      </c>
      <c r="J313" s="46"/>
      <c r="K313" s="46" t="s">
        <v>68</v>
      </c>
      <c r="L313" s="46"/>
      <c r="M313" s="46"/>
      <c r="N313" s="46"/>
      <c r="O313" s="46"/>
      <c r="P313" s="46"/>
      <c r="Q313" s="46">
        <v>1</v>
      </c>
      <c r="R313" s="46">
        <v>1</v>
      </c>
      <c r="S313" s="46"/>
      <c r="T313" s="46"/>
      <c r="U313" s="46"/>
      <c r="V313" s="46"/>
      <c r="W313" s="46"/>
      <c r="X313" s="46"/>
      <c r="Y313" s="46"/>
      <c r="Z313" s="46"/>
      <c r="AA313" s="61"/>
      <c r="AB313" s="62"/>
      <c r="AC313" s="63"/>
      <c r="AD313" s="62"/>
      <c r="AE313" s="62">
        <f t="shared" si="30"/>
        <v>0</v>
      </c>
      <c r="AF313" s="64" t="s">
        <v>1414</v>
      </c>
      <c r="AG313" s="49">
        <v>0.56999999999999995</v>
      </c>
    </row>
    <row r="314" spans="1:33" ht="34.5" customHeight="1" x14ac:dyDescent="0.3">
      <c r="A314" s="46">
        <v>639</v>
      </c>
      <c r="B314" s="46" t="s">
        <v>1415</v>
      </c>
      <c r="C314" s="46" t="s">
        <v>59</v>
      </c>
      <c r="D314" s="60">
        <v>2012</v>
      </c>
      <c r="E314" s="60">
        <v>2016</v>
      </c>
      <c r="F314" s="46" t="s">
        <v>285</v>
      </c>
      <c r="G314" s="46" t="s">
        <v>3</v>
      </c>
      <c r="H314" s="46"/>
      <c r="I314" s="46" t="s">
        <v>157</v>
      </c>
      <c r="J314" s="46"/>
      <c r="K314" s="46" t="s">
        <v>68</v>
      </c>
      <c r="L314" s="46"/>
      <c r="M314" s="46"/>
      <c r="N314" s="46"/>
      <c r="O314" s="46"/>
      <c r="P314" s="46"/>
      <c r="Q314" s="46">
        <v>1</v>
      </c>
      <c r="R314" s="46"/>
      <c r="S314" s="46"/>
      <c r="T314" s="46"/>
      <c r="U314" s="46"/>
      <c r="V314" s="46"/>
      <c r="W314" s="46"/>
      <c r="X314" s="46"/>
      <c r="Y314" s="46"/>
      <c r="Z314" s="46" t="s">
        <v>1416</v>
      </c>
      <c r="AA314" s="61">
        <f>AB314*0.0046</f>
        <v>0.27600000000000002</v>
      </c>
      <c r="AB314" s="62">
        <v>60</v>
      </c>
      <c r="AC314" s="63">
        <f t="shared" ref="AC314:AC320" si="38">AB314*H2dens*HoursInYear/10^6</f>
        <v>4.6778400000000005E-2</v>
      </c>
      <c r="AD314" s="62"/>
      <c r="AE314" s="62">
        <f t="shared" si="30"/>
        <v>60</v>
      </c>
      <c r="AF314" s="64" t="s">
        <v>1417</v>
      </c>
      <c r="AG314" s="49">
        <v>0.56999999999999995</v>
      </c>
    </row>
    <row r="315" spans="1:33" ht="34.5" customHeight="1" x14ac:dyDescent="0.3">
      <c r="A315" s="46">
        <v>640</v>
      </c>
      <c r="B315" s="46" t="s">
        <v>1418</v>
      </c>
      <c r="C315" s="46" t="s">
        <v>203</v>
      </c>
      <c r="D315" s="60">
        <v>2012</v>
      </c>
      <c r="E315" s="60">
        <v>2014</v>
      </c>
      <c r="F315" s="46" t="s">
        <v>285</v>
      </c>
      <c r="G315" s="46" t="s">
        <v>3</v>
      </c>
      <c r="H315" s="46"/>
      <c r="I315" s="46" t="s">
        <v>157</v>
      </c>
      <c r="J315" s="46"/>
      <c r="K315" s="46" t="s">
        <v>72</v>
      </c>
      <c r="L315" s="46"/>
      <c r="M315" s="46"/>
      <c r="N315" s="46"/>
      <c r="O315" s="46"/>
      <c r="P315" s="46"/>
      <c r="Q315" s="46">
        <v>1</v>
      </c>
      <c r="R315" s="46">
        <v>1</v>
      </c>
      <c r="S315" s="46"/>
      <c r="T315" s="46"/>
      <c r="U315" s="46"/>
      <c r="V315" s="46"/>
      <c r="W315" s="46"/>
      <c r="X315" s="46">
        <v>1</v>
      </c>
      <c r="Y315" s="46"/>
      <c r="Z315" s="46" t="s">
        <v>1419</v>
      </c>
      <c r="AA315" s="61">
        <v>0.312</v>
      </c>
      <c r="AB315" s="62">
        <f>AA315/0.0046</f>
        <v>67.826086956521735</v>
      </c>
      <c r="AC315" s="63">
        <f t="shared" si="38"/>
        <v>5.2879930434782597E-2</v>
      </c>
      <c r="AD315" s="62"/>
      <c r="AE315" s="62">
        <f t="shared" ref="AE315:AE349" si="39">AB315</f>
        <v>67.826086956521735</v>
      </c>
      <c r="AF315" s="64" t="s">
        <v>1420</v>
      </c>
      <c r="AG315" s="49">
        <v>0.56999999999999995</v>
      </c>
    </row>
    <row r="316" spans="1:33" ht="34.5" customHeight="1" x14ac:dyDescent="0.3">
      <c r="A316" s="46">
        <v>641</v>
      </c>
      <c r="B316" s="46" t="s">
        <v>1421</v>
      </c>
      <c r="C316" s="46" t="s">
        <v>59</v>
      </c>
      <c r="D316" s="60">
        <v>2022</v>
      </c>
      <c r="E316" s="60"/>
      <c r="F316" s="46" t="s">
        <v>226</v>
      </c>
      <c r="G316" s="46" t="s">
        <v>1</v>
      </c>
      <c r="H316" s="46"/>
      <c r="I316" s="46" t="s">
        <v>157</v>
      </c>
      <c r="J316" s="46"/>
      <c r="K316" s="46" t="s">
        <v>72</v>
      </c>
      <c r="L316" s="46"/>
      <c r="M316" s="46"/>
      <c r="N316" s="46"/>
      <c r="O316" s="46"/>
      <c r="P316" s="46"/>
      <c r="Q316" s="46"/>
      <c r="R316" s="46"/>
      <c r="S316" s="46"/>
      <c r="T316" s="46"/>
      <c r="U316" s="46"/>
      <c r="V316" s="46"/>
      <c r="W316" s="46"/>
      <c r="X316" s="46">
        <v>1</v>
      </c>
      <c r="Y316" s="46"/>
      <c r="Z316" s="46" t="s">
        <v>676</v>
      </c>
      <c r="AA316" s="61">
        <v>2.5</v>
      </c>
      <c r="AB316" s="62">
        <f>AA316/0.0052</f>
        <v>480.76923076923077</v>
      </c>
      <c r="AC316" s="63">
        <f t="shared" si="38"/>
        <v>0.37482692307692306</v>
      </c>
      <c r="AD316" s="62"/>
      <c r="AE316" s="62">
        <f t="shared" si="39"/>
        <v>480.76923076923077</v>
      </c>
      <c r="AF316" s="64" t="s">
        <v>1422</v>
      </c>
      <c r="AG316" s="49">
        <v>0.56999999999999995</v>
      </c>
    </row>
    <row r="317" spans="1:33" ht="34.5" customHeight="1" x14ac:dyDescent="0.3">
      <c r="A317" s="46">
        <v>642</v>
      </c>
      <c r="B317" s="46" t="s">
        <v>1423</v>
      </c>
      <c r="C317" s="46" t="s">
        <v>34</v>
      </c>
      <c r="D317" s="60">
        <v>2012</v>
      </c>
      <c r="E317" s="60"/>
      <c r="F317" s="46" t="s">
        <v>285</v>
      </c>
      <c r="G317" s="46" t="s">
        <v>1</v>
      </c>
      <c r="H317" s="46"/>
      <c r="I317" s="46" t="s">
        <v>707</v>
      </c>
      <c r="J317" s="46"/>
      <c r="K317" s="46" t="s">
        <v>68</v>
      </c>
      <c r="L317" s="46"/>
      <c r="M317" s="46"/>
      <c r="N317" s="46"/>
      <c r="O317" s="46"/>
      <c r="P317" s="46"/>
      <c r="Q317" s="46"/>
      <c r="R317" s="46">
        <v>1</v>
      </c>
      <c r="S317" s="46"/>
      <c r="T317" s="46"/>
      <c r="U317" s="46"/>
      <c r="V317" s="46"/>
      <c r="W317" s="46"/>
      <c r="X317" s="46"/>
      <c r="Y317" s="46"/>
      <c r="Z317" s="46" t="s">
        <v>1424</v>
      </c>
      <c r="AA317" s="61">
        <v>0.11</v>
      </c>
      <c r="AB317" s="62">
        <f>IF(OR(G317="ALK",G317="PEM",G317="SOEC",G317="Other Electrolysis"),
AA317/VLOOKUP(G317,ElectrolysisConvF,3,FALSE),
AC317*10^6/(H2dens*HoursInYear))</f>
        <v>21.153846153846153</v>
      </c>
      <c r="AC317" s="63">
        <f t="shared" si="38"/>
        <v>1.6492384615384614E-2</v>
      </c>
      <c r="AD317" s="62"/>
      <c r="AE317" s="62">
        <f t="shared" si="39"/>
        <v>21.153846153846153</v>
      </c>
      <c r="AF317" s="64" t="s">
        <v>1425</v>
      </c>
      <c r="AG317" s="49">
        <v>0.56999999999999995</v>
      </c>
    </row>
    <row r="318" spans="1:33" ht="34.5" customHeight="1" x14ac:dyDescent="0.3">
      <c r="A318" s="46">
        <v>643</v>
      </c>
      <c r="B318" s="46" t="s">
        <v>1426</v>
      </c>
      <c r="C318" s="46" t="s">
        <v>39</v>
      </c>
      <c r="D318" s="60"/>
      <c r="E318" s="60"/>
      <c r="F318" s="46" t="s">
        <v>591</v>
      </c>
      <c r="G318" s="46" t="s">
        <v>1</v>
      </c>
      <c r="H318" s="46"/>
      <c r="I318" s="46" t="s">
        <v>707</v>
      </c>
      <c r="J318" s="46"/>
      <c r="K318" s="46" t="s">
        <v>68</v>
      </c>
      <c r="L318" s="46"/>
      <c r="M318" s="46"/>
      <c r="N318" s="46"/>
      <c r="O318" s="46"/>
      <c r="P318" s="46"/>
      <c r="Q318" s="46">
        <v>1</v>
      </c>
      <c r="R318" s="46"/>
      <c r="S318" s="46"/>
      <c r="T318" s="46"/>
      <c r="U318" s="46"/>
      <c r="V318" s="46"/>
      <c r="W318" s="46"/>
      <c r="X318" s="46"/>
      <c r="Y318" s="46"/>
      <c r="Z318" s="46" t="s">
        <v>1198</v>
      </c>
      <c r="AA318" s="61">
        <v>2</v>
      </c>
      <c r="AB318" s="62">
        <f>AA318/0.0052</f>
        <v>384.61538461538464</v>
      </c>
      <c r="AC318" s="63">
        <f t="shared" si="38"/>
        <v>0.29986153846153851</v>
      </c>
      <c r="AD318" s="62"/>
      <c r="AE318" s="62">
        <f t="shared" si="39"/>
        <v>384.61538461538464</v>
      </c>
      <c r="AF318" s="64" t="s">
        <v>1427</v>
      </c>
      <c r="AG318" s="49">
        <v>0.56999999999999995</v>
      </c>
    </row>
    <row r="319" spans="1:33" ht="34.5" customHeight="1" x14ac:dyDescent="0.3">
      <c r="A319" s="46">
        <v>644</v>
      </c>
      <c r="B319" s="46" t="s">
        <v>1428</v>
      </c>
      <c r="C319" s="46" t="s">
        <v>203</v>
      </c>
      <c r="D319" s="60">
        <v>2012</v>
      </c>
      <c r="E319" s="60">
        <v>2016</v>
      </c>
      <c r="F319" s="46" t="s">
        <v>285</v>
      </c>
      <c r="G319" s="46" t="s">
        <v>2</v>
      </c>
      <c r="H319" s="46"/>
      <c r="I319" s="46" t="s">
        <v>707</v>
      </c>
      <c r="J319" s="46"/>
      <c r="K319" s="46" t="s">
        <v>167</v>
      </c>
      <c r="L319" s="46"/>
      <c r="M319" s="46"/>
      <c r="N319" s="46"/>
      <c r="O319" s="46"/>
      <c r="P319" s="46"/>
      <c r="Q319" s="46"/>
      <c r="R319" s="46"/>
      <c r="S319" s="46"/>
      <c r="T319" s="46"/>
      <c r="U319" s="46"/>
      <c r="V319" s="46"/>
      <c r="W319" s="46">
        <v>1</v>
      </c>
      <c r="X319" s="46"/>
      <c r="Y319" s="46"/>
      <c r="Z319" s="46" t="s">
        <v>865</v>
      </c>
      <c r="AA319" s="61">
        <f>AB319*0.0038</f>
        <v>3.7999999999999999E-2</v>
      </c>
      <c r="AB319" s="62">
        <v>10</v>
      </c>
      <c r="AC319" s="63">
        <f t="shared" si="38"/>
        <v>7.7963999999999985E-3</v>
      </c>
      <c r="AD319" s="62"/>
      <c r="AE319" s="62">
        <f t="shared" si="39"/>
        <v>10</v>
      </c>
      <c r="AF319" s="64" t="s">
        <v>1429</v>
      </c>
      <c r="AG319" s="49">
        <v>0.56999999999999995</v>
      </c>
    </row>
    <row r="320" spans="1:33" ht="34.5" customHeight="1" x14ac:dyDescent="0.3">
      <c r="A320" s="46">
        <v>645</v>
      </c>
      <c r="B320" s="46" t="s">
        <v>1430</v>
      </c>
      <c r="C320" s="46" t="s">
        <v>34</v>
      </c>
      <c r="D320" s="60">
        <v>2023</v>
      </c>
      <c r="E320" s="60"/>
      <c r="F320" s="46" t="s">
        <v>226</v>
      </c>
      <c r="G320" s="46" t="s">
        <v>3</v>
      </c>
      <c r="H320" s="46"/>
      <c r="I320" s="46" t="s">
        <v>166</v>
      </c>
      <c r="J320" s="46"/>
      <c r="K320" s="46" t="s">
        <v>68</v>
      </c>
      <c r="L320" s="46"/>
      <c r="M320" s="46"/>
      <c r="N320" s="46"/>
      <c r="O320" s="46"/>
      <c r="P320" s="46"/>
      <c r="Q320" s="46">
        <v>1</v>
      </c>
      <c r="R320" s="46"/>
      <c r="S320" s="46"/>
      <c r="T320" s="46"/>
      <c r="U320" s="46"/>
      <c r="V320" s="46"/>
      <c r="W320" s="46"/>
      <c r="X320" s="46"/>
      <c r="Y320" s="46"/>
      <c r="Z320" s="46" t="s">
        <v>1198</v>
      </c>
      <c r="AA320" s="61">
        <v>2</v>
      </c>
      <c r="AB320" s="62">
        <f>IF(OR(G320="ALK",G320="PEM",G320="SOEC",G320="Other Electrolysis"),
AA320/VLOOKUP(G320,ElectrolysisConvF,3,FALSE),
AC320*10^6/(H2dens*HoursInYear))</f>
        <v>434.78260869565219</v>
      </c>
      <c r="AC320" s="63">
        <f t="shared" si="38"/>
        <v>0.33897391304347824</v>
      </c>
      <c r="AD320" s="62"/>
      <c r="AE320" s="62">
        <f t="shared" si="39"/>
        <v>434.78260869565219</v>
      </c>
      <c r="AF320" s="64" t="s">
        <v>1431</v>
      </c>
      <c r="AG320" s="49">
        <v>0.56999999999999995</v>
      </c>
    </row>
    <row r="321" spans="1:33" ht="34.5" customHeight="1" x14ac:dyDescent="0.3">
      <c r="A321" s="46">
        <v>646</v>
      </c>
      <c r="B321" s="46" t="s">
        <v>1432</v>
      </c>
      <c r="C321" s="46" t="s">
        <v>34</v>
      </c>
      <c r="D321" s="60">
        <v>2012</v>
      </c>
      <c r="E321" s="60">
        <v>2014</v>
      </c>
      <c r="F321" s="46" t="s">
        <v>285</v>
      </c>
      <c r="G321" s="46" t="s">
        <v>2</v>
      </c>
      <c r="H321" s="46"/>
      <c r="I321" s="46" t="s">
        <v>157</v>
      </c>
      <c r="J321" s="46"/>
      <c r="K321" s="46" t="s">
        <v>168</v>
      </c>
      <c r="L321" s="46"/>
      <c r="M321" s="46"/>
      <c r="N321" s="46"/>
      <c r="O321" s="46"/>
      <c r="P321" s="46"/>
      <c r="Q321" s="46"/>
      <c r="R321" s="46">
        <v>1</v>
      </c>
      <c r="S321" s="46"/>
      <c r="T321" s="46"/>
      <c r="U321" s="46"/>
      <c r="V321" s="46"/>
      <c r="W321" s="46"/>
      <c r="X321" s="46">
        <v>1</v>
      </c>
      <c r="Y321" s="46"/>
      <c r="Z321" s="46"/>
      <c r="AA321" s="61"/>
      <c r="AB321" s="62"/>
      <c r="AC321" s="63"/>
      <c r="AD321" s="62"/>
      <c r="AE321" s="62">
        <f t="shared" si="39"/>
        <v>0</v>
      </c>
      <c r="AF321" s="64" t="s">
        <v>1433</v>
      </c>
      <c r="AG321" s="49">
        <v>0.56999999999999995</v>
      </c>
    </row>
    <row r="322" spans="1:33" ht="34.5" customHeight="1" x14ac:dyDescent="0.3">
      <c r="A322" s="46">
        <v>647</v>
      </c>
      <c r="B322" s="46" t="s">
        <v>1434</v>
      </c>
      <c r="C322" s="46" t="s">
        <v>203</v>
      </c>
      <c r="D322" s="60">
        <v>2012</v>
      </c>
      <c r="E322" s="60">
        <v>2015</v>
      </c>
      <c r="F322" s="46" t="s">
        <v>285</v>
      </c>
      <c r="G322" s="46" t="s">
        <v>1</v>
      </c>
      <c r="H322" s="46"/>
      <c r="I322" s="46" t="s">
        <v>157</v>
      </c>
      <c r="J322" s="46"/>
      <c r="K322" s="46"/>
      <c r="L322" s="46"/>
      <c r="M322" s="46"/>
      <c r="N322" s="46"/>
      <c r="O322" s="46"/>
      <c r="P322" s="46"/>
      <c r="Q322" s="46"/>
      <c r="R322" s="46"/>
      <c r="S322" s="46"/>
      <c r="T322" s="46"/>
      <c r="U322" s="46"/>
      <c r="V322" s="46"/>
      <c r="W322" s="46"/>
      <c r="X322" s="46"/>
      <c r="Y322" s="46"/>
      <c r="Z322" s="46"/>
      <c r="AA322" s="61"/>
      <c r="AB322" s="62"/>
      <c r="AC322" s="63"/>
      <c r="AD322" s="62"/>
      <c r="AE322" s="62">
        <f t="shared" si="39"/>
        <v>0</v>
      </c>
      <c r="AF322" s="64" t="s">
        <v>1435</v>
      </c>
      <c r="AG322" s="49">
        <v>0.56999999999999995</v>
      </c>
    </row>
    <row r="323" spans="1:33" ht="34.5" customHeight="1" x14ac:dyDescent="0.3">
      <c r="A323" s="46">
        <v>648</v>
      </c>
      <c r="B323" s="46" t="s">
        <v>1436</v>
      </c>
      <c r="C323" s="46" t="s">
        <v>203</v>
      </c>
      <c r="D323" s="60">
        <v>2012</v>
      </c>
      <c r="E323" s="60">
        <v>2015</v>
      </c>
      <c r="F323" s="46" t="s">
        <v>285</v>
      </c>
      <c r="G323" s="46" t="s">
        <v>1</v>
      </c>
      <c r="H323" s="46"/>
      <c r="I323" s="46" t="s">
        <v>157</v>
      </c>
      <c r="J323" s="46"/>
      <c r="K323" s="46"/>
      <c r="L323" s="46"/>
      <c r="M323" s="46"/>
      <c r="N323" s="46"/>
      <c r="O323" s="46"/>
      <c r="P323" s="46"/>
      <c r="Q323" s="46"/>
      <c r="R323" s="46"/>
      <c r="S323" s="46"/>
      <c r="T323" s="46"/>
      <c r="U323" s="46"/>
      <c r="V323" s="46"/>
      <c r="W323" s="46"/>
      <c r="X323" s="46"/>
      <c r="Y323" s="46"/>
      <c r="Z323" s="46"/>
      <c r="AA323" s="61"/>
      <c r="AB323" s="62"/>
      <c r="AC323" s="63"/>
      <c r="AD323" s="62"/>
      <c r="AE323" s="62">
        <f t="shared" si="39"/>
        <v>0</v>
      </c>
      <c r="AF323" s="64" t="s">
        <v>1437</v>
      </c>
      <c r="AG323" s="49">
        <v>0.56999999999999995</v>
      </c>
    </row>
    <row r="324" spans="1:33" ht="34.5" customHeight="1" x14ac:dyDescent="0.3">
      <c r="A324" s="46">
        <v>649</v>
      </c>
      <c r="B324" s="46" t="s">
        <v>1438</v>
      </c>
      <c r="C324" s="46" t="s">
        <v>203</v>
      </c>
      <c r="D324" s="60">
        <v>2013</v>
      </c>
      <c r="E324" s="60">
        <v>2016</v>
      </c>
      <c r="F324" s="46" t="s">
        <v>285</v>
      </c>
      <c r="G324" s="46" t="s">
        <v>3</v>
      </c>
      <c r="H324" s="46"/>
      <c r="I324" s="46" t="s">
        <v>157</v>
      </c>
      <c r="J324" s="46"/>
      <c r="K324" s="46" t="s">
        <v>72</v>
      </c>
      <c r="L324" s="46"/>
      <c r="M324" s="46"/>
      <c r="N324" s="46"/>
      <c r="O324" s="46"/>
      <c r="P324" s="46"/>
      <c r="Q324" s="46"/>
      <c r="R324" s="46"/>
      <c r="S324" s="46"/>
      <c r="T324" s="46"/>
      <c r="U324" s="46"/>
      <c r="V324" s="46"/>
      <c r="W324" s="46"/>
      <c r="X324" s="46">
        <v>1</v>
      </c>
      <c r="Y324" s="46"/>
      <c r="Z324" s="46" t="s">
        <v>1439</v>
      </c>
      <c r="AA324" s="61">
        <v>0.3</v>
      </c>
      <c r="AB324" s="62">
        <f>AA324/0.0046</f>
        <v>65.217391304347828</v>
      </c>
      <c r="AC324" s="63">
        <f>AB324*H2dens*HoursInYear/10^6</f>
        <v>5.0846086956521735E-2</v>
      </c>
      <c r="AD324" s="62"/>
      <c r="AE324" s="62">
        <f t="shared" si="39"/>
        <v>65.217391304347828</v>
      </c>
      <c r="AF324" s="64" t="s">
        <v>1440</v>
      </c>
      <c r="AG324" s="49">
        <v>0.56999999999999995</v>
      </c>
    </row>
    <row r="325" spans="1:33" ht="34.5" customHeight="1" x14ac:dyDescent="0.3">
      <c r="A325" s="46">
        <v>650</v>
      </c>
      <c r="B325" s="46" t="s">
        <v>1441</v>
      </c>
      <c r="C325" s="46" t="s">
        <v>203</v>
      </c>
      <c r="D325" s="60">
        <v>2013</v>
      </c>
      <c r="E325" s="60">
        <v>2016</v>
      </c>
      <c r="F325" s="46" t="s">
        <v>285</v>
      </c>
      <c r="G325" s="46" t="s">
        <v>1</v>
      </c>
      <c r="H325" s="46"/>
      <c r="I325" s="46" t="s">
        <v>157</v>
      </c>
      <c r="J325" s="46"/>
      <c r="K325" s="46"/>
      <c r="L325" s="46"/>
      <c r="M325" s="46"/>
      <c r="N325" s="46"/>
      <c r="O325" s="46"/>
      <c r="P325" s="46"/>
      <c r="Q325" s="46"/>
      <c r="R325" s="46"/>
      <c r="S325" s="46"/>
      <c r="T325" s="46"/>
      <c r="U325" s="46"/>
      <c r="V325" s="46"/>
      <c r="W325" s="46"/>
      <c r="X325" s="46">
        <v>1</v>
      </c>
      <c r="Y325" s="46"/>
      <c r="Z325" s="46" t="s">
        <v>1416</v>
      </c>
      <c r="AA325" s="61">
        <f>AB325*0.0052</f>
        <v>0.312</v>
      </c>
      <c r="AB325" s="62">
        <v>60</v>
      </c>
      <c r="AC325" s="63">
        <f>AB325*H2dens*HoursInYear/10^6</f>
        <v>4.6778400000000005E-2</v>
      </c>
      <c r="AD325" s="62"/>
      <c r="AE325" s="62">
        <f t="shared" si="39"/>
        <v>60</v>
      </c>
      <c r="AF325" s="64" t="s">
        <v>1442</v>
      </c>
      <c r="AG325" s="49">
        <v>0.56999999999999995</v>
      </c>
    </row>
    <row r="326" spans="1:33" ht="34.5" customHeight="1" x14ac:dyDescent="0.3">
      <c r="A326" s="46">
        <v>651</v>
      </c>
      <c r="B326" s="46" t="s">
        <v>1443</v>
      </c>
      <c r="C326" s="46" t="s">
        <v>50</v>
      </c>
      <c r="D326" s="60">
        <v>2013</v>
      </c>
      <c r="E326" s="60">
        <v>2018</v>
      </c>
      <c r="F326" s="46" t="s">
        <v>285</v>
      </c>
      <c r="G326" s="46" t="s">
        <v>1</v>
      </c>
      <c r="H326" s="46"/>
      <c r="I326" s="46" t="s">
        <v>157</v>
      </c>
      <c r="J326" s="46"/>
      <c r="K326" s="46" t="s">
        <v>72</v>
      </c>
      <c r="L326" s="46"/>
      <c r="M326" s="46"/>
      <c r="N326" s="46"/>
      <c r="O326" s="46"/>
      <c r="P326" s="46"/>
      <c r="Q326" s="46"/>
      <c r="R326" s="46"/>
      <c r="S326" s="46"/>
      <c r="T326" s="46"/>
      <c r="U326" s="46"/>
      <c r="V326" s="46"/>
      <c r="W326" s="46"/>
      <c r="X326" s="46">
        <v>1</v>
      </c>
      <c r="Y326" s="46"/>
      <c r="Z326" s="46" t="s">
        <v>1055</v>
      </c>
      <c r="AA326" s="61">
        <v>7.0000000000000001E-3</v>
      </c>
      <c r="AB326" s="62">
        <f>AA326/0.0052</f>
        <v>1.3461538461538463</v>
      </c>
      <c r="AC326" s="63">
        <f>AB326*H2dens*HoursInYear/10^6</f>
        <v>1.0495153846153847E-3</v>
      </c>
      <c r="AD326" s="62"/>
      <c r="AE326" s="62">
        <f t="shared" si="39"/>
        <v>1.3461538461538463</v>
      </c>
      <c r="AF326" s="64" t="s">
        <v>802</v>
      </c>
      <c r="AG326" s="49">
        <v>0.56999999999999995</v>
      </c>
    </row>
    <row r="327" spans="1:33" ht="34.5" customHeight="1" x14ac:dyDescent="0.3">
      <c r="A327" s="46">
        <v>652</v>
      </c>
      <c r="B327" s="46" t="s">
        <v>1444</v>
      </c>
      <c r="C327" s="46" t="s">
        <v>45</v>
      </c>
      <c r="D327" s="60">
        <v>2013</v>
      </c>
      <c r="E327" s="60">
        <v>2014</v>
      </c>
      <c r="F327" s="46" t="s">
        <v>285</v>
      </c>
      <c r="G327" s="46" t="s">
        <v>3</v>
      </c>
      <c r="H327" s="46"/>
      <c r="I327" s="46" t="s">
        <v>157</v>
      </c>
      <c r="J327" s="46"/>
      <c r="K327" s="46"/>
      <c r="L327" s="46"/>
      <c r="M327" s="46"/>
      <c r="N327" s="46"/>
      <c r="O327" s="46"/>
      <c r="P327" s="46"/>
      <c r="Q327" s="46"/>
      <c r="R327" s="46">
        <v>1</v>
      </c>
      <c r="S327" s="46"/>
      <c r="T327" s="46"/>
      <c r="U327" s="46"/>
      <c r="V327" s="46"/>
      <c r="W327" s="46"/>
      <c r="X327" s="46"/>
      <c r="Y327" s="46"/>
      <c r="Z327" s="46" t="s">
        <v>1079</v>
      </c>
      <c r="AA327" s="61">
        <v>2.5000000000000001E-3</v>
      </c>
      <c r="AB327" s="62">
        <f>AA327/0.0046</f>
        <v>0.54347826086956519</v>
      </c>
      <c r="AC327" s="63">
        <f>AB327*H2dens*HoursInYear/10^6</f>
        <v>4.2371739130434781E-4</v>
      </c>
      <c r="AD327" s="62"/>
      <c r="AE327" s="62">
        <f t="shared" si="39"/>
        <v>0.54347826086956519</v>
      </c>
      <c r="AF327" s="64" t="s">
        <v>1445</v>
      </c>
      <c r="AG327" s="49">
        <v>0.56999999999999995</v>
      </c>
    </row>
    <row r="328" spans="1:33" ht="34.5" customHeight="1" x14ac:dyDescent="0.3">
      <c r="A328" s="46">
        <v>653</v>
      </c>
      <c r="B328" s="46" t="s">
        <v>1446</v>
      </c>
      <c r="C328" s="46" t="s">
        <v>44</v>
      </c>
      <c r="D328" s="60">
        <v>2013</v>
      </c>
      <c r="E328" s="60">
        <v>2016</v>
      </c>
      <c r="F328" s="46" t="s">
        <v>285</v>
      </c>
      <c r="G328" s="46" t="s">
        <v>159</v>
      </c>
      <c r="H328" s="46" t="s">
        <v>592</v>
      </c>
      <c r="I328" s="46" t="s">
        <v>157</v>
      </c>
      <c r="J328" s="46"/>
      <c r="K328" s="46" t="s">
        <v>72</v>
      </c>
      <c r="L328" s="46"/>
      <c r="M328" s="46"/>
      <c r="N328" s="46"/>
      <c r="O328" s="46"/>
      <c r="P328" s="46"/>
      <c r="Q328" s="46"/>
      <c r="R328" s="46"/>
      <c r="S328" s="46"/>
      <c r="T328" s="46"/>
      <c r="U328" s="46"/>
      <c r="V328" s="46"/>
      <c r="W328" s="46"/>
      <c r="X328" s="46">
        <v>1</v>
      </c>
      <c r="Y328" s="46"/>
      <c r="Z328" s="46"/>
      <c r="AA328" s="61"/>
      <c r="AB328" s="62"/>
      <c r="AC328" s="63"/>
      <c r="AD328" s="62"/>
      <c r="AE328" s="62">
        <f t="shared" si="39"/>
        <v>0</v>
      </c>
      <c r="AF328" s="64" t="s">
        <v>1447</v>
      </c>
      <c r="AG328" s="49">
        <v>0.56999999999999995</v>
      </c>
    </row>
    <row r="329" spans="1:33" ht="34.5" customHeight="1" x14ac:dyDescent="0.3">
      <c r="A329" s="46">
        <v>654</v>
      </c>
      <c r="B329" s="46" t="s">
        <v>1448</v>
      </c>
      <c r="C329" s="46" t="s">
        <v>44</v>
      </c>
      <c r="D329" s="60">
        <v>2013</v>
      </c>
      <c r="E329" s="60">
        <v>2016</v>
      </c>
      <c r="F329" s="46" t="s">
        <v>285</v>
      </c>
      <c r="G329" s="46" t="s">
        <v>159</v>
      </c>
      <c r="H329" s="46" t="s">
        <v>592</v>
      </c>
      <c r="I329" s="46" t="s">
        <v>157</v>
      </c>
      <c r="J329" s="46"/>
      <c r="K329" s="46" t="s">
        <v>72</v>
      </c>
      <c r="L329" s="46"/>
      <c r="M329" s="46"/>
      <c r="N329" s="46"/>
      <c r="O329" s="46"/>
      <c r="P329" s="46"/>
      <c r="Q329" s="46"/>
      <c r="R329" s="46"/>
      <c r="S329" s="46"/>
      <c r="T329" s="46"/>
      <c r="U329" s="46"/>
      <c r="V329" s="46"/>
      <c r="W329" s="46"/>
      <c r="X329" s="46">
        <v>1</v>
      </c>
      <c r="Y329" s="46"/>
      <c r="Z329" s="46"/>
      <c r="AA329" s="61"/>
      <c r="AB329" s="62"/>
      <c r="AC329" s="63"/>
      <c r="AD329" s="62"/>
      <c r="AE329" s="62">
        <f t="shared" si="39"/>
        <v>0</v>
      </c>
      <c r="AF329" s="64" t="s">
        <v>1449</v>
      </c>
      <c r="AG329" s="49">
        <v>0.56999999999999995</v>
      </c>
    </row>
    <row r="330" spans="1:33" ht="34.5" customHeight="1" x14ac:dyDescent="0.3">
      <c r="A330" s="46">
        <v>655</v>
      </c>
      <c r="B330" s="46" t="s">
        <v>1450</v>
      </c>
      <c r="C330" s="46" t="s">
        <v>203</v>
      </c>
      <c r="D330" s="60">
        <v>2014</v>
      </c>
      <c r="E330" s="60">
        <v>2016</v>
      </c>
      <c r="F330" s="46" t="s">
        <v>285</v>
      </c>
      <c r="G330" s="46" t="s">
        <v>1</v>
      </c>
      <c r="H330" s="46"/>
      <c r="I330" s="46" t="s">
        <v>157</v>
      </c>
      <c r="J330" s="46"/>
      <c r="K330" s="46" t="s">
        <v>68</v>
      </c>
      <c r="L330" s="46"/>
      <c r="M330" s="46"/>
      <c r="N330" s="46"/>
      <c r="O330" s="46"/>
      <c r="P330" s="46"/>
      <c r="Q330" s="46">
        <v>1</v>
      </c>
      <c r="R330" s="46">
        <v>1</v>
      </c>
      <c r="S330" s="46">
        <v>1</v>
      </c>
      <c r="T330" s="46"/>
      <c r="U330" s="46"/>
      <c r="V330" s="46"/>
      <c r="W330" s="46"/>
      <c r="X330" s="46"/>
      <c r="Y330" s="46"/>
      <c r="Z330" s="46" t="s">
        <v>1439</v>
      </c>
      <c r="AA330" s="61">
        <v>0.3</v>
      </c>
      <c r="AB330" s="62">
        <f>AA330/0.0052</f>
        <v>57.692307692307693</v>
      </c>
      <c r="AC330" s="63">
        <f>AB330*H2dens*HoursInYear/10^6</f>
        <v>4.4979230769230764E-2</v>
      </c>
      <c r="AD330" s="62"/>
      <c r="AE330" s="62">
        <f t="shared" si="39"/>
        <v>57.692307692307693</v>
      </c>
      <c r="AF330" s="64" t="s">
        <v>1451</v>
      </c>
      <c r="AG330" s="49">
        <v>0.56999999999999995</v>
      </c>
    </row>
    <row r="331" spans="1:33" ht="34.5" customHeight="1" x14ac:dyDescent="0.3">
      <c r="A331" s="46">
        <v>656</v>
      </c>
      <c r="B331" s="46" t="s">
        <v>1452</v>
      </c>
      <c r="C331" s="46" t="s">
        <v>321</v>
      </c>
      <c r="D331" s="60">
        <v>2014</v>
      </c>
      <c r="E331" s="60">
        <v>2017</v>
      </c>
      <c r="F331" s="46" t="s">
        <v>285</v>
      </c>
      <c r="G331" s="46" t="s">
        <v>3</v>
      </c>
      <c r="H331" s="46"/>
      <c r="I331" s="46" t="s">
        <v>157</v>
      </c>
      <c r="J331" s="46"/>
      <c r="K331" s="46" t="s">
        <v>72</v>
      </c>
      <c r="L331" s="46"/>
      <c r="M331" s="46"/>
      <c r="N331" s="46"/>
      <c r="O331" s="46"/>
      <c r="P331" s="46"/>
      <c r="Q331" s="46"/>
      <c r="R331" s="46"/>
      <c r="S331" s="46"/>
      <c r="T331" s="46"/>
      <c r="U331" s="46"/>
      <c r="V331" s="46"/>
      <c r="W331" s="46"/>
      <c r="X331" s="46">
        <v>1</v>
      </c>
      <c r="Y331" s="46"/>
      <c r="Z331" s="46" t="s">
        <v>928</v>
      </c>
      <c r="AA331" s="61">
        <f>AB331*0.0046</f>
        <v>9.1999999999999998E-3</v>
      </c>
      <c r="AB331" s="62">
        <v>2</v>
      </c>
      <c r="AC331" s="63">
        <f>AB331*H2dens*HoursInYear/10^6</f>
        <v>1.5592799999999999E-3</v>
      </c>
      <c r="AD331" s="62"/>
      <c r="AE331" s="62">
        <f t="shared" si="39"/>
        <v>2</v>
      </c>
      <c r="AF331" s="64" t="s">
        <v>1453</v>
      </c>
      <c r="AG331" s="49">
        <v>0.56999999999999995</v>
      </c>
    </row>
    <row r="332" spans="1:33" ht="34.5" customHeight="1" x14ac:dyDescent="0.3">
      <c r="A332" s="46">
        <v>657</v>
      </c>
      <c r="B332" s="46" t="s">
        <v>1454</v>
      </c>
      <c r="C332" s="46" t="s">
        <v>203</v>
      </c>
      <c r="D332" s="60">
        <v>2003</v>
      </c>
      <c r="E332" s="60">
        <v>2011</v>
      </c>
      <c r="F332" s="46" t="s">
        <v>285</v>
      </c>
      <c r="G332" s="46" t="s">
        <v>3</v>
      </c>
      <c r="H332" s="46"/>
      <c r="I332" s="46" t="s">
        <v>157</v>
      </c>
      <c r="J332" s="46"/>
      <c r="K332" s="46" t="s">
        <v>68</v>
      </c>
      <c r="L332" s="46"/>
      <c r="M332" s="46"/>
      <c r="N332" s="46"/>
      <c r="O332" s="46"/>
      <c r="P332" s="46"/>
      <c r="Q332" s="46">
        <v>1</v>
      </c>
      <c r="R332" s="46"/>
      <c r="S332" s="46"/>
      <c r="T332" s="46"/>
      <c r="U332" s="46"/>
      <c r="V332" s="46"/>
      <c r="W332" s="46"/>
      <c r="X332" s="46"/>
      <c r="Y332" s="46"/>
      <c r="Z332" s="46" t="s">
        <v>1416</v>
      </c>
      <c r="AA332" s="61">
        <f>AB332*0.0046</f>
        <v>0.27600000000000002</v>
      </c>
      <c r="AB332" s="62">
        <v>60</v>
      </c>
      <c r="AC332" s="63">
        <f>AB332*H2dens*HoursInYear/10^6</f>
        <v>4.6778400000000005E-2</v>
      </c>
      <c r="AD332" s="62"/>
      <c r="AE332" s="62">
        <f t="shared" si="39"/>
        <v>60</v>
      </c>
      <c r="AF332" s="64" t="s">
        <v>1455</v>
      </c>
      <c r="AG332" s="49">
        <v>0.56999999999999995</v>
      </c>
    </row>
    <row r="333" spans="1:33" ht="34.5" customHeight="1" x14ac:dyDescent="0.3">
      <c r="A333" s="46">
        <v>658</v>
      </c>
      <c r="B333" s="46" t="s">
        <v>1456</v>
      </c>
      <c r="C333" s="46" t="s">
        <v>59</v>
      </c>
      <c r="D333" s="60">
        <v>2014</v>
      </c>
      <c r="E333" s="60">
        <v>2017</v>
      </c>
      <c r="F333" s="46" t="s">
        <v>285</v>
      </c>
      <c r="G333" s="46" t="s">
        <v>1</v>
      </c>
      <c r="H333" s="46"/>
      <c r="I333" s="46" t="s">
        <v>157</v>
      </c>
      <c r="J333" s="46"/>
      <c r="K333" s="46" t="s">
        <v>168</v>
      </c>
      <c r="L333" s="46"/>
      <c r="M333" s="46"/>
      <c r="N333" s="46"/>
      <c r="O333" s="46"/>
      <c r="P333" s="46"/>
      <c r="Q333" s="46"/>
      <c r="R333" s="46">
        <v>1</v>
      </c>
      <c r="S333" s="46"/>
      <c r="T333" s="46"/>
      <c r="U333" s="46"/>
      <c r="V333" s="46"/>
      <c r="W333" s="46">
        <v>1</v>
      </c>
      <c r="X333" s="46">
        <v>1</v>
      </c>
      <c r="Y333" s="46"/>
      <c r="Z333" s="46" t="s">
        <v>1457</v>
      </c>
      <c r="AA333" s="61">
        <f>AB333*0.0052</f>
        <v>1.56E-3</v>
      </c>
      <c r="AB333" s="62">
        <v>0.3</v>
      </c>
      <c r="AC333" s="63">
        <f>AB333*H2dens*HoursInYear/10^6</f>
        <v>2.33892E-4</v>
      </c>
      <c r="AD333" s="62"/>
      <c r="AE333" s="62">
        <f t="shared" si="39"/>
        <v>0.3</v>
      </c>
      <c r="AF333" s="64"/>
      <c r="AG333" s="49">
        <v>0.56999999999999995</v>
      </c>
    </row>
    <row r="334" spans="1:33" ht="34.5" customHeight="1" x14ac:dyDescent="0.3">
      <c r="A334" s="46">
        <v>659</v>
      </c>
      <c r="B334" s="46" t="s">
        <v>1458</v>
      </c>
      <c r="C334" s="46" t="s">
        <v>34</v>
      </c>
      <c r="D334" s="60">
        <v>2014</v>
      </c>
      <c r="E334" s="60">
        <v>2017</v>
      </c>
      <c r="F334" s="46" t="s">
        <v>285</v>
      </c>
      <c r="G334" s="46" t="s">
        <v>2</v>
      </c>
      <c r="H334" s="46"/>
      <c r="I334" s="46" t="s">
        <v>157</v>
      </c>
      <c r="J334" s="46"/>
      <c r="K334" s="46" t="s">
        <v>72</v>
      </c>
      <c r="L334" s="46"/>
      <c r="M334" s="46"/>
      <c r="N334" s="46"/>
      <c r="O334" s="46"/>
      <c r="P334" s="46"/>
      <c r="Q334" s="46"/>
      <c r="R334" s="46"/>
      <c r="S334" s="46"/>
      <c r="T334" s="46"/>
      <c r="U334" s="46"/>
      <c r="V334" s="46"/>
      <c r="W334" s="46">
        <v>1</v>
      </c>
      <c r="X334" s="46">
        <v>1</v>
      </c>
      <c r="Y334" s="46"/>
      <c r="Z334" s="46"/>
      <c r="AA334" s="61"/>
      <c r="AB334" s="62"/>
      <c r="AC334" s="63"/>
      <c r="AD334" s="62"/>
      <c r="AE334" s="62">
        <f t="shared" si="39"/>
        <v>0</v>
      </c>
      <c r="AF334" s="64" t="s">
        <v>1459</v>
      </c>
      <c r="AG334" s="49">
        <v>0.56999999999999995</v>
      </c>
    </row>
    <row r="335" spans="1:33" ht="34.5" customHeight="1" x14ac:dyDescent="0.3">
      <c r="A335" s="46">
        <v>660</v>
      </c>
      <c r="B335" s="46" t="s">
        <v>1460</v>
      </c>
      <c r="C335" s="46" t="s">
        <v>321</v>
      </c>
      <c r="D335" s="60">
        <v>2008</v>
      </c>
      <c r="E335" s="60">
        <v>2011</v>
      </c>
      <c r="F335" s="46" t="s">
        <v>285</v>
      </c>
      <c r="G335" s="46" t="s">
        <v>3</v>
      </c>
      <c r="H335" s="46"/>
      <c r="I335" s="46" t="s">
        <v>169</v>
      </c>
      <c r="J335" s="46" t="s">
        <v>245</v>
      </c>
      <c r="K335" s="46" t="s">
        <v>68</v>
      </c>
      <c r="L335" s="46"/>
      <c r="M335" s="46"/>
      <c r="N335" s="46"/>
      <c r="O335" s="46"/>
      <c r="P335" s="46"/>
      <c r="Q335" s="46"/>
      <c r="R335" s="46">
        <v>1</v>
      </c>
      <c r="S335" s="46"/>
      <c r="T335" s="46"/>
      <c r="U335" s="46"/>
      <c r="V335" s="46"/>
      <c r="W335" s="46"/>
      <c r="X335" s="46"/>
      <c r="Y335" s="46"/>
      <c r="Z335" s="46" t="s">
        <v>1461</v>
      </c>
      <c r="AA335" s="61">
        <v>0.3</v>
      </c>
      <c r="AB335" s="62">
        <f>IF(OR(G335="ALK",G335="PEM",G335="SOEC",G335="Other Electrolysis"),
AA335/VLOOKUP(G335,ElectrolysisConvF,3,FALSE),
AC335*10^6/(H2dens*HoursInYear))</f>
        <v>65.217391304347828</v>
      </c>
      <c r="AC335" s="63">
        <f t="shared" ref="AC335:AC337" si="40">AB335*H2dens*HoursInYear/10^6</f>
        <v>5.0846086956521735E-2</v>
      </c>
      <c r="AD335" s="62"/>
      <c r="AE335" s="62">
        <f t="shared" si="39"/>
        <v>65.217391304347828</v>
      </c>
      <c r="AF335" s="64" t="s">
        <v>1462</v>
      </c>
      <c r="AG335" s="49">
        <v>0.4</v>
      </c>
    </row>
    <row r="336" spans="1:33" ht="34.5" customHeight="1" x14ac:dyDescent="0.3">
      <c r="A336" s="46">
        <v>661</v>
      </c>
      <c r="B336" s="46" t="s">
        <v>1463</v>
      </c>
      <c r="C336" s="46" t="s">
        <v>63</v>
      </c>
      <c r="D336" s="60">
        <v>2003</v>
      </c>
      <c r="E336" s="60">
        <v>2006</v>
      </c>
      <c r="F336" s="46" t="s">
        <v>285</v>
      </c>
      <c r="G336" s="46" t="s">
        <v>3</v>
      </c>
      <c r="H336" s="46"/>
      <c r="I336" s="46" t="s">
        <v>157</v>
      </c>
      <c r="J336" s="46"/>
      <c r="K336" s="46" t="s">
        <v>68</v>
      </c>
      <c r="L336" s="46"/>
      <c r="M336" s="46"/>
      <c r="N336" s="46"/>
      <c r="O336" s="46"/>
      <c r="P336" s="46"/>
      <c r="Q336" s="46">
        <v>1</v>
      </c>
      <c r="R336" s="46"/>
      <c r="S336" s="46"/>
      <c r="T336" s="46"/>
      <c r="U336" s="46"/>
      <c r="V336" s="46"/>
      <c r="W336" s="46"/>
      <c r="X336" s="46"/>
      <c r="Y336" s="46"/>
      <c r="Z336" s="46" t="s">
        <v>1461</v>
      </c>
      <c r="AA336" s="61">
        <v>0.3</v>
      </c>
      <c r="AB336" s="62">
        <f>IF(OR(G336="ALK",G336="PEM",G336="SOEC",G336="Other Electrolysis"),
AA336/VLOOKUP(G336,ElectrolysisConvF,3,FALSE),
AC336*10^6/(H2dens*HoursInYear))</f>
        <v>65.217391304347828</v>
      </c>
      <c r="AC336" s="63">
        <f t="shared" si="40"/>
        <v>5.0846086956521735E-2</v>
      </c>
      <c r="AD336" s="62"/>
      <c r="AE336" s="62">
        <f t="shared" si="39"/>
        <v>65.217391304347828</v>
      </c>
      <c r="AF336" s="64" t="s">
        <v>1455</v>
      </c>
      <c r="AG336" s="49">
        <v>0.56999999999999995</v>
      </c>
    </row>
    <row r="337" spans="1:33" ht="34.5" customHeight="1" x14ac:dyDescent="0.3">
      <c r="A337" s="46">
        <v>662</v>
      </c>
      <c r="B337" s="46" t="s">
        <v>1464</v>
      </c>
      <c r="C337" s="46" t="s">
        <v>50</v>
      </c>
      <c r="D337" s="60">
        <v>2003</v>
      </c>
      <c r="E337" s="60">
        <v>2009</v>
      </c>
      <c r="F337" s="46" t="s">
        <v>285</v>
      </c>
      <c r="G337" s="46" t="s">
        <v>3</v>
      </c>
      <c r="H337" s="46"/>
      <c r="I337" s="46" t="s">
        <v>157</v>
      </c>
      <c r="J337" s="46"/>
      <c r="K337" s="46" t="s">
        <v>68</v>
      </c>
      <c r="L337" s="46"/>
      <c r="M337" s="46"/>
      <c r="N337" s="46"/>
      <c r="O337" s="46"/>
      <c r="P337" s="46"/>
      <c r="Q337" s="46">
        <v>1</v>
      </c>
      <c r="R337" s="46"/>
      <c r="S337" s="46"/>
      <c r="T337" s="46"/>
      <c r="U337" s="46"/>
      <c r="V337" s="46"/>
      <c r="W337" s="46"/>
      <c r="X337" s="46"/>
      <c r="Y337" s="46"/>
      <c r="Z337" s="46" t="s">
        <v>1461</v>
      </c>
      <c r="AA337" s="61">
        <v>0.3</v>
      </c>
      <c r="AB337" s="62">
        <f>IF(OR(G337="ALK",G337="PEM",G337="SOEC",G337="Other Electrolysis"),
AA337/VLOOKUP(G337,ElectrolysisConvF,3,FALSE),
AC337*10^6/(H2dens*HoursInYear))</f>
        <v>65.217391304347828</v>
      </c>
      <c r="AC337" s="63">
        <f t="shared" si="40"/>
        <v>5.0846086956521735E-2</v>
      </c>
      <c r="AD337" s="62"/>
      <c r="AE337" s="62">
        <f t="shared" si="39"/>
        <v>65.217391304347828</v>
      </c>
      <c r="AF337" s="64" t="s">
        <v>1455</v>
      </c>
      <c r="AG337" s="49">
        <v>0.56999999999999995</v>
      </c>
    </row>
    <row r="338" spans="1:33" ht="34.5" customHeight="1" x14ac:dyDescent="0.3">
      <c r="A338" s="46">
        <v>663</v>
      </c>
      <c r="B338" s="46" t="s">
        <v>1465</v>
      </c>
      <c r="C338" s="46" t="s">
        <v>44</v>
      </c>
      <c r="D338" s="60">
        <v>2015</v>
      </c>
      <c r="E338" s="60">
        <v>2017</v>
      </c>
      <c r="F338" s="46" t="s">
        <v>285</v>
      </c>
      <c r="G338" s="46" t="s">
        <v>1</v>
      </c>
      <c r="H338" s="46"/>
      <c r="I338" s="46" t="s">
        <v>157</v>
      </c>
      <c r="J338" s="46"/>
      <c r="K338" s="46" t="s">
        <v>68</v>
      </c>
      <c r="L338" s="46"/>
      <c r="M338" s="46"/>
      <c r="N338" s="46"/>
      <c r="O338" s="46"/>
      <c r="P338" s="46">
        <v>1</v>
      </c>
      <c r="Q338" s="46">
        <v>1</v>
      </c>
      <c r="R338" s="46"/>
      <c r="S338" s="46">
        <v>1</v>
      </c>
      <c r="T338" s="46"/>
      <c r="U338" s="46"/>
      <c r="V338" s="46"/>
      <c r="W338" s="46"/>
      <c r="X338" s="46"/>
      <c r="Y338" s="46"/>
      <c r="Z338" s="46" t="s">
        <v>1014</v>
      </c>
      <c r="AA338" s="61">
        <v>0.1</v>
      </c>
      <c r="AB338" s="62">
        <f>AA338/0.0052</f>
        <v>19.230769230769234</v>
      </c>
      <c r="AC338" s="63">
        <f t="shared" ref="AC338:AC341" si="41">AB338*H2dens*HoursInYear/10^6</f>
        <v>1.4993076923076923E-2</v>
      </c>
      <c r="AD338" s="62"/>
      <c r="AE338" s="62">
        <f t="shared" si="39"/>
        <v>19.230769230769234</v>
      </c>
      <c r="AF338" s="64" t="s">
        <v>1466</v>
      </c>
      <c r="AG338" s="49">
        <v>0.56999999999999995</v>
      </c>
    </row>
    <row r="339" spans="1:33" ht="34.5" customHeight="1" x14ac:dyDescent="0.3">
      <c r="A339" s="46">
        <v>664</v>
      </c>
      <c r="B339" s="46" t="s">
        <v>1467</v>
      </c>
      <c r="C339" s="46" t="s">
        <v>40</v>
      </c>
      <c r="D339" s="60">
        <v>2015</v>
      </c>
      <c r="E339" s="60">
        <v>2017</v>
      </c>
      <c r="F339" s="46" t="s">
        <v>285</v>
      </c>
      <c r="G339" s="46" t="s">
        <v>2</v>
      </c>
      <c r="H339" s="46"/>
      <c r="I339" s="46" t="s">
        <v>157</v>
      </c>
      <c r="J339" s="46"/>
      <c r="K339" s="46" t="s">
        <v>68</v>
      </c>
      <c r="L339" s="46"/>
      <c r="M339" s="46"/>
      <c r="N339" s="46"/>
      <c r="O339" s="46"/>
      <c r="P339" s="46"/>
      <c r="Q339" s="46"/>
      <c r="R339" s="46">
        <v>1</v>
      </c>
      <c r="S339" s="46"/>
      <c r="T339" s="46"/>
      <c r="U339" s="46"/>
      <c r="V339" s="46"/>
      <c r="W339" s="46"/>
      <c r="X339" s="46"/>
      <c r="Y339" s="46"/>
      <c r="Z339" s="46" t="s">
        <v>865</v>
      </c>
      <c r="AA339" s="61">
        <f>AB339*0.0038</f>
        <v>3.7999999999999999E-2</v>
      </c>
      <c r="AB339" s="62">
        <v>10</v>
      </c>
      <c r="AC339" s="63">
        <f t="shared" si="41"/>
        <v>7.7963999999999985E-3</v>
      </c>
      <c r="AD339" s="62"/>
      <c r="AE339" s="62">
        <f t="shared" si="39"/>
        <v>10</v>
      </c>
      <c r="AF339" s="64" t="s">
        <v>1015</v>
      </c>
      <c r="AG339" s="49">
        <v>0.56999999999999995</v>
      </c>
    </row>
    <row r="340" spans="1:33" ht="34.5" customHeight="1" x14ac:dyDescent="0.3">
      <c r="A340" s="46">
        <v>665</v>
      </c>
      <c r="B340" s="46" t="s">
        <v>1468</v>
      </c>
      <c r="C340" s="46" t="s">
        <v>59</v>
      </c>
      <c r="D340" s="60">
        <v>2015</v>
      </c>
      <c r="E340" s="60">
        <v>2017</v>
      </c>
      <c r="F340" s="46" t="s">
        <v>285</v>
      </c>
      <c r="G340" s="46" t="s">
        <v>3</v>
      </c>
      <c r="H340" s="46"/>
      <c r="I340" s="46" t="s">
        <v>157</v>
      </c>
      <c r="J340" s="46"/>
      <c r="K340" s="46" t="s">
        <v>72</v>
      </c>
      <c r="L340" s="46"/>
      <c r="M340" s="46"/>
      <c r="N340" s="46"/>
      <c r="O340" s="46"/>
      <c r="P340" s="46"/>
      <c r="Q340" s="46"/>
      <c r="R340" s="46"/>
      <c r="S340" s="46"/>
      <c r="T340" s="46"/>
      <c r="U340" s="46"/>
      <c r="V340" s="46"/>
      <c r="W340" s="46"/>
      <c r="X340" s="46">
        <v>1</v>
      </c>
      <c r="Y340" s="46">
        <v>1</v>
      </c>
      <c r="Z340" s="46" t="s">
        <v>795</v>
      </c>
      <c r="AA340" s="61">
        <v>2.5000000000000001E-2</v>
      </c>
      <c r="AB340" s="62">
        <f>AA340/0.0046</f>
        <v>5.4347826086956523</v>
      </c>
      <c r="AC340" s="63">
        <f t="shared" si="41"/>
        <v>4.237173913043478E-3</v>
      </c>
      <c r="AD340" s="62"/>
      <c r="AE340" s="62">
        <f t="shared" si="39"/>
        <v>5.4347826086956523</v>
      </c>
      <c r="AF340" s="64" t="s">
        <v>1469</v>
      </c>
      <c r="AG340" s="49">
        <v>0.56999999999999995</v>
      </c>
    </row>
    <row r="341" spans="1:33" ht="34.5" customHeight="1" x14ac:dyDescent="0.3">
      <c r="A341" s="46">
        <v>666</v>
      </c>
      <c r="B341" s="46" t="s">
        <v>1470</v>
      </c>
      <c r="C341" s="46" t="s">
        <v>203</v>
      </c>
      <c r="D341" s="60">
        <v>2015</v>
      </c>
      <c r="E341" s="60">
        <v>2017</v>
      </c>
      <c r="F341" s="46" t="s">
        <v>285</v>
      </c>
      <c r="G341" s="46" t="s">
        <v>2</v>
      </c>
      <c r="H341" s="46"/>
      <c r="I341" s="46" t="s">
        <v>157</v>
      </c>
      <c r="J341" s="46"/>
      <c r="K341" s="46" t="s">
        <v>68</v>
      </c>
      <c r="L341" s="46"/>
      <c r="M341" s="46"/>
      <c r="N341" s="46"/>
      <c r="O341" s="46"/>
      <c r="P341" s="46"/>
      <c r="Q341" s="46"/>
      <c r="R341" s="46">
        <v>1</v>
      </c>
      <c r="S341" s="46"/>
      <c r="T341" s="46"/>
      <c r="U341" s="46"/>
      <c r="V341" s="46"/>
      <c r="W341" s="46"/>
      <c r="X341" s="46"/>
      <c r="Y341" s="46"/>
      <c r="Z341" s="46" t="s">
        <v>1041</v>
      </c>
      <c r="AA341" s="61">
        <v>0.01</v>
      </c>
      <c r="AB341" s="62">
        <f>AA341/0.0038</f>
        <v>2.6315789473684212</v>
      </c>
      <c r="AC341" s="63">
        <f t="shared" si="41"/>
        <v>2.0516842105263158E-3</v>
      </c>
      <c r="AD341" s="62"/>
      <c r="AE341" s="62">
        <f t="shared" si="39"/>
        <v>2.6315789473684212</v>
      </c>
      <c r="AF341" s="64"/>
      <c r="AG341" s="49">
        <v>0.56999999999999995</v>
      </c>
    </row>
    <row r="342" spans="1:33" ht="34.5" customHeight="1" x14ac:dyDescent="0.3">
      <c r="A342" s="46">
        <v>667</v>
      </c>
      <c r="B342" s="46" t="s">
        <v>1471</v>
      </c>
      <c r="C342" s="46" t="s">
        <v>59</v>
      </c>
      <c r="D342" s="60">
        <v>2015</v>
      </c>
      <c r="E342" s="60">
        <v>2017</v>
      </c>
      <c r="F342" s="46" t="s">
        <v>285</v>
      </c>
      <c r="G342" s="46" t="s">
        <v>159</v>
      </c>
      <c r="H342" s="46" t="s">
        <v>592</v>
      </c>
      <c r="I342" s="46" t="s">
        <v>157</v>
      </c>
      <c r="J342" s="46"/>
      <c r="K342" s="46" t="s">
        <v>72</v>
      </c>
      <c r="L342" s="46"/>
      <c r="M342" s="46"/>
      <c r="N342" s="46"/>
      <c r="O342" s="46"/>
      <c r="P342" s="46"/>
      <c r="Q342" s="46"/>
      <c r="R342" s="46"/>
      <c r="S342" s="46"/>
      <c r="T342" s="46"/>
      <c r="U342" s="46"/>
      <c r="V342" s="46"/>
      <c r="W342" s="46"/>
      <c r="X342" s="46">
        <v>1</v>
      </c>
      <c r="Y342" s="46">
        <v>1</v>
      </c>
      <c r="Z342" s="46"/>
      <c r="AA342" s="61"/>
      <c r="AB342" s="62"/>
      <c r="AC342" s="63"/>
      <c r="AD342" s="62"/>
      <c r="AE342" s="62">
        <f t="shared" si="39"/>
        <v>0</v>
      </c>
      <c r="AF342" s="64" t="s">
        <v>1472</v>
      </c>
      <c r="AG342" s="49">
        <v>0.56999999999999995</v>
      </c>
    </row>
    <row r="343" spans="1:33" ht="34.5" customHeight="1" x14ac:dyDescent="0.3">
      <c r="A343" s="46">
        <v>668</v>
      </c>
      <c r="B343" s="46" t="s">
        <v>1473</v>
      </c>
      <c r="C343" s="46" t="s">
        <v>203</v>
      </c>
      <c r="D343" s="60">
        <v>2015</v>
      </c>
      <c r="E343" s="60">
        <v>2018</v>
      </c>
      <c r="F343" s="46" t="s">
        <v>285</v>
      </c>
      <c r="G343" s="46" t="s">
        <v>159</v>
      </c>
      <c r="H343" s="46" t="s">
        <v>592</v>
      </c>
      <c r="I343" s="46" t="s">
        <v>157</v>
      </c>
      <c r="J343" s="46"/>
      <c r="K343" s="46" t="s">
        <v>72</v>
      </c>
      <c r="L343" s="46"/>
      <c r="M343" s="46"/>
      <c r="N343" s="46"/>
      <c r="O343" s="46"/>
      <c r="P343" s="46"/>
      <c r="Q343" s="46"/>
      <c r="R343" s="46"/>
      <c r="S343" s="46"/>
      <c r="T343" s="46"/>
      <c r="U343" s="46"/>
      <c r="V343" s="46"/>
      <c r="W343" s="46"/>
      <c r="X343" s="46">
        <v>1</v>
      </c>
      <c r="Y343" s="46"/>
      <c r="Z343" s="46"/>
      <c r="AA343" s="61"/>
      <c r="AB343" s="62"/>
      <c r="AC343" s="63"/>
      <c r="AD343" s="62"/>
      <c r="AE343" s="62">
        <f t="shared" si="39"/>
        <v>0</v>
      </c>
      <c r="AF343" s="64" t="s">
        <v>1474</v>
      </c>
      <c r="AG343" s="49">
        <v>0.56999999999999995</v>
      </c>
    </row>
    <row r="344" spans="1:33" ht="34.5" customHeight="1" x14ac:dyDescent="0.3">
      <c r="A344" s="46">
        <v>669</v>
      </c>
      <c r="B344" s="46" t="s">
        <v>1475</v>
      </c>
      <c r="C344" s="46" t="s">
        <v>54</v>
      </c>
      <c r="D344" s="60">
        <v>2003</v>
      </c>
      <c r="E344" s="60">
        <v>2007</v>
      </c>
      <c r="F344" s="46" t="s">
        <v>285</v>
      </c>
      <c r="G344" s="46" t="s">
        <v>3</v>
      </c>
      <c r="H344" s="46"/>
      <c r="I344" s="46" t="s">
        <v>157</v>
      </c>
      <c r="J344" s="46"/>
      <c r="K344" s="46" t="s">
        <v>68</v>
      </c>
      <c r="L344" s="46"/>
      <c r="M344" s="46"/>
      <c r="N344" s="46"/>
      <c r="O344" s="46"/>
      <c r="P344" s="46"/>
      <c r="Q344" s="46">
        <v>1</v>
      </c>
      <c r="R344" s="46"/>
      <c r="S344" s="46"/>
      <c r="T344" s="46"/>
      <c r="U344" s="46"/>
      <c r="V344" s="46"/>
      <c r="W344" s="46"/>
      <c r="X344" s="46"/>
      <c r="Y344" s="46"/>
      <c r="Z344" s="46" t="s">
        <v>1416</v>
      </c>
      <c r="AA344" s="61">
        <f>AB344*0.0046</f>
        <v>0.27600000000000002</v>
      </c>
      <c r="AB344" s="62">
        <v>60</v>
      </c>
      <c r="AC344" s="63">
        <f t="shared" ref="AC344:AC349" si="42">AB344*H2dens*HoursInYear/10^6</f>
        <v>4.6778400000000005E-2</v>
      </c>
      <c r="AD344" s="62"/>
      <c r="AE344" s="62">
        <f t="shared" si="39"/>
        <v>60</v>
      </c>
      <c r="AF344" s="64" t="s">
        <v>1476</v>
      </c>
      <c r="AG344" s="49">
        <v>0.56999999999999995</v>
      </c>
    </row>
    <row r="345" spans="1:33" ht="34.5" customHeight="1" x14ac:dyDescent="0.3">
      <c r="A345" s="46">
        <v>670</v>
      </c>
      <c r="B345" s="46" t="s">
        <v>1477</v>
      </c>
      <c r="C345" s="46" t="s">
        <v>203</v>
      </c>
      <c r="D345" s="60">
        <v>2009</v>
      </c>
      <c r="E345" s="60">
        <v>2013</v>
      </c>
      <c r="F345" s="46" t="s">
        <v>285</v>
      </c>
      <c r="G345" s="46" t="s">
        <v>3</v>
      </c>
      <c r="H345" s="46"/>
      <c r="I345" s="46" t="s">
        <v>157</v>
      </c>
      <c r="J345" s="46"/>
      <c r="K345" s="46" t="s">
        <v>72</v>
      </c>
      <c r="L345" s="46"/>
      <c r="M345" s="46"/>
      <c r="N345" s="46"/>
      <c r="O345" s="46"/>
      <c r="P345" s="46"/>
      <c r="Q345" s="46"/>
      <c r="R345" s="46"/>
      <c r="S345" s="46"/>
      <c r="T345" s="46"/>
      <c r="U345" s="46"/>
      <c r="V345" s="46"/>
      <c r="W345" s="46"/>
      <c r="X345" s="46"/>
      <c r="Y345" s="46">
        <v>1</v>
      </c>
      <c r="Z345" s="46" t="s">
        <v>1192</v>
      </c>
      <c r="AA345" s="61">
        <v>0.25</v>
      </c>
      <c r="AB345" s="62">
        <f>AA345/0.0046</f>
        <v>54.347826086956523</v>
      </c>
      <c r="AC345" s="63">
        <f t="shared" si="42"/>
        <v>4.237173913043478E-2</v>
      </c>
      <c r="AD345" s="62"/>
      <c r="AE345" s="62">
        <f t="shared" si="39"/>
        <v>54.347826086956523</v>
      </c>
      <c r="AF345" s="64" t="s">
        <v>1478</v>
      </c>
      <c r="AG345" s="49">
        <v>0.56999999999999995</v>
      </c>
    </row>
    <row r="346" spans="1:33" ht="34.5" customHeight="1" x14ac:dyDescent="0.3">
      <c r="A346" s="46">
        <v>671</v>
      </c>
      <c r="B346" s="46" t="s">
        <v>1479</v>
      </c>
      <c r="C346" s="46" t="s">
        <v>42</v>
      </c>
      <c r="D346" s="60">
        <v>2016</v>
      </c>
      <c r="E346" s="60">
        <v>2019</v>
      </c>
      <c r="F346" s="46" t="s">
        <v>285</v>
      </c>
      <c r="G346" s="46" t="s">
        <v>1</v>
      </c>
      <c r="H346" s="46"/>
      <c r="I346" s="46" t="s">
        <v>157</v>
      </c>
      <c r="J346" s="46"/>
      <c r="K346" s="46" t="s">
        <v>68</v>
      </c>
      <c r="L346" s="46"/>
      <c r="M346" s="46"/>
      <c r="N346" s="46"/>
      <c r="O346" s="46"/>
      <c r="P346" s="46"/>
      <c r="Q346" s="46">
        <v>1</v>
      </c>
      <c r="R346" s="46"/>
      <c r="S346" s="46"/>
      <c r="T346" s="46">
        <v>1</v>
      </c>
      <c r="U346" s="46"/>
      <c r="V346" s="46"/>
      <c r="W346" s="46"/>
      <c r="X346" s="46"/>
      <c r="Y346" s="46"/>
      <c r="Z346" s="46" t="s">
        <v>1480</v>
      </c>
      <c r="AA346" s="61">
        <f>AB346*0.0052</f>
        <v>0.182</v>
      </c>
      <c r="AB346" s="62">
        <v>35</v>
      </c>
      <c r="AC346" s="63">
        <f t="shared" si="42"/>
        <v>2.7287399999999996E-2</v>
      </c>
      <c r="AD346" s="62"/>
      <c r="AE346" s="62">
        <f t="shared" si="39"/>
        <v>35</v>
      </c>
      <c r="AF346" s="64" t="s">
        <v>1481</v>
      </c>
      <c r="AG346" s="49">
        <v>0.56999999999999995</v>
      </c>
    </row>
    <row r="347" spans="1:33" ht="34.5" customHeight="1" x14ac:dyDescent="0.3">
      <c r="A347" s="46">
        <v>672</v>
      </c>
      <c r="B347" s="46" t="s">
        <v>1482</v>
      </c>
      <c r="C347" s="46" t="s">
        <v>40</v>
      </c>
      <c r="D347" s="60">
        <v>2016</v>
      </c>
      <c r="E347" s="60">
        <v>2017</v>
      </c>
      <c r="F347" s="46" t="s">
        <v>285</v>
      </c>
      <c r="G347" s="46" t="s">
        <v>1</v>
      </c>
      <c r="H347" s="46"/>
      <c r="I347" s="46" t="s">
        <v>157</v>
      </c>
      <c r="J347" s="46"/>
      <c r="K347" s="46" t="s">
        <v>68</v>
      </c>
      <c r="L347" s="46"/>
      <c r="M347" s="46"/>
      <c r="N347" s="46"/>
      <c r="O347" s="46"/>
      <c r="P347" s="46"/>
      <c r="Q347" s="46">
        <v>1</v>
      </c>
      <c r="R347" s="46"/>
      <c r="S347" s="46"/>
      <c r="T347" s="46"/>
      <c r="U347" s="46"/>
      <c r="V347" s="46"/>
      <c r="W347" s="46"/>
      <c r="X347" s="46"/>
      <c r="Y347" s="46"/>
      <c r="Z347" s="46" t="s">
        <v>1483</v>
      </c>
      <c r="AA347" s="61">
        <f>AB347*0.0052</f>
        <v>6.7599999999999993E-2</v>
      </c>
      <c r="AB347" s="62">
        <v>13</v>
      </c>
      <c r="AC347" s="63">
        <f t="shared" si="42"/>
        <v>1.013532E-2</v>
      </c>
      <c r="AD347" s="62"/>
      <c r="AE347" s="62">
        <f t="shared" si="39"/>
        <v>13</v>
      </c>
      <c r="AF347" s="64" t="s">
        <v>1484</v>
      </c>
      <c r="AG347" s="49">
        <v>0.56999999999999995</v>
      </c>
    </row>
    <row r="348" spans="1:33" ht="34.5" customHeight="1" x14ac:dyDescent="0.3">
      <c r="A348" s="46">
        <v>673</v>
      </c>
      <c r="B348" s="46" t="s">
        <v>1485</v>
      </c>
      <c r="C348" s="46" t="s">
        <v>203</v>
      </c>
      <c r="D348" s="60">
        <v>2016</v>
      </c>
      <c r="E348" s="60">
        <v>2017</v>
      </c>
      <c r="F348" s="46" t="s">
        <v>285</v>
      </c>
      <c r="G348" s="46" t="s">
        <v>2</v>
      </c>
      <c r="H348" s="46"/>
      <c r="I348" s="46" t="s">
        <v>157</v>
      </c>
      <c r="J348" s="46"/>
      <c r="K348" s="46" t="s">
        <v>72</v>
      </c>
      <c r="L348" s="46"/>
      <c r="M348" s="46"/>
      <c r="N348" s="46"/>
      <c r="O348" s="46"/>
      <c r="P348" s="46"/>
      <c r="Q348" s="46"/>
      <c r="R348" s="46"/>
      <c r="S348" s="46"/>
      <c r="T348" s="46"/>
      <c r="U348" s="46"/>
      <c r="V348" s="46"/>
      <c r="W348" s="46"/>
      <c r="X348" s="46">
        <v>1</v>
      </c>
      <c r="Y348" s="46">
        <v>1</v>
      </c>
      <c r="Z348" s="46" t="s">
        <v>1248</v>
      </c>
      <c r="AA348" s="61">
        <v>1.4999999999999999E-2</v>
      </c>
      <c r="AB348" s="62">
        <f>AA348/0.0038</f>
        <v>3.9473684210526314</v>
      </c>
      <c r="AC348" s="63">
        <f t="shared" si="42"/>
        <v>3.0775263157894733E-3</v>
      </c>
      <c r="AD348" s="62"/>
      <c r="AE348" s="62">
        <f t="shared" si="39"/>
        <v>3.9473684210526314</v>
      </c>
      <c r="AF348" s="64" t="s">
        <v>1486</v>
      </c>
      <c r="AG348" s="49">
        <v>0.56999999999999995</v>
      </c>
    </row>
    <row r="349" spans="1:33" ht="34.5" customHeight="1" x14ac:dyDescent="0.3">
      <c r="A349" s="46">
        <v>674</v>
      </c>
      <c r="B349" s="46" t="s">
        <v>1487</v>
      </c>
      <c r="C349" s="46" t="s">
        <v>40</v>
      </c>
      <c r="D349" s="60">
        <v>2016</v>
      </c>
      <c r="E349" s="60">
        <v>2017</v>
      </c>
      <c r="F349" s="46" t="s">
        <v>285</v>
      </c>
      <c r="G349" s="46" t="s">
        <v>1</v>
      </c>
      <c r="H349" s="46"/>
      <c r="I349" s="46" t="s">
        <v>157</v>
      </c>
      <c r="J349" s="46"/>
      <c r="K349" s="46" t="s">
        <v>68</v>
      </c>
      <c r="L349" s="46"/>
      <c r="M349" s="46"/>
      <c r="N349" s="46"/>
      <c r="O349" s="46"/>
      <c r="P349" s="46"/>
      <c r="Q349" s="46">
        <v>1</v>
      </c>
      <c r="R349" s="46"/>
      <c r="S349" s="46"/>
      <c r="T349" s="46"/>
      <c r="U349" s="46"/>
      <c r="V349" s="46"/>
      <c r="W349" s="46"/>
      <c r="X349" s="46"/>
      <c r="Y349" s="46"/>
      <c r="Z349" s="46" t="s">
        <v>873</v>
      </c>
      <c r="AA349" s="61">
        <f>AB349*0.0052</f>
        <v>5.1999999999999998E-3</v>
      </c>
      <c r="AB349" s="62">
        <v>1</v>
      </c>
      <c r="AC349" s="63">
        <f t="shared" si="42"/>
        <v>7.7963999999999996E-4</v>
      </c>
      <c r="AD349" s="62"/>
      <c r="AE349" s="62">
        <f t="shared" si="39"/>
        <v>1</v>
      </c>
      <c r="AF349" s="64" t="s">
        <v>1484</v>
      </c>
      <c r="AG349" s="49">
        <v>0.56999999999999995</v>
      </c>
    </row>
    <row r="350" spans="1:33" ht="34.5" customHeight="1" x14ac:dyDescent="0.3">
      <c r="A350" s="46">
        <v>675</v>
      </c>
      <c r="B350" s="46" t="s">
        <v>1488</v>
      </c>
      <c r="C350" s="46" t="s">
        <v>42</v>
      </c>
      <c r="D350" s="60">
        <v>2016</v>
      </c>
      <c r="E350" s="60">
        <v>2019</v>
      </c>
      <c r="F350" s="46" t="s">
        <v>285</v>
      </c>
      <c r="G350" s="46" t="s">
        <v>161</v>
      </c>
      <c r="H350" s="46" t="s">
        <v>1489</v>
      </c>
      <c r="I350" s="46"/>
      <c r="J350" s="46"/>
      <c r="K350" s="46" t="s">
        <v>68</v>
      </c>
      <c r="L350" s="46"/>
      <c r="M350" s="46"/>
      <c r="N350" s="46"/>
      <c r="O350" s="46"/>
      <c r="P350" s="46"/>
      <c r="Q350" s="46">
        <v>1</v>
      </c>
      <c r="R350" s="46"/>
      <c r="S350" s="46"/>
      <c r="T350" s="46"/>
      <c r="U350" s="46"/>
      <c r="V350" s="46"/>
      <c r="W350" s="46"/>
      <c r="X350" s="46"/>
      <c r="Y350" s="46"/>
      <c r="Z350" s="46" t="s">
        <v>1490</v>
      </c>
      <c r="AA350" s="61"/>
      <c r="AB350" s="62"/>
      <c r="AC350" s="63"/>
      <c r="AD350" s="62">
        <v>100000</v>
      </c>
      <c r="AE350" s="62">
        <f>IF(AND(G350&lt;&gt;"NG w CCUS",G350&lt;&gt;"Oil w CCUS",G350&lt;&gt;"Coal w CCUS"),AB350,AD350*10^3/(HoursInYear*IF(G350="NG w CCUS",0.9105,1.9075)))</f>
        <v>12537.644276941517</v>
      </c>
      <c r="AF350" s="64" t="s">
        <v>1491</v>
      </c>
      <c r="AG350" s="49">
        <v>0.9</v>
      </c>
    </row>
    <row r="351" spans="1:33" ht="34.5" customHeight="1" x14ac:dyDescent="0.3">
      <c r="A351" s="46">
        <v>676</v>
      </c>
      <c r="B351" s="46" t="s">
        <v>1492</v>
      </c>
      <c r="C351" s="46" t="s">
        <v>203</v>
      </c>
      <c r="D351" s="60">
        <v>2017</v>
      </c>
      <c r="E351" s="60">
        <v>2019</v>
      </c>
      <c r="F351" s="46" t="s">
        <v>285</v>
      </c>
      <c r="G351" s="46" t="s">
        <v>2</v>
      </c>
      <c r="H351" s="46"/>
      <c r="I351" s="46" t="s">
        <v>157</v>
      </c>
      <c r="J351" s="46"/>
      <c r="K351" s="46" t="s">
        <v>68</v>
      </c>
      <c r="L351" s="46"/>
      <c r="M351" s="46"/>
      <c r="N351" s="46"/>
      <c r="O351" s="46">
        <v>1</v>
      </c>
      <c r="P351" s="46"/>
      <c r="Q351" s="46"/>
      <c r="R351" s="46"/>
      <c r="S351" s="46"/>
      <c r="T351" s="46"/>
      <c r="U351" s="46"/>
      <c r="V351" s="46"/>
      <c r="W351" s="46"/>
      <c r="X351" s="46"/>
      <c r="Y351" s="46"/>
      <c r="Z351" s="46" t="s">
        <v>1493</v>
      </c>
      <c r="AA351" s="61">
        <v>0.15</v>
      </c>
      <c r="AB351" s="62">
        <f>AA351/0.0038</f>
        <v>39.473684210526315</v>
      </c>
      <c r="AC351" s="63">
        <f t="shared" ref="AC351" si="43">AB351*H2dens*HoursInYear/10^6</f>
        <v>3.0775263157894736E-2</v>
      </c>
      <c r="AD351" s="62"/>
      <c r="AE351" s="62">
        <f t="shared" ref="AE351:AE374" si="44">AB351</f>
        <v>39.473684210526315</v>
      </c>
      <c r="AF351" s="64" t="s">
        <v>1494</v>
      </c>
      <c r="AG351" s="49">
        <v>0.56999999999999995</v>
      </c>
    </row>
    <row r="352" spans="1:33" ht="34.5" customHeight="1" x14ac:dyDescent="0.3">
      <c r="A352" s="46">
        <v>677</v>
      </c>
      <c r="B352" s="46" t="s">
        <v>1495</v>
      </c>
      <c r="C352" s="46" t="s">
        <v>42</v>
      </c>
      <c r="D352" s="60">
        <v>2017</v>
      </c>
      <c r="E352" s="60">
        <v>2019</v>
      </c>
      <c r="F352" s="46" t="s">
        <v>285</v>
      </c>
      <c r="G352" s="46" t="s">
        <v>3</v>
      </c>
      <c r="H352" s="46"/>
      <c r="I352" s="46" t="s">
        <v>157</v>
      </c>
      <c r="J352" s="46"/>
      <c r="K352" s="46" t="s">
        <v>68</v>
      </c>
      <c r="L352" s="46"/>
      <c r="M352" s="46"/>
      <c r="N352" s="46"/>
      <c r="O352" s="46"/>
      <c r="P352" s="46"/>
      <c r="Q352" s="46"/>
      <c r="R352" s="46"/>
      <c r="S352" s="46"/>
      <c r="T352" s="46">
        <v>1</v>
      </c>
      <c r="U352" s="46"/>
      <c r="V352" s="46"/>
      <c r="W352" s="46"/>
      <c r="X352" s="46"/>
      <c r="Y352" s="46"/>
      <c r="Z352" s="46" t="s">
        <v>1496</v>
      </c>
      <c r="AA352" s="61">
        <v>0.13500000000000001</v>
      </c>
      <c r="AB352" s="62">
        <f>AA352/0.0046</f>
        <v>29.347826086956523</v>
      </c>
      <c r="AC352" s="63">
        <f t="shared" ref="AC352:AC366" si="45">AB352*H2dens*HoursInYear/10^6</f>
        <v>2.2880739130434782E-2</v>
      </c>
      <c r="AD352" s="62"/>
      <c r="AE352" s="62">
        <f t="shared" si="44"/>
        <v>29.347826086956523</v>
      </c>
      <c r="AF352" s="64" t="s">
        <v>1497</v>
      </c>
      <c r="AG352" s="49">
        <v>0.56999999999999995</v>
      </c>
    </row>
    <row r="353" spans="1:33" ht="34.5" customHeight="1" x14ac:dyDescent="0.3">
      <c r="A353" s="46">
        <v>678</v>
      </c>
      <c r="B353" s="46" t="s">
        <v>1498</v>
      </c>
      <c r="C353" s="46" t="s">
        <v>42</v>
      </c>
      <c r="D353" s="60">
        <v>2017</v>
      </c>
      <c r="E353" s="60">
        <v>2018</v>
      </c>
      <c r="F353" s="46" t="s">
        <v>285</v>
      </c>
      <c r="G353" s="46" t="s">
        <v>1</v>
      </c>
      <c r="H353" s="46"/>
      <c r="I353" s="46" t="s">
        <v>157</v>
      </c>
      <c r="J353" s="46"/>
      <c r="K353" s="46" t="s">
        <v>68</v>
      </c>
      <c r="L353" s="46"/>
      <c r="M353" s="46"/>
      <c r="N353" s="46"/>
      <c r="O353" s="46"/>
      <c r="P353" s="46"/>
      <c r="Q353" s="46">
        <v>1</v>
      </c>
      <c r="R353" s="46"/>
      <c r="S353" s="46"/>
      <c r="T353" s="46"/>
      <c r="U353" s="46"/>
      <c r="V353" s="46"/>
      <c r="W353" s="46"/>
      <c r="X353" s="46"/>
      <c r="Y353" s="46"/>
      <c r="Z353" s="46" t="s">
        <v>865</v>
      </c>
      <c r="AA353" s="61">
        <f>AB353*0.0052</f>
        <v>0.52</v>
      </c>
      <c r="AB353" s="62">
        <v>100</v>
      </c>
      <c r="AC353" s="63">
        <f t="shared" si="45"/>
        <v>7.7964000000000006E-2</v>
      </c>
      <c r="AD353" s="62"/>
      <c r="AE353" s="62">
        <f t="shared" si="44"/>
        <v>100</v>
      </c>
      <c r="AF353" s="64" t="s">
        <v>1499</v>
      </c>
      <c r="AG353" s="49">
        <v>0.56999999999999995</v>
      </c>
    </row>
    <row r="354" spans="1:33" ht="34.5" customHeight="1" x14ac:dyDescent="0.3">
      <c r="A354" s="46">
        <v>679</v>
      </c>
      <c r="B354" s="46" t="s">
        <v>1500</v>
      </c>
      <c r="C354" s="46" t="s">
        <v>34</v>
      </c>
      <c r="D354" s="60">
        <v>2018</v>
      </c>
      <c r="E354" s="60">
        <v>2020</v>
      </c>
      <c r="F354" s="46" t="s">
        <v>285</v>
      </c>
      <c r="G354" s="46" t="s">
        <v>1</v>
      </c>
      <c r="H354" s="46"/>
      <c r="I354" s="46" t="s">
        <v>157</v>
      </c>
      <c r="J354" s="46"/>
      <c r="K354" s="46" t="s">
        <v>68</v>
      </c>
      <c r="L354" s="46"/>
      <c r="M354" s="46"/>
      <c r="N354" s="46"/>
      <c r="O354" s="46"/>
      <c r="P354" s="46"/>
      <c r="Q354" s="46">
        <v>1</v>
      </c>
      <c r="R354" s="46"/>
      <c r="S354" s="46">
        <v>1</v>
      </c>
      <c r="T354" s="46"/>
      <c r="U354" s="46"/>
      <c r="V354" s="46"/>
      <c r="W354" s="46"/>
      <c r="X354" s="46"/>
      <c r="Y354" s="46"/>
      <c r="Z354" s="46" t="s">
        <v>865</v>
      </c>
      <c r="AA354" s="61">
        <f>AB354*0.0052</f>
        <v>0.52</v>
      </c>
      <c r="AB354" s="62">
        <v>100</v>
      </c>
      <c r="AC354" s="63">
        <f t="shared" si="45"/>
        <v>7.7964000000000006E-2</v>
      </c>
      <c r="AD354" s="62"/>
      <c r="AE354" s="62">
        <f t="shared" si="44"/>
        <v>100</v>
      </c>
      <c r="AF354" s="64" t="s">
        <v>1501</v>
      </c>
      <c r="AG354" s="49">
        <v>0.56999999999999995</v>
      </c>
    </row>
    <row r="355" spans="1:33" ht="34.5" customHeight="1" x14ac:dyDescent="0.3">
      <c r="A355" s="46">
        <v>680</v>
      </c>
      <c r="B355" s="46" t="s">
        <v>1502</v>
      </c>
      <c r="C355" s="46" t="s">
        <v>321</v>
      </c>
      <c r="D355" s="60">
        <v>2019</v>
      </c>
      <c r="E355" s="60">
        <v>2020</v>
      </c>
      <c r="F355" s="46" t="s">
        <v>285</v>
      </c>
      <c r="G355" s="46" t="s">
        <v>1</v>
      </c>
      <c r="H355" s="46"/>
      <c r="I355" s="46" t="s">
        <v>157</v>
      </c>
      <c r="J355" s="46"/>
      <c r="K355" s="46" t="s">
        <v>68</v>
      </c>
      <c r="L355" s="46"/>
      <c r="M355" s="46"/>
      <c r="N355" s="46"/>
      <c r="O355" s="46"/>
      <c r="P355" s="46"/>
      <c r="Q355" s="46"/>
      <c r="R355" s="46">
        <v>1</v>
      </c>
      <c r="S355" s="46"/>
      <c r="T355" s="46"/>
      <c r="U355" s="46"/>
      <c r="V355" s="46"/>
      <c r="W355" s="46"/>
      <c r="X355" s="46"/>
      <c r="Y355" s="46"/>
      <c r="Z355" s="46" t="s">
        <v>925</v>
      </c>
      <c r="AA355" s="61">
        <v>0.05</v>
      </c>
      <c r="AB355" s="62">
        <f>AA355/0.0052</f>
        <v>9.6153846153846168</v>
      </c>
      <c r="AC355" s="63">
        <f t="shared" si="45"/>
        <v>7.4965384615384616E-3</v>
      </c>
      <c r="AD355" s="62"/>
      <c r="AE355" s="62">
        <f t="shared" si="44"/>
        <v>9.6153846153846168</v>
      </c>
      <c r="AF355" s="64" t="s">
        <v>1503</v>
      </c>
      <c r="AG355" s="49">
        <v>0.56999999999999995</v>
      </c>
    </row>
    <row r="356" spans="1:33" ht="34.5" customHeight="1" x14ac:dyDescent="0.3">
      <c r="A356" s="46">
        <v>681</v>
      </c>
      <c r="B356" s="46" t="s">
        <v>1504</v>
      </c>
      <c r="C356" s="46" t="s">
        <v>321</v>
      </c>
      <c r="D356" s="60">
        <v>2008</v>
      </c>
      <c r="E356" s="60">
        <v>2009</v>
      </c>
      <c r="F356" s="46" t="s">
        <v>285</v>
      </c>
      <c r="G356" s="46" t="s">
        <v>1</v>
      </c>
      <c r="H356" s="46"/>
      <c r="I356" s="46" t="s">
        <v>157</v>
      </c>
      <c r="J356" s="46"/>
      <c r="K356" s="46" t="s">
        <v>68</v>
      </c>
      <c r="L356" s="46"/>
      <c r="M356" s="46"/>
      <c r="N356" s="46"/>
      <c r="O356" s="46"/>
      <c r="P356" s="46"/>
      <c r="Q356" s="46"/>
      <c r="R356" s="46">
        <v>1</v>
      </c>
      <c r="S356" s="46"/>
      <c r="T356" s="46"/>
      <c r="U356" s="46"/>
      <c r="V356" s="46"/>
      <c r="W356" s="46"/>
      <c r="X356" s="46"/>
      <c r="Y356" s="46"/>
      <c r="Z356" s="46" t="s">
        <v>1505</v>
      </c>
      <c r="AA356" s="61">
        <v>4.1000000000000002E-2</v>
      </c>
      <c r="AB356" s="62">
        <f>AA356/0.0052</f>
        <v>7.884615384615385</v>
      </c>
      <c r="AC356" s="63">
        <f t="shared" si="45"/>
        <v>6.1471615384615392E-3</v>
      </c>
      <c r="AD356" s="62"/>
      <c r="AE356" s="62">
        <f t="shared" si="44"/>
        <v>7.884615384615385</v>
      </c>
      <c r="AF356" s="64" t="s">
        <v>1506</v>
      </c>
      <c r="AG356" s="49">
        <v>0.56999999999999995</v>
      </c>
    </row>
    <row r="357" spans="1:33" ht="34.5" customHeight="1" x14ac:dyDescent="0.3">
      <c r="A357" s="46">
        <v>682</v>
      </c>
      <c r="B357" s="46" t="s">
        <v>1507</v>
      </c>
      <c r="C357" s="46" t="s">
        <v>203</v>
      </c>
      <c r="D357" s="60">
        <v>2005</v>
      </c>
      <c r="E357" s="60">
        <v>2008</v>
      </c>
      <c r="F357" s="46" t="s">
        <v>285</v>
      </c>
      <c r="G357" s="46" t="s">
        <v>1</v>
      </c>
      <c r="H357" s="46"/>
      <c r="I357" s="46" t="s">
        <v>157</v>
      </c>
      <c r="J357" s="46"/>
      <c r="K357" s="46" t="s">
        <v>68</v>
      </c>
      <c r="L357" s="46"/>
      <c r="M357" s="46"/>
      <c r="N357" s="46"/>
      <c r="O357" s="46"/>
      <c r="P357" s="46"/>
      <c r="Q357" s="46"/>
      <c r="R357" s="46">
        <v>1</v>
      </c>
      <c r="S357" s="46"/>
      <c r="T357" s="46"/>
      <c r="U357" s="46"/>
      <c r="V357" s="46"/>
      <c r="W357" s="46"/>
      <c r="X357" s="46"/>
      <c r="Y357" s="46"/>
      <c r="Z357" s="46" t="s">
        <v>1508</v>
      </c>
      <c r="AA357" s="61">
        <f>AB357*0.0052</f>
        <v>3.2759999999999997E-2</v>
      </c>
      <c r="AB357" s="62">
        <v>6.3</v>
      </c>
      <c r="AC357" s="63">
        <f t="shared" si="45"/>
        <v>4.9117320000000003E-3</v>
      </c>
      <c r="AD357" s="62"/>
      <c r="AE357" s="62">
        <f t="shared" si="44"/>
        <v>6.3</v>
      </c>
      <c r="AF357" s="64" t="s">
        <v>1509</v>
      </c>
      <c r="AG357" s="49">
        <v>0.56999999999999995</v>
      </c>
    </row>
    <row r="358" spans="1:33" ht="34.5" customHeight="1" x14ac:dyDescent="0.3">
      <c r="A358" s="46">
        <v>683</v>
      </c>
      <c r="B358" s="46" t="s">
        <v>1510</v>
      </c>
      <c r="C358" s="46" t="s">
        <v>34</v>
      </c>
      <c r="D358" s="60">
        <v>2020</v>
      </c>
      <c r="E358" s="60">
        <v>2023</v>
      </c>
      <c r="F358" s="46" t="s">
        <v>285</v>
      </c>
      <c r="G358" s="46" t="s">
        <v>3</v>
      </c>
      <c r="H358" s="46"/>
      <c r="I358" s="46" t="s">
        <v>157</v>
      </c>
      <c r="J358" s="46"/>
      <c r="K358" s="46" t="s">
        <v>168</v>
      </c>
      <c r="L358" s="46"/>
      <c r="M358" s="46"/>
      <c r="N358" s="46"/>
      <c r="O358" s="46"/>
      <c r="P358" s="46"/>
      <c r="Q358" s="46"/>
      <c r="R358" s="46"/>
      <c r="S358" s="46">
        <v>1</v>
      </c>
      <c r="T358" s="46"/>
      <c r="U358" s="46"/>
      <c r="V358" s="46"/>
      <c r="W358" s="46"/>
      <c r="X358" s="46">
        <v>1</v>
      </c>
      <c r="Y358" s="46"/>
      <c r="Z358" s="46" t="s">
        <v>833</v>
      </c>
      <c r="AA358" s="61">
        <v>1</v>
      </c>
      <c r="AB358" s="62">
        <f>IF(OR(G358="ALK",G358="PEM",G358="SOEC",G358="Other Electrolysis"),
AA358/VLOOKUP(G358,ElectrolysisConvF,3,FALSE),
AC358*10^6/(H2dens*HoursInYear))</f>
        <v>217.39130434782609</v>
      </c>
      <c r="AC358" s="63">
        <f t="shared" si="45"/>
        <v>0.16948695652173912</v>
      </c>
      <c r="AD358" s="62"/>
      <c r="AE358" s="62">
        <f t="shared" si="44"/>
        <v>217.39130434782609</v>
      </c>
      <c r="AF358" s="64" t="s">
        <v>1511</v>
      </c>
      <c r="AG358" s="49">
        <v>0.56999999999999995</v>
      </c>
    </row>
    <row r="359" spans="1:33" ht="34.5" customHeight="1" x14ac:dyDescent="0.3">
      <c r="A359" s="46">
        <v>684</v>
      </c>
      <c r="B359" s="46" t="s">
        <v>1512</v>
      </c>
      <c r="C359" s="46" t="s">
        <v>40</v>
      </c>
      <c r="D359" s="60">
        <v>2007</v>
      </c>
      <c r="E359" s="60"/>
      <c r="F359" s="46" t="s">
        <v>285</v>
      </c>
      <c r="G359" s="46" t="s">
        <v>1</v>
      </c>
      <c r="H359" s="46"/>
      <c r="I359" s="46" t="s">
        <v>157</v>
      </c>
      <c r="J359" s="46"/>
      <c r="K359" s="46" t="s">
        <v>68</v>
      </c>
      <c r="L359" s="46"/>
      <c r="M359" s="46"/>
      <c r="N359" s="46"/>
      <c r="O359" s="46"/>
      <c r="P359" s="46"/>
      <c r="Q359" s="46">
        <v>1</v>
      </c>
      <c r="R359" s="46">
        <v>1</v>
      </c>
      <c r="S359" s="46"/>
      <c r="T359" s="46"/>
      <c r="U359" s="46"/>
      <c r="V359" s="46"/>
      <c r="W359" s="46"/>
      <c r="X359" s="46"/>
      <c r="Y359" s="46"/>
      <c r="Z359" s="46" t="s">
        <v>1073</v>
      </c>
      <c r="AA359" s="61">
        <v>5.0000000000000001E-3</v>
      </c>
      <c r="AB359" s="62">
        <f>AA359/0.0052</f>
        <v>0.96153846153846156</v>
      </c>
      <c r="AC359" s="63">
        <f t="shared" si="45"/>
        <v>7.4965384615384618E-4</v>
      </c>
      <c r="AD359" s="62"/>
      <c r="AE359" s="62">
        <f t="shared" si="44"/>
        <v>0.96153846153846156</v>
      </c>
      <c r="AF359" s="64" t="s">
        <v>1513</v>
      </c>
      <c r="AG359" s="49">
        <v>0.56999999999999995</v>
      </c>
    </row>
    <row r="360" spans="1:33" ht="34.5" customHeight="1" x14ac:dyDescent="0.3">
      <c r="A360" s="46">
        <v>685</v>
      </c>
      <c r="B360" s="46" t="s">
        <v>1514</v>
      </c>
      <c r="C360" s="46" t="s">
        <v>34</v>
      </c>
      <c r="D360" s="60">
        <v>2000</v>
      </c>
      <c r="E360" s="60">
        <v>2004</v>
      </c>
      <c r="F360" s="46" t="s">
        <v>285</v>
      </c>
      <c r="G360" s="46" t="s">
        <v>3</v>
      </c>
      <c r="H360" s="46"/>
      <c r="I360" s="46" t="s">
        <v>157</v>
      </c>
      <c r="J360" s="46"/>
      <c r="K360" s="46" t="s">
        <v>68</v>
      </c>
      <c r="L360" s="46"/>
      <c r="M360" s="46"/>
      <c r="N360" s="46"/>
      <c r="O360" s="46"/>
      <c r="P360" s="46"/>
      <c r="Q360" s="46"/>
      <c r="R360" s="46">
        <v>1</v>
      </c>
      <c r="S360" s="46"/>
      <c r="T360" s="46"/>
      <c r="U360" s="46"/>
      <c r="V360" s="46"/>
      <c r="W360" s="46"/>
      <c r="X360" s="46"/>
      <c r="Y360" s="46"/>
      <c r="Z360" s="46" t="s">
        <v>1515</v>
      </c>
      <c r="AA360" s="61">
        <v>3.5999999999999999E-3</v>
      </c>
      <c r="AB360" s="62">
        <f>AA360/0.0046</f>
        <v>0.78260869565217395</v>
      </c>
      <c r="AC360" s="63">
        <f t="shared" si="45"/>
        <v>6.1015304347826081E-4</v>
      </c>
      <c r="AD360" s="62"/>
      <c r="AE360" s="62">
        <f t="shared" si="44"/>
        <v>0.78260869565217395</v>
      </c>
      <c r="AF360" s="64" t="s">
        <v>1516</v>
      </c>
      <c r="AG360" s="49">
        <v>0.56999999999999995</v>
      </c>
    </row>
    <row r="361" spans="1:33" ht="34.5" customHeight="1" x14ac:dyDescent="0.3">
      <c r="A361" s="46">
        <v>686</v>
      </c>
      <c r="B361" s="46" t="s">
        <v>1517</v>
      </c>
      <c r="C361" s="46" t="s">
        <v>45</v>
      </c>
      <c r="D361" s="60">
        <v>2004</v>
      </c>
      <c r="E361" s="60">
        <v>2004</v>
      </c>
      <c r="F361" s="46" t="s">
        <v>285</v>
      </c>
      <c r="G361" s="46" t="s">
        <v>3</v>
      </c>
      <c r="H361" s="46"/>
      <c r="I361" s="46" t="s">
        <v>157</v>
      </c>
      <c r="J361" s="46"/>
      <c r="K361" s="46" t="s">
        <v>68</v>
      </c>
      <c r="L361" s="46"/>
      <c r="M361" s="46"/>
      <c r="N361" s="46"/>
      <c r="O361" s="46"/>
      <c r="P361" s="46"/>
      <c r="Q361" s="46"/>
      <c r="R361" s="46">
        <v>1</v>
      </c>
      <c r="S361" s="46"/>
      <c r="T361" s="46"/>
      <c r="U361" s="46"/>
      <c r="V361" s="46"/>
      <c r="W361" s="46"/>
      <c r="X361" s="46"/>
      <c r="Y361" s="46"/>
      <c r="Z361" s="46" t="s">
        <v>1518</v>
      </c>
      <c r="AA361" s="61">
        <v>3.3999999999999998E-3</v>
      </c>
      <c r="AB361" s="62">
        <f>AA361/0.0046</f>
        <v>0.73913043478260865</v>
      </c>
      <c r="AC361" s="63">
        <f t="shared" si="45"/>
        <v>5.7625565217391298E-4</v>
      </c>
      <c r="AD361" s="62"/>
      <c r="AE361" s="62">
        <f t="shared" si="44"/>
        <v>0.73913043478260865</v>
      </c>
      <c r="AF361" s="64" t="s">
        <v>1519</v>
      </c>
      <c r="AG361" s="49">
        <v>0.56999999999999995</v>
      </c>
    </row>
    <row r="362" spans="1:33" ht="34.5" customHeight="1" x14ac:dyDescent="0.3">
      <c r="A362" s="46">
        <v>687</v>
      </c>
      <c r="B362" s="46" t="s">
        <v>1520</v>
      </c>
      <c r="C362" s="46" t="s">
        <v>42</v>
      </c>
      <c r="D362" s="60">
        <v>2005</v>
      </c>
      <c r="E362" s="60">
        <v>2005</v>
      </c>
      <c r="F362" s="46" t="s">
        <v>285</v>
      </c>
      <c r="G362" s="46" t="s">
        <v>1</v>
      </c>
      <c r="H362" s="46"/>
      <c r="I362" s="46" t="s">
        <v>157</v>
      </c>
      <c r="J362" s="46"/>
      <c r="K362" s="46" t="s">
        <v>68</v>
      </c>
      <c r="L362" s="46"/>
      <c r="M362" s="46"/>
      <c r="N362" s="46"/>
      <c r="O362" s="46"/>
      <c r="P362" s="46"/>
      <c r="Q362" s="46"/>
      <c r="R362" s="46">
        <v>1</v>
      </c>
      <c r="S362" s="46"/>
      <c r="T362" s="46"/>
      <c r="U362" s="46"/>
      <c r="V362" s="46"/>
      <c r="W362" s="46"/>
      <c r="X362" s="46"/>
      <c r="Y362" s="46"/>
      <c r="Z362" s="46" t="s">
        <v>1225</v>
      </c>
      <c r="AA362" s="61">
        <f>AB362*0.0052</f>
        <v>3.6399999999999996E-3</v>
      </c>
      <c r="AB362" s="62">
        <v>0.7</v>
      </c>
      <c r="AC362" s="63">
        <f t="shared" si="45"/>
        <v>5.4574799999999998E-4</v>
      </c>
      <c r="AD362" s="62"/>
      <c r="AE362" s="62">
        <f t="shared" si="44"/>
        <v>0.7</v>
      </c>
      <c r="AF362" s="64" t="s">
        <v>1521</v>
      </c>
      <c r="AG362" s="49">
        <v>0.56999999999999995</v>
      </c>
    </row>
    <row r="363" spans="1:33" ht="34.5" customHeight="1" x14ac:dyDescent="0.3">
      <c r="A363" s="46">
        <v>688</v>
      </c>
      <c r="B363" s="46" t="s">
        <v>1522</v>
      </c>
      <c r="C363" s="46" t="s">
        <v>321</v>
      </c>
      <c r="D363" s="60">
        <v>2004</v>
      </c>
      <c r="E363" s="60">
        <v>2005</v>
      </c>
      <c r="F363" s="46" t="s">
        <v>285</v>
      </c>
      <c r="G363" s="46" t="s">
        <v>1</v>
      </c>
      <c r="H363" s="46"/>
      <c r="I363" s="46" t="s">
        <v>157</v>
      </c>
      <c r="J363" s="46"/>
      <c r="K363" s="46" t="s">
        <v>68</v>
      </c>
      <c r="L363" s="46"/>
      <c r="M363" s="46"/>
      <c r="N363" s="46"/>
      <c r="O363" s="46"/>
      <c r="P363" s="46"/>
      <c r="Q363" s="46">
        <v>1</v>
      </c>
      <c r="R363" s="46">
        <v>1</v>
      </c>
      <c r="S363" s="46"/>
      <c r="T363" s="46">
        <v>1</v>
      </c>
      <c r="U363" s="46"/>
      <c r="V363" s="46"/>
      <c r="W363" s="46"/>
      <c r="X363" s="46"/>
      <c r="Y363" s="46"/>
      <c r="Z363" s="46" t="s">
        <v>1523</v>
      </c>
      <c r="AA363" s="61">
        <f>AB363*0.0052</f>
        <v>2.5999999999999999E-3</v>
      </c>
      <c r="AB363" s="62">
        <v>0.5</v>
      </c>
      <c r="AC363" s="63">
        <f t="shared" si="45"/>
        <v>3.8981999999999998E-4</v>
      </c>
      <c r="AD363" s="62"/>
      <c r="AE363" s="62">
        <f t="shared" si="44"/>
        <v>0.5</v>
      </c>
      <c r="AF363" s="64" t="s">
        <v>1524</v>
      </c>
      <c r="AG363" s="49">
        <v>0.56999999999999995</v>
      </c>
    </row>
    <row r="364" spans="1:33" ht="34.5" customHeight="1" x14ac:dyDescent="0.3">
      <c r="A364" s="46">
        <v>689</v>
      </c>
      <c r="B364" s="46" t="s">
        <v>1525</v>
      </c>
      <c r="C364" s="46" t="s">
        <v>50</v>
      </c>
      <c r="D364" s="60">
        <v>2024</v>
      </c>
      <c r="E364" s="60"/>
      <c r="F364" s="46" t="s">
        <v>225</v>
      </c>
      <c r="G364" s="46" t="s">
        <v>1</v>
      </c>
      <c r="H364" s="46"/>
      <c r="I364" s="46" t="s">
        <v>169</v>
      </c>
      <c r="J364" s="46" t="s">
        <v>246</v>
      </c>
      <c r="K364" s="46" t="s">
        <v>68</v>
      </c>
      <c r="L364" s="46"/>
      <c r="M364" s="46"/>
      <c r="N364" s="46"/>
      <c r="O364" s="46"/>
      <c r="P364" s="46">
        <v>1</v>
      </c>
      <c r="Q364" s="46"/>
      <c r="R364" s="46"/>
      <c r="S364" s="46"/>
      <c r="T364" s="46"/>
      <c r="U364" s="46"/>
      <c r="V364" s="46"/>
      <c r="W364" s="46"/>
      <c r="X364" s="46"/>
      <c r="Y364" s="46"/>
      <c r="Z364" s="46" t="s">
        <v>911</v>
      </c>
      <c r="AA364" s="61">
        <v>1.25</v>
      </c>
      <c r="AB364" s="62">
        <f>AA364/0.0052</f>
        <v>240.38461538461539</v>
      </c>
      <c r="AC364" s="63">
        <f t="shared" si="45"/>
        <v>0.18741346153846153</v>
      </c>
      <c r="AD364" s="62"/>
      <c r="AE364" s="62">
        <f t="shared" si="44"/>
        <v>240.38461538461539</v>
      </c>
      <c r="AF364" s="64" t="s">
        <v>1526</v>
      </c>
      <c r="AG364" s="49">
        <v>0.55000000000000004</v>
      </c>
    </row>
    <row r="365" spans="1:33" ht="34.5" customHeight="1" x14ac:dyDescent="0.3">
      <c r="A365" s="46">
        <v>690</v>
      </c>
      <c r="B365" s="46" t="s">
        <v>1527</v>
      </c>
      <c r="C365" s="46" t="s">
        <v>321</v>
      </c>
      <c r="D365" s="60">
        <v>2000</v>
      </c>
      <c r="E365" s="60">
        <v>2004</v>
      </c>
      <c r="F365" s="46" t="s">
        <v>285</v>
      </c>
      <c r="G365" s="46" t="s">
        <v>1</v>
      </c>
      <c r="H365" s="46"/>
      <c r="I365" s="46" t="s">
        <v>157</v>
      </c>
      <c r="J365" s="46"/>
      <c r="K365" s="46" t="s">
        <v>68</v>
      </c>
      <c r="L365" s="46"/>
      <c r="M365" s="46"/>
      <c r="N365" s="46"/>
      <c r="O365" s="46"/>
      <c r="P365" s="46"/>
      <c r="Q365" s="46"/>
      <c r="R365" s="46">
        <v>1</v>
      </c>
      <c r="S365" s="46"/>
      <c r="T365" s="46"/>
      <c r="U365" s="46"/>
      <c r="V365" s="46"/>
      <c r="W365" s="46"/>
      <c r="X365" s="46"/>
      <c r="Y365" s="46"/>
      <c r="Z365" s="46" t="s">
        <v>1408</v>
      </c>
      <c r="AA365" s="61">
        <v>1E-3</v>
      </c>
      <c r="AB365" s="62">
        <f>AA365/0.0052</f>
        <v>0.19230769230769232</v>
      </c>
      <c r="AC365" s="63">
        <f t="shared" si="45"/>
        <v>1.4993076923076925E-4</v>
      </c>
      <c r="AD365" s="62"/>
      <c r="AE365" s="62">
        <f t="shared" si="44"/>
        <v>0.19230769230769232</v>
      </c>
      <c r="AF365" s="64" t="s">
        <v>1528</v>
      </c>
      <c r="AG365" s="49">
        <v>0.56999999999999995</v>
      </c>
    </row>
    <row r="366" spans="1:33" ht="34.5" customHeight="1" x14ac:dyDescent="0.3">
      <c r="A366" s="46">
        <v>691</v>
      </c>
      <c r="B366" s="46" t="s">
        <v>1529</v>
      </c>
      <c r="C366" s="46" t="s">
        <v>321</v>
      </c>
      <c r="D366" s="60">
        <v>2008</v>
      </c>
      <c r="E366" s="60">
        <v>2009</v>
      </c>
      <c r="F366" s="46" t="s">
        <v>285</v>
      </c>
      <c r="G366" s="46" t="s">
        <v>159</v>
      </c>
      <c r="H366" s="46" t="s">
        <v>592</v>
      </c>
      <c r="I366" s="46" t="s">
        <v>157</v>
      </c>
      <c r="J366" s="46"/>
      <c r="K366" s="46" t="s">
        <v>68</v>
      </c>
      <c r="L366" s="46"/>
      <c r="M366" s="46"/>
      <c r="N366" s="46"/>
      <c r="O366" s="46"/>
      <c r="P366" s="46"/>
      <c r="Q366" s="46"/>
      <c r="R366" s="46"/>
      <c r="S366" s="46"/>
      <c r="T366" s="46"/>
      <c r="U366" s="46">
        <v>1</v>
      </c>
      <c r="V366" s="46"/>
      <c r="W366" s="46"/>
      <c r="X366" s="46"/>
      <c r="Y366" s="46"/>
      <c r="Z366" s="46" t="s">
        <v>1530</v>
      </c>
      <c r="AA366" s="61">
        <f>AB366*0.0045</f>
        <v>2.2499999999999999E-4</v>
      </c>
      <c r="AB366" s="62">
        <v>0.05</v>
      </c>
      <c r="AC366" s="63">
        <f t="shared" si="45"/>
        <v>3.8982E-5</v>
      </c>
      <c r="AD366" s="62"/>
      <c r="AE366" s="62">
        <f t="shared" si="44"/>
        <v>0.05</v>
      </c>
      <c r="AF366" s="64" t="s">
        <v>1531</v>
      </c>
      <c r="AG366" s="49">
        <v>0.56999999999999995</v>
      </c>
    </row>
    <row r="367" spans="1:33" ht="34.5" customHeight="1" x14ac:dyDescent="0.3">
      <c r="A367" s="46">
        <v>692</v>
      </c>
      <c r="B367" s="46" t="s">
        <v>1532</v>
      </c>
      <c r="C367" s="46" t="s">
        <v>203</v>
      </c>
      <c r="D367" s="60">
        <v>2008</v>
      </c>
      <c r="E367" s="60">
        <v>2011</v>
      </c>
      <c r="F367" s="46" t="s">
        <v>285</v>
      </c>
      <c r="G367" s="46" t="s">
        <v>1</v>
      </c>
      <c r="H367" s="46"/>
      <c r="I367" s="46" t="s">
        <v>157</v>
      </c>
      <c r="J367" s="46"/>
      <c r="K367" s="46" t="s">
        <v>68</v>
      </c>
      <c r="L367" s="46"/>
      <c r="M367" s="46"/>
      <c r="N367" s="46"/>
      <c r="O367" s="46"/>
      <c r="P367" s="46"/>
      <c r="Q367" s="46"/>
      <c r="R367" s="46"/>
      <c r="S367" s="46"/>
      <c r="T367" s="46"/>
      <c r="U367" s="46"/>
      <c r="V367" s="46"/>
      <c r="W367" s="46"/>
      <c r="X367" s="46"/>
      <c r="Y367" s="46"/>
      <c r="Z367" s="46"/>
      <c r="AA367" s="61"/>
      <c r="AB367" s="62"/>
      <c r="AC367" s="63"/>
      <c r="AD367" s="62"/>
      <c r="AE367" s="62">
        <f t="shared" si="44"/>
        <v>0</v>
      </c>
      <c r="AF367" s="64" t="s">
        <v>1533</v>
      </c>
      <c r="AG367" s="49">
        <v>0.56999999999999995</v>
      </c>
    </row>
    <row r="368" spans="1:33" ht="34.5" customHeight="1" x14ac:dyDescent="0.3">
      <c r="A368" s="46">
        <v>693</v>
      </c>
      <c r="B368" s="46" t="s">
        <v>1534</v>
      </c>
      <c r="C368" s="46" t="s">
        <v>50</v>
      </c>
      <c r="D368" s="60">
        <v>2008</v>
      </c>
      <c r="E368" s="60">
        <v>2011</v>
      </c>
      <c r="F368" s="46" t="s">
        <v>285</v>
      </c>
      <c r="G368" s="46" t="s">
        <v>1</v>
      </c>
      <c r="H368" s="46"/>
      <c r="I368" s="46" t="s">
        <v>157</v>
      </c>
      <c r="J368" s="46"/>
      <c r="K368" s="46" t="s">
        <v>68</v>
      </c>
      <c r="L368" s="46"/>
      <c r="M368" s="46"/>
      <c r="N368" s="46"/>
      <c r="O368" s="46"/>
      <c r="P368" s="46"/>
      <c r="Q368" s="46"/>
      <c r="R368" s="46"/>
      <c r="S368" s="46">
        <v>1</v>
      </c>
      <c r="T368" s="46"/>
      <c r="U368" s="46">
        <v>1</v>
      </c>
      <c r="V368" s="46"/>
      <c r="W368" s="46"/>
      <c r="X368" s="46"/>
      <c r="Y368" s="46"/>
      <c r="Z368" s="46"/>
      <c r="AA368" s="61"/>
      <c r="AB368" s="62"/>
      <c r="AC368" s="63"/>
      <c r="AD368" s="62"/>
      <c r="AE368" s="62">
        <f t="shared" si="44"/>
        <v>0</v>
      </c>
      <c r="AF368" s="64" t="s">
        <v>1535</v>
      </c>
      <c r="AG368" s="49">
        <v>0.56999999999999995</v>
      </c>
    </row>
    <row r="369" spans="1:33" ht="34.5" customHeight="1" x14ac:dyDescent="0.3">
      <c r="A369" s="46">
        <v>694</v>
      </c>
      <c r="B369" s="46" t="s">
        <v>1536</v>
      </c>
      <c r="C369" s="46" t="s">
        <v>37</v>
      </c>
      <c r="D369" s="60">
        <v>2009</v>
      </c>
      <c r="E369" s="60">
        <v>2011</v>
      </c>
      <c r="F369" s="46" t="s">
        <v>285</v>
      </c>
      <c r="G369" s="46" t="s">
        <v>3</v>
      </c>
      <c r="H369" s="46"/>
      <c r="I369" s="46" t="s">
        <v>157</v>
      </c>
      <c r="J369" s="46"/>
      <c r="K369" s="46" t="s">
        <v>68</v>
      </c>
      <c r="L369" s="46"/>
      <c r="M369" s="46"/>
      <c r="N369" s="46"/>
      <c r="O369" s="46"/>
      <c r="P369" s="46"/>
      <c r="Q369" s="46"/>
      <c r="R369" s="46">
        <v>1</v>
      </c>
      <c r="S369" s="46">
        <v>1</v>
      </c>
      <c r="T369" s="46"/>
      <c r="U369" s="46"/>
      <c r="V369" s="46"/>
      <c r="W369" s="46"/>
      <c r="X369" s="46"/>
      <c r="Y369" s="46"/>
      <c r="Z369" s="46" t="s">
        <v>1439</v>
      </c>
      <c r="AA369" s="61">
        <v>0.3</v>
      </c>
      <c r="AB369" s="62">
        <f>AA369/0.0046</f>
        <v>65.217391304347828</v>
      </c>
      <c r="AC369" s="63">
        <f>AB369*H2dens*HoursInYear/10^6</f>
        <v>5.0846086956521735E-2</v>
      </c>
      <c r="AD369" s="62"/>
      <c r="AE369" s="62">
        <f t="shared" si="44"/>
        <v>65.217391304347828</v>
      </c>
      <c r="AF369" s="64" t="s">
        <v>1537</v>
      </c>
      <c r="AG369" s="49">
        <v>0.56999999999999995</v>
      </c>
    </row>
    <row r="370" spans="1:33" ht="34.5" customHeight="1" x14ac:dyDescent="0.3">
      <c r="A370" s="46">
        <v>695</v>
      </c>
      <c r="B370" s="46" t="s">
        <v>1538</v>
      </c>
      <c r="C370" s="46" t="s">
        <v>40</v>
      </c>
      <c r="D370" s="60">
        <v>2004</v>
      </c>
      <c r="E370" s="60">
        <v>2009</v>
      </c>
      <c r="F370" s="46" t="s">
        <v>285</v>
      </c>
      <c r="G370" s="46" t="s">
        <v>3</v>
      </c>
      <c r="H370" s="46"/>
      <c r="I370" s="46" t="s">
        <v>157</v>
      </c>
      <c r="J370" s="46"/>
      <c r="K370" s="46" t="s">
        <v>68</v>
      </c>
      <c r="L370" s="46"/>
      <c r="M370" s="46"/>
      <c r="N370" s="46"/>
      <c r="O370" s="46"/>
      <c r="P370" s="46"/>
      <c r="Q370" s="46"/>
      <c r="R370" s="46">
        <v>1</v>
      </c>
      <c r="S370" s="46">
        <v>1</v>
      </c>
      <c r="T370" s="46"/>
      <c r="U370" s="46"/>
      <c r="V370" s="46"/>
      <c r="W370" s="46"/>
      <c r="X370" s="46"/>
      <c r="Y370" s="46"/>
      <c r="Z370" s="46" t="s">
        <v>1539</v>
      </c>
      <c r="AA370" s="61">
        <v>9.9000000000000005E-2</v>
      </c>
      <c r="AB370" s="62">
        <f>AA370/0.0046</f>
        <v>21.521739130434785</v>
      </c>
      <c r="AC370" s="63">
        <f>AB370*H2dens*HoursInYear/10^6</f>
        <v>1.6779208695652175E-2</v>
      </c>
      <c r="AD370" s="62"/>
      <c r="AE370" s="62">
        <f t="shared" si="44"/>
        <v>21.521739130434785</v>
      </c>
      <c r="AF370" s="64" t="s">
        <v>1540</v>
      </c>
      <c r="AG370" s="49">
        <v>0.56999999999999995</v>
      </c>
    </row>
    <row r="371" spans="1:33" ht="34.5" customHeight="1" x14ac:dyDescent="0.3">
      <c r="A371" s="46">
        <v>696</v>
      </c>
      <c r="B371" s="46" t="s">
        <v>1541</v>
      </c>
      <c r="C371" s="46" t="s">
        <v>40</v>
      </c>
      <c r="D371" s="60">
        <v>2007</v>
      </c>
      <c r="E371" s="60">
        <v>2014</v>
      </c>
      <c r="F371" s="46" t="s">
        <v>285</v>
      </c>
      <c r="G371" s="46" t="s">
        <v>3</v>
      </c>
      <c r="H371" s="46"/>
      <c r="I371" s="46" t="s">
        <v>169</v>
      </c>
      <c r="J371" s="46" t="s">
        <v>245</v>
      </c>
      <c r="K371" s="46" t="s">
        <v>68</v>
      </c>
      <c r="L371" s="46"/>
      <c r="M371" s="46"/>
      <c r="N371" s="46"/>
      <c r="O371" s="46"/>
      <c r="P371" s="46"/>
      <c r="Q371" s="46"/>
      <c r="R371" s="46">
        <v>1</v>
      </c>
      <c r="S371" s="46">
        <v>1</v>
      </c>
      <c r="T371" s="46"/>
      <c r="U371" s="46"/>
      <c r="V371" s="46"/>
      <c r="W371" s="46"/>
      <c r="X371" s="46"/>
      <c r="Y371" s="46"/>
      <c r="Z371" s="46" t="s">
        <v>991</v>
      </c>
      <c r="AA371" s="61">
        <v>0.04</v>
      </c>
      <c r="AB371" s="62">
        <f>AA371/0.0046</f>
        <v>8.695652173913043</v>
      </c>
      <c r="AC371" s="63">
        <f>AB371*H2dens*HoursInYear/10^6</f>
        <v>6.7794782608695649E-3</v>
      </c>
      <c r="AD371" s="62"/>
      <c r="AE371" s="62">
        <f t="shared" si="44"/>
        <v>8.695652173913043</v>
      </c>
      <c r="AF371" s="64" t="s">
        <v>1542</v>
      </c>
      <c r="AG371" s="49">
        <v>0.4</v>
      </c>
    </row>
    <row r="372" spans="1:33" ht="34.5" customHeight="1" x14ac:dyDescent="0.3">
      <c r="A372" s="46">
        <v>697</v>
      </c>
      <c r="B372" s="46" t="s">
        <v>1543</v>
      </c>
      <c r="C372" s="46" t="s">
        <v>40</v>
      </c>
      <c r="D372" s="60">
        <v>2004</v>
      </c>
      <c r="E372" s="60">
        <v>2008</v>
      </c>
      <c r="F372" s="46" t="s">
        <v>285</v>
      </c>
      <c r="G372" s="46" t="s">
        <v>3</v>
      </c>
      <c r="H372" s="46"/>
      <c r="I372" s="46" t="s">
        <v>157</v>
      </c>
      <c r="J372" s="46"/>
      <c r="K372" s="46" t="s">
        <v>68</v>
      </c>
      <c r="L372" s="46"/>
      <c r="M372" s="46"/>
      <c r="N372" s="46"/>
      <c r="O372" s="46"/>
      <c r="P372" s="46"/>
      <c r="Q372" s="46"/>
      <c r="R372" s="46"/>
      <c r="S372" s="46">
        <v>1</v>
      </c>
      <c r="T372" s="46"/>
      <c r="U372" s="46"/>
      <c r="V372" s="46"/>
      <c r="W372" s="46"/>
      <c r="X372" s="46"/>
      <c r="Y372" s="46"/>
      <c r="Z372" s="46" t="s">
        <v>1544</v>
      </c>
      <c r="AA372" s="61">
        <v>6.4999999999999997E-3</v>
      </c>
      <c r="AB372" s="62">
        <f>AA372/0.0046</f>
        <v>1.4130434782608696</v>
      </c>
      <c r="AC372" s="63">
        <f>AB372*H2dens*HoursInYear/10^6</f>
        <v>1.1016652173913043E-3</v>
      </c>
      <c r="AD372" s="62"/>
      <c r="AE372" s="62">
        <f t="shared" si="44"/>
        <v>1.4130434782608696</v>
      </c>
      <c r="AF372" s="64" t="s">
        <v>1545</v>
      </c>
      <c r="AG372" s="49">
        <v>0.56999999999999995</v>
      </c>
    </row>
    <row r="373" spans="1:33" ht="34.5" customHeight="1" x14ac:dyDescent="0.3">
      <c r="A373" s="46">
        <v>698</v>
      </c>
      <c r="B373" s="46" t="s">
        <v>1546</v>
      </c>
      <c r="C373" s="46" t="s">
        <v>37</v>
      </c>
      <c r="D373" s="60">
        <v>2007</v>
      </c>
      <c r="E373" s="60">
        <v>2009</v>
      </c>
      <c r="F373" s="46" t="s">
        <v>285</v>
      </c>
      <c r="G373" s="46" t="s">
        <v>3</v>
      </c>
      <c r="H373" s="46"/>
      <c r="I373" s="46" t="s">
        <v>157</v>
      </c>
      <c r="J373" s="46"/>
      <c r="K373" s="46" t="s">
        <v>68</v>
      </c>
      <c r="L373" s="46"/>
      <c r="M373" s="46"/>
      <c r="N373" s="46"/>
      <c r="O373" s="46"/>
      <c r="P373" s="46"/>
      <c r="Q373" s="46"/>
      <c r="R373" s="46"/>
      <c r="S373" s="46">
        <v>1</v>
      </c>
      <c r="T373" s="46"/>
      <c r="U373" s="46"/>
      <c r="V373" s="46"/>
      <c r="W373" s="46"/>
      <c r="X373" s="46"/>
      <c r="Y373" s="46"/>
      <c r="Z373" s="46" t="s">
        <v>804</v>
      </c>
      <c r="AA373" s="61">
        <v>6.0000000000000001E-3</v>
      </c>
      <c r="AB373" s="62">
        <f>AA373/0.0046</f>
        <v>1.3043478260869565</v>
      </c>
      <c r="AC373" s="63">
        <f>AB373*H2dens*HoursInYear/10^6</f>
        <v>1.0169217391304346E-3</v>
      </c>
      <c r="AD373" s="62"/>
      <c r="AE373" s="62">
        <f t="shared" si="44"/>
        <v>1.3043478260869565</v>
      </c>
      <c r="AF373" s="64" t="s">
        <v>1547</v>
      </c>
      <c r="AG373" s="49">
        <v>0.56999999999999995</v>
      </c>
    </row>
    <row r="374" spans="1:33" ht="34.5" customHeight="1" x14ac:dyDescent="0.3">
      <c r="A374" s="46">
        <v>699</v>
      </c>
      <c r="B374" s="46" t="s">
        <v>1548</v>
      </c>
      <c r="C374" s="46" t="s">
        <v>44</v>
      </c>
      <c r="D374" s="60">
        <v>2002</v>
      </c>
      <c r="E374" s="60">
        <v>2009</v>
      </c>
      <c r="F374" s="46" t="s">
        <v>285</v>
      </c>
      <c r="G374" s="46" t="s">
        <v>159</v>
      </c>
      <c r="H374" s="46" t="s">
        <v>592</v>
      </c>
      <c r="I374" s="46" t="s">
        <v>157</v>
      </c>
      <c r="J374" s="46"/>
      <c r="K374" s="46" t="s">
        <v>72</v>
      </c>
      <c r="L374" s="46"/>
      <c r="M374" s="46"/>
      <c r="N374" s="46"/>
      <c r="O374" s="46"/>
      <c r="P374" s="46"/>
      <c r="Q374" s="46"/>
      <c r="R374" s="46"/>
      <c r="S374" s="46"/>
      <c r="T374" s="46"/>
      <c r="U374" s="46"/>
      <c r="V374" s="46"/>
      <c r="W374" s="46"/>
      <c r="X374" s="46">
        <v>1</v>
      </c>
      <c r="Y374" s="46">
        <v>1</v>
      </c>
      <c r="Z374" s="46"/>
      <c r="AA374" s="61"/>
      <c r="AB374" s="62"/>
      <c r="AC374" s="63"/>
      <c r="AD374" s="62"/>
      <c r="AE374" s="62">
        <f t="shared" si="44"/>
        <v>0</v>
      </c>
      <c r="AF374" s="64" t="s">
        <v>1549</v>
      </c>
      <c r="AG374" s="49">
        <v>0.56999999999999995</v>
      </c>
    </row>
    <row r="375" spans="1:33" ht="34.5" customHeight="1" x14ac:dyDescent="0.3">
      <c r="A375" s="46">
        <v>701</v>
      </c>
      <c r="B375" s="46" t="s">
        <v>1550</v>
      </c>
      <c r="C375" s="46" t="s">
        <v>41</v>
      </c>
      <c r="D375" s="60">
        <v>2020</v>
      </c>
      <c r="E375" s="60"/>
      <c r="F375" s="46" t="s">
        <v>226</v>
      </c>
      <c r="G375" s="46" t="s">
        <v>3</v>
      </c>
      <c r="H375" s="46"/>
      <c r="I375" s="46" t="s">
        <v>169</v>
      </c>
      <c r="J375" s="46" t="s">
        <v>244</v>
      </c>
      <c r="K375" s="46" t="s">
        <v>140</v>
      </c>
      <c r="L375" s="46"/>
      <c r="M375" s="46"/>
      <c r="N375" s="46">
        <v>1</v>
      </c>
      <c r="O375" s="46"/>
      <c r="P375" s="46"/>
      <c r="Q375" s="46"/>
      <c r="R375" s="46"/>
      <c r="S375" s="46"/>
      <c r="T375" s="46"/>
      <c r="U375" s="46"/>
      <c r="V375" s="46"/>
      <c r="W375" s="46"/>
      <c r="X375" s="46"/>
      <c r="Y375" s="46"/>
      <c r="Z375" s="46" t="s">
        <v>1551</v>
      </c>
      <c r="AA375" s="61">
        <f>AB375*0.0046</f>
        <v>4.5999999999999996</v>
      </c>
      <c r="AB375" s="62">
        <v>1000</v>
      </c>
      <c r="AC375" s="63">
        <f>AB375*H2dens*HoursInYear/10^6</f>
        <v>0.77964</v>
      </c>
      <c r="AD375" s="62"/>
      <c r="AE375" s="62">
        <f>AB375</f>
        <v>1000</v>
      </c>
      <c r="AF375" s="64" t="s">
        <v>1552</v>
      </c>
      <c r="AG375" s="49">
        <v>0.3</v>
      </c>
    </row>
    <row r="376" spans="1:33" ht="34.5" customHeight="1" x14ac:dyDescent="0.3">
      <c r="A376" s="46">
        <v>702</v>
      </c>
      <c r="B376" s="46" t="s">
        <v>1553</v>
      </c>
      <c r="C376" s="46" t="s">
        <v>50</v>
      </c>
      <c r="D376" s="60">
        <v>2023</v>
      </c>
      <c r="E376" s="60"/>
      <c r="F376" s="46" t="s">
        <v>675</v>
      </c>
      <c r="G376" s="46" t="s">
        <v>159</v>
      </c>
      <c r="H376" s="46" t="s">
        <v>592</v>
      </c>
      <c r="I376" s="46" t="s">
        <v>157</v>
      </c>
      <c r="J376" s="46"/>
      <c r="K376" s="46" t="s">
        <v>68</v>
      </c>
      <c r="L376" s="46"/>
      <c r="M376" s="46"/>
      <c r="N376" s="46"/>
      <c r="O376" s="46"/>
      <c r="P376" s="46"/>
      <c r="Q376" s="46">
        <v>1</v>
      </c>
      <c r="R376" s="46"/>
      <c r="S376" s="46"/>
      <c r="T376" s="46"/>
      <c r="U376" s="46">
        <v>1</v>
      </c>
      <c r="V376" s="46"/>
      <c r="W376" s="46"/>
      <c r="X376" s="46"/>
      <c r="Y376" s="46"/>
      <c r="Z376" s="46" t="s">
        <v>1198</v>
      </c>
      <c r="AA376" s="61">
        <v>2</v>
      </c>
      <c r="AB376" s="62">
        <f>AA376/0.0045</f>
        <v>444.44444444444446</v>
      </c>
      <c r="AC376" s="63">
        <f>AB376*H2dens*HoursInYear/10^6</f>
        <v>0.34650666666666669</v>
      </c>
      <c r="AD376" s="62"/>
      <c r="AE376" s="62">
        <f>AB376</f>
        <v>444.44444444444446</v>
      </c>
      <c r="AF376" s="64" t="s">
        <v>1554</v>
      </c>
      <c r="AG376" s="49">
        <v>0.56999999999999995</v>
      </c>
    </row>
    <row r="377" spans="1:33" ht="34.5" customHeight="1" x14ac:dyDescent="0.3">
      <c r="A377" s="46">
        <v>703</v>
      </c>
      <c r="B377" s="46" t="s">
        <v>1555</v>
      </c>
      <c r="C377" s="46" t="s">
        <v>50</v>
      </c>
      <c r="D377" s="60"/>
      <c r="E377" s="60"/>
      <c r="F377" s="46" t="s">
        <v>225</v>
      </c>
      <c r="G377" s="46" t="s">
        <v>159</v>
      </c>
      <c r="H377" s="46" t="s">
        <v>592</v>
      </c>
      <c r="I377" s="46" t="s">
        <v>169</v>
      </c>
      <c r="J377" s="46" t="s">
        <v>248</v>
      </c>
      <c r="K377" s="46" t="s">
        <v>68</v>
      </c>
      <c r="L377" s="46"/>
      <c r="M377" s="46"/>
      <c r="N377" s="46"/>
      <c r="O377" s="46"/>
      <c r="P377" s="46"/>
      <c r="Q377" s="46"/>
      <c r="R377" s="46">
        <v>1</v>
      </c>
      <c r="S377" s="46">
        <v>1</v>
      </c>
      <c r="T377" s="46"/>
      <c r="U377" s="46">
        <v>1</v>
      </c>
      <c r="V377" s="46"/>
      <c r="W377" s="46"/>
      <c r="X377" s="46"/>
      <c r="Y377" s="46"/>
      <c r="Z377" s="46" t="s">
        <v>1556</v>
      </c>
      <c r="AA377" s="61">
        <v>1</v>
      </c>
      <c r="AB377" s="62">
        <f>AA377/0.0045</f>
        <v>222.22222222222223</v>
      </c>
      <c r="AC377" s="63">
        <f>AB377*H2dens*HoursInYear/10^6</f>
        <v>0.17325333333333334</v>
      </c>
      <c r="AD377" s="62"/>
      <c r="AE377" s="62">
        <f>AB377</f>
        <v>222.22222222222223</v>
      </c>
      <c r="AF377" s="64" t="s">
        <v>1361</v>
      </c>
      <c r="AG377" s="49">
        <v>0.5</v>
      </c>
    </row>
    <row r="378" spans="1:33" ht="34.5" customHeight="1" x14ac:dyDescent="0.3">
      <c r="A378" s="46">
        <v>704</v>
      </c>
      <c r="B378" s="46" t="s">
        <v>1557</v>
      </c>
      <c r="C378" s="46" t="s">
        <v>34</v>
      </c>
      <c r="D378" s="60">
        <v>2021</v>
      </c>
      <c r="E378" s="60"/>
      <c r="F378" s="46" t="s">
        <v>226</v>
      </c>
      <c r="G378" s="46" t="s">
        <v>3</v>
      </c>
      <c r="H378" s="46"/>
      <c r="I378" s="46" t="s">
        <v>166</v>
      </c>
      <c r="J378" s="46"/>
      <c r="K378" s="46" t="s">
        <v>68</v>
      </c>
      <c r="L378" s="46"/>
      <c r="M378" s="46"/>
      <c r="N378" s="46"/>
      <c r="O378" s="46"/>
      <c r="P378" s="46"/>
      <c r="Q378" s="46">
        <v>1</v>
      </c>
      <c r="R378" s="46"/>
      <c r="S378" s="46"/>
      <c r="T378" s="46"/>
      <c r="U378" s="46"/>
      <c r="V378" s="46"/>
      <c r="W378" s="46"/>
      <c r="X378" s="46"/>
      <c r="Y378" s="46"/>
      <c r="Z378" s="46" t="s">
        <v>833</v>
      </c>
      <c r="AA378" s="61">
        <v>1</v>
      </c>
      <c r="AB378" s="62">
        <f>IF(OR(G378="ALK",G378="PEM",G378="SOEC",G378="Other Electrolysis"),
AA378/VLOOKUP(G378,ElectrolysisConvF,3,FALSE),
AC378*10^6/(H2dens*HoursInYear))</f>
        <v>217.39130434782609</v>
      </c>
      <c r="AC378" s="63">
        <f t="shared" ref="AC378" si="46">AB378*H2dens*HoursInYear/10^6</f>
        <v>0.16948695652173912</v>
      </c>
      <c r="AD378" s="62"/>
      <c r="AE378" s="62">
        <f>AB378</f>
        <v>217.39130434782609</v>
      </c>
      <c r="AF378" s="64" t="s">
        <v>1558</v>
      </c>
      <c r="AG378" s="49">
        <v>0.56999999999999995</v>
      </c>
    </row>
    <row r="379" spans="1:33" ht="34.5" customHeight="1" x14ac:dyDescent="0.3">
      <c r="A379" s="46">
        <v>705</v>
      </c>
      <c r="B379" s="46" t="s">
        <v>1559</v>
      </c>
      <c r="C379" s="46" t="s">
        <v>203</v>
      </c>
      <c r="D379" s="60"/>
      <c r="E379" s="60"/>
      <c r="F379" s="46" t="s">
        <v>285</v>
      </c>
      <c r="G379" s="46" t="s">
        <v>1</v>
      </c>
      <c r="H379" s="46"/>
      <c r="I379" s="46" t="s">
        <v>157</v>
      </c>
      <c r="J379" s="46"/>
      <c r="K379" s="46" t="s">
        <v>72</v>
      </c>
      <c r="L379" s="46"/>
      <c r="M379" s="46"/>
      <c r="N379" s="46"/>
      <c r="O379" s="46"/>
      <c r="P379" s="46"/>
      <c r="Q379" s="46"/>
      <c r="R379" s="46"/>
      <c r="S379" s="46"/>
      <c r="T379" s="46"/>
      <c r="U379" s="46"/>
      <c r="V379" s="46"/>
      <c r="W379" s="46"/>
      <c r="X379" s="46">
        <v>1</v>
      </c>
      <c r="Y379" s="46"/>
      <c r="Z379" s="46" t="s">
        <v>1327</v>
      </c>
      <c r="AA379" s="61">
        <v>1</v>
      </c>
      <c r="AB379" s="62">
        <f>AA379/0.0052</f>
        <v>192.30769230769232</v>
      </c>
      <c r="AC379" s="63">
        <f>AB379*H2dens*HoursInYear/10^6</f>
        <v>0.14993076923076926</v>
      </c>
      <c r="AD379" s="62"/>
      <c r="AE379" s="62">
        <f>AB379</f>
        <v>192.30769230769232</v>
      </c>
      <c r="AF379" s="64" t="s">
        <v>1560</v>
      </c>
      <c r="AG379" s="49">
        <v>0.56999999999999995</v>
      </c>
    </row>
    <row r="380" spans="1:33" ht="34.5" customHeight="1" x14ac:dyDescent="0.3">
      <c r="A380" s="46">
        <v>706</v>
      </c>
      <c r="B380" s="46" t="s">
        <v>1561</v>
      </c>
      <c r="C380" s="46" t="s">
        <v>40</v>
      </c>
      <c r="D380" s="60">
        <v>2013</v>
      </c>
      <c r="E380" s="60"/>
      <c r="F380" s="46" t="s">
        <v>226</v>
      </c>
      <c r="G380" s="46" t="s">
        <v>162</v>
      </c>
      <c r="H380" s="46" t="s">
        <v>1562</v>
      </c>
      <c r="I380" s="46"/>
      <c r="J380" s="46"/>
      <c r="K380" s="46" t="s">
        <v>141</v>
      </c>
      <c r="L380" s="46"/>
      <c r="M380" s="46">
        <v>1</v>
      </c>
      <c r="N380" s="46"/>
      <c r="O380" s="46"/>
      <c r="P380" s="46"/>
      <c r="Q380" s="46"/>
      <c r="R380" s="46"/>
      <c r="S380" s="46"/>
      <c r="T380" s="46"/>
      <c r="U380" s="46"/>
      <c r="V380" s="46"/>
      <c r="W380" s="46"/>
      <c r="X380" s="46"/>
      <c r="Y380" s="46"/>
      <c r="Z380" s="46" t="s">
        <v>1563</v>
      </c>
      <c r="AA380" s="61"/>
      <c r="AB380" s="62"/>
      <c r="AC380" s="63"/>
      <c r="AD380" s="62">
        <v>900000</v>
      </c>
      <c r="AE380" s="62">
        <f>IF(AND(G380&lt;&gt;"NG w CCUS",G380&lt;&gt;"Oil w CCUS",G380&lt;&gt;"Coal w CCUS"),AB380,AD380*10^3/(HoursInYear*IF(G380="NG w CCUS",0.9105,1.9075)))</f>
        <v>53860.931075961867</v>
      </c>
      <c r="AF380" s="64"/>
      <c r="AG380" s="49">
        <v>0.9</v>
      </c>
    </row>
    <row r="381" spans="1:33" ht="34.5" customHeight="1" x14ac:dyDescent="0.3">
      <c r="A381" s="46">
        <v>707</v>
      </c>
      <c r="B381" s="46" t="s">
        <v>1564</v>
      </c>
      <c r="C381" s="46" t="s">
        <v>40</v>
      </c>
      <c r="D381" s="60">
        <v>2013</v>
      </c>
      <c r="E381" s="60"/>
      <c r="F381" s="46" t="s">
        <v>226</v>
      </c>
      <c r="G381" s="46" t="s">
        <v>161</v>
      </c>
      <c r="H381" s="46" t="s">
        <v>1489</v>
      </c>
      <c r="I381" s="46"/>
      <c r="J381" s="46"/>
      <c r="K381" s="46" t="s">
        <v>141</v>
      </c>
      <c r="L381" s="46"/>
      <c r="M381" s="46">
        <v>1</v>
      </c>
      <c r="N381" s="46"/>
      <c r="O381" s="46"/>
      <c r="P381" s="46"/>
      <c r="Q381" s="46"/>
      <c r="R381" s="46"/>
      <c r="S381" s="46"/>
      <c r="T381" s="46"/>
      <c r="U381" s="46"/>
      <c r="V381" s="46"/>
      <c r="W381" s="46"/>
      <c r="X381" s="46"/>
      <c r="Y381" s="46"/>
      <c r="Z381" s="46" t="s">
        <v>1565</v>
      </c>
      <c r="AA381" s="61"/>
      <c r="AB381" s="62"/>
      <c r="AC381" s="63"/>
      <c r="AD381" s="62">
        <v>250000</v>
      </c>
      <c r="AE381" s="62">
        <f>IF(AND(G381&lt;&gt;"NG w CCUS",G381&lt;&gt;"Oil w CCUS",G381&lt;&gt;"Coal w CCUS"),AB381,AD381*10^3/(HoursInYear*IF(G381="NG w CCUS",0.9105,1.9075)))</f>
        <v>31344.110692353795</v>
      </c>
      <c r="AF381" s="64"/>
      <c r="AG381" s="49">
        <v>0.9</v>
      </c>
    </row>
    <row r="382" spans="1:33" ht="34.5" customHeight="1" x14ac:dyDescent="0.3">
      <c r="A382" s="46">
        <v>708</v>
      </c>
      <c r="B382" s="46" t="s">
        <v>1566</v>
      </c>
      <c r="C382" s="46" t="s">
        <v>40</v>
      </c>
      <c r="D382" s="60">
        <v>2013</v>
      </c>
      <c r="E382" s="60"/>
      <c r="F382" s="46" t="s">
        <v>226</v>
      </c>
      <c r="G382" s="46" t="s">
        <v>161</v>
      </c>
      <c r="H382" s="46" t="s">
        <v>1489</v>
      </c>
      <c r="I382" s="46"/>
      <c r="J382" s="46"/>
      <c r="K382" s="46" t="s">
        <v>68</v>
      </c>
      <c r="L382" s="46">
        <v>1</v>
      </c>
      <c r="M382" s="46"/>
      <c r="N382" s="46"/>
      <c r="O382" s="46"/>
      <c r="P382" s="46"/>
      <c r="Q382" s="46"/>
      <c r="R382" s="46"/>
      <c r="S382" s="46"/>
      <c r="T382" s="46"/>
      <c r="U382" s="46"/>
      <c r="V382" s="46"/>
      <c r="W382" s="46"/>
      <c r="X382" s="46"/>
      <c r="Y382" s="46"/>
      <c r="Z382" s="46" t="s">
        <v>1567</v>
      </c>
      <c r="AA382" s="61"/>
      <c r="AB382" s="62">
        <v>151000</v>
      </c>
      <c r="AC382" s="63">
        <f>AB382*H2dens*HoursInYear/10^6</f>
        <v>117.72564</v>
      </c>
      <c r="AD382" s="62">
        <v>900000</v>
      </c>
      <c r="AE382" s="62">
        <f>IF(AND(G382&lt;&gt;"NG w CCUS",G382&lt;&gt;"Oil w CCUS",G382&lt;&gt;"Coal w CCUS"),AB382,AD382*10^3/(HoursInYear*IF(G382="NG w CCUS",0.9105,1.9075)))</f>
        <v>112838.79849247365</v>
      </c>
      <c r="AF382" s="64" t="s">
        <v>1568</v>
      </c>
      <c r="AG382" s="49">
        <v>0.9</v>
      </c>
    </row>
    <row r="383" spans="1:33" ht="34.5" customHeight="1" x14ac:dyDescent="0.3">
      <c r="A383" s="46">
        <v>709</v>
      </c>
      <c r="B383" s="46" t="s">
        <v>1569</v>
      </c>
      <c r="C383" s="46" t="s">
        <v>43</v>
      </c>
      <c r="D383" s="60">
        <v>2015</v>
      </c>
      <c r="E383" s="60"/>
      <c r="F383" s="46" t="s">
        <v>285</v>
      </c>
      <c r="G383" s="46" t="s">
        <v>163</v>
      </c>
      <c r="H383" s="46" t="s">
        <v>1570</v>
      </c>
      <c r="I383" s="46"/>
      <c r="J383" s="46"/>
      <c r="K383" s="46" t="s">
        <v>68</v>
      </c>
      <c r="L383" s="46"/>
      <c r="M383" s="46"/>
      <c r="N383" s="46"/>
      <c r="O383" s="46"/>
      <c r="P383" s="46"/>
      <c r="Q383" s="46"/>
      <c r="R383" s="46"/>
      <c r="S383" s="46"/>
      <c r="T383" s="46"/>
      <c r="U383" s="46"/>
      <c r="V383" s="46"/>
      <c r="W383" s="46"/>
      <c r="X383" s="46"/>
      <c r="Y383" s="46"/>
      <c r="Z383" s="46" t="s">
        <v>1571</v>
      </c>
      <c r="AA383" s="61"/>
      <c r="AB383" s="62">
        <v>12</v>
      </c>
      <c r="AC383" s="63">
        <f>AB383*H2dens*HoursInYear/10^6</f>
        <v>9.3556799999999999E-3</v>
      </c>
      <c r="AD383" s="62"/>
      <c r="AE383" s="62">
        <f>AB383</f>
        <v>12</v>
      </c>
      <c r="AF383" s="64" t="s">
        <v>1572</v>
      </c>
      <c r="AG383" s="49">
        <v>0.9</v>
      </c>
    </row>
    <row r="384" spans="1:33" ht="34.5" customHeight="1" x14ac:dyDescent="0.3">
      <c r="A384" s="46">
        <v>710</v>
      </c>
      <c r="B384" s="46" t="s">
        <v>1573</v>
      </c>
      <c r="C384" s="46" t="s">
        <v>34</v>
      </c>
      <c r="D384" s="60">
        <v>2015</v>
      </c>
      <c r="E384" s="60"/>
      <c r="F384" s="46" t="s">
        <v>226</v>
      </c>
      <c r="G384" s="46" t="s">
        <v>161</v>
      </c>
      <c r="H384" s="46" t="s">
        <v>1489</v>
      </c>
      <c r="I384" s="46"/>
      <c r="J384" s="46"/>
      <c r="K384" s="46" t="s">
        <v>68</v>
      </c>
      <c r="L384" s="46">
        <v>1</v>
      </c>
      <c r="M384" s="46"/>
      <c r="N384" s="46"/>
      <c r="O384" s="46"/>
      <c r="P384" s="46"/>
      <c r="Q384" s="46"/>
      <c r="R384" s="46"/>
      <c r="S384" s="46"/>
      <c r="T384" s="46"/>
      <c r="U384" s="46"/>
      <c r="V384" s="46"/>
      <c r="W384" s="46"/>
      <c r="X384" s="46"/>
      <c r="Y384" s="46"/>
      <c r="Z384" s="46" t="s">
        <v>1574</v>
      </c>
      <c r="AA384" s="61"/>
      <c r="AB384" s="62">
        <f>4500/0.09</f>
        <v>50000</v>
      </c>
      <c r="AC384" s="63">
        <f>AB384*H2dens*HoursInYear/10^6</f>
        <v>38.981999999999999</v>
      </c>
      <c r="AD384" s="62">
        <v>100000</v>
      </c>
      <c r="AE384" s="62">
        <f>IF(AND(G384&lt;&gt;"NG w CCUS",G384&lt;&gt;"Oil w CCUS",G384&lt;&gt;"Coal w CCUS"),AB384,AD384*10^3/(HoursInYear*IF(G384="NG w CCUS",0.9105,1.9075)))</f>
        <v>12537.644276941517</v>
      </c>
      <c r="AF384" s="64" t="s">
        <v>1575</v>
      </c>
      <c r="AG384" s="49">
        <v>0.9</v>
      </c>
    </row>
    <row r="385" spans="1:33" ht="34.5" customHeight="1" x14ac:dyDescent="0.3">
      <c r="A385" s="46">
        <v>711</v>
      </c>
      <c r="B385" s="46" t="s">
        <v>1576</v>
      </c>
      <c r="C385" s="46" t="s">
        <v>37</v>
      </c>
      <c r="D385" s="60">
        <v>2015</v>
      </c>
      <c r="E385" s="60"/>
      <c r="F385" s="46" t="s">
        <v>226</v>
      </c>
      <c r="G385" s="46" t="s">
        <v>161</v>
      </c>
      <c r="H385" s="46" t="s">
        <v>1489</v>
      </c>
      <c r="I385" s="46"/>
      <c r="J385" s="46"/>
      <c r="K385" s="46" t="s">
        <v>68</v>
      </c>
      <c r="L385" s="46">
        <v>1</v>
      </c>
      <c r="M385" s="46"/>
      <c r="N385" s="46"/>
      <c r="O385" s="46"/>
      <c r="P385" s="46"/>
      <c r="Q385" s="46"/>
      <c r="R385" s="46"/>
      <c r="S385" s="46"/>
      <c r="T385" s="46"/>
      <c r="U385" s="46"/>
      <c r="V385" s="46"/>
      <c r="W385" s="46"/>
      <c r="X385" s="46"/>
      <c r="Y385" s="46"/>
      <c r="Z385" s="46" t="s">
        <v>1577</v>
      </c>
      <c r="AA385" s="61"/>
      <c r="AB385" s="62"/>
      <c r="AC385" s="63">
        <v>300</v>
      </c>
      <c r="AD385" s="62">
        <v>1100000</v>
      </c>
      <c r="AE385" s="62">
        <f>IF(AND(G385&lt;&gt;"NG w CCUS",G385&lt;&gt;"Oil w CCUS",G385&lt;&gt;"Coal w CCUS"),AB385,AD385*10^3/(HoursInYear*IF(G385="NG w CCUS",0.9105,1.9075)))</f>
        <v>137914.0870463567</v>
      </c>
      <c r="AF385" s="64" t="s">
        <v>1578</v>
      </c>
      <c r="AG385" s="49">
        <v>0.9</v>
      </c>
    </row>
    <row r="386" spans="1:33" ht="34.5" customHeight="1" x14ac:dyDescent="0.3">
      <c r="A386" s="46">
        <v>712</v>
      </c>
      <c r="B386" s="46" t="s">
        <v>1579</v>
      </c>
      <c r="C386" s="46" t="s">
        <v>34</v>
      </c>
      <c r="D386" s="60">
        <v>2016</v>
      </c>
      <c r="E386" s="60"/>
      <c r="F386" s="46" t="s">
        <v>285</v>
      </c>
      <c r="G386" s="46" t="s">
        <v>159</v>
      </c>
      <c r="H386" s="46" t="s">
        <v>592</v>
      </c>
      <c r="I386" s="46" t="s">
        <v>157</v>
      </c>
      <c r="J386" s="46"/>
      <c r="K386" s="46" t="s">
        <v>72</v>
      </c>
      <c r="L386" s="46"/>
      <c r="M386" s="46"/>
      <c r="N386" s="46"/>
      <c r="O386" s="46"/>
      <c r="P386" s="46"/>
      <c r="Q386" s="46"/>
      <c r="R386" s="46"/>
      <c r="S386" s="46"/>
      <c r="T386" s="46"/>
      <c r="U386" s="46"/>
      <c r="V386" s="46"/>
      <c r="W386" s="46"/>
      <c r="X386" s="46">
        <v>1</v>
      </c>
      <c r="Y386" s="46">
        <v>1</v>
      </c>
      <c r="Z386" s="46"/>
      <c r="AA386" s="61"/>
      <c r="AB386" s="62"/>
      <c r="AC386" s="63"/>
      <c r="AD386" s="62"/>
      <c r="AE386" s="62">
        <f t="shared" ref="AE386:AE391" si="47">AB386</f>
        <v>0</v>
      </c>
      <c r="AF386" s="64" t="s">
        <v>1580</v>
      </c>
      <c r="AG386" s="49">
        <v>0.56999999999999995</v>
      </c>
    </row>
    <row r="387" spans="1:33" ht="34.5" customHeight="1" x14ac:dyDescent="0.3">
      <c r="A387" s="46">
        <v>713</v>
      </c>
      <c r="B387" s="46" t="s">
        <v>1581</v>
      </c>
      <c r="C387" s="46" t="s">
        <v>203</v>
      </c>
      <c r="D387" s="60">
        <v>2016</v>
      </c>
      <c r="E387" s="60"/>
      <c r="F387" s="46" t="s">
        <v>285</v>
      </c>
      <c r="G387" s="46" t="s">
        <v>1</v>
      </c>
      <c r="H387" s="46"/>
      <c r="I387" s="46" t="s">
        <v>157</v>
      </c>
      <c r="J387" s="46"/>
      <c r="K387" s="46" t="s">
        <v>68</v>
      </c>
      <c r="L387" s="46"/>
      <c r="M387" s="46"/>
      <c r="N387" s="46"/>
      <c r="O387" s="46"/>
      <c r="P387" s="46"/>
      <c r="Q387" s="46">
        <v>1</v>
      </c>
      <c r="R387" s="46">
        <v>1</v>
      </c>
      <c r="S387" s="46"/>
      <c r="T387" s="46">
        <v>1</v>
      </c>
      <c r="U387" s="46"/>
      <c r="V387" s="46"/>
      <c r="W387" s="46"/>
      <c r="X387" s="46"/>
      <c r="Y387" s="46"/>
      <c r="Z387" s="46"/>
      <c r="AA387" s="61"/>
      <c r="AB387" s="62"/>
      <c r="AC387" s="63"/>
      <c r="AD387" s="62"/>
      <c r="AE387" s="62">
        <f t="shared" si="47"/>
        <v>0</v>
      </c>
      <c r="AF387" s="64" t="s">
        <v>1582</v>
      </c>
      <c r="AG387" s="49">
        <v>0.56999999999999995</v>
      </c>
    </row>
    <row r="388" spans="1:33" ht="34.5" customHeight="1" x14ac:dyDescent="0.3">
      <c r="A388" s="46">
        <v>714</v>
      </c>
      <c r="B388" s="46" t="s">
        <v>1583</v>
      </c>
      <c r="C388" s="46" t="s">
        <v>34</v>
      </c>
      <c r="D388" s="60">
        <v>2018</v>
      </c>
      <c r="E388" s="60"/>
      <c r="F388" s="46" t="s">
        <v>285</v>
      </c>
      <c r="G388" s="46" t="s">
        <v>2</v>
      </c>
      <c r="H388" s="46"/>
      <c r="I388" s="46" t="s">
        <v>157</v>
      </c>
      <c r="J388" s="46"/>
      <c r="K388" s="46" t="s">
        <v>72</v>
      </c>
      <c r="L388" s="46"/>
      <c r="M388" s="46"/>
      <c r="N388" s="46"/>
      <c r="O388" s="46"/>
      <c r="P388" s="46"/>
      <c r="Q388" s="46"/>
      <c r="R388" s="46"/>
      <c r="S388" s="46"/>
      <c r="T388" s="46"/>
      <c r="U388" s="46"/>
      <c r="V388" s="46"/>
      <c r="W388" s="46"/>
      <c r="X388" s="46">
        <v>1</v>
      </c>
      <c r="Y388" s="46">
        <v>1</v>
      </c>
      <c r="Z388" s="46" t="s">
        <v>1118</v>
      </c>
      <c r="AA388" s="61">
        <v>0.12</v>
      </c>
      <c r="AB388" s="62">
        <f>IF(OR(G388="ALK",G388="PEM",G388="SOEC",G388="Other Electrolysis"),
AA388/VLOOKUP(G388,ElectrolysisConvF,3,FALSE),
AC388*10^6/(H2dens*HoursInYear))</f>
        <v>31.578947368421051</v>
      </c>
      <c r="AC388" s="63">
        <f>AB388*H2dens*HoursInYear/10^6</f>
        <v>2.4620210526315786E-2</v>
      </c>
      <c r="AD388" s="62"/>
      <c r="AE388" s="62">
        <f t="shared" si="47"/>
        <v>31.578947368421051</v>
      </c>
      <c r="AF388" s="64" t="s">
        <v>1584</v>
      </c>
      <c r="AG388" s="49">
        <v>0.56999999999999995</v>
      </c>
    </row>
    <row r="389" spans="1:33" ht="34.5" customHeight="1" x14ac:dyDescent="0.3">
      <c r="A389" s="46">
        <v>716</v>
      </c>
      <c r="B389" s="67" t="s">
        <v>1585</v>
      </c>
      <c r="C389" s="67" t="s">
        <v>203</v>
      </c>
      <c r="D389" s="68">
        <v>2019</v>
      </c>
      <c r="E389" s="68"/>
      <c r="F389" s="67" t="s">
        <v>226</v>
      </c>
      <c r="G389" s="67" t="s">
        <v>159</v>
      </c>
      <c r="H389" s="67" t="s">
        <v>1586</v>
      </c>
      <c r="I389" s="67" t="s">
        <v>157</v>
      </c>
      <c r="J389" s="67" t="s">
        <v>69</v>
      </c>
      <c r="K389" s="67" t="s">
        <v>68</v>
      </c>
      <c r="L389" s="67"/>
      <c r="M389" s="67"/>
      <c r="N389" s="67"/>
      <c r="O389" s="67"/>
      <c r="P389" s="67">
        <v>1</v>
      </c>
      <c r="Q389" s="67">
        <v>1</v>
      </c>
      <c r="R389" s="67">
        <v>1</v>
      </c>
      <c r="S389" s="67">
        <v>1</v>
      </c>
      <c r="T389" s="67"/>
      <c r="U389" s="67"/>
      <c r="V389" s="67"/>
      <c r="W389" s="67"/>
      <c r="X389" s="67"/>
      <c r="Y389" s="67"/>
      <c r="Z389" s="67" t="s">
        <v>1587</v>
      </c>
      <c r="AA389" s="69">
        <v>1.3</v>
      </c>
      <c r="AB389" s="70">
        <f>AA389/0.0045</f>
        <v>288.88888888888891</v>
      </c>
      <c r="AC389" s="71">
        <f>AB389*H2dens*HoursInYear/10^6</f>
        <v>0.22522933333333334</v>
      </c>
      <c r="AD389" s="70"/>
      <c r="AE389" s="70">
        <f t="shared" si="47"/>
        <v>288.88888888888891</v>
      </c>
      <c r="AF389" s="72" t="s">
        <v>1588</v>
      </c>
      <c r="AG389" s="49">
        <v>0.56999999999999995</v>
      </c>
    </row>
    <row r="390" spans="1:33" ht="34.5" customHeight="1" x14ac:dyDescent="0.3">
      <c r="A390" s="46">
        <v>718</v>
      </c>
      <c r="B390" s="46" t="s">
        <v>1589</v>
      </c>
      <c r="C390" s="46" t="s">
        <v>37</v>
      </c>
      <c r="D390" s="60">
        <v>2020</v>
      </c>
      <c r="E390" s="60"/>
      <c r="F390" s="46" t="s">
        <v>226</v>
      </c>
      <c r="G390" s="46" t="s">
        <v>1</v>
      </c>
      <c r="H390" s="46"/>
      <c r="I390" s="46" t="s">
        <v>169</v>
      </c>
      <c r="J390" s="46" t="s">
        <v>247</v>
      </c>
      <c r="K390" s="46" t="s">
        <v>68</v>
      </c>
      <c r="L390" s="46"/>
      <c r="M390" s="46"/>
      <c r="N390" s="46"/>
      <c r="O390" s="46"/>
      <c r="P390" s="46">
        <v>1</v>
      </c>
      <c r="Q390" s="46">
        <v>1</v>
      </c>
      <c r="R390" s="46"/>
      <c r="S390" s="46"/>
      <c r="T390" s="46"/>
      <c r="U390" s="46"/>
      <c r="V390" s="46"/>
      <c r="W390" s="46"/>
      <c r="X390" s="46"/>
      <c r="Y390" s="46"/>
      <c r="Z390" s="46" t="s">
        <v>1590</v>
      </c>
      <c r="AA390" s="61">
        <v>20</v>
      </c>
      <c r="AB390" s="62">
        <f>AA390/0.0052</f>
        <v>3846.1538461538462</v>
      </c>
      <c r="AC390" s="63">
        <f>AB390*H2dens*HoursInYear/10^6</f>
        <v>2.9986153846153845</v>
      </c>
      <c r="AD390" s="62"/>
      <c r="AE390" s="62">
        <f t="shared" si="47"/>
        <v>3846.1538461538462</v>
      </c>
      <c r="AF390" s="64" t="s">
        <v>1591</v>
      </c>
      <c r="AG390" s="49">
        <v>0.8</v>
      </c>
    </row>
    <row r="391" spans="1:33" ht="34.5" customHeight="1" x14ac:dyDescent="0.3">
      <c r="A391" s="46">
        <v>719</v>
      </c>
      <c r="B391" s="46" t="s">
        <v>1592</v>
      </c>
      <c r="C391" s="46" t="s">
        <v>41</v>
      </c>
      <c r="D391" s="60">
        <v>2021</v>
      </c>
      <c r="E391" s="60"/>
      <c r="F391" s="46" t="s">
        <v>226</v>
      </c>
      <c r="G391" s="46" t="s">
        <v>159</v>
      </c>
      <c r="H391" s="46" t="s">
        <v>592</v>
      </c>
      <c r="I391" s="46" t="s">
        <v>169</v>
      </c>
      <c r="J391" s="46" t="s">
        <v>245</v>
      </c>
      <c r="K391" s="46" t="s">
        <v>68</v>
      </c>
      <c r="L391" s="46"/>
      <c r="M391" s="46"/>
      <c r="N391" s="46"/>
      <c r="O391" s="46"/>
      <c r="P391" s="46"/>
      <c r="Q391" s="46">
        <v>1</v>
      </c>
      <c r="R391" s="46"/>
      <c r="S391" s="46"/>
      <c r="T391" s="46"/>
      <c r="U391" s="46"/>
      <c r="V391" s="46"/>
      <c r="W391" s="46"/>
      <c r="X391" s="46"/>
      <c r="Y391" s="46"/>
      <c r="Z391" s="46" t="s">
        <v>1168</v>
      </c>
      <c r="AA391" s="61">
        <v>6</v>
      </c>
      <c r="AB391" s="62">
        <f>AA391/0.0045</f>
        <v>1333.3333333333335</v>
      </c>
      <c r="AC391" s="63">
        <f>AB391*H2dens*HoursInYear/10^6</f>
        <v>1.03952</v>
      </c>
      <c r="AD391" s="62"/>
      <c r="AE391" s="62">
        <f t="shared" si="47"/>
        <v>1333.3333333333335</v>
      </c>
      <c r="AF391" s="64" t="s">
        <v>1593</v>
      </c>
      <c r="AG391" s="49">
        <v>0.4</v>
      </c>
    </row>
    <row r="392" spans="1:33" ht="34.5" customHeight="1" x14ac:dyDescent="0.3">
      <c r="A392" s="46">
        <v>720</v>
      </c>
      <c r="B392" s="46" t="s">
        <v>1594</v>
      </c>
      <c r="C392" s="46" t="s">
        <v>37</v>
      </c>
      <c r="D392" s="60">
        <v>2025</v>
      </c>
      <c r="E392" s="60"/>
      <c r="F392" s="46" t="s">
        <v>675</v>
      </c>
      <c r="G392" s="46" t="s">
        <v>161</v>
      </c>
      <c r="H392" s="46" t="s">
        <v>882</v>
      </c>
      <c r="I392" s="46"/>
      <c r="J392" s="46"/>
      <c r="K392" s="46" t="s">
        <v>68</v>
      </c>
      <c r="L392" s="46">
        <v>1</v>
      </c>
      <c r="M392" s="46"/>
      <c r="N392" s="46"/>
      <c r="O392" s="46"/>
      <c r="P392" s="46">
        <v>1</v>
      </c>
      <c r="Q392" s="46">
        <v>1</v>
      </c>
      <c r="R392" s="46">
        <v>1</v>
      </c>
      <c r="S392" s="46"/>
      <c r="T392" s="46"/>
      <c r="U392" s="46"/>
      <c r="V392" s="46"/>
      <c r="W392" s="46"/>
      <c r="X392" s="46"/>
      <c r="Y392" s="46"/>
      <c r="Z392" s="46" t="s">
        <v>1595</v>
      </c>
      <c r="AA392" s="61"/>
      <c r="AB392" s="62">
        <f>AC392/(0.089*24*365/10^6)</f>
        <v>179570.05797547585</v>
      </c>
      <c r="AC392" s="63">
        <f>140</f>
        <v>140</v>
      </c>
      <c r="AD392" s="62">
        <v>770000</v>
      </c>
      <c r="AE392" s="62">
        <f>IF(AND(G392&lt;&gt;"NG w CCUS",G392&lt;&gt;"Oil w CCUS",G392&lt;&gt;"Coal w CCUS"),AB392,AD392*10^3/(HoursInYear*IF(G392="NG w CCUS",0.9105,1.9075)))</f>
        <v>96539.860932449679</v>
      </c>
      <c r="AF392" s="64" t="s">
        <v>1596</v>
      </c>
      <c r="AG392" s="49">
        <v>0.9</v>
      </c>
    </row>
    <row r="393" spans="1:33" ht="34.5" customHeight="1" x14ac:dyDescent="0.3">
      <c r="A393" s="46">
        <v>721</v>
      </c>
      <c r="B393" s="46" t="s">
        <v>1597</v>
      </c>
      <c r="C393" s="46" t="s">
        <v>41</v>
      </c>
      <c r="D393" s="60">
        <v>2020</v>
      </c>
      <c r="E393" s="60"/>
      <c r="F393" s="46" t="s">
        <v>226</v>
      </c>
      <c r="G393" s="46" t="s">
        <v>3</v>
      </c>
      <c r="H393" s="46"/>
      <c r="I393" s="46" t="s">
        <v>169</v>
      </c>
      <c r="J393" s="46" t="s">
        <v>245</v>
      </c>
      <c r="K393" s="46" t="s">
        <v>68</v>
      </c>
      <c r="L393" s="46"/>
      <c r="M393" s="46"/>
      <c r="N393" s="46"/>
      <c r="O393" s="46"/>
      <c r="P393" s="46"/>
      <c r="Q393" s="46">
        <v>1</v>
      </c>
      <c r="R393" s="46"/>
      <c r="S393" s="46"/>
      <c r="T393" s="46"/>
      <c r="U393" s="46"/>
      <c r="V393" s="46"/>
      <c r="W393" s="46"/>
      <c r="X393" s="46"/>
      <c r="Y393" s="46"/>
      <c r="Z393" s="46" t="s">
        <v>1598</v>
      </c>
      <c r="AA393" s="63">
        <f>AB393*0.0046</f>
        <v>9.2602996254681624</v>
      </c>
      <c r="AB393" s="62">
        <f>AC393/(0.089*24*365/10^6)</f>
        <v>2013.1086142322094</v>
      </c>
      <c r="AC393" s="63">
        <f>4.3*0.365</f>
        <v>1.5694999999999999</v>
      </c>
      <c r="AD393" s="62"/>
      <c r="AE393" s="62">
        <f>AB393</f>
        <v>2013.1086142322094</v>
      </c>
      <c r="AF393" s="64" t="s">
        <v>1599</v>
      </c>
      <c r="AG393" s="49">
        <v>0.4</v>
      </c>
    </row>
    <row r="394" spans="1:33" ht="34.5" customHeight="1" x14ac:dyDescent="0.3">
      <c r="A394" s="46">
        <v>725</v>
      </c>
      <c r="B394" s="46" t="s">
        <v>1600</v>
      </c>
      <c r="C394" s="46" t="s">
        <v>44</v>
      </c>
      <c r="D394" s="60">
        <v>2022</v>
      </c>
      <c r="E394" s="60"/>
      <c r="F394" s="46" t="s">
        <v>226</v>
      </c>
      <c r="G394" s="46" t="s">
        <v>3</v>
      </c>
      <c r="H394" s="46"/>
      <c r="I394" s="46" t="s">
        <v>166</v>
      </c>
      <c r="J394" s="46"/>
      <c r="K394" s="46" t="s">
        <v>68</v>
      </c>
      <c r="L394" s="46"/>
      <c r="M394" s="46"/>
      <c r="N394" s="46"/>
      <c r="O394" s="46"/>
      <c r="P394" s="46">
        <v>1</v>
      </c>
      <c r="Q394" s="46">
        <v>1</v>
      </c>
      <c r="R394" s="46"/>
      <c r="S394" s="46"/>
      <c r="T394" s="46"/>
      <c r="U394" s="46"/>
      <c r="V394" s="46"/>
      <c r="W394" s="46"/>
      <c r="X394" s="46"/>
      <c r="Y394" s="46"/>
      <c r="Z394" s="46" t="s">
        <v>1601</v>
      </c>
      <c r="AA394" s="61">
        <v>3.1</v>
      </c>
      <c r="AB394" s="62">
        <f>AA394/0.0046</f>
        <v>673.91304347826087</v>
      </c>
      <c r="AC394" s="63">
        <f t="shared" ref="AC394:AC403" si="48">AB394*H2dens*HoursInYear/10^6</f>
        <v>0.52540956521739124</v>
      </c>
      <c r="AD394" s="62"/>
      <c r="AE394" s="62">
        <f>AB394</f>
        <v>673.91304347826087</v>
      </c>
      <c r="AF394" s="64" t="s">
        <v>1602</v>
      </c>
      <c r="AG394" s="49">
        <v>0.56999999999999995</v>
      </c>
    </row>
    <row r="395" spans="1:33" ht="34.5" customHeight="1" x14ac:dyDescent="0.3">
      <c r="A395" s="46">
        <v>726</v>
      </c>
      <c r="B395" s="46" t="s">
        <v>1603</v>
      </c>
      <c r="C395" s="46" t="s">
        <v>75</v>
      </c>
      <c r="D395" s="60">
        <v>2022</v>
      </c>
      <c r="E395" s="60"/>
      <c r="F395" s="46" t="s">
        <v>226</v>
      </c>
      <c r="G395" s="46" t="s">
        <v>3</v>
      </c>
      <c r="H395" s="46"/>
      <c r="I395" s="46" t="s">
        <v>169</v>
      </c>
      <c r="J395" s="46" t="s">
        <v>248</v>
      </c>
      <c r="K395" s="46" t="s">
        <v>68</v>
      </c>
      <c r="L395" s="46"/>
      <c r="M395" s="46"/>
      <c r="N395" s="46"/>
      <c r="O395" s="46"/>
      <c r="P395" s="46"/>
      <c r="Q395" s="46">
        <v>1</v>
      </c>
      <c r="R395" s="46"/>
      <c r="S395" s="46"/>
      <c r="T395" s="46"/>
      <c r="U395" s="46"/>
      <c r="V395" s="46"/>
      <c r="W395" s="46"/>
      <c r="X395" s="46"/>
      <c r="Y395" s="46"/>
      <c r="Z395" s="46" t="s">
        <v>1604</v>
      </c>
      <c r="AA395" s="61">
        <v>3.5</v>
      </c>
      <c r="AB395" s="62">
        <f>AA395/0.0046</f>
        <v>760.86956521739137</v>
      </c>
      <c r="AC395" s="63">
        <f t="shared" si="48"/>
        <v>0.59320434782608689</v>
      </c>
      <c r="AD395" s="62"/>
      <c r="AE395" s="62">
        <f>AB395</f>
        <v>760.86956521739137</v>
      </c>
      <c r="AF395" s="64" t="s">
        <v>1605</v>
      </c>
      <c r="AG395" s="49">
        <v>0.5</v>
      </c>
    </row>
    <row r="396" spans="1:33" ht="34.5" customHeight="1" x14ac:dyDescent="0.3">
      <c r="A396" s="46">
        <v>727</v>
      </c>
      <c r="B396" s="46" t="s">
        <v>1606</v>
      </c>
      <c r="C396" s="46" t="s">
        <v>64</v>
      </c>
      <c r="D396" s="60">
        <v>2023</v>
      </c>
      <c r="E396" s="60"/>
      <c r="F396" s="46" t="s">
        <v>226</v>
      </c>
      <c r="G396" s="46" t="s">
        <v>1</v>
      </c>
      <c r="H396" s="46"/>
      <c r="I396" s="46" t="s">
        <v>169</v>
      </c>
      <c r="J396" s="46" t="s">
        <v>244</v>
      </c>
      <c r="K396" s="46" t="s">
        <v>68</v>
      </c>
      <c r="L396" s="46"/>
      <c r="M396" s="46"/>
      <c r="N396" s="46"/>
      <c r="O396" s="46"/>
      <c r="P396" s="46"/>
      <c r="Q396" s="46">
        <v>1</v>
      </c>
      <c r="R396" s="46"/>
      <c r="S396" s="46"/>
      <c r="T396" s="46"/>
      <c r="U396" s="46"/>
      <c r="V396" s="46"/>
      <c r="W396" s="46"/>
      <c r="X396" s="46"/>
      <c r="Y396" s="46"/>
      <c r="Z396" s="46" t="s">
        <v>1607</v>
      </c>
      <c r="AA396" s="61">
        <v>0.6</v>
      </c>
      <c r="AB396" s="62">
        <f>AA396/0.0052</f>
        <v>115.38461538461539</v>
      </c>
      <c r="AC396" s="63">
        <f>AB396*H2dens*HoursInYear/10^6</f>
        <v>8.9958461538461529E-2</v>
      </c>
      <c r="AD396" s="62"/>
      <c r="AE396" s="62"/>
      <c r="AF396" s="64" t="s">
        <v>1608</v>
      </c>
      <c r="AG396" s="49">
        <v>0.3</v>
      </c>
    </row>
    <row r="397" spans="1:33" ht="34.5" customHeight="1" x14ac:dyDescent="0.3">
      <c r="A397" s="46">
        <v>728</v>
      </c>
      <c r="B397" s="46" t="s">
        <v>1609</v>
      </c>
      <c r="C397" s="46" t="s">
        <v>203</v>
      </c>
      <c r="D397" s="60">
        <v>2020</v>
      </c>
      <c r="E397" s="60"/>
      <c r="F397" s="46" t="s">
        <v>226</v>
      </c>
      <c r="G397" s="46" t="s">
        <v>1</v>
      </c>
      <c r="H397" s="46"/>
      <c r="I397" s="46" t="s">
        <v>169</v>
      </c>
      <c r="J397" s="46" t="s">
        <v>248</v>
      </c>
      <c r="K397" s="46" t="s">
        <v>68</v>
      </c>
      <c r="L397" s="46"/>
      <c r="M397" s="46"/>
      <c r="N397" s="46"/>
      <c r="O397" s="46"/>
      <c r="P397" s="46"/>
      <c r="Q397" s="46">
        <v>1</v>
      </c>
      <c r="R397" s="46"/>
      <c r="S397" s="46"/>
      <c r="T397" s="46"/>
      <c r="U397" s="46"/>
      <c r="V397" s="46"/>
      <c r="W397" s="46"/>
      <c r="X397" s="46"/>
      <c r="Y397" s="46"/>
      <c r="Z397" s="46" t="s">
        <v>1174</v>
      </c>
      <c r="AA397" s="61">
        <v>2.5</v>
      </c>
      <c r="AB397" s="62">
        <v>500</v>
      </c>
      <c r="AC397" s="63">
        <f t="shared" si="48"/>
        <v>0.38982</v>
      </c>
      <c r="AD397" s="62"/>
      <c r="AE397" s="62">
        <f>AB397</f>
        <v>500</v>
      </c>
      <c r="AF397" s="64" t="s">
        <v>1610</v>
      </c>
      <c r="AG397" s="49">
        <v>0.5</v>
      </c>
    </row>
    <row r="398" spans="1:33" ht="34.5" customHeight="1" x14ac:dyDescent="0.3">
      <c r="A398" s="46">
        <v>730</v>
      </c>
      <c r="B398" s="46" t="s">
        <v>1611</v>
      </c>
      <c r="C398" s="46" t="s">
        <v>203</v>
      </c>
      <c r="D398" s="60">
        <v>2021</v>
      </c>
      <c r="E398" s="60"/>
      <c r="F398" s="46" t="s">
        <v>226</v>
      </c>
      <c r="G398" s="46" t="s">
        <v>1</v>
      </c>
      <c r="H398" s="46"/>
      <c r="I398" s="46" t="s">
        <v>169</v>
      </c>
      <c r="J398" s="46" t="s">
        <v>245</v>
      </c>
      <c r="K398" s="46" t="s">
        <v>68</v>
      </c>
      <c r="L398" s="46"/>
      <c r="M398" s="46"/>
      <c r="N398" s="46"/>
      <c r="O398" s="46">
        <v>1</v>
      </c>
      <c r="P398" s="46"/>
      <c r="Q398" s="46"/>
      <c r="R398" s="46"/>
      <c r="S398" s="46"/>
      <c r="T398" s="46"/>
      <c r="U398" s="46"/>
      <c r="V398" s="46"/>
      <c r="W398" s="46"/>
      <c r="X398" s="46"/>
      <c r="Y398" s="46"/>
      <c r="Z398" s="46" t="s">
        <v>1612</v>
      </c>
      <c r="AA398" s="61">
        <v>2.5</v>
      </c>
      <c r="AB398" s="62">
        <f>AA398/0.0052</f>
        <v>480.76923076923077</v>
      </c>
      <c r="AC398" s="63">
        <f>AB398*H2dens*HoursInYear/10^6</f>
        <v>0.37482692307692306</v>
      </c>
      <c r="AD398" s="62"/>
      <c r="AE398" s="62">
        <f>AB398</f>
        <v>480.76923076923077</v>
      </c>
      <c r="AF398" s="64" t="s">
        <v>1613</v>
      </c>
      <c r="AG398" s="49">
        <v>0.4</v>
      </c>
    </row>
    <row r="399" spans="1:33" ht="34.5" customHeight="1" x14ac:dyDescent="0.3">
      <c r="A399" s="46">
        <v>732</v>
      </c>
      <c r="B399" s="60" t="s">
        <v>1614</v>
      </c>
      <c r="C399" s="46" t="s">
        <v>41</v>
      </c>
      <c r="D399" s="60">
        <v>2019</v>
      </c>
      <c r="E399" s="60"/>
      <c r="F399" s="46" t="s">
        <v>226</v>
      </c>
      <c r="G399" s="46" t="s">
        <v>3</v>
      </c>
      <c r="H399" s="46"/>
      <c r="I399" s="46" t="s">
        <v>169</v>
      </c>
      <c r="J399" s="46" t="s">
        <v>245</v>
      </c>
      <c r="K399" s="46" t="s">
        <v>68</v>
      </c>
      <c r="L399" s="46"/>
      <c r="M399" s="46"/>
      <c r="N399" s="46"/>
      <c r="O399" s="46"/>
      <c r="P399" s="46"/>
      <c r="Q399" s="46"/>
      <c r="R399" s="46">
        <v>1</v>
      </c>
      <c r="S399" s="46"/>
      <c r="T399" s="46"/>
      <c r="U399" s="46"/>
      <c r="V399" s="46"/>
      <c r="W399" s="46"/>
      <c r="X399" s="46"/>
      <c r="Y399" s="46"/>
      <c r="Z399" s="46" t="s">
        <v>1168</v>
      </c>
      <c r="AA399" s="61">
        <v>4</v>
      </c>
      <c r="AB399" s="62">
        <f>AA399/0.0046</f>
        <v>869.56521739130437</v>
      </c>
      <c r="AC399" s="63">
        <f t="shared" si="48"/>
        <v>0.67794782608695647</v>
      </c>
      <c r="AD399" s="62"/>
      <c r="AE399" s="62">
        <f t="shared" ref="AE399:AE409" si="49">AB399</f>
        <v>869.56521739130437</v>
      </c>
      <c r="AF399" s="64" t="s">
        <v>1615</v>
      </c>
      <c r="AG399" s="49">
        <v>0.4</v>
      </c>
    </row>
    <row r="400" spans="1:33" ht="34.5" customHeight="1" x14ac:dyDescent="0.3">
      <c r="A400" s="46">
        <v>733</v>
      </c>
      <c r="B400" s="46" t="s">
        <v>1616</v>
      </c>
      <c r="C400" s="46" t="s">
        <v>47</v>
      </c>
      <c r="D400" s="60">
        <v>2021</v>
      </c>
      <c r="E400" s="60"/>
      <c r="F400" s="46" t="s">
        <v>226</v>
      </c>
      <c r="G400" s="46" t="s">
        <v>1</v>
      </c>
      <c r="H400" s="46"/>
      <c r="I400" s="46" t="s">
        <v>169</v>
      </c>
      <c r="J400" s="46" t="s">
        <v>244</v>
      </c>
      <c r="K400" s="46" t="s">
        <v>68</v>
      </c>
      <c r="L400" s="46"/>
      <c r="M400" s="46"/>
      <c r="N400" s="46"/>
      <c r="O400" s="46"/>
      <c r="P400" s="46"/>
      <c r="Q400" s="46">
        <v>1</v>
      </c>
      <c r="R400" s="46"/>
      <c r="S400" s="46"/>
      <c r="T400" s="46"/>
      <c r="U400" s="46"/>
      <c r="V400" s="46"/>
      <c r="W400" s="46"/>
      <c r="X400" s="46"/>
      <c r="Y400" s="46"/>
      <c r="Z400" s="46" t="s">
        <v>911</v>
      </c>
      <c r="AA400" s="61">
        <v>1.25</v>
      </c>
      <c r="AB400" s="62">
        <f>AA400/0.0052</f>
        <v>240.38461538461539</v>
      </c>
      <c r="AC400" s="63">
        <f t="shared" si="48"/>
        <v>0.18741346153846153</v>
      </c>
      <c r="AD400" s="62"/>
      <c r="AE400" s="62">
        <f t="shared" si="49"/>
        <v>240.38461538461539</v>
      </c>
      <c r="AF400" s="64" t="s">
        <v>1617</v>
      </c>
      <c r="AG400" s="49">
        <v>0.3</v>
      </c>
    </row>
    <row r="401" spans="1:33" ht="34.5" customHeight="1" x14ac:dyDescent="0.3">
      <c r="A401" s="46">
        <v>734</v>
      </c>
      <c r="B401" s="46" t="s">
        <v>1618</v>
      </c>
      <c r="C401" s="46" t="s">
        <v>39</v>
      </c>
      <c r="D401" s="60">
        <v>2021</v>
      </c>
      <c r="E401" s="60"/>
      <c r="F401" s="46" t="s">
        <v>226</v>
      </c>
      <c r="G401" s="46" t="s">
        <v>1</v>
      </c>
      <c r="H401" s="46"/>
      <c r="I401" s="46" t="s">
        <v>169</v>
      </c>
      <c r="J401" s="46" t="s">
        <v>248</v>
      </c>
      <c r="K401" s="46" t="s">
        <v>68</v>
      </c>
      <c r="L401" s="46"/>
      <c r="M401" s="46"/>
      <c r="N401" s="46"/>
      <c r="O401" s="46"/>
      <c r="P401" s="46"/>
      <c r="Q401" s="46"/>
      <c r="R401" s="46"/>
      <c r="S401" s="46">
        <v>1</v>
      </c>
      <c r="T401" s="46"/>
      <c r="U401" s="46"/>
      <c r="V401" s="46"/>
      <c r="W401" s="46"/>
      <c r="X401" s="46"/>
      <c r="Y401" s="46"/>
      <c r="Z401" s="46" t="s">
        <v>911</v>
      </c>
      <c r="AA401" s="61">
        <v>1.25</v>
      </c>
      <c r="AB401" s="62">
        <f>AA401/0.0052</f>
        <v>240.38461538461539</v>
      </c>
      <c r="AC401" s="63">
        <f t="shared" si="48"/>
        <v>0.18741346153846153</v>
      </c>
      <c r="AD401" s="62"/>
      <c r="AE401" s="62">
        <f t="shared" si="49"/>
        <v>240.38461538461539</v>
      </c>
      <c r="AF401" s="64" t="s">
        <v>1619</v>
      </c>
      <c r="AG401" s="49">
        <v>0.5</v>
      </c>
    </row>
    <row r="402" spans="1:33" ht="34.5" customHeight="1" x14ac:dyDescent="0.3">
      <c r="A402" s="46">
        <v>735</v>
      </c>
      <c r="B402" s="46" t="s">
        <v>1620</v>
      </c>
      <c r="C402" s="46" t="s">
        <v>40</v>
      </c>
      <c r="D402" s="60">
        <v>2021</v>
      </c>
      <c r="E402" s="60"/>
      <c r="F402" s="46" t="s">
        <v>226</v>
      </c>
      <c r="G402" s="46" t="s">
        <v>1</v>
      </c>
      <c r="H402" s="46"/>
      <c r="I402" s="46" t="s">
        <v>157</v>
      </c>
      <c r="J402" s="46"/>
      <c r="K402" s="46" t="s">
        <v>68</v>
      </c>
      <c r="L402" s="46"/>
      <c r="M402" s="46"/>
      <c r="N402" s="46"/>
      <c r="O402" s="46"/>
      <c r="P402" s="46"/>
      <c r="Q402" s="46">
        <v>1</v>
      </c>
      <c r="R402" s="46"/>
      <c r="S402" s="46"/>
      <c r="T402" s="46"/>
      <c r="U402" s="46"/>
      <c r="V402" s="46"/>
      <c r="W402" s="46"/>
      <c r="X402" s="46"/>
      <c r="Y402" s="46"/>
      <c r="Z402" s="46" t="s">
        <v>708</v>
      </c>
      <c r="AA402" s="61">
        <v>1</v>
      </c>
      <c r="AB402" s="62">
        <f>AA402/0.0052</f>
        <v>192.30769230769232</v>
      </c>
      <c r="AC402" s="63">
        <f t="shared" si="48"/>
        <v>0.14993076923076926</v>
      </c>
      <c r="AD402" s="62"/>
      <c r="AE402" s="62">
        <f t="shared" si="49"/>
        <v>192.30769230769232</v>
      </c>
      <c r="AF402" s="64" t="s">
        <v>1621</v>
      </c>
      <c r="AG402" s="49">
        <v>0.56999999999999995</v>
      </c>
    </row>
    <row r="403" spans="1:33" ht="34.5" customHeight="1" x14ac:dyDescent="0.3">
      <c r="A403" s="46">
        <v>736</v>
      </c>
      <c r="B403" s="46" t="s">
        <v>1622</v>
      </c>
      <c r="C403" s="46" t="s">
        <v>50</v>
      </c>
      <c r="D403" s="60"/>
      <c r="E403" s="60"/>
      <c r="F403" s="46" t="s">
        <v>285</v>
      </c>
      <c r="G403" s="46" t="s">
        <v>159</v>
      </c>
      <c r="H403" s="46" t="s">
        <v>592</v>
      </c>
      <c r="I403" s="46" t="s">
        <v>157</v>
      </c>
      <c r="J403" s="46"/>
      <c r="K403" s="46" t="s">
        <v>68</v>
      </c>
      <c r="L403" s="46"/>
      <c r="M403" s="46"/>
      <c r="N403" s="46"/>
      <c r="O403" s="46"/>
      <c r="P403" s="46"/>
      <c r="Q403" s="46"/>
      <c r="R403" s="46"/>
      <c r="S403" s="46"/>
      <c r="T403" s="46"/>
      <c r="U403" s="46"/>
      <c r="V403" s="46"/>
      <c r="W403" s="46"/>
      <c r="X403" s="46"/>
      <c r="Y403" s="46"/>
      <c r="Z403" s="46" t="s">
        <v>953</v>
      </c>
      <c r="AA403" s="61">
        <v>0.02</v>
      </c>
      <c r="AB403" s="62">
        <f>AA403/0.0045</f>
        <v>4.4444444444444446</v>
      </c>
      <c r="AC403" s="63">
        <f t="shared" si="48"/>
        <v>3.4650666666666665E-3</v>
      </c>
      <c r="AD403" s="62"/>
      <c r="AE403" s="62">
        <f t="shared" si="49"/>
        <v>4.4444444444444446</v>
      </c>
      <c r="AF403" s="64" t="s">
        <v>1361</v>
      </c>
      <c r="AG403" s="49">
        <v>0.56999999999999995</v>
      </c>
    </row>
    <row r="404" spans="1:33" ht="34.5" customHeight="1" x14ac:dyDescent="0.3">
      <c r="A404" s="46">
        <v>737</v>
      </c>
      <c r="B404" s="46" t="s">
        <v>1623</v>
      </c>
      <c r="C404" s="46" t="s">
        <v>39</v>
      </c>
      <c r="D404" s="60">
        <v>2021</v>
      </c>
      <c r="E404" s="60">
        <v>2026</v>
      </c>
      <c r="F404" s="46" t="s">
        <v>226</v>
      </c>
      <c r="G404" s="46" t="s">
        <v>1</v>
      </c>
      <c r="H404" s="46"/>
      <c r="I404" s="46" t="s">
        <v>166</v>
      </c>
      <c r="J404" s="46"/>
      <c r="K404" s="46" t="s">
        <v>68</v>
      </c>
      <c r="L404" s="46"/>
      <c r="M404" s="46"/>
      <c r="N404" s="46"/>
      <c r="O404" s="46"/>
      <c r="P404" s="46"/>
      <c r="Q404" s="46"/>
      <c r="R404" s="46"/>
      <c r="S404" s="46">
        <v>1</v>
      </c>
      <c r="T404" s="46"/>
      <c r="U404" s="46"/>
      <c r="V404" s="46"/>
      <c r="W404" s="46"/>
      <c r="X404" s="46"/>
      <c r="Y404" s="46"/>
      <c r="Z404" s="46" t="s">
        <v>1624</v>
      </c>
      <c r="AA404" s="61">
        <v>0.5</v>
      </c>
      <c r="AB404" s="62">
        <f>AA404/0.0052</f>
        <v>96.15384615384616</v>
      </c>
      <c r="AC404" s="63">
        <f>AB404*H2dens*HoursInYear/10^6</f>
        <v>7.4965384615384628E-2</v>
      </c>
      <c r="AD404" s="62"/>
      <c r="AE404" s="62">
        <f t="shared" si="49"/>
        <v>96.15384615384616</v>
      </c>
      <c r="AF404" s="64" t="s">
        <v>1625</v>
      </c>
      <c r="AG404" s="49">
        <v>0.56999999999999995</v>
      </c>
    </row>
    <row r="405" spans="1:33" ht="34.5" customHeight="1" x14ac:dyDescent="0.3">
      <c r="A405" s="46">
        <v>738</v>
      </c>
      <c r="B405" s="46" t="s">
        <v>1626</v>
      </c>
      <c r="C405" s="46" t="s">
        <v>39</v>
      </c>
      <c r="D405" s="60">
        <v>2022</v>
      </c>
      <c r="E405" s="60"/>
      <c r="F405" s="46" t="s">
        <v>226</v>
      </c>
      <c r="G405" s="46" t="s">
        <v>1</v>
      </c>
      <c r="H405" s="46"/>
      <c r="I405" s="46" t="s">
        <v>157</v>
      </c>
      <c r="J405" s="46"/>
      <c r="K405" s="46" t="s">
        <v>68</v>
      </c>
      <c r="L405" s="46"/>
      <c r="M405" s="46"/>
      <c r="N405" s="46"/>
      <c r="O405" s="46"/>
      <c r="P405" s="46"/>
      <c r="Q405" s="46">
        <v>1</v>
      </c>
      <c r="R405" s="46"/>
      <c r="S405" s="46"/>
      <c r="T405" s="46"/>
      <c r="U405" s="46"/>
      <c r="V405" s="46"/>
      <c r="W405" s="46"/>
      <c r="X405" s="46"/>
      <c r="Y405" s="46"/>
      <c r="Z405" s="46" t="s">
        <v>1627</v>
      </c>
      <c r="AA405" s="61">
        <v>0.22</v>
      </c>
      <c r="AB405" s="62">
        <f>AA405/0.0052</f>
        <v>42.307692307692307</v>
      </c>
      <c r="AC405" s="63">
        <f>AB405*H2dens*HoursInYear/10^6</f>
        <v>3.2984769230769227E-2</v>
      </c>
      <c r="AD405" s="62"/>
      <c r="AE405" s="62">
        <f t="shared" si="49"/>
        <v>42.307692307692307</v>
      </c>
      <c r="AF405" s="64" t="s">
        <v>1628</v>
      </c>
      <c r="AG405" s="49">
        <v>0.56999999999999995</v>
      </c>
    </row>
    <row r="406" spans="1:33" ht="34.5" customHeight="1" x14ac:dyDescent="0.3">
      <c r="A406" s="46">
        <v>740</v>
      </c>
      <c r="B406" s="46" t="s">
        <v>1629</v>
      </c>
      <c r="C406" s="46" t="s">
        <v>321</v>
      </c>
      <c r="D406" s="60">
        <v>2022</v>
      </c>
      <c r="E406" s="60"/>
      <c r="F406" s="46" t="s">
        <v>226</v>
      </c>
      <c r="G406" s="46" t="s">
        <v>159</v>
      </c>
      <c r="H406" s="46" t="s">
        <v>1</v>
      </c>
      <c r="I406" s="46" t="s">
        <v>169</v>
      </c>
      <c r="J406" s="46" t="s">
        <v>248</v>
      </c>
      <c r="K406" s="46" t="s">
        <v>68</v>
      </c>
      <c r="L406" s="46"/>
      <c r="M406" s="46"/>
      <c r="N406" s="46"/>
      <c r="O406" s="46"/>
      <c r="P406" s="46"/>
      <c r="Q406" s="46"/>
      <c r="R406" s="46">
        <v>1</v>
      </c>
      <c r="S406" s="46"/>
      <c r="T406" s="46"/>
      <c r="U406" s="46"/>
      <c r="V406" s="46"/>
      <c r="W406" s="46"/>
      <c r="X406" s="46"/>
      <c r="Y406" s="46"/>
      <c r="Z406" s="46" t="s">
        <v>1630</v>
      </c>
      <c r="AA406" s="61">
        <f>AB406*0.0045</f>
        <v>2.528089887640449E-2</v>
      </c>
      <c r="AB406" s="62">
        <f>AC406/(0.089*24*365/10^6)</f>
        <v>5.6179775280898872</v>
      </c>
      <c r="AC406" s="63">
        <f>12*365/1000000</f>
        <v>4.3800000000000002E-3</v>
      </c>
      <c r="AD406" s="62"/>
      <c r="AE406" s="62">
        <f t="shared" si="49"/>
        <v>5.6179775280898872</v>
      </c>
      <c r="AF406" s="64" t="s">
        <v>1631</v>
      </c>
      <c r="AG406" s="49">
        <v>0.5</v>
      </c>
    </row>
    <row r="407" spans="1:33" ht="34.5" customHeight="1" x14ac:dyDescent="0.3">
      <c r="A407" s="46">
        <v>741</v>
      </c>
      <c r="B407" s="46" t="s">
        <v>1632</v>
      </c>
      <c r="C407" s="46" t="s">
        <v>42</v>
      </c>
      <c r="D407" s="60">
        <v>2020</v>
      </c>
      <c r="E407" s="60"/>
      <c r="F407" s="46" t="s">
        <v>285</v>
      </c>
      <c r="G407" s="46" t="s">
        <v>159</v>
      </c>
      <c r="H407" s="46" t="s">
        <v>592</v>
      </c>
      <c r="I407" s="46" t="s">
        <v>169</v>
      </c>
      <c r="J407" s="46" t="s">
        <v>248</v>
      </c>
      <c r="K407" s="46" t="s">
        <v>68</v>
      </c>
      <c r="L407" s="46"/>
      <c r="M407" s="46"/>
      <c r="N407" s="46"/>
      <c r="O407" s="46"/>
      <c r="P407" s="46"/>
      <c r="Q407" s="46">
        <v>1</v>
      </c>
      <c r="R407" s="46"/>
      <c r="S407" s="46"/>
      <c r="T407" s="46">
        <v>1</v>
      </c>
      <c r="U407" s="46"/>
      <c r="V407" s="46"/>
      <c r="W407" s="46"/>
      <c r="X407" s="46"/>
      <c r="Y407" s="46"/>
      <c r="Z407" s="46" t="s">
        <v>865</v>
      </c>
      <c r="AA407" s="61">
        <f>AB407*0.0045</f>
        <v>4.4999999999999998E-2</v>
      </c>
      <c r="AB407" s="62">
        <v>10</v>
      </c>
      <c r="AC407" s="63">
        <f>AB407*H2dens*HoursInYear/10^6</f>
        <v>7.7963999999999985E-3</v>
      </c>
      <c r="AD407" s="62"/>
      <c r="AE407" s="62">
        <f t="shared" si="49"/>
        <v>10</v>
      </c>
      <c r="AF407" s="64" t="s">
        <v>1633</v>
      </c>
      <c r="AG407" s="49">
        <v>0.5</v>
      </c>
    </row>
    <row r="408" spans="1:33" ht="34.5" customHeight="1" x14ac:dyDescent="0.3">
      <c r="A408" s="46">
        <v>742</v>
      </c>
      <c r="B408" s="46" t="s">
        <v>1634</v>
      </c>
      <c r="C408" s="46" t="s">
        <v>44</v>
      </c>
      <c r="D408" s="60">
        <v>2006</v>
      </c>
      <c r="E408" s="60"/>
      <c r="F408" s="46" t="s">
        <v>285</v>
      </c>
      <c r="G408" s="46" t="s">
        <v>1</v>
      </c>
      <c r="H408" s="46"/>
      <c r="I408" s="46" t="s">
        <v>157</v>
      </c>
      <c r="J408" s="46"/>
      <c r="K408" s="46" t="s">
        <v>68</v>
      </c>
      <c r="L408" s="46"/>
      <c r="M408" s="46"/>
      <c r="N408" s="46"/>
      <c r="O408" s="46"/>
      <c r="P408" s="46"/>
      <c r="Q408" s="46">
        <v>1</v>
      </c>
      <c r="R408" s="46">
        <v>1</v>
      </c>
      <c r="S408" s="46"/>
      <c r="T408" s="46">
        <v>1</v>
      </c>
      <c r="U408" s="46"/>
      <c r="V408" s="46"/>
      <c r="W408" s="46"/>
      <c r="X408" s="46"/>
      <c r="Y408" s="46"/>
      <c r="Z408" s="46" t="s">
        <v>928</v>
      </c>
      <c r="AA408" s="61">
        <f>AB408*0.0052</f>
        <v>1.04E-2</v>
      </c>
      <c r="AB408" s="62">
        <v>2</v>
      </c>
      <c r="AC408" s="63">
        <f>AB408*H2dens*HoursInYear/10^6</f>
        <v>1.5592799999999999E-3</v>
      </c>
      <c r="AD408" s="62"/>
      <c r="AE408" s="62">
        <f t="shared" si="49"/>
        <v>2</v>
      </c>
      <c r="AF408" s="64" t="s">
        <v>1635</v>
      </c>
      <c r="AG408" s="49">
        <v>0.56999999999999995</v>
      </c>
    </row>
    <row r="409" spans="1:33" ht="34.5" customHeight="1" x14ac:dyDescent="0.3">
      <c r="A409" s="46">
        <v>743</v>
      </c>
      <c r="B409" s="46" t="s">
        <v>1636</v>
      </c>
      <c r="C409" s="46" t="s">
        <v>39</v>
      </c>
      <c r="D409" s="60">
        <v>2020</v>
      </c>
      <c r="E409" s="60"/>
      <c r="F409" s="46" t="s">
        <v>285</v>
      </c>
      <c r="G409" s="46" t="s">
        <v>159</v>
      </c>
      <c r="H409" s="46" t="s">
        <v>592</v>
      </c>
      <c r="I409" s="46" t="s">
        <v>169</v>
      </c>
      <c r="J409" s="46" t="s">
        <v>248</v>
      </c>
      <c r="K409" s="46" t="s">
        <v>68</v>
      </c>
      <c r="L409" s="46"/>
      <c r="M409" s="46"/>
      <c r="N409" s="46"/>
      <c r="O409" s="46"/>
      <c r="P409" s="46"/>
      <c r="Q409" s="46"/>
      <c r="R409" s="46"/>
      <c r="S409" s="46">
        <v>1</v>
      </c>
      <c r="T409" s="46"/>
      <c r="U409" s="46"/>
      <c r="V409" s="46"/>
      <c r="W409" s="46"/>
      <c r="X409" s="46"/>
      <c r="Y409" s="46"/>
      <c r="Z409" s="46"/>
      <c r="AA409" s="61"/>
      <c r="AB409" s="62"/>
      <c r="AC409" s="63"/>
      <c r="AD409" s="62"/>
      <c r="AE409" s="62">
        <f t="shared" si="49"/>
        <v>0</v>
      </c>
      <c r="AF409" s="64" t="s">
        <v>1637</v>
      </c>
      <c r="AG409" s="49">
        <v>0.5</v>
      </c>
    </row>
    <row r="410" spans="1:33" ht="34.5" customHeight="1" x14ac:dyDescent="0.3">
      <c r="A410" s="46">
        <v>744</v>
      </c>
      <c r="B410" s="46" t="s">
        <v>1638</v>
      </c>
      <c r="C410" s="46" t="s">
        <v>37</v>
      </c>
      <c r="D410" s="60">
        <v>2020</v>
      </c>
      <c r="E410" s="60"/>
      <c r="F410" s="46" t="s">
        <v>226</v>
      </c>
      <c r="G410" s="46" t="s">
        <v>162</v>
      </c>
      <c r="H410" s="46" t="s">
        <v>1639</v>
      </c>
      <c r="I410" s="46"/>
      <c r="J410" s="46"/>
      <c r="K410" s="46" t="s">
        <v>68</v>
      </c>
      <c r="L410" s="46">
        <v>1</v>
      </c>
      <c r="M410" s="46"/>
      <c r="N410" s="46"/>
      <c r="O410" s="46"/>
      <c r="P410" s="46"/>
      <c r="Q410" s="46"/>
      <c r="R410" s="46"/>
      <c r="S410" s="46"/>
      <c r="T410" s="46"/>
      <c r="U410" s="46"/>
      <c r="V410" s="46"/>
      <c r="W410" s="46"/>
      <c r="X410" s="46"/>
      <c r="Y410" s="46"/>
      <c r="Z410" s="46" t="s">
        <v>1640</v>
      </c>
      <c r="AA410" s="61"/>
      <c r="AB410" s="62"/>
      <c r="AC410" s="63"/>
      <c r="AD410" s="62">
        <v>1300000</v>
      </c>
      <c r="AE410" s="62">
        <f>IF(AND(G410&lt;&gt;"NG w CCUS",G410&lt;&gt;"Oil w CCUS",G410&lt;&gt;"Coal w CCUS"),AB410,AD410*10^3/(HoursInYear*IF(G410="NG w CCUS",0.9105,1.9075)))</f>
        <v>77799.12266527825</v>
      </c>
      <c r="AF410" s="64" t="s">
        <v>1641</v>
      </c>
      <c r="AG410" s="49">
        <v>0.9</v>
      </c>
    </row>
    <row r="411" spans="1:33" ht="34.5" customHeight="1" x14ac:dyDescent="0.3">
      <c r="A411" s="46">
        <v>745</v>
      </c>
      <c r="B411" s="46" t="s">
        <v>1642</v>
      </c>
      <c r="C411" s="46" t="s">
        <v>37</v>
      </c>
      <c r="D411" s="60">
        <v>2020</v>
      </c>
      <c r="E411" s="60"/>
      <c r="F411" s="46" t="s">
        <v>226</v>
      </c>
      <c r="G411" s="46" t="s">
        <v>161</v>
      </c>
      <c r="H411" s="46" t="s">
        <v>1489</v>
      </c>
      <c r="I411" s="46"/>
      <c r="J411" s="46"/>
      <c r="K411" s="46" t="s">
        <v>141</v>
      </c>
      <c r="L411" s="46"/>
      <c r="M411" s="46">
        <v>1</v>
      </c>
      <c r="N411" s="46"/>
      <c r="O411" s="46"/>
      <c r="P411" s="46"/>
      <c r="Q411" s="46"/>
      <c r="R411" s="46"/>
      <c r="S411" s="46"/>
      <c r="T411" s="46"/>
      <c r="U411" s="46"/>
      <c r="V411" s="46"/>
      <c r="W411" s="46"/>
      <c r="X411" s="46"/>
      <c r="Y411" s="46"/>
      <c r="Z411" s="46" t="s">
        <v>1643</v>
      </c>
      <c r="AA411" s="61"/>
      <c r="AB411" s="62"/>
      <c r="AC411" s="63"/>
      <c r="AD411" s="62">
        <v>300000</v>
      </c>
      <c r="AE411" s="62">
        <f>IF(AND(G411&lt;&gt;"NG w CCUS",G411&lt;&gt;"Oil w CCUS",G411&lt;&gt;"Coal w CCUS"),AB411,AD411*10^3/(HoursInYear*IF(G411="NG w CCUS",0.9105,1.9075)))</f>
        <v>37612.932830824553</v>
      </c>
      <c r="AF411" s="64" t="s">
        <v>1644</v>
      </c>
      <c r="AG411" s="49">
        <v>0.9</v>
      </c>
    </row>
    <row r="412" spans="1:33" ht="34.5" customHeight="1" x14ac:dyDescent="0.3">
      <c r="A412" s="46">
        <v>746</v>
      </c>
      <c r="B412" s="46" t="s">
        <v>1645</v>
      </c>
      <c r="C412" s="46" t="s">
        <v>39</v>
      </c>
      <c r="D412" s="60">
        <v>2020</v>
      </c>
      <c r="E412" s="60"/>
      <c r="F412" s="46" t="s">
        <v>285</v>
      </c>
      <c r="G412" s="46" t="s">
        <v>159</v>
      </c>
      <c r="H412" s="46" t="s">
        <v>592</v>
      </c>
      <c r="I412" s="46" t="s">
        <v>169</v>
      </c>
      <c r="J412" s="46" t="s">
        <v>248</v>
      </c>
      <c r="K412" s="46" t="s">
        <v>68</v>
      </c>
      <c r="L412" s="46"/>
      <c r="M412" s="46"/>
      <c r="N412" s="46"/>
      <c r="O412" s="46"/>
      <c r="P412" s="46"/>
      <c r="Q412" s="46"/>
      <c r="R412" s="46"/>
      <c r="S412" s="46">
        <v>1</v>
      </c>
      <c r="T412" s="46"/>
      <c r="U412" s="46"/>
      <c r="V412" s="46"/>
      <c r="W412" s="46"/>
      <c r="X412" s="46"/>
      <c r="Y412" s="46"/>
      <c r="Z412" s="46"/>
      <c r="AA412" s="61"/>
      <c r="AB412" s="62"/>
      <c r="AC412" s="63"/>
      <c r="AD412" s="62"/>
      <c r="AE412" s="62">
        <f t="shared" ref="AE412:AE422" si="50">AB412</f>
        <v>0</v>
      </c>
      <c r="AF412" s="64" t="s">
        <v>1646</v>
      </c>
      <c r="AG412" s="49">
        <v>0.5</v>
      </c>
    </row>
    <row r="413" spans="1:33" ht="34.5" customHeight="1" x14ac:dyDescent="0.3">
      <c r="A413" s="46">
        <v>747</v>
      </c>
      <c r="B413" s="46" t="s">
        <v>1647</v>
      </c>
      <c r="C413" s="46" t="s">
        <v>34</v>
      </c>
      <c r="D413" s="60">
        <v>2020</v>
      </c>
      <c r="E413" s="60"/>
      <c r="F413" s="46" t="s">
        <v>285</v>
      </c>
      <c r="G413" s="46" t="s">
        <v>159</v>
      </c>
      <c r="H413" s="46" t="s">
        <v>592</v>
      </c>
      <c r="I413" s="46" t="s">
        <v>157</v>
      </c>
      <c r="J413" s="46"/>
      <c r="K413" s="46" t="s">
        <v>68</v>
      </c>
      <c r="L413" s="46"/>
      <c r="M413" s="46"/>
      <c r="N413" s="46"/>
      <c r="O413" s="46"/>
      <c r="P413" s="46"/>
      <c r="Q413" s="46">
        <v>1</v>
      </c>
      <c r="R413" s="46"/>
      <c r="S413" s="46"/>
      <c r="T413" s="46"/>
      <c r="U413" s="46"/>
      <c r="V413" s="46"/>
      <c r="W413" s="46"/>
      <c r="X413" s="46"/>
      <c r="Y413" s="46"/>
      <c r="Z413" s="46"/>
      <c r="AA413" s="61"/>
      <c r="AB413" s="62"/>
      <c r="AC413" s="63"/>
      <c r="AD413" s="62"/>
      <c r="AE413" s="62">
        <f t="shared" si="50"/>
        <v>0</v>
      </c>
      <c r="AF413" s="64" t="s">
        <v>1648</v>
      </c>
      <c r="AG413" s="49">
        <v>0.56999999999999995</v>
      </c>
    </row>
    <row r="414" spans="1:33" ht="34.5" customHeight="1" x14ac:dyDescent="0.3">
      <c r="A414" s="46">
        <v>748</v>
      </c>
      <c r="B414" s="46" t="s">
        <v>1126</v>
      </c>
      <c r="C414" s="46" t="s">
        <v>37</v>
      </c>
      <c r="D414" s="60">
        <v>2001</v>
      </c>
      <c r="E414" s="60"/>
      <c r="F414" s="46" t="s">
        <v>285</v>
      </c>
      <c r="G414" s="46" t="s">
        <v>3</v>
      </c>
      <c r="H414" s="46"/>
      <c r="I414" s="46" t="s">
        <v>157</v>
      </c>
      <c r="J414" s="46"/>
      <c r="K414" s="46" t="s">
        <v>68</v>
      </c>
      <c r="L414" s="46"/>
      <c r="M414" s="46"/>
      <c r="N414" s="46"/>
      <c r="O414" s="46"/>
      <c r="P414" s="46"/>
      <c r="Q414" s="46"/>
      <c r="R414" s="46"/>
      <c r="S414" s="46">
        <v>1</v>
      </c>
      <c r="T414" s="46"/>
      <c r="U414" s="46"/>
      <c r="V414" s="46"/>
      <c r="W414" s="46"/>
      <c r="X414" s="46"/>
      <c r="Y414" s="46"/>
      <c r="Z414" s="46" t="s">
        <v>873</v>
      </c>
      <c r="AA414" s="61">
        <f>AB414*0.0046</f>
        <v>4.5999999999999999E-3</v>
      </c>
      <c r="AB414" s="62">
        <v>1</v>
      </c>
      <c r="AC414" s="63">
        <f>AB414*H2dens*HoursInYear/10^6</f>
        <v>7.7963999999999996E-4</v>
      </c>
      <c r="AD414" s="62"/>
      <c r="AE414" s="62">
        <f t="shared" si="50"/>
        <v>1</v>
      </c>
      <c r="AF414" s="64" t="s">
        <v>7186</v>
      </c>
      <c r="AG414" s="49">
        <v>0.56999999999999995</v>
      </c>
    </row>
    <row r="415" spans="1:33" ht="34.5" customHeight="1" x14ac:dyDescent="0.3">
      <c r="A415" s="46">
        <v>749</v>
      </c>
      <c r="B415" s="46" t="s">
        <v>1649</v>
      </c>
      <c r="C415" s="46" t="s">
        <v>44</v>
      </c>
      <c r="D415" s="60">
        <v>2006</v>
      </c>
      <c r="E415" s="60"/>
      <c r="F415" s="46" t="s">
        <v>285</v>
      </c>
      <c r="G415" s="46" t="s">
        <v>1</v>
      </c>
      <c r="H415" s="46"/>
      <c r="I415" s="46" t="s">
        <v>157</v>
      </c>
      <c r="J415" s="46"/>
      <c r="K415" s="46"/>
      <c r="L415" s="46"/>
      <c r="M415" s="46"/>
      <c r="N415" s="46"/>
      <c r="O415" s="46"/>
      <c r="P415" s="46"/>
      <c r="Q415" s="46"/>
      <c r="R415" s="46"/>
      <c r="S415" s="46"/>
      <c r="T415" s="46"/>
      <c r="U415" s="46"/>
      <c r="V415" s="46"/>
      <c r="W415" s="46"/>
      <c r="X415" s="46"/>
      <c r="Y415" s="46"/>
      <c r="Z415" s="46"/>
      <c r="AA415" s="61"/>
      <c r="AB415" s="62"/>
      <c r="AC415" s="63"/>
      <c r="AD415" s="62"/>
      <c r="AE415" s="62">
        <f t="shared" si="50"/>
        <v>0</v>
      </c>
      <c r="AF415" s="64"/>
      <c r="AG415" s="49">
        <v>0.56999999999999995</v>
      </c>
    </row>
    <row r="416" spans="1:33" ht="34.5" customHeight="1" x14ac:dyDescent="0.3">
      <c r="A416" s="46">
        <v>750</v>
      </c>
      <c r="B416" s="46" t="s">
        <v>1650</v>
      </c>
      <c r="C416" s="46" t="s">
        <v>203</v>
      </c>
      <c r="D416" s="60">
        <v>2006</v>
      </c>
      <c r="E416" s="60"/>
      <c r="F416" s="46" t="s">
        <v>285</v>
      </c>
      <c r="G416" s="46" t="s">
        <v>1</v>
      </c>
      <c r="H416" s="46"/>
      <c r="I416" s="46" t="s">
        <v>157</v>
      </c>
      <c r="J416" s="46"/>
      <c r="K416" s="46"/>
      <c r="L416" s="46"/>
      <c r="M416" s="46"/>
      <c r="N416" s="46"/>
      <c r="O416" s="46"/>
      <c r="P416" s="46"/>
      <c r="Q416" s="46"/>
      <c r="R416" s="46"/>
      <c r="S416" s="46"/>
      <c r="T416" s="46"/>
      <c r="U416" s="46"/>
      <c r="V416" s="46"/>
      <c r="W416" s="46"/>
      <c r="X416" s="46"/>
      <c r="Y416" s="46"/>
      <c r="Z416" s="46"/>
      <c r="AA416" s="61"/>
      <c r="AB416" s="62"/>
      <c r="AC416" s="63"/>
      <c r="AD416" s="62"/>
      <c r="AE416" s="62">
        <f t="shared" si="50"/>
        <v>0</v>
      </c>
      <c r="AF416" s="64"/>
      <c r="AG416" s="49">
        <v>0.56999999999999995</v>
      </c>
    </row>
    <row r="417" spans="1:33" ht="34.5" customHeight="1" x14ac:dyDescent="0.3">
      <c r="A417" s="46">
        <v>751</v>
      </c>
      <c r="B417" s="46" t="s">
        <v>1651</v>
      </c>
      <c r="C417" s="46" t="s">
        <v>34</v>
      </c>
      <c r="D417" s="60">
        <v>2024</v>
      </c>
      <c r="E417" s="60"/>
      <c r="F417" s="46" t="s">
        <v>675</v>
      </c>
      <c r="G417" s="46" t="s">
        <v>3</v>
      </c>
      <c r="H417" s="46"/>
      <c r="I417" s="46" t="s">
        <v>169</v>
      </c>
      <c r="J417" s="46" t="s">
        <v>69</v>
      </c>
      <c r="K417" s="46" t="s">
        <v>68</v>
      </c>
      <c r="L417" s="46"/>
      <c r="M417" s="46"/>
      <c r="N417" s="46"/>
      <c r="O417" s="46"/>
      <c r="P417" s="46"/>
      <c r="Q417" s="46">
        <v>1</v>
      </c>
      <c r="R417" s="46"/>
      <c r="S417" s="46"/>
      <c r="T417" s="46"/>
      <c r="U417" s="46"/>
      <c r="V417" s="46"/>
      <c r="W417" s="46"/>
      <c r="X417" s="46"/>
      <c r="Y417" s="46"/>
      <c r="Z417" s="46" t="s">
        <v>828</v>
      </c>
      <c r="AA417" s="61">
        <v>1.5</v>
      </c>
      <c r="AB417" s="62">
        <f>IF(OR(G417="ALK",G417="PEM",G417="SOEC",G417="Other Electrolysis"),
AA417/VLOOKUP(G417,ElectrolysisConvF,3,FALSE),
AC417*10^6/(H2dens*HoursInYear))</f>
        <v>326.08695652173913</v>
      </c>
      <c r="AC417" s="63">
        <f>AB417*H2dens*HoursInYear/10^6</f>
        <v>0.25423043478260865</v>
      </c>
      <c r="AD417" s="62"/>
      <c r="AE417" s="62">
        <f t="shared" si="50"/>
        <v>326.08695652173913</v>
      </c>
      <c r="AF417" s="64" t="s">
        <v>1652</v>
      </c>
      <c r="AG417" s="49">
        <v>0.5</v>
      </c>
    </row>
    <row r="418" spans="1:33" ht="36.6" customHeight="1" x14ac:dyDescent="0.3">
      <c r="A418" s="46">
        <v>752</v>
      </c>
      <c r="B418" s="46" t="s">
        <v>1653</v>
      </c>
      <c r="C418" s="46" t="s">
        <v>74</v>
      </c>
      <c r="D418" s="60">
        <v>2026</v>
      </c>
      <c r="E418" s="60"/>
      <c r="F418" s="46" t="s">
        <v>225</v>
      </c>
      <c r="G418" s="46" t="s">
        <v>159</v>
      </c>
      <c r="H418" s="46" t="s">
        <v>592</v>
      </c>
      <c r="I418" s="46" t="s">
        <v>169</v>
      </c>
      <c r="J418" s="46" t="s">
        <v>248</v>
      </c>
      <c r="K418" s="46" t="s">
        <v>141</v>
      </c>
      <c r="L418" s="46"/>
      <c r="M418" s="46">
        <v>1</v>
      </c>
      <c r="N418" s="46"/>
      <c r="O418" s="46"/>
      <c r="P418" s="46"/>
      <c r="Q418" s="46"/>
      <c r="R418" s="46"/>
      <c r="S418" s="46"/>
      <c r="T418" s="46"/>
      <c r="U418" s="46"/>
      <c r="V418" s="46"/>
      <c r="W418" s="46"/>
      <c r="X418" s="46"/>
      <c r="Y418" s="46"/>
      <c r="Z418" s="46" t="s">
        <v>1654</v>
      </c>
      <c r="AA418" s="61">
        <v>500</v>
      </c>
      <c r="AB418" s="62">
        <f>AA418/0.0045</f>
        <v>111111.11111111112</v>
      </c>
      <c r="AC418" s="63">
        <f>AB418*H2dens*HoursInYear/10^6</f>
        <v>86.626666666666665</v>
      </c>
      <c r="AD418" s="62"/>
      <c r="AE418" s="62">
        <f t="shared" si="50"/>
        <v>111111.11111111112</v>
      </c>
      <c r="AF418" s="64" t="s">
        <v>1655</v>
      </c>
      <c r="AG418" s="49">
        <v>0.5</v>
      </c>
    </row>
    <row r="419" spans="1:33" ht="31.5" customHeight="1" x14ac:dyDescent="0.3">
      <c r="A419" s="46">
        <v>753</v>
      </c>
      <c r="B419" s="46" t="s">
        <v>1656</v>
      </c>
      <c r="C419" s="46" t="s">
        <v>39</v>
      </c>
      <c r="D419" s="60">
        <v>2024</v>
      </c>
      <c r="E419" s="60"/>
      <c r="F419" s="46" t="s">
        <v>675</v>
      </c>
      <c r="G419" s="46" t="s">
        <v>159</v>
      </c>
      <c r="H419" s="46" t="s">
        <v>592</v>
      </c>
      <c r="I419" s="46" t="s">
        <v>169</v>
      </c>
      <c r="J419" s="46" t="s">
        <v>244</v>
      </c>
      <c r="K419" s="46" t="s">
        <v>141</v>
      </c>
      <c r="L419" s="46"/>
      <c r="M419" s="46">
        <v>1</v>
      </c>
      <c r="N419" s="46"/>
      <c r="O419" s="46"/>
      <c r="P419" s="46"/>
      <c r="Q419" s="46"/>
      <c r="R419" s="46"/>
      <c r="S419" s="46"/>
      <c r="T419" s="46"/>
      <c r="U419" s="46"/>
      <c r="V419" s="46"/>
      <c r="W419" s="46"/>
      <c r="X419" s="46"/>
      <c r="Y419" s="46"/>
      <c r="Z419" s="46" t="s">
        <v>1168</v>
      </c>
      <c r="AA419" s="61">
        <v>10</v>
      </c>
      <c r="AB419" s="62">
        <f>AA419/0.0045</f>
        <v>2222.2222222222222</v>
      </c>
      <c r="AC419" s="63">
        <f>AB419*H2dens*HoursInYear/10^6</f>
        <v>1.7325333333333333</v>
      </c>
      <c r="AD419" s="62"/>
      <c r="AE419" s="62">
        <f t="shared" si="50"/>
        <v>2222.2222222222222</v>
      </c>
      <c r="AF419" s="64" t="s">
        <v>1657</v>
      </c>
      <c r="AG419" s="49">
        <v>0.3</v>
      </c>
    </row>
    <row r="420" spans="1:33" ht="34.35" customHeight="1" x14ac:dyDescent="0.3">
      <c r="A420" s="46">
        <v>754</v>
      </c>
      <c r="B420" s="46" t="s">
        <v>1658</v>
      </c>
      <c r="C420" s="46" t="s">
        <v>41</v>
      </c>
      <c r="D420" s="60"/>
      <c r="E420" s="60"/>
      <c r="F420" s="46" t="s">
        <v>675</v>
      </c>
      <c r="G420" s="46" t="s">
        <v>3</v>
      </c>
      <c r="H420" s="46"/>
      <c r="I420" s="46" t="s">
        <v>169</v>
      </c>
      <c r="J420" s="46" t="s">
        <v>245</v>
      </c>
      <c r="K420" s="46" t="s">
        <v>68</v>
      </c>
      <c r="L420" s="46"/>
      <c r="M420" s="46"/>
      <c r="N420" s="46"/>
      <c r="O420" s="46"/>
      <c r="P420" s="46"/>
      <c r="Q420" s="46">
        <v>1</v>
      </c>
      <c r="R420" s="46">
        <v>1</v>
      </c>
      <c r="S420" s="46"/>
      <c r="T420" s="46"/>
      <c r="U420" s="46"/>
      <c r="V420" s="46"/>
      <c r="W420" s="46"/>
      <c r="X420" s="46"/>
      <c r="Y420" s="46"/>
      <c r="Z420" s="46" t="s">
        <v>1659</v>
      </c>
      <c r="AA420" s="61">
        <f>AB420*0.0046</f>
        <v>147.50397619414088</v>
      </c>
      <c r="AB420" s="62">
        <f>AC420/(0.089*24*365/10^6)</f>
        <v>32066.081781334971</v>
      </c>
      <c r="AC420" s="63">
        <f>10/H2ProjectDB4578610[[#This Row],[Column33]]</f>
        <v>25</v>
      </c>
      <c r="AD420" s="62"/>
      <c r="AE420" s="62">
        <f t="shared" si="50"/>
        <v>32066.081781334971</v>
      </c>
      <c r="AF420" s="64" t="s">
        <v>1660</v>
      </c>
      <c r="AG420" s="49">
        <v>0.4</v>
      </c>
    </row>
    <row r="421" spans="1:33" ht="34.5" customHeight="1" x14ac:dyDescent="0.3">
      <c r="A421" s="46">
        <v>755</v>
      </c>
      <c r="B421" s="46" t="s">
        <v>1661</v>
      </c>
      <c r="C421" s="46" t="s">
        <v>39</v>
      </c>
      <c r="D421" s="60">
        <v>2024</v>
      </c>
      <c r="E421" s="60"/>
      <c r="F421" s="46" t="s">
        <v>225</v>
      </c>
      <c r="G421" s="46" t="s">
        <v>159</v>
      </c>
      <c r="H421" s="46" t="s">
        <v>592</v>
      </c>
      <c r="I421" s="46" t="s">
        <v>166</v>
      </c>
      <c r="J421" s="46"/>
      <c r="K421" s="46" t="s">
        <v>68</v>
      </c>
      <c r="L421" s="46"/>
      <c r="M421" s="46"/>
      <c r="N421" s="46"/>
      <c r="O421" s="46"/>
      <c r="P421" s="46"/>
      <c r="Q421" s="46"/>
      <c r="R421" s="46"/>
      <c r="S421" s="46"/>
      <c r="T421" s="46"/>
      <c r="U421" s="46"/>
      <c r="V421" s="46"/>
      <c r="W421" s="46"/>
      <c r="X421" s="46"/>
      <c r="Y421" s="46"/>
      <c r="Z421" s="46" t="s">
        <v>1274</v>
      </c>
      <c r="AA421" s="61">
        <v>50</v>
      </c>
      <c r="AB421" s="62">
        <f>AA421/0.0045</f>
        <v>11111.111111111111</v>
      </c>
      <c r="AC421" s="63">
        <f>AB421*H2dens*HoursInYear/10^6</f>
        <v>8.6626666666666665</v>
      </c>
      <c r="AD421" s="62"/>
      <c r="AE421" s="62">
        <f t="shared" si="50"/>
        <v>11111.111111111111</v>
      </c>
      <c r="AF421" s="64" t="s">
        <v>1662</v>
      </c>
      <c r="AG421" s="49">
        <v>0.56999999999999995</v>
      </c>
    </row>
    <row r="422" spans="1:33" ht="34.5" customHeight="1" x14ac:dyDescent="0.3">
      <c r="A422" s="46">
        <v>756</v>
      </c>
      <c r="B422" s="46" t="s">
        <v>1663</v>
      </c>
      <c r="C422" s="46" t="s">
        <v>39</v>
      </c>
      <c r="D422" s="60">
        <v>2025</v>
      </c>
      <c r="E422" s="60"/>
      <c r="F422" s="46" t="s">
        <v>225</v>
      </c>
      <c r="G422" s="46" t="s">
        <v>159</v>
      </c>
      <c r="H422" s="46" t="s">
        <v>592</v>
      </c>
      <c r="I422" s="46" t="s">
        <v>169</v>
      </c>
      <c r="J422" s="46" t="s">
        <v>69</v>
      </c>
      <c r="K422" s="46" t="s">
        <v>68</v>
      </c>
      <c r="L422" s="46"/>
      <c r="M422" s="46"/>
      <c r="N422" s="46"/>
      <c r="O422" s="46"/>
      <c r="P422" s="46"/>
      <c r="Q422" s="46"/>
      <c r="R422" s="46"/>
      <c r="S422" s="46"/>
      <c r="T422" s="46"/>
      <c r="U422" s="46"/>
      <c r="V422" s="46"/>
      <c r="W422" s="46"/>
      <c r="X422" s="46"/>
      <c r="Y422" s="46"/>
      <c r="Z422" s="46" t="s">
        <v>1664</v>
      </c>
      <c r="AA422" s="61">
        <v>300</v>
      </c>
      <c r="AB422" s="62">
        <f>IF(OR(G422="ALK",G422="PEM",G422="SOEC",G422="Other Electrolysis"),
AA422/VLOOKUP(G422,ElectrolysisConvF,3,FALSE),
AC422*10^6/(H2dens*HoursInYear))</f>
        <v>66666.666666666672</v>
      </c>
      <c r="AC422" s="63">
        <f>AB422*H2dens*HoursInYear/10^6</f>
        <v>51.975999999999999</v>
      </c>
      <c r="AD422" s="62"/>
      <c r="AE422" s="62">
        <f t="shared" si="50"/>
        <v>66666.666666666672</v>
      </c>
      <c r="AF422" s="64" t="s">
        <v>1665</v>
      </c>
      <c r="AG422" s="49">
        <v>0.5</v>
      </c>
    </row>
    <row r="423" spans="1:33" ht="34.5" customHeight="1" x14ac:dyDescent="0.3">
      <c r="A423" s="46">
        <v>757</v>
      </c>
      <c r="B423" s="46" t="s">
        <v>1666</v>
      </c>
      <c r="C423" s="46" t="s">
        <v>39</v>
      </c>
      <c r="D423" s="60">
        <v>2025</v>
      </c>
      <c r="E423" s="60"/>
      <c r="F423" s="46" t="s">
        <v>225</v>
      </c>
      <c r="G423" s="46" t="s">
        <v>159</v>
      </c>
      <c r="H423" s="46" t="s">
        <v>592</v>
      </c>
      <c r="I423" s="46" t="s">
        <v>169</v>
      </c>
      <c r="J423" s="46" t="s">
        <v>248</v>
      </c>
      <c r="K423" s="46" t="s">
        <v>141</v>
      </c>
      <c r="L423" s="46"/>
      <c r="M423" s="46">
        <v>1</v>
      </c>
      <c r="N423" s="46"/>
      <c r="O423" s="46"/>
      <c r="P423" s="46"/>
      <c r="Q423" s="46"/>
      <c r="R423" s="46"/>
      <c r="S423" s="46"/>
      <c r="T423" s="46"/>
      <c r="U423" s="46"/>
      <c r="V423" s="46"/>
      <c r="W423" s="46"/>
      <c r="X423" s="46"/>
      <c r="Y423" s="46"/>
      <c r="Z423" s="46" t="s">
        <v>1667</v>
      </c>
      <c r="AA423" s="61">
        <v>150</v>
      </c>
      <c r="AB423" s="62">
        <f>IF(OR(G423="ALK",G423="PEM",G423="SOEC",G423="Other Electrolysis"),
AA423/VLOOKUP(G423,ElectrolysisConvF,3,FALSE),
AC423*10^6/(H2dens*HoursInYear))</f>
        <v>33333.333333333336</v>
      </c>
      <c r="AC423" s="63">
        <f>AB423*H2dens*HoursInYear/10^6</f>
        <v>25.988</v>
      </c>
      <c r="AD423" s="62"/>
      <c r="AE423" s="62">
        <f>IF(AND(G423&lt;&gt;"NG w CCUS",G423&lt;&gt;"Oil w CCUS",G423&lt;&gt;"Coal w CCUS"),AB423,AD423*10^3/(HoursInYear*IF(G423="NG w CCUS",0.9105,1.9075)))</f>
        <v>33333.333333333336</v>
      </c>
      <c r="AF423" s="64" t="s">
        <v>1668</v>
      </c>
      <c r="AG423" s="49">
        <v>0.5</v>
      </c>
    </row>
    <row r="424" spans="1:33" ht="34.5" customHeight="1" x14ac:dyDescent="0.3">
      <c r="A424" s="46">
        <v>759</v>
      </c>
      <c r="B424" s="46" t="s">
        <v>1669</v>
      </c>
      <c r="C424" s="46" t="s">
        <v>38</v>
      </c>
      <c r="D424" s="60">
        <v>2006</v>
      </c>
      <c r="E424" s="60"/>
      <c r="F424" s="46" t="s">
        <v>285</v>
      </c>
      <c r="G424" s="46" t="s">
        <v>1</v>
      </c>
      <c r="H424" s="46"/>
      <c r="I424" s="46" t="s">
        <v>157</v>
      </c>
      <c r="J424" s="46"/>
      <c r="K424" s="46" t="s">
        <v>68</v>
      </c>
      <c r="L424" s="46"/>
      <c r="M424" s="46"/>
      <c r="N424" s="46"/>
      <c r="O424" s="46"/>
      <c r="P424" s="46">
        <v>1</v>
      </c>
      <c r="Q424" s="46"/>
      <c r="R424" s="46"/>
      <c r="S424" s="46"/>
      <c r="T424" s="46"/>
      <c r="U424" s="46"/>
      <c r="V424" s="46"/>
      <c r="W424" s="46"/>
      <c r="X424" s="46"/>
      <c r="Y424" s="46"/>
      <c r="Z424" s="46" t="s">
        <v>1408</v>
      </c>
      <c r="AA424" s="61">
        <v>0.1</v>
      </c>
      <c r="AB424" s="62">
        <f>AA424/0.0052</f>
        <v>19.230769230769234</v>
      </c>
      <c r="AC424" s="63">
        <f>AB424*H2dens*HoursInYear/10^6</f>
        <v>1.4993076923076923E-2</v>
      </c>
      <c r="AD424" s="62"/>
      <c r="AE424" s="62">
        <f t="shared" ref="AE424:AE449" si="51">AB424</f>
        <v>19.230769230769234</v>
      </c>
      <c r="AF424" s="64" t="s">
        <v>1670</v>
      </c>
      <c r="AG424" s="49">
        <v>0.56999999999999995</v>
      </c>
    </row>
    <row r="425" spans="1:33" ht="34.5" customHeight="1" x14ac:dyDescent="0.3">
      <c r="A425" s="46">
        <v>760</v>
      </c>
      <c r="B425" s="46" t="s">
        <v>1671</v>
      </c>
      <c r="C425" s="46" t="s">
        <v>58</v>
      </c>
      <c r="D425" s="60">
        <v>2006</v>
      </c>
      <c r="E425" s="60"/>
      <c r="F425" s="46" t="s">
        <v>285</v>
      </c>
      <c r="G425" s="46" t="s">
        <v>1</v>
      </c>
      <c r="H425" s="46"/>
      <c r="I425" s="46" t="s">
        <v>157</v>
      </c>
      <c r="J425" s="46"/>
      <c r="K425" s="46" t="s">
        <v>68</v>
      </c>
      <c r="L425" s="46"/>
      <c r="M425" s="46"/>
      <c r="N425" s="46"/>
      <c r="O425" s="46"/>
      <c r="P425" s="46"/>
      <c r="Q425" s="46"/>
      <c r="R425" s="46">
        <v>1</v>
      </c>
      <c r="S425" s="46"/>
      <c r="T425" s="46"/>
      <c r="U425" s="46"/>
      <c r="V425" s="46"/>
      <c r="W425" s="46"/>
      <c r="X425" s="46"/>
      <c r="Y425" s="46"/>
      <c r="Z425" s="46"/>
      <c r="AA425" s="61"/>
      <c r="AB425" s="62"/>
      <c r="AC425" s="63"/>
      <c r="AD425" s="62"/>
      <c r="AE425" s="62">
        <f t="shared" si="51"/>
        <v>0</v>
      </c>
      <c r="AF425" s="64" t="s">
        <v>1672</v>
      </c>
      <c r="AG425" s="49">
        <v>0.56999999999999995</v>
      </c>
    </row>
    <row r="426" spans="1:33" ht="34.5" customHeight="1" x14ac:dyDescent="0.3">
      <c r="A426" s="46">
        <v>761</v>
      </c>
      <c r="B426" s="46" t="s">
        <v>1673</v>
      </c>
      <c r="C426" s="46" t="s">
        <v>40</v>
      </c>
      <c r="D426" s="60">
        <v>2006</v>
      </c>
      <c r="E426" s="60"/>
      <c r="F426" s="46" t="s">
        <v>285</v>
      </c>
      <c r="G426" s="46" t="s">
        <v>1</v>
      </c>
      <c r="H426" s="46"/>
      <c r="I426" s="46" t="s">
        <v>157</v>
      </c>
      <c r="J426" s="46"/>
      <c r="K426" s="46" t="s">
        <v>68</v>
      </c>
      <c r="L426" s="46"/>
      <c r="M426" s="46"/>
      <c r="N426" s="46"/>
      <c r="O426" s="46"/>
      <c r="P426" s="46"/>
      <c r="Q426" s="46">
        <v>1</v>
      </c>
      <c r="R426" s="46">
        <v>1</v>
      </c>
      <c r="S426" s="46"/>
      <c r="T426" s="46">
        <v>1</v>
      </c>
      <c r="U426" s="46"/>
      <c r="V426" s="46"/>
      <c r="W426" s="46"/>
      <c r="X426" s="46"/>
      <c r="Y426" s="46"/>
      <c r="Z426" s="46"/>
      <c r="AA426" s="61"/>
      <c r="AB426" s="62"/>
      <c r="AC426" s="63"/>
      <c r="AD426" s="62"/>
      <c r="AE426" s="62">
        <f t="shared" si="51"/>
        <v>0</v>
      </c>
      <c r="AF426" s="64" t="s">
        <v>1674</v>
      </c>
      <c r="AG426" s="49">
        <v>0.56999999999999995</v>
      </c>
    </row>
    <row r="427" spans="1:33" ht="34.5" customHeight="1" x14ac:dyDescent="0.3">
      <c r="A427" s="46">
        <v>762</v>
      </c>
      <c r="B427" s="46" t="s">
        <v>1675</v>
      </c>
      <c r="C427" s="46" t="s">
        <v>39</v>
      </c>
      <c r="D427" s="60"/>
      <c r="E427" s="60"/>
      <c r="F427" s="46" t="s">
        <v>157</v>
      </c>
      <c r="G427" s="46" t="s">
        <v>159</v>
      </c>
      <c r="H427" s="46" t="s">
        <v>592</v>
      </c>
      <c r="I427" s="46" t="s">
        <v>157</v>
      </c>
      <c r="J427" s="46"/>
      <c r="K427" s="46" t="s">
        <v>72</v>
      </c>
      <c r="L427" s="46"/>
      <c r="M427" s="46"/>
      <c r="N427" s="46"/>
      <c r="O427" s="46"/>
      <c r="P427" s="46"/>
      <c r="Q427" s="46"/>
      <c r="R427" s="46"/>
      <c r="S427" s="46"/>
      <c r="T427" s="46"/>
      <c r="U427" s="46"/>
      <c r="V427" s="46"/>
      <c r="W427" s="46"/>
      <c r="X427" s="46">
        <v>1</v>
      </c>
      <c r="Y427" s="46"/>
      <c r="Z427" s="46"/>
      <c r="AA427" s="61"/>
      <c r="AB427" s="62"/>
      <c r="AC427" s="63"/>
      <c r="AD427" s="62"/>
      <c r="AE427" s="62">
        <f t="shared" si="51"/>
        <v>0</v>
      </c>
      <c r="AF427" s="64"/>
      <c r="AG427" s="49">
        <v>0.56999999999999995</v>
      </c>
    </row>
    <row r="428" spans="1:33" ht="34.5" customHeight="1" x14ac:dyDescent="0.3">
      <c r="A428" s="46">
        <v>764</v>
      </c>
      <c r="B428" s="46" t="s">
        <v>1676</v>
      </c>
      <c r="C428" s="46" t="s">
        <v>50</v>
      </c>
      <c r="D428" s="60">
        <v>2022</v>
      </c>
      <c r="E428" s="60"/>
      <c r="F428" s="46" t="s">
        <v>226</v>
      </c>
      <c r="G428" s="46" t="s">
        <v>3</v>
      </c>
      <c r="H428" s="46"/>
      <c r="I428" s="46" t="s">
        <v>169</v>
      </c>
      <c r="J428" s="46" t="s">
        <v>244</v>
      </c>
      <c r="K428" s="46" t="s">
        <v>68</v>
      </c>
      <c r="L428" s="46"/>
      <c r="M428" s="46"/>
      <c r="N428" s="46"/>
      <c r="O428" s="46"/>
      <c r="P428" s="46">
        <v>1</v>
      </c>
      <c r="Q428" s="46">
        <v>1</v>
      </c>
      <c r="R428" s="46"/>
      <c r="S428" s="46"/>
      <c r="T428" s="46"/>
      <c r="U428" s="46"/>
      <c r="V428" s="46"/>
      <c r="W428" s="46"/>
      <c r="X428" s="46"/>
      <c r="Y428" s="46"/>
      <c r="Z428" s="46" t="s">
        <v>1677</v>
      </c>
      <c r="AA428" s="61">
        <v>1.4</v>
      </c>
      <c r="AB428" s="62">
        <f>AA428/0.0046</f>
        <v>304.3478260869565</v>
      </c>
      <c r="AC428" s="63">
        <f>AB428*H2dens*HoursInYear/10^6</f>
        <v>0.23728173913043479</v>
      </c>
      <c r="AD428" s="62"/>
      <c r="AE428" s="62">
        <f t="shared" si="51"/>
        <v>304.3478260869565</v>
      </c>
      <c r="AF428" s="64" t="s">
        <v>1678</v>
      </c>
      <c r="AG428" s="49">
        <v>0.3</v>
      </c>
    </row>
    <row r="429" spans="1:33" ht="34.5" customHeight="1" x14ac:dyDescent="0.3">
      <c r="A429" s="46">
        <v>765</v>
      </c>
      <c r="B429" s="46" t="s">
        <v>1679</v>
      </c>
      <c r="C429" s="46" t="s">
        <v>41</v>
      </c>
      <c r="D429" s="60">
        <v>2022</v>
      </c>
      <c r="E429" s="60"/>
      <c r="F429" s="46" t="s">
        <v>285</v>
      </c>
      <c r="G429" s="46" t="s">
        <v>1</v>
      </c>
      <c r="H429" s="46"/>
      <c r="I429" s="46" t="s">
        <v>166</v>
      </c>
      <c r="J429" s="46"/>
      <c r="K429" s="46" t="s">
        <v>68</v>
      </c>
      <c r="L429" s="46"/>
      <c r="M429" s="46"/>
      <c r="N429" s="46"/>
      <c r="O429" s="46"/>
      <c r="P429" s="46"/>
      <c r="Q429" s="46">
        <v>1</v>
      </c>
      <c r="R429" s="46"/>
      <c r="S429" s="46"/>
      <c r="T429" s="46"/>
      <c r="U429" s="46"/>
      <c r="V429" s="46"/>
      <c r="W429" s="46"/>
      <c r="X429" s="46"/>
      <c r="Y429" s="46"/>
      <c r="Z429" s="46" t="s">
        <v>1327</v>
      </c>
      <c r="AA429" s="61">
        <v>1</v>
      </c>
      <c r="AB429" s="62">
        <f>AA429/0.0052</f>
        <v>192.30769230769232</v>
      </c>
      <c r="AC429" s="63">
        <f>AB429*H2dens*HoursInYear/10^6</f>
        <v>0.14993076923076926</v>
      </c>
      <c r="AD429" s="62"/>
      <c r="AE429" s="62">
        <f t="shared" si="51"/>
        <v>192.30769230769232</v>
      </c>
      <c r="AF429" s="64" t="s">
        <v>1680</v>
      </c>
      <c r="AG429" s="49">
        <v>0.56999999999999995</v>
      </c>
    </row>
    <row r="430" spans="1:33" ht="34.5" customHeight="1" x14ac:dyDescent="0.3">
      <c r="A430" s="46">
        <v>768</v>
      </c>
      <c r="B430" s="46" t="s">
        <v>1681</v>
      </c>
      <c r="C430" s="46" t="s">
        <v>318</v>
      </c>
      <c r="D430" s="60">
        <v>2023</v>
      </c>
      <c r="E430" s="60">
        <v>2024</v>
      </c>
      <c r="F430" s="46" t="s">
        <v>285</v>
      </c>
      <c r="G430" s="46" t="s">
        <v>1</v>
      </c>
      <c r="H430" s="46"/>
      <c r="I430" s="46" t="s">
        <v>157</v>
      </c>
      <c r="J430" s="46"/>
      <c r="K430" s="46" t="s">
        <v>68</v>
      </c>
      <c r="L430" s="46"/>
      <c r="M430" s="46"/>
      <c r="N430" s="46"/>
      <c r="O430" s="46"/>
      <c r="P430" s="46"/>
      <c r="Q430" s="46"/>
      <c r="R430" s="46">
        <v>1</v>
      </c>
      <c r="S430" s="46"/>
      <c r="T430" s="46"/>
      <c r="U430" s="46"/>
      <c r="V430" s="46"/>
      <c r="W430" s="46"/>
      <c r="X430" s="46"/>
      <c r="Y430" s="46"/>
      <c r="Z430" s="46" t="s">
        <v>1327</v>
      </c>
      <c r="AA430" s="61">
        <v>1</v>
      </c>
      <c r="AB430" s="62">
        <f>AA430/0.0052</f>
        <v>192.30769230769232</v>
      </c>
      <c r="AC430" s="63">
        <f>AB430*H2dens*HoursInYear/10^6</f>
        <v>0.14993076923076926</v>
      </c>
      <c r="AD430" s="62"/>
      <c r="AE430" s="62">
        <f t="shared" si="51"/>
        <v>192.30769230769232</v>
      </c>
      <c r="AF430" s="64" t="s">
        <v>1682</v>
      </c>
      <c r="AG430" s="49">
        <v>0.56999999999999995</v>
      </c>
    </row>
    <row r="431" spans="1:33" ht="34.5" customHeight="1" x14ac:dyDescent="0.3">
      <c r="A431" s="46">
        <v>769</v>
      </c>
      <c r="B431" s="46" t="s">
        <v>1683</v>
      </c>
      <c r="C431" s="46" t="s">
        <v>40</v>
      </c>
      <c r="D431" s="60">
        <v>2022</v>
      </c>
      <c r="E431" s="60"/>
      <c r="F431" s="46" t="s">
        <v>226</v>
      </c>
      <c r="G431" s="46" t="s">
        <v>163</v>
      </c>
      <c r="H431" s="46" t="s">
        <v>1684</v>
      </c>
      <c r="I431" s="46"/>
      <c r="J431" s="46"/>
      <c r="K431" s="46" t="s">
        <v>68</v>
      </c>
      <c r="L431" s="46"/>
      <c r="M431" s="46"/>
      <c r="N431" s="46"/>
      <c r="O431" s="46"/>
      <c r="P431" s="46"/>
      <c r="Q431" s="46">
        <v>1</v>
      </c>
      <c r="R431" s="46"/>
      <c r="S431" s="46"/>
      <c r="T431" s="46"/>
      <c r="U431" s="46"/>
      <c r="V431" s="46"/>
      <c r="W431" s="46"/>
      <c r="X431" s="46"/>
      <c r="Y431" s="46"/>
      <c r="Z431" s="46" t="s">
        <v>1685</v>
      </c>
      <c r="AA431" s="61"/>
      <c r="AB431" s="62">
        <f>AC431/(0.089*24*365/10^6)</f>
        <v>4681.6479400749058</v>
      </c>
      <c r="AC431" s="63">
        <f>10*365/1000</f>
        <v>3.65</v>
      </c>
      <c r="AD431" s="62"/>
      <c r="AE431" s="62">
        <f t="shared" si="51"/>
        <v>4681.6479400749058</v>
      </c>
      <c r="AF431" s="64" t="s">
        <v>1686</v>
      </c>
      <c r="AG431" s="49">
        <v>0.9</v>
      </c>
    </row>
    <row r="432" spans="1:33" ht="34.5" customHeight="1" x14ac:dyDescent="0.3">
      <c r="A432" s="46">
        <v>770</v>
      </c>
      <c r="B432" s="46" t="s">
        <v>1687</v>
      </c>
      <c r="C432" s="46" t="s">
        <v>64</v>
      </c>
      <c r="D432" s="60">
        <v>2022</v>
      </c>
      <c r="E432" s="60"/>
      <c r="F432" s="46" t="s">
        <v>226</v>
      </c>
      <c r="G432" s="46" t="s">
        <v>1</v>
      </c>
      <c r="H432" s="46"/>
      <c r="I432" s="46" t="s">
        <v>169</v>
      </c>
      <c r="J432" s="46" t="s">
        <v>245</v>
      </c>
      <c r="K432" s="46" t="s">
        <v>167</v>
      </c>
      <c r="L432" s="46"/>
      <c r="M432" s="46"/>
      <c r="N432" s="46">
        <v>1</v>
      </c>
      <c r="O432" s="46"/>
      <c r="P432" s="46"/>
      <c r="Q432" s="46"/>
      <c r="R432" s="46"/>
      <c r="S432" s="46"/>
      <c r="T432" s="46"/>
      <c r="U432" s="46"/>
      <c r="V432" s="46"/>
      <c r="W432" s="46">
        <v>1</v>
      </c>
      <c r="X432" s="46"/>
      <c r="Y432" s="46"/>
      <c r="Z432" s="46" t="s">
        <v>1688</v>
      </c>
      <c r="AA432" s="61">
        <v>1</v>
      </c>
      <c r="AB432" s="62">
        <f>AA432/0.0052</f>
        <v>192.30769230769232</v>
      </c>
      <c r="AC432" s="63">
        <f>AB432*H2dens*HoursInYear/10^6</f>
        <v>0.14993076923076926</v>
      </c>
      <c r="AD432" s="62"/>
      <c r="AE432" s="62">
        <f t="shared" si="51"/>
        <v>192.30769230769232</v>
      </c>
      <c r="AF432" s="64" t="s">
        <v>1689</v>
      </c>
      <c r="AG432" s="49">
        <v>0.4</v>
      </c>
    </row>
    <row r="433" spans="1:33" ht="39.6" customHeight="1" x14ac:dyDescent="0.3">
      <c r="A433" s="46">
        <v>771</v>
      </c>
      <c r="B433" s="46" t="s">
        <v>1690</v>
      </c>
      <c r="C433" s="46" t="s">
        <v>50</v>
      </c>
      <c r="D433" s="60">
        <v>2025</v>
      </c>
      <c r="E433" s="60"/>
      <c r="F433" s="46" t="s">
        <v>675</v>
      </c>
      <c r="G433" s="46" t="s">
        <v>3</v>
      </c>
      <c r="H433" s="46"/>
      <c r="I433" s="46" t="s">
        <v>169</v>
      </c>
      <c r="J433" s="46" t="s">
        <v>246</v>
      </c>
      <c r="K433" s="46" t="s">
        <v>68</v>
      </c>
      <c r="L433" s="46">
        <v>1</v>
      </c>
      <c r="M433" s="46"/>
      <c r="N433" s="46"/>
      <c r="O433" s="46"/>
      <c r="P433" s="46"/>
      <c r="Q433" s="46"/>
      <c r="R433" s="46"/>
      <c r="S433" s="46"/>
      <c r="T433" s="46"/>
      <c r="U433" s="46"/>
      <c r="V433" s="46"/>
      <c r="W433" s="46"/>
      <c r="X433" s="46"/>
      <c r="Y433" s="46"/>
      <c r="Z433" s="46" t="s">
        <v>1691</v>
      </c>
      <c r="AA433" s="61">
        <v>200</v>
      </c>
      <c r="AB433" s="62">
        <f>AA433/0.0046</f>
        <v>43478.260869565216</v>
      </c>
      <c r="AC433" s="63">
        <f>AB433*H2dens*HoursInYear/10^6</f>
        <v>33.897391304347821</v>
      </c>
      <c r="AD433" s="62"/>
      <c r="AE433" s="62">
        <f t="shared" si="51"/>
        <v>43478.260869565216</v>
      </c>
      <c r="AF433" s="64" t="s">
        <v>1692</v>
      </c>
      <c r="AG433" s="49">
        <v>0.55000000000000004</v>
      </c>
    </row>
    <row r="434" spans="1:33" ht="27" customHeight="1" x14ac:dyDescent="0.3">
      <c r="A434" s="46">
        <v>772</v>
      </c>
      <c r="B434" s="46" t="s">
        <v>1693</v>
      </c>
      <c r="C434" s="46" t="s">
        <v>39</v>
      </c>
      <c r="D434" s="60">
        <v>2023</v>
      </c>
      <c r="E434" s="60"/>
      <c r="F434" s="46" t="s">
        <v>675</v>
      </c>
      <c r="G434" s="46" t="s">
        <v>1</v>
      </c>
      <c r="H434" s="46"/>
      <c r="I434" s="46" t="s">
        <v>169</v>
      </c>
      <c r="J434" s="46" t="s">
        <v>248</v>
      </c>
      <c r="K434" s="46" t="s">
        <v>68</v>
      </c>
      <c r="L434" s="46"/>
      <c r="M434" s="46"/>
      <c r="N434" s="46"/>
      <c r="O434" s="46"/>
      <c r="P434" s="46">
        <v>1</v>
      </c>
      <c r="Q434" s="46">
        <v>1</v>
      </c>
      <c r="R434" s="46"/>
      <c r="S434" s="46"/>
      <c r="T434" s="46"/>
      <c r="U434" s="46"/>
      <c r="V434" s="46"/>
      <c r="W434" s="46"/>
      <c r="X434" s="46"/>
      <c r="Y434" s="46"/>
      <c r="Z434" s="46" t="s">
        <v>1327</v>
      </c>
      <c r="AA434" s="61">
        <v>1</v>
      </c>
      <c r="AB434" s="62">
        <f>IF(OR(G434="ALK",G434="PEM",G434="SOEC",G434="Other Electrolysis"),
AA434/VLOOKUP(G434,ElectrolysisConvF,3,FALSE),
AC434*10^6/(H2dens*HoursInYear))</f>
        <v>192.30769230769232</v>
      </c>
      <c r="AC434" s="63">
        <f>AB434*H2dens*HoursInYear/10^6</f>
        <v>0.14993076923076926</v>
      </c>
      <c r="AD434" s="62"/>
      <c r="AE434" s="62">
        <f t="shared" si="51"/>
        <v>192.30769230769232</v>
      </c>
      <c r="AF434" s="64" t="s">
        <v>1694</v>
      </c>
      <c r="AG434" s="49">
        <v>0.5</v>
      </c>
    </row>
    <row r="435" spans="1:33" ht="34.5" customHeight="1" x14ac:dyDescent="0.3">
      <c r="A435" s="46">
        <v>773</v>
      </c>
      <c r="B435" s="46" t="s">
        <v>1695</v>
      </c>
      <c r="C435" s="46" t="s">
        <v>321</v>
      </c>
      <c r="D435" s="60">
        <v>2022</v>
      </c>
      <c r="E435" s="60"/>
      <c r="F435" s="46" t="s">
        <v>226</v>
      </c>
      <c r="G435" s="46" t="s">
        <v>1</v>
      </c>
      <c r="H435" s="46"/>
      <c r="I435" s="46" t="s">
        <v>166</v>
      </c>
      <c r="J435" s="46"/>
      <c r="K435" s="46" t="s">
        <v>68</v>
      </c>
      <c r="L435" s="46"/>
      <c r="M435" s="46"/>
      <c r="N435" s="46"/>
      <c r="O435" s="46"/>
      <c r="P435" s="46"/>
      <c r="Q435" s="46">
        <v>1</v>
      </c>
      <c r="R435" s="46"/>
      <c r="S435" s="46"/>
      <c r="T435" s="46"/>
      <c r="U435" s="46"/>
      <c r="V435" s="46"/>
      <c r="W435" s="46"/>
      <c r="X435" s="46"/>
      <c r="Y435" s="46"/>
      <c r="Z435" s="46" t="s">
        <v>676</v>
      </c>
      <c r="AA435" s="63">
        <v>2.5</v>
      </c>
      <c r="AB435" s="62">
        <f>IF(OR(G435="ALK",G435="PEM",G435="SOEC",G435="Other Electrolysis"),
AA435/VLOOKUP(G435,ElectrolysisConvF,3,FALSE),
AC435*10^6/(H2dens*HoursInYear))</f>
        <v>480.76923076923077</v>
      </c>
      <c r="AC435" s="63">
        <f>AB435*H2dens*HoursInYear/10^6</f>
        <v>0.37482692307692306</v>
      </c>
      <c r="AD435" s="62"/>
      <c r="AE435" s="62">
        <f t="shared" si="51"/>
        <v>480.76923076923077</v>
      </c>
      <c r="AF435" s="64" t="s">
        <v>1696</v>
      </c>
      <c r="AG435" s="49">
        <v>0.56999999999999995</v>
      </c>
    </row>
    <row r="436" spans="1:33" ht="34.5" customHeight="1" x14ac:dyDescent="0.3">
      <c r="A436" s="46">
        <v>774</v>
      </c>
      <c r="B436" s="46" t="s">
        <v>1697</v>
      </c>
      <c r="C436" s="46" t="s">
        <v>52</v>
      </c>
      <c r="D436" s="60"/>
      <c r="E436" s="60"/>
      <c r="F436" s="46" t="s">
        <v>591</v>
      </c>
      <c r="G436" s="46" t="s">
        <v>159</v>
      </c>
      <c r="H436" s="46" t="s">
        <v>592</v>
      </c>
      <c r="I436" s="46" t="s">
        <v>157</v>
      </c>
      <c r="J436" s="46"/>
      <c r="K436" s="46" t="s">
        <v>68</v>
      </c>
      <c r="L436" s="46"/>
      <c r="M436" s="46"/>
      <c r="N436" s="46"/>
      <c r="O436" s="46"/>
      <c r="P436" s="46"/>
      <c r="Q436" s="46">
        <v>1</v>
      </c>
      <c r="R436" s="46"/>
      <c r="S436" s="46"/>
      <c r="T436" s="46"/>
      <c r="U436" s="46"/>
      <c r="V436" s="46"/>
      <c r="W436" s="46"/>
      <c r="X436" s="46"/>
      <c r="Y436" s="46"/>
      <c r="Z436" s="46"/>
      <c r="AA436" s="61"/>
      <c r="AB436" s="62"/>
      <c r="AC436" s="63"/>
      <c r="AD436" s="62"/>
      <c r="AE436" s="62">
        <f t="shared" si="51"/>
        <v>0</v>
      </c>
      <c r="AF436" s="64" t="s">
        <v>1698</v>
      </c>
      <c r="AG436" s="49">
        <v>0.56999999999999995</v>
      </c>
    </row>
    <row r="437" spans="1:33" ht="34.5" customHeight="1" x14ac:dyDescent="0.3">
      <c r="A437" s="46">
        <v>775</v>
      </c>
      <c r="B437" s="46" t="s">
        <v>1699</v>
      </c>
      <c r="C437" s="46" t="s">
        <v>321</v>
      </c>
      <c r="D437" s="60">
        <v>2015</v>
      </c>
      <c r="E437" s="60"/>
      <c r="F437" s="46" t="s">
        <v>226</v>
      </c>
      <c r="G437" s="46" t="s">
        <v>3</v>
      </c>
      <c r="H437" s="46"/>
      <c r="I437" s="46" t="s">
        <v>169</v>
      </c>
      <c r="J437" s="46" t="s">
        <v>244</v>
      </c>
      <c r="K437" s="46" t="s">
        <v>68</v>
      </c>
      <c r="L437" s="46"/>
      <c r="M437" s="46"/>
      <c r="N437" s="46"/>
      <c r="O437" s="46"/>
      <c r="P437" s="46"/>
      <c r="Q437" s="46">
        <v>1</v>
      </c>
      <c r="R437" s="46"/>
      <c r="S437" s="46"/>
      <c r="T437" s="46"/>
      <c r="U437" s="46"/>
      <c r="V437" s="46"/>
      <c r="W437" s="46"/>
      <c r="X437" s="46"/>
      <c r="Y437" s="46"/>
      <c r="Z437" s="46" t="s">
        <v>1700</v>
      </c>
      <c r="AA437" s="61">
        <v>0.06</v>
      </c>
      <c r="AB437" s="62">
        <f>IF(OR(G437="ALK",G437="PEM",G437="SOEC",G437="Other Electrolysis"),
AA437/VLOOKUP(G437,ElectrolysisConvF,3,FALSE),
AC437*10^6/(H2dens*HoursInYear))</f>
        <v>13.043478260869565</v>
      </c>
      <c r="AC437" s="63">
        <f>AB437*H2dens*HoursInYear/10^6</f>
        <v>1.0169217391304348E-2</v>
      </c>
      <c r="AD437" s="62"/>
      <c r="AE437" s="62">
        <f t="shared" si="51"/>
        <v>13.043478260869565</v>
      </c>
      <c r="AF437" s="64"/>
      <c r="AG437" s="49">
        <v>0.3</v>
      </c>
    </row>
    <row r="438" spans="1:33" ht="41.85" customHeight="1" x14ac:dyDescent="0.3">
      <c r="A438" s="46">
        <v>776</v>
      </c>
      <c r="B438" s="46" t="s">
        <v>1701</v>
      </c>
      <c r="C438" s="46" t="s">
        <v>321</v>
      </c>
      <c r="D438" s="60">
        <v>2026</v>
      </c>
      <c r="E438" s="60"/>
      <c r="F438" s="46" t="s">
        <v>225</v>
      </c>
      <c r="G438" s="46" t="s">
        <v>159</v>
      </c>
      <c r="H438" s="46" t="s">
        <v>592</v>
      </c>
      <c r="I438" s="46" t="s">
        <v>169</v>
      </c>
      <c r="J438" s="46" t="s">
        <v>244</v>
      </c>
      <c r="K438" s="46" t="s">
        <v>141</v>
      </c>
      <c r="L438" s="46"/>
      <c r="M438" s="46">
        <v>1</v>
      </c>
      <c r="N438" s="46"/>
      <c r="O438" s="46"/>
      <c r="P438" s="46"/>
      <c r="Q438" s="46"/>
      <c r="R438" s="46"/>
      <c r="S438" s="46"/>
      <c r="T438" s="46"/>
      <c r="U438" s="46"/>
      <c r="V438" s="46"/>
      <c r="W438" s="46"/>
      <c r="X438" s="46"/>
      <c r="Y438" s="46"/>
      <c r="Z438" s="46" t="s">
        <v>1691</v>
      </c>
      <c r="AA438" s="61">
        <v>200</v>
      </c>
      <c r="AB438" s="62">
        <f>AA438/0.0045</f>
        <v>44444.444444444445</v>
      </c>
      <c r="AC438" s="63">
        <f>AB438*H2dens*HoursInYear/10^6</f>
        <v>34.650666666666666</v>
      </c>
      <c r="AD438" s="62"/>
      <c r="AE438" s="62">
        <f t="shared" si="51"/>
        <v>44444.444444444445</v>
      </c>
      <c r="AF438" s="64" t="s">
        <v>1702</v>
      </c>
      <c r="AG438" s="49">
        <v>0.3</v>
      </c>
    </row>
    <row r="439" spans="1:33" ht="34.5" customHeight="1" x14ac:dyDescent="0.3">
      <c r="A439" s="46">
        <v>777</v>
      </c>
      <c r="B439" s="46" t="s">
        <v>1703</v>
      </c>
      <c r="C439" s="46" t="s">
        <v>34</v>
      </c>
      <c r="D439" s="60">
        <v>2022</v>
      </c>
      <c r="E439" s="60"/>
      <c r="F439" s="46" t="s">
        <v>285</v>
      </c>
      <c r="G439" s="46" t="s">
        <v>1</v>
      </c>
      <c r="H439" s="46"/>
      <c r="I439" s="46" t="s">
        <v>166</v>
      </c>
      <c r="J439" s="46"/>
      <c r="K439" s="46" t="s">
        <v>68</v>
      </c>
      <c r="L439" s="46"/>
      <c r="M439" s="46"/>
      <c r="N439" s="46"/>
      <c r="O439" s="46"/>
      <c r="P439" s="46"/>
      <c r="Q439" s="46"/>
      <c r="R439" s="46">
        <v>1</v>
      </c>
      <c r="S439" s="46"/>
      <c r="T439" s="46"/>
      <c r="U439" s="46"/>
      <c r="V439" s="46"/>
      <c r="W439" s="46"/>
      <c r="X439" s="46"/>
      <c r="Y439" s="46"/>
      <c r="Z439" s="46" t="s">
        <v>1704</v>
      </c>
      <c r="AA439" s="61">
        <v>1.6</v>
      </c>
      <c r="AB439" s="62">
        <f>IF(OR(G439="ALK",G439="PEM",G439="SOEC",G439="Other Electrolysis"),
AA439/VLOOKUP(G439,ElectrolysisConvF,3,FALSE),
AC439*10^6/(H2dens*HoursInYear))</f>
        <v>307.69230769230774</v>
      </c>
      <c r="AC439" s="63">
        <f>AB439*H2dens*HoursInYear/10^6</f>
        <v>0.23988923076923077</v>
      </c>
      <c r="AD439" s="62"/>
      <c r="AE439" s="62">
        <f t="shared" si="51"/>
        <v>307.69230769230774</v>
      </c>
      <c r="AF439" s="64" t="s">
        <v>1705</v>
      </c>
      <c r="AG439" s="49">
        <v>0.56999999999999995</v>
      </c>
    </row>
    <row r="440" spans="1:33" ht="34.5" customHeight="1" x14ac:dyDescent="0.3">
      <c r="A440" s="46">
        <v>778</v>
      </c>
      <c r="B440" s="46" t="s">
        <v>1706</v>
      </c>
      <c r="C440" s="46" t="s">
        <v>203</v>
      </c>
      <c r="D440" s="60">
        <v>2026</v>
      </c>
      <c r="E440" s="60"/>
      <c r="F440" s="46" t="s">
        <v>675</v>
      </c>
      <c r="G440" s="46" t="s">
        <v>1</v>
      </c>
      <c r="H440" s="46"/>
      <c r="I440" s="46" t="s">
        <v>169</v>
      </c>
      <c r="J440" s="46" t="s">
        <v>248</v>
      </c>
      <c r="K440" s="46" t="s">
        <v>68</v>
      </c>
      <c r="L440" s="46"/>
      <c r="M440" s="46"/>
      <c r="N440" s="46"/>
      <c r="O440" s="46"/>
      <c r="P440" s="46">
        <v>1</v>
      </c>
      <c r="Q440" s="46">
        <v>1</v>
      </c>
      <c r="R440" s="46"/>
      <c r="S440" s="46">
        <v>1</v>
      </c>
      <c r="T440" s="46"/>
      <c r="U440" s="46"/>
      <c r="V440" s="46"/>
      <c r="W440" s="46"/>
      <c r="X440" s="46"/>
      <c r="Y440" s="46"/>
      <c r="Z440" s="46" t="s">
        <v>1707</v>
      </c>
      <c r="AA440" s="61">
        <v>53</v>
      </c>
      <c r="AB440" s="62">
        <f>AA440/0.0052</f>
        <v>10192.307692307693</v>
      </c>
      <c r="AC440" s="63">
        <f>AB440*H2dens*HoursInYear/10^6</f>
        <v>7.9463307692307694</v>
      </c>
      <c r="AD440" s="62"/>
      <c r="AE440" s="62">
        <f t="shared" si="51"/>
        <v>10192.307692307693</v>
      </c>
      <c r="AF440" s="64" t="s">
        <v>1708</v>
      </c>
      <c r="AG440" s="49">
        <v>0.5</v>
      </c>
    </row>
    <row r="441" spans="1:33" ht="34.5" customHeight="1" x14ac:dyDescent="0.3">
      <c r="A441" s="46">
        <v>779</v>
      </c>
      <c r="B441" s="46" t="s">
        <v>1709</v>
      </c>
      <c r="C441" s="46" t="s">
        <v>40</v>
      </c>
      <c r="D441" s="60">
        <v>2024</v>
      </c>
      <c r="E441" s="60"/>
      <c r="F441" s="46" t="s">
        <v>675</v>
      </c>
      <c r="G441" s="46" t="s">
        <v>163</v>
      </c>
      <c r="H441" s="46" t="s">
        <v>1710</v>
      </c>
      <c r="I441" s="46"/>
      <c r="J441" s="46"/>
      <c r="K441" s="46" t="s">
        <v>68</v>
      </c>
      <c r="L441" s="46"/>
      <c r="M441" s="46"/>
      <c r="N441" s="46"/>
      <c r="O441" s="46"/>
      <c r="P441" s="46"/>
      <c r="Q441" s="46">
        <v>1</v>
      </c>
      <c r="R441" s="46"/>
      <c r="S441" s="46"/>
      <c r="T441" s="46"/>
      <c r="U441" s="46"/>
      <c r="V441" s="46"/>
      <c r="W441" s="46"/>
      <c r="X441" s="46"/>
      <c r="Y441" s="46"/>
      <c r="Z441" s="46" t="s">
        <v>1711</v>
      </c>
      <c r="AA441" s="61"/>
      <c r="AB441" s="62">
        <f>AC441/(0.089*24*365/10^6)</f>
        <v>5617.9775280898866</v>
      </c>
      <c r="AC441" s="63">
        <f>12000*365/1000/1000</f>
        <v>4.38</v>
      </c>
      <c r="AD441" s="62"/>
      <c r="AE441" s="62">
        <f t="shared" si="51"/>
        <v>5617.9775280898866</v>
      </c>
      <c r="AF441" s="64" t="s">
        <v>1712</v>
      </c>
      <c r="AG441" s="49">
        <v>0.9</v>
      </c>
    </row>
    <row r="442" spans="1:33" ht="34.5" customHeight="1" x14ac:dyDescent="0.3">
      <c r="A442" s="46">
        <v>780</v>
      </c>
      <c r="B442" s="46" t="s">
        <v>7220</v>
      </c>
      <c r="C442" s="46" t="s">
        <v>238</v>
      </c>
      <c r="D442" s="60">
        <v>2025</v>
      </c>
      <c r="E442" s="60"/>
      <c r="F442" s="46" t="s">
        <v>225</v>
      </c>
      <c r="G442" s="46" t="s">
        <v>159</v>
      </c>
      <c r="H442" s="46" t="s">
        <v>592</v>
      </c>
      <c r="I442" s="46" t="s">
        <v>157</v>
      </c>
      <c r="J442" s="46" t="s">
        <v>244</v>
      </c>
      <c r="K442" s="46" t="s">
        <v>68</v>
      </c>
      <c r="L442" s="46"/>
      <c r="M442" s="46"/>
      <c r="N442" s="46"/>
      <c r="O442" s="46"/>
      <c r="P442" s="46"/>
      <c r="Q442" s="46">
        <v>1</v>
      </c>
      <c r="R442" s="46"/>
      <c r="S442" s="46"/>
      <c r="T442" s="46"/>
      <c r="U442" s="46"/>
      <c r="V442" s="46"/>
      <c r="W442" s="46"/>
      <c r="X442" s="46"/>
      <c r="Y442" s="46"/>
      <c r="Z442" s="46" t="s">
        <v>1396</v>
      </c>
      <c r="AA442" s="61">
        <v>5</v>
      </c>
      <c r="AB442" s="62">
        <f>AA442/0.0045</f>
        <v>1111.1111111111111</v>
      </c>
      <c r="AC442" s="63">
        <f>AB442*H2dens*HoursInYear/10^6</f>
        <v>0.86626666666666663</v>
      </c>
      <c r="AD442" s="62"/>
      <c r="AE442" s="62">
        <f t="shared" si="51"/>
        <v>1111.1111111111111</v>
      </c>
      <c r="AF442" s="64" t="s">
        <v>1713</v>
      </c>
      <c r="AG442" s="49">
        <v>0.56999999999999995</v>
      </c>
    </row>
    <row r="443" spans="1:33" ht="34.5" customHeight="1" x14ac:dyDescent="0.3">
      <c r="A443" s="46">
        <v>781</v>
      </c>
      <c r="B443" s="46" t="s">
        <v>1714</v>
      </c>
      <c r="C443" s="46" t="s">
        <v>40</v>
      </c>
      <c r="D443" s="60">
        <v>2021</v>
      </c>
      <c r="E443" s="60"/>
      <c r="F443" s="46" t="s">
        <v>226</v>
      </c>
      <c r="G443" s="46" t="s">
        <v>153</v>
      </c>
      <c r="H443" s="46" t="s">
        <v>1715</v>
      </c>
      <c r="I443" s="46"/>
      <c r="J443" s="46"/>
      <c r="K443" s="46" t="s">
        <v>68</v>
      </c>
      <c r="L443" s="46"/>
      <c r="M443" s="46"/>
      <c r="N443" s="46"/>
      <c r="O443" s="46"/>
      <c r="P443" s="46"/>
      <c r="Q443" s="46"/>
      <c r="R443" s="46"/>
      <c r="S443" s="46"/>
      <c r="T443" s="46"/>
      <c r="U443" s="46"/>
      <c r="V443" s="46"/>
      <c r="W443" s="46"/>
      <c r="X443" s="46"/>
      <c r="Y443" s="46"/>
      <c r="Z443" s="46" t="s">
        <v>1716</v>
      </c>
      <c r="AA443" s="61"/>
      <c r="AB443" s="62">
        <f>AC443/(0.089*24*365/10^6)</f>
        <v>6413.2163562669948</v>
      </c>
      <c r="AC443" s="63">
        <v>5</v>
      </c>
      <c r="AD443" s="62"/>
      <c r="AE443" s="62">
        <f t="shared" si="51"/>
        <v>6413.2163562669948</v>
      </c>
      <c r="AF443" s="64" t="s">
        <v>1717</v>
      </c>
      <c r="AG443" s="49">
        <v>0.9</v>
      </c>
    </row>
    <row r="444" spans="1:33" ht="34.5" customHeight="1" x14ac:dyDescent="0.3">
      <c r="A444" s="46">
        <v>782</v>
      </c>
      <c r="B444" s="46" t="s">
        <v>1718</v>
      </c>
      <c r="C444" s="46" t="s">
        <v>40</v>
      </c>
      <c r="D444" s="60">
        <v>2025</v>
      </c>
      <c r="E444" s="60"/>
      <c r="F444" s="46" t="s">
        <v>225</v>
      </c>
      <c r="G444" s="46" t="s">
        <v>153</v>
      </c>
      <c r="H444" s="46" t="s">
        <v>1715</v>
      </c>
      <c r="I444" s="46"/>
      <c r="J444" s="46"/>
      <c r="K444" s="46" t="s">
        <v>141</v>
      </c>
      <c r="L444" s="46"/>
      <c r="M444" s="46">
        <v>1</v>
      </c>
      <c r="N444" s="46"/>
      <c r="O444" s="46"/>
      <c r="P444" s="46"/>
      <c r="Q444" s="46"/>
      <c r="R444" s="46"/>
      <c r="S444" s="46"/>
      <c r="T444" s="46"/>
      <c r="U444" s="46"/>
      <c r="V444" s="46"/>
      <c r="W444" s="46"/>
      <c r="X444" s="46"/>
      <c r="Y444" s="46"/>
      <c r="Z444" s="46" t="s">
        <v>1719</v>
      </c>
      <c r="AA444" s="61"/>
      <c r="AB444" s="62">
        <f>AC444/(0.089*24*365/10^6)</f>
        <v>63516.23826381407</v>
      </c>
      <c r="AC444" s="63">
        <f>275*0.180072</f>
        <v>49.519800000000004</v>
      </c>
      <c r="AD444" s="62"/>
      <c r="AE444" s="62">
        <f t="shared" si="51"/>
        <v>63516.23826381407</v>
      </c>
      <c r="AF444" s="64" t="s">
        <v>1717</v>
      </c>
      <c r="AG444" s="49">
        <v>0.9</v>
      </c>
    </row>
    <row r="445" spans="1:33" ht="37.5" customHeight="1" x14ac:dyDescent="0.3">
      <c r="A445" s="46">
        <v>783</v>
      </c>
      <c r="B445" s="46" t="s">
        <v>1720</v>
      </c>
      <c r="C445" s="46" t="s">
        <v>321</v>
      </c>
      <c r="D445" s="60">
        <v>2028</v>
      </c>
      <c r="E445" s="60"/>
      <c r="F445" s="46" t="s">
        <v>225</v>
      </c>
      <c r="G445" s="46" t="s">
        <v>159</v>
      </c>
      <c r="H445" s="46" t="s">
        <v>592</v>
      </c>
      <c r="I445" s="46" t="s">
        <v>169</v>
      </c>
      <c r="J445" s="46" t="s">
        <v>244</v>
      </c>
      <c r="K445" s="46" t="s">
        <v>141</v>
      </c>
      <c r="L445" s="46"/>
      <c r="M445" s="46">
        <v>1</v>
      </c>
      <c r="N445" s="46"/>
      <c r="O445" s="46"/>
      <c r="P445" s="46"/>
      <c r="Q445" s="46"/>
      <c r="R445" s="46"/>
      <c r="S445" s="46"/>
      <c r="T445" s="46"/>
      <c r="U445" s="46"/>
      <c r="V445" s="46"/>
      <c r="W445" s="46"/>
      <c r="X445" s="46"/>
      <c r="Y445" s="46"/>
      <c r="Z445" s="46" t="s">
        <v>1721</v>
      </c>
      <c r="AA445" s="61">
        <v>360</v>
      </c>
      <c r="AB445" s="62">
        <f>AA445/0.0045</f>
        <v>80000</v>
      </c>
      <c r="AC445" s="63">
        <f>AB445*H2dens*HoursInYear/10^6</f>
        <v>62.371200000000002</v>
      </c>
      <c r="AD445" s="62"/>
      <c r="AE445" s="62">
        <f t="shared" si="51"/>
        <v>80000</v>
      </c>
      <c r="AF445" s="64" t="s">
        <v>1159</v>
      </c>
      <c r="AG445" s="49">
        <v>0.3</v>
      </c>
    </row>
    <row r="446" spans="1:33" ht="34.5" customHeight="1" x14ac:dyDescent="0.3">
      <c r="A446" s="46">
        <v>784</v>
      </c>
      <c r="B446" s="46" t="s">
        <v>1722</v>
      </c>
      <c r="C446" s="46" t="s">
        <v>40</v>
      </c>
      <c r="D446" s="60">
        <v>2023</v>
      </c>
      <c r="E446" s="60"/>
      <c r="F446" s="46" t="s">
        <v>675</v>
      </c>
      <c r="G446" s="46" t="s">
        <v>1</v>
      </c>
      <c r="H446" s="46"/>
      <c r="I446" s="46" t="s">
        <v>166</v>
      </c>
      <c r="J446" s="46"/>
      <c r="K446" s="46" t="s">
        <v>68</v>
      </c>
      <c r="L446" s="46"/>
      <c r="M446" s="46"/>
      <c r="N446" s="46"/>
      <c r="O446" s="46"/>
      <c r="P446" s="46"/>
      <c r="Q446" s="46"/>
      <c r="R446" s="46">
        <v>1</v>
      </c>
      <c r="S446" s="46"/>
      <c r="T446" s="46"/>
      <c r="U446" s="46"/>
      <c r="V446" s="46"/>
      <c r="W446" s="46"/>
      <c r="X446" s="46"/>
      <c r="Y446" s="46"/>
      <c r="Z446" s="46" t="s">
        <v>1396</v>
      </c>
      <c r="AA446" s="61">
        <v>5</v>
      </c>
      <c r="AB446" s="62">
        <f>AA446/0.0052</f>
        <v>961.53846153846155</v>
      </c>
      <c r="AC446" s="63">
        <f>AB446*H2dens*HoursInYear/10^6</f>
        <v>0.74965384615384612</v>
      </c>
      <c r="AD446" s="62"/>
      <c r="AE446" s="62">
        <f t="shared" si="51"/>
        <v>961.53846153846155</v>
      </c>
      <c r="AF446" s="64" t="s">
        <v>1723</v>
      </c>
      <c r="AG446" s="49">
        <v>0.56999999999999995</v>
      </c>
    </row>
    <row r="447" spans="1:33" ht="34.5" customHeight="1" x14ac:dyDescent="0.3">
      <c r="A447" s="46">
        <v>785</v>
      </c>
      <c r="B447" s="60" t="s">
        <v>1724</v>
      </c>
      <c r="C447" s="46" t="s">
        <v>41</v>
      </c>
      <c r="D447" s="60">
        <v>2021</v>
      </c>
      <c r="E447" s="60"/>
      <c r="F447" s="46" t="s">
        <v>226</v>
      </c>
      <c r="G447" s="46" t="s">
        <v>1</v>
      </c>
      <c r="H447" s="46"/>
      <c r="I447" s="46" t="s">
        <v>169</v>
      </c>
      <c r="J447" s="46" t="s">
        <v>248</v>
      </c>
      <c r="K447" s="46" t="s">
        <v>68</v>
      </c>
      <c r="L447" s="46"/>
      <c r="M447" s="46"/>
      <c r="N447" s="46"/>
      <c r="O447" s="46"/>
      <c r="P447" s="46"/>
      <c r="Q447" s="46">
        <v>1</v>
      </c>
      <c r="R447" s="46"/>
      <c r="S447" s="46"/>
      <c r="T447" s="46"/>
      <c r="U447" s="46"/>
      <c r="V447" s="46"/>
      <c r="W447" s="46"/>
      <c r="X447" s="46"/>
      <c r="Y447" s="46"/>
      <c r="Z447" s="46" t="s">
        <v>1725</v>
      </c>
      <c r="AA447" s="61">
        <v>2</v>
      </c>
      <c r="AB447" s="62">
        <f>AA447/0.0052</f>
        <v>384.61538461538464</v>
      </c>
      <c r="AC447" s="63">
        <f>AB447*H2dens*HoursInYear/10^6</f>
        <v>0.29986153846153851</v>
      </c>
      <c r="AD447" s="62"/>
      <c r="AE447" s="62">
        <f t="shared" si="51"/>
        <v>384.61538461538464</v>
      </c>
      <c r="AF447" s="64" t="s">
        <v>1599</v>
      </c>
      <c r="AG447" s="49">
        <v>0.5</v>
      </c>
    </row>
    <row r="448" spans="1:33" ht="34.5" customHeight="1" x14ac:dyDescent="0.3">
      <c r="A448" s="46">
        <v>786</v>
      </c>
      <c r="B448" s="46" t="s">
        <v>1726</v>
      </c>
      <c r="C448" s="46" t="s">
        <v>50</v>
      </c>
      <c r="D448" s="60">
        <v>2024</v>
      </c>
      <c r="E448" s="60"/>
      <c r="F448" s="46" t="s">
        <v>225</v>
      </c>
      <c r="G448" s="46" t="s">
        <v>1</v>
      </c>
      <c r="H448" s="46" t="s">
        <v>592</v>
      </c>
      <c r="I448" s="46" t="s">
        <v>169</v>
      </c>
      <c r="J448" s="46" t="s">
        <v>248</v>
      </c>
      <c r="K448" s="46" t="s">
        <v>68</v>
      </c>
      <c r="L448" s="46"/>
      <c r="M448" s="46"/>
      <c r="N448" s="46"/>
      <c r="O448" s="46"/>
      <c r="P448" s="46">
        <v>1</v>
      </c>
      <c r="Q448" s="46">
        <v>1</v>
      </c>
      <c r="R448" s="46"/>
      <c r="S448" s="46">
        <v>1</v>
      </c>
      <c r="T448" s="46"/>
      <c r="U448" s="46"/>
      <c r="V448" s="46"/>
      <c r="W448" s="46"/>
      <c r="X448" s="46"/>
      <c r="Y448" s="46"/>
      <c r="Z448" s="46" t="s">
        <v>1727</v>
      </c>
      <c r="AA448" s="61">
        <v>5</v>
      </c>
      <c r="AB448" s="62">
        <f>AA448/0.0052</f>
        <v>961.53846153846155</v>
      </c>
      <c r="AC448" s="63">
        <f>AB448*H2dens*HoursInYear/10^6</f>
        <v>0.74965384615384612</v>
      </c>
      <c r="AD448" s="62"/>
      <c r="AE448" s="62">
        <f t="shared" si="51"/>
        <v>961.53846153846155</v>
      </c>
      <c r="AF448" s="64" t="s">
        <v>1728</v>
      </c>
      <c r="AG448" s="49">
        <v>0.5</v>
      </c>
    </row>
    <row r="449" spans="1:33" ht="34.5" customHeight="1" x14ac:dyDescent="0.3">
      <c r="A449" s="46">
        <v>787</v>
      </c>
      <c r="B449" s="46" t="s">
        <v>1729</v>
      </c>
      <c r="C449" s="46" t="s">
        <v>50</v>
      </c>
      <c r="D449" s="60">
        <v>2024</v>
      </c>
      <c r="E449" s="60"/>
      <c r="F449" s="46" t="s">
        <v>225</v>
      </c>
      <c r="G449" s="46" t="s">
        <v>1</v>
      </c>
      <c r="H449" s="46"/>
      <c r="I449" s="46" t="s">
        <v>169</v>
      </c>
      <c r="J449" s="46" t="s">
        <v>245</v>
      </c>
      <c r="K449" s="46" t="s">
        <v>68</v>
      </c>
      <c r="L449" s="46"/>
      <c r="M449" s="46"/>
      <c r="N449" s="46"/>
      <c r="O449" s="46"/>
      <c r="P449" s="46"/>
      <c r="Q449" s="46">
        <v>1</v>
      </c>
      <c r="R449" s="46"/>
      <c r="S449" s="46"/>
      <c r="T449" s="46"/>
      <c r="U449" s="46"/>
      <c r="V449" s="46"/>
      <c r="W449" s="46"/>
      <c r="X449" s="46"/>
      <c r="Y449" s="46"/>
      <c r="Z449" s="46" t="s">
        <v>676</v>
      </c>
      <c r="AA449" s="61">
        <v>2.5</v>
      </c>
      <c r="AB449" s="62">
        <f>AA449/0.0052</f>
        <v>480.76923076923077</v>
      </c>
      <c r="AC449" s="63">
        <f>AB449*H2dens*HoursInYear/10^6</f>
        <v>0.37482692307692306</v>
      </c>
      <c r="AD449" s="62"/>
      <c r="AE449" s="62">
        <f t="shared" si="51"/>
        <v>480.76923076923077</v>
      </c>
      <c r="AF449" s="64" t="s">
        <v>1730</v>
      </c>
      <c r="AG449" s="49">
        <v>0.4</v>
      </c>
    </row>
    <row r="450" spans="1:33" ht="34.5" customHeight="1" x14ac:dyDescent="0.3">
      <c r="A450" s="46">
        <v>788</v>
      </c>
      <c r="B450" s="60" t="s">
        <v>1731</v>
      </c>
      <c r="C450" s="46" t="s">
        <v>41</v>
      </c>
      <c r="D450" s="60">
        <v>2022</v>
      </c>
      <c r="E450" s="60"/>
      <c r="F450" s="46" t="s">
        <v>226</v>
      </c>
      <c r="G450" s="46" t="s">
        <v>1</v>
      </c>
      <c r="H450" s="46"/>
      <c r="I450" s="46" t="s">
        <v>169</v>
      </c>
      <c r="J450" s="46" t="s">
        <v>248</v>
      </c>
      <c r="K450" s="46" t="s">
        <v>68</v>
      </c>
      <c r="L450" s="46"/>
      <c r="M450" s="46"/>
      <c r="N450" s="46"/>
      <c r="O450" s="46"/>
      <c r="P450" s="46"/>
      <c r="Q450" s="46">
        <v>1</v>
      </c>
      <c r="R450" s="46"/>
      <c r="S450" s="46"/>
      <c r="T450" s="46"/>
      <c r="U450" s="46"/>
      <c r="V450" s="46"/>
      <c r="W450" s="46"/>
      <c r="X450" s="46"/>
      <c r="Y450" s="46"/>
      <c r="Z450" s="46" t="s">
        <v>1732</v>
      </c>
      <c r="AA450" s="61">
        <f>IF(OR(G450="ALK",G450="PEM",G450="SOEC",G450="Other Electrolysis"),
AB450*VLOOKUP(G450,ElectrolysisConvF,3,FALSE),
"")</f>
        <v>9.8378738905135705</v>
      </c>
      <c r="AB450" s="62">
        <f>AC450*10^6/(H2dens*HoursInYear)</f>
        <v>1891.8988250987636</v>
      </c>
      <c r="AC450" s="63">
        <f>1475/1000</f>
        <v>1.4750000000000001</v>
      </c>
      <c r="AD450" s="62"/>
      <c r="AE450" s="62">
        <f>IF(AND(G450&lt;&gt;"NG w CCUS",G450&lt;&gt;"Oil w CCUS",G450&lt;&gt;"Coal w CCUS"),AB450,AD450*10^3/(HoursInYear*IF(G450="NG w CCUS",0.9105,1.9075)))</f>
        <v>1891.8988250987636</v>
      </c>
      <c r="AF450" s="64" t="s">
        <v>1733</v>
      </c>
      <c r="AG450" s="49">
        <v>0.5</v>
      </c>
    </row>
    <row r="451" spans="1:33" ht="34.5" customHeight="1" x14ac:dyDescent="0.3">
      <c r="A451" s="46">
        <v>789</v>
      </c>
      <c r="B451" s="46" t="s">
        <v>1734</v>
      </c>
      <c r="C451" s="46" t="s">
        <v>50</v>
      </c>
      <c r="D451" s="60">
        <v>2022</v>
      </c>
      <c r="E451" s="60"/>
      <c r="F451" s="46" t="s">
        <v>226</v>
      </c>
      <c r="G451" s="46" t="s">
        <v>159</v>
      </c>
      <c r="H451" s="46" t="s">
        <v>592</v>
      </c>
      <c r="I451" s="46" t="s">
        <v>169</v>
      </c>
      <c r="J451" s="46" t="s">
        <v>244</v>
      </c>
      <c r="K451" s="46" t="s">
        <v>68</v>
      </c>
      <c r="L451" s="46"/>
      <c r="M451" s="46"/>
      <c r="N451" s="46"/>
      <c r="O451" s="46"/>
      <c r="P451" s="46"/>
      <c r="Q451" s="46">
        <v>1</v>
      </c>
      <c r="R451" s="46"/>
      <c r="S451" s="46"/>
      <c r="T451" s="46"/>
      <c r="U451" s="46"/>
      <c r="V451" s="46"/>
      <c r="W451" s="46"/>
      <c r="X451" s="46"/>
      <c r="Y451" s="46"/>
      <c r="Z451" s="46" t="s">
        <v>1198</v>
      </c>
      <c r="AA451" s="61">
        <v>2</v>
      </c>
      <c r="AB451" s="62">
        <f>AA451/0.0045</f>
        <v>444.44444444444446</v>
      </c>
      <c r="AC451" s="63">
        <f>AB451*H2dens*HoursInYear/10^6</f>
        <v>0.34650666666666669</v>
      </c>
      <c r="AD451" s="62"/>
      <c r="AE451" s="62">
        <f>AB451</f>
        <v>444.44444444444446</v>
      </c>
      <c r="AF451" s="64" t="s">
        <v>1735</v>
      </c>
      <c r="AG451" s="49">
        <v>0.3</v>
      </c>
    </row>
    <row r="452" spans="1:33" ht="34.5" customHeight="1" x14ac:dyDescent="0.3">
      <c r="A452" s="46">
        <v>790</v>
      </c>
      <c r="B452" s="46" t="s">
        <v>1736</v>
      </c>
      <c r="C452" s="46" t="s">
        <v>53</v>
      </c>
      <c r="D452" s="60">
        <v>2021</v>
      </c>
      <c r="E452" s="60"/>
      <c r="F452" s="46" t="s">
        <v>226</v>
      </c>
      <c r="G452" s="46" t="s">
        <v>1</v>
      </c>
      <c r="H452" s="46"/>
      <c r="I452" s="46" t="s">
        <v>169</v>
      </c>
      <c r="J452" s="46" t="s">
        <v>248</v>
      </c>
      <c r="K452" s="46" t="s">
        <v>68</v>
      </c>
      <c r="L452" s="46"/>
      <c r="M452" s="46"/>
      <c r="N452" s="46"/>
      <c r="O452" s="46"/>
      <c r="P452" s="46"/>
      <c r="Q452" s="46">
        <v>1</v>
      </c>
      <c r="R452" s="46">
        <v>1</v>
      </c>
      <c r="S452" s="46"/>
      <c r="T452" s="46"/>
      <c r="U452" s="46"/>
      <c r="V452" s="46"/>
      <c r="W452" s="46"/>
      <c r="X452" s="46"/>
      <c r="Y452" s="46"/>
      <c r="Z452" s="46" t="s">
        <v>1737</v>
      </c>
      <c r="AA452" s="61">
        <v>1.5</v>
      </c>
      <c r="AB452" s="62">
        <v>250</v>
      </c>
      <c r="AC452" s="63">
        <f>AB452*H2dens*HoursInYear/10^6</f>
        <v>0.19491</v>
      </c>
      <c r="AD452" s="62"/>
      <c r="AE452" s="62">
        <f>AB452</f>
        <v>250</v>
      </c>
      <c r="AF452" s="64" t="s">
        <v>1738</v>
      </c>
      <c r="AG452" s="49">
        <v>0.5</v>
      </c>
    </row>
    <row r="453" spans="1:33" ht="34.5" customHeight="1" x14ac:dyDescent="0.3">
      <c r="A453" s="46">
        <v>791</v>
      </c>
      <c r="B453" s="46" t="s">
        <v>1739</v>
      </c>
      <c r="C453" s="46" t="s">
        <v>50</v>
      </c>
      <c r="D453" s="60">
        <v>2022</v>
      </c>
      <c r="E453" s="60"/>
      <c r="F453" s="46" t="s">
        <v>226</v>
      </c>
      <c r="G453" s="46" t="s">
        <v>159</v>
      </c>
      <c r="H453" s="46" t="s">
        <v>592</v>
      </c>
      <c r="I453" s="46" t="s">
        <v>166</v>
      </c>
      <c r="J453" s="46"/>
      <c r="K453" s="46" t="s">
        <v>68</v>
      </c>
      <c r="L453" s="46"/>
      <c r="M453" s="46"/>
      <c r="N453" s="46"/>
      <c r="O453" s="46"/>
      <c r="P453" s="46"/>
      <c r="Q453" s="46"/>
      <c r="R453" s="46">
        <v>1</v>
      </c>
      <c r="S453" s="46"/>
      <c r="T453" s="46"/>
      <c r="U453" s="46"/>
      <c r="V453" s="46"/>
      <c r="W453" s="46"/>
      <c r="X453" s="46"/>
      <c r="Y453" s="46"/>
      <c r="Z453" s="46" t="s">
        <v>1587</v>
      </c>
      <c r="AA453" s="61">
        <v>1.3</v>
      </c>
      <c r="AB453" s="62">
        <f>AA453/0.0045</f>
        <v>288.88888888888891</v>
      </c>
      <c r="AC453" s="63">
        <f>AB453*H2dens*HoursInYear/10^6</f>
        <v>0.22522933333333334</v>
      </c>
      <c r="AD453" s="62"/>
      <c r="AE453" s="62">
        <f>AB453</f>
        <v>288.88888888888891</v>
      </c>
      <c r="AF453" s="64" t="s">
        <v>1740</v>
      </c>
      <c r="AG453" s="49">
        <v>0.56999999999999995</v>
      </c>
    </row>
    <row r="454" spans="1:33" ht="34.5" customHeight="1" x14ac:dyDescent="0.3">
      <c r="A454" s="46">
        <v>792</v>
      </c>
      <c r="B454" s="46" t="s">
        <v>1741</v>
      </c>
      <c r="C454" s="46" t="s">
        <v>203</v>
      </c>
      <c r="D454" s="60">
        <v>2023</v>
      </c>
      <c r="E454" s="60"/>
      <c r="F454" s="46" t="s">
        <v>285</v>
      </c>
      <c r="G454" s="46" t="s">
        <v>2</v>
      </c>
      <c r="H454" s="46"/>
      <c r="I454" s="46" t="s">
        <v>166</v>
      </c>
      <c r="J454" s="46"/>
      <c r="K454" s="46" t="s">
        <v>167</v>
      </c>
      <c r="L454" s="46"/>
      <c r="M454" s="46"/>
      <c r="N454" s="46"/>
      <c r="O454" s="46"/>
      <c r="P454" s="46"/>
      <c r="Q454" s="46"/>
      <c r="R454" s="46"/>
      <c r="S454" s="46"/>
      <c r="T454" s="46"/>
      <c r="U454" s="46"/>
      <c r="V454" s="46"/>
      <c r="W454" s="46">
        <v>1</v>
      </c>
      <c r="X454" s="46"/>
      <c r="Y454" s="46"/>
      <c r="Z454" s="46" t="s">
        <v>1192</v>
      </c>
      <c r="AA454" s="61">
        <v>0.25</v>
      </c>
      <c r="AB454" s="62">
        <f>AA454/0.0038</f>
        <v>65.78947368421052</v>
      </c>
      <c r="AC454" s="63">
        <f>AB454*H2dens*HoursInYear/10^6</f>
        <v>5.1292105263157896E-2</v>
      </c>
      <c r="AD454" s="62"/>
      <c r="AE454" s="62">
        <f>AB454</f>
        <v>65.78947368421052</v>
      </c>
      <c r="AF454" s="64" t="s">
        <v>1742</v>
      </c>
      <c r="AG454" s="49">
        <v>0.56999999999999995</v>
      </c>
    </row>
    <row r="455" spans="1:33" ht="34.5" customHeight="1" x14ac:dyDescent="0.3">
      <c r="A455" s="46">
        <v>793</v>
      </c>
      <c r="B455" s="46" t="s">
        <v>1743</v>
      </c>
      <c r="C455" s="46" t="s">
        <v>203</v>
      </c>
      <c r="D455" s="60">
        <v>2023</v>
      </c>
      <c r="E455" s="60"/>
      <c r="F455" s="46" t="s">
        <v>285</v>
      </c>
      <c r="G455" s="46" t="s">
        <v>2</v>
      </c>
      <c r="H455" s="46"/>
      <c r="I455" s="46" t="s">
        <v>157</v>
      </c>
      <c r="J455" s="46"/>
      <c r="K455" s="46" t="s">
        <v>140</v>
      </c>
      <c r="L455" s="46">
        <v>1</v>
      </c>
      <c r="M455" s="46"/>
      <c r="N455" s="46">
        <v>1</v>
      </c>
      <c r="O455" s="46"/>
      <c r="P455" s="46"/>
      <c r="Q455" s="46"/>
      <c r="R455" s="46"/>
      <c r="S455" s="46"/>
      <c r="T455" s="46"/>
      <c r="U455" s="46"/>
      <c r="V455" s="46"/>
      <c r="W455" s="46"/>
      <c r="X455" s="46"/>
      <c r="Y455" s="46"/>
      <c r="Z455" s="46" t="s">
        <v>1327</v>
      </c>
      <c r="AA455" s="61">
        <v>1</v>
      </c>
      <c r="AB455" s="62">
        <f>IF(OR(G455="ALK",G455="PEM",G455="SOEC",G455="Other Electrolysis"),
AA455/VLOOKUP(G455,ElectrolysisConvF,3,FALSE),
AC455*10^6/(H2dens*HoursInYear))</f>
        <v>263.15789473684208</v>
      </c>
      <c r="AC455" s="63">
        <f>AB455*H2dens*HoursInYear/10^6</f>
        <v>0.20516842105263158</v>
      </c>
      <c r="AD455" s="62"/>
      <c r="AE455" s="62">
        <f>IF(AND(G455&lt;&gt;"NG w CCUS",G455&lt;&gt;"Oil w CCUS",G455&lt;&gt;"Coal w CCUS"),AB455,AD455*10^3/(HoursInYear*IF(G455="NG w CCUS",0.9105,1.9075)))</f>
        <v>263.15789473684208</v>
      </c>
      <c r="AF455" s="64" t="s">
        <v>1744</v>
      </c>
      <c r="AG455" s="49">
        <v>0.56999999999999995</v>
      </c>
    </row>
    <row r="456" spans="1:33" ht="34.5" customHeight="1" x14ac:dyDescent="0.3">
      <c r="A456" s="46">
        <v>794</v>
      </c>
      <c r="B456" s="46" t="s">
        <v>1745</v>
      </c>
      <c r="C456" s="46" t="s">
        <v>39</v>
      </c>
      <c r="D456" s="60">
        <v>2030</v>
      </c>
      <c r="E456" s="60"/>
      <c r="F456" s="46" t="s">
        <v>225</v>
      </c>
      <c r="G456" s="46" t="s">
        <v>160</v>
      </c>
      <c r="H456" s="46" t="s">
        <v>1746</v>
      </c>
      <c r="I456" s="46"/>
      <c r="J456" s="46"/>
      <c r="K456" s="46" t="s">
        <v>68</v>
      </c>
      <c r="L456" s="46"/>
      <c r="M456" s="46"/>
      <c r="N456" s="46"/>
      <c r="O456" s="46"/>
      <c r="P456" s="46"/>
      <c r="Q456" s="46"/>
      <c r="R456" s="46"/>
      <c r="S456" s="46"/>
      <c r="T456" s="46"/>
      <c r="U456" s="46"/>
      <c r="V456" s="46"/>
      <c r="W456" s="46"/>
      <c r="X456" s="46"/>
      <c r="Y456" s="46"/>
      <c r="Z456" s="46" t="s">
        <v>1747</v>
      </c>
      <c r="AA456" s="61"/>
      <c r="AB456" s="62">
        <f>AC456/0.089*10^6/24/365</f>
        <v>360486.89138576784</v>
      </c>
      <c r="AC456" s="63">
        <f>770*365/1000</f>
        <v>281.05</v>
      </c>
      <c r="AD456" s="62">
        <f>4.39*10^6</f>
        <v>4390000</v>
      </c>
      <c r="AE456" s="62">
        <f>IF(AND(G456&lt;&gt;"NG w CCUS",G456&lt;&gt;"Oil w CCUS",G456&lt;&gt;"Coal w CCUS"),AB456,AD456*10^3/(HoursInYear*IF(G456="NG w CCUS",0.9105,1.9075)))</f>
        <v>262721.6526927473</v>
      </c>
      <c r="AF456" s="64" t="s">
        <v>1748</v>
      </c>
      <c r="AG456" s="49">
        <v>0.9</v>
      </c>
    </row>
    <row r="457" spans="1:33" ht="34.5" customHeight="1" x14ac:dyDescent="0.3">
      <c r="A457" s="46">
        <v>795</v>
      </c>
      <c r="B457" s="46" t="s">
        <v>1749</v>
      </c>
      <c r="C457" s="46" t="s">
        <v>50</v>
      </c>
      <c r="D457" s="60">
        <v>2027</v>
      </c>
      <c r="E457" s="60"/>
      <c r="F457" s="46" t="s">
        <v>225</v>
      </c>
      <c r="G457" s="46" t="s">
        <v>161</v>
      </c>
      <c r="H457" s="46" t="s">
        <v>882</v>
      </c>
      <c r="I457" s="46"/>
      <c r="J457" s="46"/>
      <c r="K457" s="46" t="s">
        <v>68</v>
      </c>
      <c r="L457" s="46">
        <v>1</v>
      </c>
      <c r="M457" s="46"/>
      <c r="N457" s="46"/>
      <c r="O457" s="46"/>
      <c r="P457" s="46">
        <v>1</v>
      </c>
      <c r="Q457" s="46"/>
      <c r="R457" s="46"/>
      <c r="S457" s="46"/>
      <c r="T457" s="46"/>
      <c r="U457" s="46"/>
      <c r="V457" s="46"/>
      <c r="W457" s="46"/>
      <c r="X457" s="46"/>
      <c r="Y457" s="46"/>
      <c r="Z457" s="46" t="s">
        <v>1750</v>
      </c>
      <c r="AA457" s="61"/>
      <c r="AB457" s="62">
        <f>AC457/(0.089*24*365/10^6)</f>
        <v>128264.32712533989</v>
      </c>
      <c r="AC457" s="63">
        <v>100</v>
      </c>
      <c r="AD457" s="62">
        <v>1300000</v>
      </c>
      <c r="AE457" s="62">
        <f>IF(AND(G457&lt;&gt;"NG w CCUS",G457&lt;&gt;"Oil w CCUS",G457&lt;&gt;"Coal w CCUS"),AB457,AD457*10^3/(HoursInYear*IF(G457="NG w CCUS",0.9105,1.9075)))</f>
        <v>162989.37560023973</v>
      </c>
      <c r="AF457" s="64" t="s">
        <v>1751</v>
      </c>
      <c r="AG457" s="49">
        <v>0.9</v>
      </c>
    </row>
    <row r="458" spans="1:33" ht="34.5" customHeight="1" x14ac:dyDescent="0.3">
      <c r="A458" s="46">
        <v>796</v>
      </c>
      <c r="B458" s="46" t="s">
        <v>1752</v>
      </c>
      <c r="C458" s="46" t="s">
        <v>63</v>
      </c>
      <c r="D458" s="60">
        <v>2026</v>
      </c>
      <c r="E458" s="60"/>
      <c r="F458" s="46" t="s">
        <v>225</v>
      </c>
      <c r="G458" s="46" t="s">
        <v>161</v>
      </c>
      <c r="H458" s="46" t="s">
        <v>1489</v>
      </c>
      <c r="I458" s="46"/>
      <c r="J458" s="46"/>
      <c r="K458" s="46" t="s">
        <v>68</v>
      </c>
      <c r="L458" s="46">
        <v>1</v>
      </c>
      <c r="M458" s="46"/>
      <c r="N458" s="46"/>
      <c r="O458" s="46"/>
      <c r="P458" s="46"/>
      <c r="Q458" s="46"/>
      <c r="R458" s="46"/>
      <c r="S458" s="46"/>
      <c r="T458" s="46"/>
      <c r="U458" s="46"/>
      <c r="V458" s="46"/>
      <c r="W458" s="46"/>
      <c r="X458" s="46"/>
      <c r="Y458" s="46"/>
      <c r="Z458" s="46" t="s">
        <v>1753</v>
      </c>
      <c r="AA458" s="61"/>
      <c r="AB458" s="62"/>
      <c r="AC458" s="63"/>
      <c r="AD458" s="62">
        <v>600000</v>
      </c>
      <c r="AE458" s="62">
        <f>IF(AND(G458&lt;&gt;"NG w CCUS",G458&lt;&gt;"Oil w CCUS",G458&lt;&gt;"Coal w CCUS"),AB458,AD458*10^3/(HoursInYear*IF(G458="NG w CCUS",0.9105,1.9075)))</f>
        <v>75225.865661649106</v>
      </c>
      <c r="AF458" s="64" t="s">
        <v>1754</v>
      </c>
      <c r="AG458" s="49">
        <v>0.9</v>
      </c>
    </row>
    <row r="459" spans="1:33" ht="34.5" customHeight="1" x14ac:dyDescent="0.3">
      <c r="A459" s="46">
        <v>797</v>
      </c>
      <c r="B459" s="46" t="s">
        <v>1755</v>
      </c>
      <c r="C459" s="46" t="s">
        <v>34</v>
      </c>
      <c r="D459" s="60">
        <v>2021</v>
      </c>
      <c r="E459" s="60"/>
      <c r="F459" s="46" t="s">
        <v>285</v>
      </c>
      <c r="G459" s="46" t="s">
        <v>1</v>
      </c>
      <c r="H459" s="46"/>
      <c r="I459" s="46" t="s">
        <v>157</v>
      </c>
      <c r="J459" s="46"/>
      <c r="K459" s="46" t="s">
        <v>168</v>
      </c>
      <c r="L459" s="46"/>
      <c r="M459" s="46"/>
      <c r="N459" s="46"/>
      <c r="O459" s="46"/>
      <c r="P459" s="46"/>
      <c r="Q459" s="46">
        <v>1</v>
      </c>
      <c r="R459" s="46"/>
      <c r="S459" s="46"/>
      <c r="T459" s="46"/>
      <c r="U459" s="46"/>
      <c r="V459" s="46"/>
      <c r="W459" s="46"/>
      <c r="X459" s="46">
        <v>1</v>
      </c>
      <c r="Y459" s="46">
        <v>1</v>
      </c>
      <c r="Z459" s="46" t="s">
        <v>1192</v>
      </c>
      <c r="AA459" s="61">
        <v>0.25</v>
      </c>
      <c r="AB459" s="62">
        <f>IF(OR(G459="ALK",G459="PEM",G459="SOEC",G459="Other Electrolysis"),
AA459/VLOOKUP(G459,ElectrolysisConvF,3,FALSE),
AC459*10^6/(H2dens*HoursInYear))</f>
        <v>48.07692307692308</v>
      </c>
      <c r="AC459" s="63">
        <f>AB459*H2dens*HoursInYear/10^6</f>
        <v>3.7482692307692314E-2</v>
      </c>
      <c r="AD459" s="62"/>
      <c r="AE459" s="62">
        <f>AB459</f>
        <v>48.07692307692308</v>
      </c>
      <c r="AF459" s="64" t="s">
        <v>1756</v>
      </c>
      <c r="AG459" s="49">
        <v>0.56999999999999995</v>
      </c>
    </row>
    <row r="460" spans="1:33" ht="34.5" customHeight="1" x14ac:dyDescent="0.3">
      <c r="A460" s="46">
        <v>798</v>
      </c>
      <c r="B460" s="46" t="s">
        <v>1757</v>
      </c>
      <c r="C460" s="46" t="s">
        <v>39</v>
      </c>
      <c r="D460" s="60">
        <v>2023</v>
      </c>
      <c r="E460" s="60"/>
      <c r="F460" s="46" t="s">
        <v>675</v>
      </c>
      <c r="G460" s="46" t="s">
        <v>1</v>
      </c>
      <c r="H460" s="46"/>
      <c r="I460" s="46" t="s">
        <v>157</v>
      </c>
      <c r="J460" s="46"/>
      <c r="K460" s="46" t="s">
        <v>68</v>
      </c>
      <c r="L460" s="46"/>
      <c r="M460" s="46"/>
      <c r="N460" s="46"/>
      <c r="O460" s="46"/>
      <c r="P460" s="46"/>
      <c r="Q460" s="46"/>
      <c r="R460" s="46"/>
      <c r="S460" s="46">
        <v>1</v>
      </c>
      <c r="T460" s="46"/>
      <c r="U460" s="46"/>
      <c r="V460" s="46"/>
      <c r="W460" s="46"/>
      <c r="X460" s="46"/>
      <c r="Y460" s="46"/>
      <c r="Z460" s="46" t="s">
        <v>1758</v>
      </c>
      <c r="AA460" s="61">
        <v>0.17499999999999999</v>
      </c>
      <c r="AB460" s="62">
        <f>AA460/0.0052</f>
        <v>33.653846153846153</v>
      </c>
      <c r="AC460" s="63">
        <f>AB460*H2dens*HoursInYear/10^6</f>
        <v>2.6237884615384614E-2</v>
      </c>
      <c r="AD460" s="62"/>
      <c r="AE460" s="62">
        <f>AB460</f>
        <v>33.653846153846153</v>
      </c>
      <c r="AF460" s="64" t="s">
        <v>1759</v>
      </c>
      <c r="AG460" s="49">
        <v>0.56999999999999995</v>
      </c>
    </row>
    <row r="461" spans="1:33" ht="34.5" customHeight="1" x14ac:dyDescent="0.3">
      <c r="A461" s="46">
        <v>799</v>
      </c>
      <c r="B461" s="46" t="s">
        <v>1760</v>
      </c>
      <c r="C461" s="46" t="s">
        <v>39</v>
      </c>
      <c r="D461" s="60">
        <v>2021</v>
      </c>
      <c r="E461" s="60"/>
      <c r="F461" s="46" t="s">
        <v>226</v>
      </c>
      <c r="G461" s="46" t="s">
        <v>1</v>
      </c>
      <c r="H461" s="46"/>
      <c r="I461" s="46" t="s">
        <v>166</v>
      </c>
      <c r="J461" s="46"/>
      <c r="K461" s="46" t="s">
        <v>68</v>
      </c>
      <c r="L461" s="46"/>
      <c r="M461" s="46"/>
      <c r="N461" s="46"/>
      <c r="O461" s="46"/>
      <c r="P461" s="46"/>
      <c r="Q461" s="46">
        <v>1</v>
      </c>
      <c r="R461" s="46"/>
      <c r="S461" s="46"/>
      <c r="T461" s="46"/>
      <c r="U461" s="46"/>
      <c r="V461" s="46"/>
      <c r="W461" s="46"/>
      <c r="X461" s="46"/>
      <c r="Y461" s="46"/>
      <c r="Z461" s="46" t="s">
        <v>853</v>
      </c>
      <c r="AA461" s="61">
        <v>0.2</v>
      </c>
      <c r="AB461" s="62">
        <f>AA461/0.0052</f>
        <v>38.461538461538467</v>
      </c>
      <c r="AC461" s="63">
        <f>AB461*H2dens*HoursInYear/10^6</f>
        <v>2.9986153846153846E-2</v>
      </c>
      <c r="AD461" s="62"/>
      <c r="AE461" s="62">
        <f>AB461</f>
        <v>38.461538461538467</v>
      </c>
      <c r="AF461" s="64" t="s">
        <v>1761</v>
      </c>
      <c r="AG461" s="49">
        <v>0.56999999999999995</v>
      </c>
    </row>
    <row r="462" spans="1:33" ht="34.5" customHeight="1" x14ac:dyDescent="0.3">
      <c r="A462" s="46">
        <v>800</v>
      </c>
      <c r="B462" s="46" t="s">
        <v>1762</v>
      </c>
      <c r="C462" s="46" t="s">
        <v>50</v>
      </c>
      <c r="D462" s="60">
        <v>2024</v>
      </c>
      <c r="E462" s="60"/>
      <c r="F462" s="46" t="s">
        <v>225</v>
      </c>
      <c r="G462" s="46" t="s">
        <v>1</v>
      </c>
      <c r="H462" s="46"/>
      <c r="I462" s="46" t="s">
        <v>169</v>
      </c>
      <c r="J462" s="46" t="s">
        <v>248</v>
      </c>
      <c r="K462" s="46" t="s">
        <v>68</v>
      </c>
      <c r="L462" s="46"/>
      <c r="M462" s="46"/>
      <c r="N462" s="46"/>
      <c r="O462" s="46"/>
      <c r="P462" s="46">
        <v>1</v>
      </c>
      <c r="Q462" s="46">
        <v>1</v>
      </c>
      <c r="R462" s="46"/>
      <c r="S462" s="46"/>
      <c r="T462" s="46"/>
      <c r="U462" s="46"/>
      <c r="V462" s="46"/>
      <c r="W462" s="46"/>
      <c r="X462" s="46"/>
      <c r="Y462" s="46"/>
      <c r="Z462" s="46" t="s">
        <v>1168</v>
      </c>
      <c r="AA462" s="61">
        <v>10</v>
      </c>
      <c r="AB462" s="62">
        <f>AA462/0.0052</f>
        <v>1923.0769230769231</v>
      </c>
      <c r="AC462" s="63">
        <f>AB462*H2dens*HoursInYear/10^6</f>
        <v>1.4993076923076922</v>
      </c>
      <c r="AD462" s="62"/>
      <c r="AE462" s="62">
        <f>AB462</f>
        <v>1923.0769230769231</v>
      </c>
      <c r="AF462" s="64" t="s">
        <v>1763</v>
      </c>
      <c r="AG462" s="49">
        <v>0.5</v>
      </c>
    </row>
    <row r="463" spans="1:33" ht="34.5" customHeight="1" x14ac:dyDescent="0.3">
      <c r="A463" s="46">
        <v>803</v>
      </c>
      <c r="B463" s="46" t="s">
        <v>1764</v>
      </c>
      <c r="C463" s="46" t="s">
        <v>41</v>
      </c>
      <c r="D463" s="60">
        <v>2023</v>
      </c>
      <c r="E463" s="60"/>
      <c r="F463" s="46" t="s">
        <v>225</v>
      </c>
      <c r="G463" s="46" t="s">
        <v>160</v>
      </c>
      <c r="H463" s="46" t="s">
        <v>1746</v>
      </c>
      <c r="I463" s="46"/>
      <c r="J463" s="46"/>
      <c r="K463" s="46" t="s">
        <v>68</v>
      </c>
      <c r="L463" s="46">
        <v>1</v>
      </c>
      <c r="M463" s="46"/>
      <c r="N463" s="46"/>
      <c r="O463" s="46"/>
      <c r="P463" s="46">
        <v>1</v>
      </c>
      <c r="Q463" s="46"/>
      <c r="R463" s="46"/>
      <c r="S463" s="46"/>
      <c r="T463" s="46"/>
      <c r="U463" s="46"/>
      <c r="V463" s="46"/>
      <c r="W463" s="46"/>
      <c r="X463" s="46"/>
      <c r="Y463" s="46"/>
      <c r="Z463" s="46" t="s">
        <v>1643</v>
      </c>
      <c r="AA463" s="61"/>
      <c r="AB463" s="62"/>
      <c r="AC463" s="63"/>
      <c r="AD463" s="62">
        <v>300000</v>
      </c>
      <c r="AE463" s="62">
        <f>IF(AND(G463&lt;&gt;"NG w CCUS",G463&lt;&gt;"Oil w CCUS",G463&lt;&gt;"Coal w CCUS"),AB463,AD463*10^3/(HoursInYear*IF(G463="NG w CCUS",0.9105,1.9075)))</f>
        <v>17953.643691987287</v>
      </c>
      <c r="AF463" s="64" t="s">
        <v>1765</v>
      </c>
      <c r="AG463" s="49">
        <v>0.9</v>
      </c>
    </row>
    <row r="464" spans="1:33" ht="34.5" customHeight="1" x14ac:dyDescent="0.3">
      <c r="A464" s="46">
        <v>804</v>
      </c>
      <c r="B464" s="46" t="s">
        <v>1766</v>
      </c>
      <c r="C464" s="46" t="s">
        <v>39</v>
      </c>
      <c r="D464" s="60">
        <v>2023</v>
      </c>
      <c r="E464" s="60"/>
      <c r="F464" s="46" t="s">
        <v>675</v>
      </c>
      <c r="G464" s="46" t="s">
        <v>163</v>
      </c>
      <c r="H464" s="46" t="s">
        <v>1715</v>
      </c>
      <c r="I464" s="46"/>
      <c r="J464" s="46"/>
      <c r="K464" s="46" t="s">
        <v>68</v>
      </c>
      <c r="L464" s="46"/>
      <c r="M464" s="46"/>
      <c r="N464" s="46"/>
      <c r="O464" s="46"/>
      <c r="P464" s="46"/>
      <c r="Q464" s="46"/>
      <c r="R464" s="46"/>
      <c r="S464" s="46"/>
      <c r="T464" s="46"/>
      <c r="U464" s="46"/>
      <c r="V464" s="46"/>
      <c r="W464" s="46"/>
      <c r="X464" s="46"/>
      <c r="Y464" s="46"/>
      <c r="Z464" s="46" t="s">
        <v>1767</v>
      </c>
      <c r="AA464" s="61"/>
      <c r="AB464" s="62">
        <f>AC464/(0.089*24*365/10^6)</f>
        <v>128.26432712533989</v>
      </c>
      <c r="AC464" s="63">
        <v>0.1</v>
      </c>
      <c r="AD464" s="62"/>
      <c r="AE464" s="62">
        <f t="shared" ref="AE464:AE471" si="52">AB464</f>
        <v>128.26432712533989</v>
      </c>
      <c r="AF464" s="64" t="s">
        <v>1768</v>
      </c>
      <c r="AG464" s="49">
        <v>0.9</v>
      </c>
    </row>
    <row r="465" spans="1:35" ht="34.5" customHeight="1" x14ac:dyDescent="0.3">
      <c r="A465" s="46">
        <v>805</v>
      </c>
      <c r="B465" s="46" t="s">
        <v>1769</v>
      </c>
      <c r="C465" s="46" t="s">
        <v>51</v>
      </c>
      <c r="D465" s="60">
        <v>2024</v>
      </c>
      <c r="E465" s="60"/>
      <c r="F465" s="46" t="s">
        <v>225</v>
      </c>
      <c r="G465" s="46" t="s">
        <v>3</v>
      </c>
      <c r="H465" s="46"/>
      <c r="I465" s="46" t="s">
        <v>169</v>
      </c>
      <c r="J465" s="46" t="s">
        <v>248</v>
      </c>
      <c r="K465" s="46" t="s">
        <v>68</v>
      </c>
      <c r="L465" s="46"/>
      <c r="M465" s="46"/>
      <c r="N465" s="46"/>
      <c r="O465" s="46"/>
      <c r="P465" s="46"/>
      <c r="Q465" s="46"/>
      <c r="R465" s="46"/>
      <c r="S465" s="46"/>
      <c r="T465" s="46"/>
      <c r="U465" s="46"/>
      <c r="V465" s="46">
        <v>1</v>
      </c>
      <c r="W465" s="46"/>
      <c r="X465" s="46"/>
      <c r="Y465" s="46"/>
      <c r="Z465" s="46" t="s">
        <v>1770</v>
      </c>
      <c r="AA465" s="61">
        <v>310</v>
      </c>
      <c r="AB465" s="62">
        <f>AA465/0.0046</f>
        <v>67391.304347826095</v>
      </c>
      <c r="AC465" s="63">
        <f t="shared" ref="AC465:AC471" si="53">AB465*H2dens*HoursInYear/10^6</f>
        <v>52.540956521739133</v>
      </c>
      <c r="AD465" s="62"/>
      <c r="AE465" s="62">
        <f t="shared" si="52"/>
        <v>67391.304347826095</v>
      </c>
      <c r="AF465" s="64" t="s">
        <v>1771</v>
      </c>
      <c r="AG465" s="49">
        <v>0.5</v>
      </c>
    </row>
    <row r="466" spans="1:35" ht="34.5" customHeight="1" x14ac:dyDescent="0.3">
      <c r="A466" s="46">
        <v>807</v>
      </c>
      <c r="B466" s="46" t="s">
        <v>1772</v>
      </c>
      <c r="C466" s="46" t="s">
        <v>34</v>
      </c>
      <c r="D466" s="60">
        <v>2025</v>
      </c>
      <c r="E466" s="60"/>
      <c r="F466" s="46" t="s">
        <v>675</v>
      </c>
      <c r="G466" s="46" t="s">
        <v>1</v>
      </c>
      <c r="H466" s="46"/>
      <c r="I466" s="46" t="s">
        <v>166</v>
      </c>
      <c r="J466" s="46"/>
      <c r="K466" s="46" t="s">
        <v>68</v>
      </c>
      <c r="L466" s="46">
        <v>1</v>
      </c>
      <c r="M466" s="46"/>
      <c r="N466" s="46"/>
      <c r="O466" s="46"/>
      <c r="P466" s="46">
        <v>1</v>
      </c>
      <c r="Q466" s="46">
        <v>1</v>
      </c>
      <c r="R466" s="46"/>
      <c r="S466" s="46"/>
      <c r="T466" s="46"/>
      <c r="U466" s="46"/>
      <c r="V466" s="46"/>
      <c r="W466" s="46"/>
      <c r="X466" s="46"/>
      <c r="Y466" s="46"/>
      <c r="Z466" s="46" t="s">
        <v>1691</v>
      </c>
      <c r="AA466" s="61">
        <v>200</v>
      </c>
      <c r="AB466" s="62">
        <f>AA466/0.0052</f>
        <v>38461.538461538461</v>
      </c>
      <c r="AC466" s="63">
        <f t="shared" si="53"/>
        <v>29.986153846153844</v>
      </c>
      <c r="AD466" s="62"/>
      <c r="AE466" s="62">
        <f t="shared" si="52"/>
        <v>38461.538461538461</v>
      </c>
      <c r="AF466" s="64" t="s">
        <v>1773</v>
      </c>
      <c r="AG466" s="49">
        <v>0.56999999999999995</v>
      </c>
    </row>
    <row r="467" spans="1:35" ht="34.5" customHeight="1" x14ac:dyDescent="0.3">
      <c r="A467" s="46">
        <v>808</v>
      </c>
      <c r="B467" s="46" t="s">
        <v>1774</v>
      </c>
      <c r="C467" s="46" t="s">
        <v>34</v>
      </c>
      <c r="D467" s="60">
        <v>2026</v>
      </c>
      <c r="E467" s="60"/>
      <c r="F467" s="46" t="s">
        <v>225</v>
      </c>
      <c r="G467" s="46" t="s">
        <v>3</v>
      </c>
      <c r="H467" s="46"/>
      <c r="I467" s="46" t="s">
        <v>166</v>
      </c>
      <c r="J467" s="46"/>
      <c r="K467" s="46" t="s">
        <v>68</v>
      </c>
      <c r="L467" s="46"/>
      <c r="M467" s="46"/>
      <c r="N467" s="46"/>
      <c r="O467" s="46"/>
      <c r="P467" s="46"/>
      <c r="Q467" s="46"/>
      <c r="R467" s="46"/>
      <c r="S467" s="46">
        <v>1</v>
      </c>
      <c r="T467" s="46"/>
      <c r="U467" s="46"/>
      <c r="V467" s="46"/>
      <c r="W467" s="46"/>
      <c r="X467" s="46"/>
      <c r="Y467" s="46"/>
      <c r="Z467" s="46" t="s">
        <v>1691</v>
      </c>
      <c r="AA467" s="61">
        <v>200</v>
      </c>
      <c r="AB467" s="62">
        <f>AA467/0.0046</f>
        <v>43478.260869565216</v>
      </c>
      <c r="AC467" s="63">
        <f t="shared" si="53"/>
        <v>33.897391304347821</v>
      </c>
      <c r="AD467" s="62"/>
      <c r="AE467" s="62">
        <f t="shared" si="52"/>
        <v>43478.260869565216</v>
      </c>
      <c r="AF467" s="64" t="s">
        <v>1775</v>
      </c>
      <c r="AG467" s="49">
        <v>0.56999999999999995</v>
      </c>
    </row>
    <row r="468" spans="1:35" ht="34.5" customHeight="1" x14ac:dyDescent="0.3">
      <c r="A468" s="46">
        <v>809</v>
      </c>
      <c r="B468" s="46" t="s">
        <v>1776</v>
      </c>
      <c r="C468" s="46" t="s">
        <v>39</v>
      </c>
      <c r="D468" s="60">
        <v>2026</v>
      </c>
      <c r="E468" s="60"/>
      <c r="F468" s="46" t="s">
        <v>225</v>
      </c>
      <c r="G468" s="46" t="s">
        <v>3</v>
      </c>
      <c r="H468" s="46"/>
      <c r="I468" s="46" t="s">
        <v>169</v>
      </c>
      <c r="J468" s="46" t="s">
        <v>248</v>
      </c>
      <c r="K468" s="46" t="s">
        <v>68</v>
      </c>
      <c r="L468" s="46"/>
      <c r="M468" s="46"/>
      <c r="N468" s="46"/>
      <c r="O468" s="46"/>
      <c r="P468" s="46">
        <v>1</v>
      </c>
      <c r="Q468" s="46">
        <v>1</v>
      </c>
      <c r="R468" s="46"/>
      <c r="S468" s="46"/>
      <c r="T468" s="46"/>
      <c r="U468" s="46"/>
      <c r="V468" s="46"/>
      <c r="W468" s="46"/>
      <c r="X468" s="46"/>
      <c r="Y468" s="46"/>
      <c r="Z468" s="46" t="s">
        <v>1777</v>
      </c>
      <c r="AA468" s="61">
        <v>55</v>
      </c>
      <c r="AB468" s="62">
        <f>IF(OR(G468="ALK",G468="PEM",G468="SOEC",G468="Other Electrolysis"),
AA468/VLOOKUP(G468,ElectrolysisConvF,3,FALSE),
AC468*10^6/(H2dens*HoursInYear))</f>
        <v>11956.521739130436</v>
      </c>
      <c r="AC468" s="63">
        <f t="shared" si="53"/>
        <v>9.3217826086956528</v>
      </c>
      <c r="AD468" s="62"/>
      <c r="AE468" s="62">
        <f t="shared" si="52"/>
        <v>11956.521739130436</v>
      </c>
      <c r="AF468" s="64" t="s">
        <v>1778</v>
      </c>
      <c r="AG468" s="49">
        <v>0.5</v>
      </c>
    </row>
    <row r="469" spans="1:35" ht="34.5" customHeight="1" x14ac:dyDescent="0.3">
      <c r="A469" s="46">
        <v>811</v>
      </c>
      <c r="B469" s="46" t="s">
        <v>1779</v>
      </c>
      <c r="C469" s="46" t="s">
        <v>203</v>
      </c>
      <c r="D469" s="60">
        <v>2025</v>
      </c>
      <c r="E469" s="60"/>
      <c r="F469" s="46" t="s">
        <v>675</v>
      </c>
      <c r="G469" s="46" t="s">
        <v>3</v>
      </c>
      <c r="H469" s="46"/>
      <c r="I469" s="46" t="s">
        <v>169</v>
      </c>
      <c r="J469" s="46" t="s">
        <v>245</v>
      </c>
      <c r="K469" s="46" t="s">
        <v>68</v>
      </c>
      <c r="L469" s="46">
        <v>1</v>
      </c>
      <c r="M469" s="46"/>
      <c r="N469" s="46"/>
      <c r="O469" s="46"/>
      <c r="P469" s="46"/>
      <c r="Q469" s="46"/>
      <c r="R469" s="46"/>
      <c r="S469" s="46">
        <v>1</v>
      </c>
      <c r="T469" s="46">
        <v>1</v>
      </c>
      <c r="U469" s="46"/>
      <c r="V469" s="46"/>
      <c r="W469" s="46"/>
      <c r="X469" s="46"/>
      <c r="Y469" s="46"/>
      <c r="Z469" s="46" t="s">
        <v>964</v>
      </c>
      <c r="AA469" s="61">
        <v>30</v>
      </c>
      <c r="AB469" s="62">
        <f>AA469/0.0046</f>
        <v>6521.739130434783</v>
      </c>
      <c r="AC469" s="63">
        <f t="shared" si="53"/>
        <v>5.0846086956521734</v>
      </c>
      <c r="AD469" s="62"/>
      <c r="AE469" s="62">
        <f t="shared" si="52"/>
        <v>6521.739130434783</v>
      </c>
      <c r="AF469" s="64" t="s">
        <v>1780</v>
      </c>
      <c r="AG469" s="49">
        <v>0.4</v>
      </c>
    </row>
    <row r="470" spans="1:35" ht="34.5" customHeight="1" x14ac:dyDescent="0.3">
      <c r="A470" s="46">
        <v>812</v>
      </c>
      <c r="B470" s="46" t="s">
        <v>1781</v>
      </c>
      <c r="C470" s="46" t="s">
        <v>50</v>
      </c>
      <c r="D470" s="60">
        <v>2026</v>
      </c>
      <c r="E470" s="60"/>
      <c r="F470" s="46" t="s">
        <v>225</v>
      </c>
      <c r="G470" s="46" t="s">
        <v>3</v>
      </c>
      <c r="H470" s="46"/>
      <c r="I470" s="46" t="s">
        <v>169</v>
      </c>
      <c r="J470" s="46" t="s">
        <v>246</v>
      </c>
      <c r="K470" s="46" t="s">
        <v>168</v>
      </c>
      <c r="L470" s="46"/>
      <c r="M470" s="46"/>
      <c r="N470" s="46">
        <v>1</v>
      </c>
      <c r="O470" s="46"/>
      <c r="P470" s="46">
        <v>1</v>
      </c>
      <c r="Q470" s="46"/>
      <c r="R470" s="46"/>
      <c r="S470" s="46"/>
      <c r="T470" s="46"/>
      <c r="U470" s="46"/>
      <c r="V470" s="46"/>
      <c r="W470" s="46"/>
      <c r="X470" s="46"/>
      <c r="Y470" s="46"/>
      <c r="Z470" s="46" t="s">
        <v>981</v>
      </c>
      <c r="AA470" s="61">
        <v>20</v>
      </c>
      <c r="AB470" s="62">
        <f>AA470/0.0046</f>
        <v>4347.826086956522</v>
      </c>
      <c r="AC470" s="63">
        <f t="shared" si="53"/>
        <v>3.3897391304347826</v>
      </c>
      <c r="AD470" s="62"/>
      <c r="AE470" s="62">
        <f t="shared" si="52"/>
        <v>4347.826086956522</v>
      </c>
      <c r="AF470" s="64" t="s">
        <v>1782</v>
      </c>
      <c r="AG470" s="49">
        <v>0.55000000000000004</v>
      </c>
    </row>
    <row r="471" spans="1:35" ht="34.5" customHeight="1" x14ac:dyDescent="0.3">
      <c r="A471" s="46">
        <v>813</v>
      </c>
      <c r="B471" s="46" t="s">
        <v>1783</v>
      </c>
      <c r="C471" s="46" t="s">
        <v>44</v>
      </c>
      <c r="D471" s="60">
        <v>2024</v>
      </c>
      <c r="E471" s="60"/>
      <c r="F471" s="46" t="s">
        <v>675</v>
      </c>
      <c r="G471" s="46" t="s">
        <v>1</v>
      </c>
      <c r="H471" s="46"/>
      <c r="I471" s="46" t="s">
        <v>157</v>
      </c>
      <c r="J471" s="46"/>
      <c r="K471" s="46" t="s">
        <v>68</v>
      </c>
      <c r="L471" s="46"/>
      <c r="M471" s="46"/>
      <c r="N471" s="46"/>
      <c r="O471" s="46"/>
      <c r="P471" s="46"/>
      <c r="Q471" s="46">
        <v>1</v>
      </c>
      <c r="R471" s="46"/>
      <c r="S471" s="46"/>
      <c r="T471" s="46"/>
      <c r="U471" s="46"/>
      <c r="V471" s="46"/>
      <c r="W471" s="46"/>
      <c r="X471" s="46"/>
      <c r="Y471" s="46"/>
      <c r="Z471" s="46" t="s">
        <v>1168</v>
      </c>
      <c r="AA471" s="61">
        <v>10</v>
      </c>
      <c r="AB471" s="62">
        <f>AA471/0.0052</f>
        <v>1923.0769230769231</v>
      </c>
      <c r="AC471" s="63">
        <f t="shared" si="53"/>
        <v>1.4993076923076922</v>
      </c>
      <c r="AD471" s="62"/>
      <c r="AE471" s="62">
        <f t="shared" si="52"/>
        <v>1923.0769230769231</v>
      </c>
      <c r="AF471" s="64" t="s">
        <v>1784</v>
      </c>
      <c r="AG471" s="49">
        <v>0.56999999999999995</v>
      </c>
    </row>
    <row r="472" spans="1:35" ht="35.85" customHeight="1" x14ac:dyDescent="0.3">
      <c r="A472" s="46">
        <v>815</v>
      </c>
      <c r="B472" s="46" t="s">
        <v>1785</v>
      </c>
      <c r="C472" s="46" t="s">
        <v>40</v>
      </c>
      <c r="D472" s="60">
        <v>2027</v>
      </c>
      <c r="E472" s="60"/>
      <c r="F472" s="46" t="s">
        <v>225</v>
      </c>
      <c r="G472" s="46" t="s">
        <v>162</v>
      </c>
      <c r="H472" s="46" t="s">
        <v>1786</v>
      </c>
      <c r="I472" s="46"/>
      <c r="J472" s="46"/>
      <c r="K472" s="46" t="s">
        <v>140</v>
      </c>
      <c r="L472" s="46"/>
      <c r="M472" s="46"/>
      <c r="N472" s="46">
        <v>1</v>
      </c>
      <c r="O472" s="46"/>
      <c r="P472" s="46"/>
      <c r="Q472" s="46"/>
      <c r="R472" s="46"/>
      <c r="S472" s="46"/>
      <c r="T472" s="46"/>
      <c r="U472" s="46"/>
      <c r="V472" s="46"/>
      <c r="W472" s="46"/>
      <c r="X472" s="46"/>
      <c r="Y472" s="46"/>
      <c r="Z472" s="46" t="s">
        <v>1787</v>
      </c>
      <c r="AA472" s="61"/>
      <c r="AB472" s="62"/>
      <c r="AC472" s="63"/>
      <c r="AD472" s="62">
        <v>4200000</v>
      </c>
      <c r="AE472" s="62">
        <f>IF(AND(G472&lt;&gt;"NG w CCUS",G472&lt;&gt;"Oil w CCUS",G472&lt;&gt;"Coal w CCUS"),AB472,AD472*10^3/(HoursInYear*IF(G472="NG w CCUS",0.9105,1.9075)))</f>
        <v>251351.01168782203</v>
      </c>
      <c r="AF472" s="64" t="s">
        <v>1788</v>
      </c>
      <c r="AG472" s="49">
        <v>0.9</v>
      </c>
    </row>
    <row r="473" spans="1:35" ht="34.5" customHeight="1" x14ac:dyDescent="0.3">
      <c r="A473" s="46">
        <v>818</v>
      </c>
      <c r="B473" s="46" t="s">
        <v>1789</v>
      </c>
      <c r="C473" s="46" t="s">
        <v>50</v>
      </c>
      <c r="D473" s="60">
        <v>2026</v>
      </c>
      <c r="E473" s="60"/>
      <c r="F473" s="46" t="s">
        <v>225</v>
      </c>
      <c r="G473" s="46" t="s">
        <v>3</v>
      </c>
      <c r="H473" s="46"/>
      <c r="I473" s="46" t="s">
        <v>169</v>
      </c>
      <c r="J473" s="46" t="s">
        <v>246</v>
      </c>
      <c r="K473" s="46" t="s">
        <v>167</v>
      </c>
      <c r="L473" s="46"/>
      <c r="M473" s="46"/>
      <c r="N473" s="46"/>
      <c r="O473" s="46"/>
      <c r="P473" s="46"/>
      <c r="Q473" s="46"/>
      <c r="R473" s="46"/>
      <c r="S473" s="46"/>
      <c r="T473" s="46"/>
      <c r="U473" s="46"/>
      <c r="V473" s="46"/>
      <c r="W473" s="46">
        <v>1</v>
      </c>
      <c r="X473" s="46"/>
      <c r="Y473" s="46"/>
      <c r="Z473" s="46" t="s">
        <v>1350</v>
      </c>
      <c r="AA473" s="61">
        <v>40</v>
      </c>
      <c r="AB473" s="62">
        <f>AA473/0.0046</f>
        <v>8695.652173913044</v>
      </c>
      <c r="AC473" s="63">
        <f t="shared" ref="AC473" si="54">AB473*H2dens*HoursInYear/10^6</f>
        <v>6.7794782608695652</v>
      </c>
      <c r="AD473" s="62"/>
      <c r="AE473" s="62">
        <f>AB473</f>
        <v>8695.652173913044</v>
      </c>
      <c r="AF473" s="64" t="s">
        <v>1790</v>
      </c>
      <c r="AG473" s="49">
        <v>0.55000000000000004</v>
      </c>
    </row>
    <row r="474" spans="1:35" ht="40.35" customHeight="1" x14ac:dyDescent="0.3">
      <c r="A474" s="46">
        <v>819</v>
      </c>
      <c r="B474" s="46" t="s">
        <v>1791</v>
      </c>
      <c r="C474" s="46" t="s">
        <v>50</v>
      </c>
      <c r="D474" s="60">
        <v>2025</v>
      </c>
      <c r="E474" s="60"/>
      <c r="F474" s="46" t="s">
        <v>225</v>
      </c>
      <c r="G474" s="46" t="s">
        <v>159</v>
      </c>
      <c r="H474" s="46" t="s">
        <v>592</v>
      </c>
      <c r="I474" s="46" t="s">
        <v>157</v>
      </c>
      <c r="J474" s="46"/>
      <c r="K474" s="46" t="s">
        <v>68</v>
      </c>
      <c r="L474" s="46"/>
      <c r="M474" s="46"/>
      <c r="N474" s="46"/>
      <c r="O474" s="46">
        <v>1</v>
      </c>
      <c r="P474" s="46"/>
      <c r="Q474" s="46"/>
      <c r="R474" s="46"/>
      <c r="S474" s="46"/>
      <c r="T474" s="46"/>
      <c r="U474" s="46"/>
      <c r="V474" s="46"/>
      <c r="W474" s="46"/>
      <c r="X474" s="46"/>
      <c r="Y474" s="46"/>
      <c r="Z474" s="46" t="s">
        <v>1257</v>
      </c>
      <c r="AA474" s="61">
        <v>100</v>
      </c>
      <c r="AB474" s="62">
        <f>AA474/0.0045</f>
        <v>22222.222222222223</v>
      </c>
      <c r="AC474" s="63">
        <f>AB474*H2dens*HoursInYear/10^6</f>
        <v>17.325333333333333</v>
      </c>
      <c r="AD474" s="62"/>
      <c r="AE474" s="62">
        <f>AB474</f>
        <v>22222.222222222223</v>
      </c>
      <c r="AF474" s="64" t="s">
        <v>1792</v>
      </c>
      <c r="AG474" s="49">
        <v>0.56999999999999995</v>
      </c>
    </row>
    <row r="475" spans="1:35" s="59" customFormat="1" ht="34.5" customHeight="1" x14ac:dyDescent="0.3">
      <c r="A475" s="46">
        <v>821</v>
      </c>
      <c r="B475" s="46" t="s">
        <v>1793</v>
      </c>
      <c r="C475" s="46" t="s">
        <v>34</v>
      </c>
      <c r="D475" s="60">
        <v>2029</v>
      </c>
      <c r="E475" s="60"/>
      <c r="F475" s="46" t="s">
        <v>225</v>
      </c>
      <c r="G475" s="46" t="s">
        <v>3</v>
      </c>
      <c r="H475" s="46"/>
      <c r="I475" s="46" t="s">
        <v>166</v>
      </c>
      <c r="J475" s="46"/>
      <c r="K475" s="46" t="s">
        <v>68</v>
      </c>
      <c r="L475" s="46"/>
      <c r="M475" s="46"/>
      <c r="N475" s="46"/>
      <c r="O475" s="46"/>
      <c r="P475" s="46"/>
      <c r="Q475" s="46"/>
      <c r="R475" s="46"/>
      <c r="S475" s="46">
        <v>1</v>
      </c>
      <c r="T475" s="46"/>
      <c r="U475" s="46"/>
      <c r="V475" s="46"/>
      <c r="W475" s="46"/>
      <c r="X475" s="46"/>
      <c r="Y475" s="46"/>
      <c r="Z475" s="46" t="s">
        <v>1654</v>
      </c>
      <c r="AA475" s="61">
        <f>500-200</f>
        <v>300</v>
      </c>
      <c r="AB475" s="62">
        <f>AA475/0.0046</f>
        <v>65217.391304347824</v>
      </c>
      <c r="AC475" s="63">
        <f>AB475*H2dens*HoursInYear/10^6</f>
        <v>50.846086956521738</v>
      </c>
      <c r="AD475" s="62"/>
      <c r="AE475" s="62">
        <f>AB475</f>
        <v>65217.391304347824</v>
      </c>
      <c r="AF475" s="64" t="s">
        <v>1794</v>
      </c>
      <c r="AG475" s="49">
        <v>0.56999999999999995</v>
      </c>
      <c r="AH475"/>
      <c r="AI475"/>
    </row>
    <row r="476" spans="1:35" ht="34.5" customHeight="1" x14ac:dyDescent="0.3">
      <c r="A476" s="46">
        <v>823</v>
      </c>
      <c r="B476" s="46" t="s">
        <v>1795</v>
      </c>
      <c r="C476" s="46" t="s">
        <v>50</v>
      </c>
      <c r="D476" s="60">
        <v>2027</v>
      </c>
      <c r="E476" s="60"/>
      <c r="F476" s="46" t="s">
        <v>225</v>
      </c>
      <c r="G476" s="46" t="s">
        <v>161</v>
      </c>
      <c r="H476" s="46" t="s">
        <v>882</v>
      </c>
      <c r="I476" s="46"/>
      <c r="J476" s="46"/>
      <c r="K476" s="46" t="s">
        <v>68</v>
      </c>
      <c r="L476" s="46"/>
      <c r="M476" s="46"/>
      <c r="N476" s="46"/>
      <c r="O476" s="46"/>
      <c r="P476" s="46"/>
      <c r="Q476" s="46"/>
      <c r="R476" s="46">
        <v>1</v>
      </c>
      <c r="S476" s="46"/>
      <c r="T476" s="46"/>
      <c r="U476" s="46"/>
      <c r="V476" s="46"/>
      <c r="W476" s="46"/>
      <c r="X476" s="46"/>
      <c r="Y476" s="46"/>
      <c r="Z476" s="46" t="s">
        <v>1640</v>
      </c>
      <c r="AA476" s="61"/>
      <c r="AB476" s="62"/>
      <c r="AC476" s="63"/>
      <c r="AD476" s="62">
        <v>1300000</v>
      </c>
      <c r="AE476" s="62">
        <f>IF(AND(G476&lt;&gt;"NG w CCUS",G476&lt;&gt;"Oil w CCUS",G476&lt;&gt;"Coal w CCUS"),AB476,AD476*10^3/(HoursInYear*IF(G476="NG w CCUS",0.9105,1.9075)))</f>
        <v>162989.37560023973</v>
      </c>
      <c r="AF476" s="64" t="s">
        <v>7187</v>
      </c>
      <c r="AG476" s="49">
        <v>0.9</v>
      </c>
    </row>
    <row r="477" spans="1:35" ht="34.5" customHeight="1" x14ac:dyDescent="0.3">
      <c r="A477" s="46">
        <v>825</v>
      </c>
      <c r="B477" s="46" t="s">
        <v>1796</v>
      </c>
      <c r="C477" s="46" t="s">
        <v>40</v>
      </c>
      <c r="D477" s="60">
        <v>2025</v>
      </c>
      <c r="E477" s="60"/>
      <c r="F477" s="46" t="s">
        <v>225</v>
      </c>
      <c r="G477" s="46" t="s">
        <v>162</v>
      </c>
      <c r="H477" s="46" t="s">
        <v>1797</v>
      </c>
      <c r="I477" s="46"/>
      <c r="J477" s="46"/>
      <c r="K477" s="46" t="s">
        <v>68</v>
      </c>
      <c r="L477" s="46"/>
      <c r="M477" s="46"/>
      <c r="N477" s="46"/>
      <c r="O477" s="46"/>
      <c r="P477" s="46"/>
      <c r="Q477" s="46"/>
      <c r="R477" s="46"/>
      <c r="S477" s="46"/>
      <c r="T477" s="46"/>
      <c r="U477" s="46"/>
      <c r="V477" s="46"/>
      <c r="W477" s="46"/>
      <c r="X477" s="46"/>
      <c r="Y477" s="46"/>
      <c r="Z477" s="46" t="s">
        <v>1798</v>
      </c>
      <c r="AA477" s="61"/>
      <c r="AB477" s="62">
        <f>IF(OR(G477="ALK",G477="PEM",G477="SOEC",G477="Other Electrolysis"),
AA477/VLOOKUP(G477,ElectrolysisConvF,3,FALSE),
AC477*10^6/(H2dens*HoursInYear))</f>
        <v>157303.37078651687</v>
      </c>
      <c r="AC477" s="63">
        <f>0.336*365</f>
        <v>122.64</v>
      </c>
      <c r="AD477" s="62">
        <v>1650000</v>
      </c>
      <c r="AE477" s="62">
        <f>IF(AND(G477&lt;&gt;"NG w CCUS",G477&lt;&gt;"Oil w CCUS",G477&lt;&gt;"Coal w CCUS"),AB477,AD477*10^3/(HoursInYear*IF(G477="NG w CCUS",0.9105,1.9075)))</f>
        <v>98745.040305930088</v>
      </c>
      <c r="AF477" s="64" t="s">
        <v>1799</v>
      </c>
      <c r="AG477" s="49">
        <v>0.9</v>
      </c>
    </row>
    <row r="478" spans="1:35" ht="34.5" customHeight="1" x14ac:dyDescent="0.3">
      <c r="A478" s="46">
        <v>826</v>
      </c>
      <c r="B478" s="46" t="s">
        <v>1800</v>
      </c>
      <c r="C478" s="46" t="s">
        <v>203</v>
      </c>
      <c r="D478" s="60">
        <v>2007</v>
      </c>
      <c r="E478" s="60"/>
      <c r="F478" s="46" t="s">
        <v>285</v>
      </c>
      <c r="G478" s="46" t="s">
        <v>159</v>
      </c>
      <c r="H478" s="46" t="s">
        <v>592</v>
      </c>
      <c r="I478" s="46" t="s">
        <v>157</v>
      </c>
      <c r="J478" s="46"/>
      <c r="K478" s="46" t="s">
        <v>68</v>
      </c>
      <c r="L478" s="46"/>
      <c r="M478" s="46"/>
      <c r="N478" s="46"/>
      <c r="O478" s="46"/>
      <c r="P478" s="46"/>
      <c r="Q478" s="46">
        <v>1</v>
      </c>
      <c r="R478" s="46">
        <v>1</v>
      </c>
      <c r="S478" s="46">
        <v>1</v>
      </c>
      <c r="T478" s="46"/>
      <c r="U478" s="46"/>
      <c r="V478" s="46"/>
      <c r="W478" s="46"/>
      <c r="X478" s="46"/>
      <c r="Y478" s="46"/>
      <c r="Z478" s="46"/>
      <c r="AA478" s="61"/>
      <c r="AB478" s="62"/>
      <c r="AC478" s="63"/>
      <c r="AD478" s="62"/>
      <c r="AE478" s="62">
        <f>AB478</f>
        <v>0</v>
      </c>
      <c r="AF478" s="64" t="s">
        <v>7188</v>
      </c>
      <c r="AG478" s="49">
        <v>0.56999999999999995</v>
      </c>
    </row>
    <row r="479" spans="1:35" ht="34.5" customHeight="1" x14ac:dyDescent="0.3">
      <c r="A479" s="46">
        <v>827</v>
      </c>
      <c r="B479" s="46" t="s">
        <v>1801</v>
      </c>
      <c r="C479" s="46" t="s">
        <v>50</v>
      </c>
      <c r="D479" s="60">
        <v>2005</v>
      </c>
      <c r="E479" s="60">
        <v>2024</v>
      </c>
      <c r="F479" s="46" t="s">
        <v>226</v>
      </c>
      <c r="G479" s="46" t="s">
        <v>162</v>
      </c>
      <c r="H479" s="46" t="s">
        <v>1802</v>
      </c>
      <c r="I479" s="46"/>
      <c r="J479" s="46"/>
      <c r="K479" s="46" t="s">
        <v>68</v>
      </c>
      <c r="L479" s="46">
        <v>1</v>
      </c>
      <c r="M479" s="46"/>
      <c r="N479" s="46"/>
      <c r="O479" s="46"/>
      <c r="P479" s="46"/>
      <c r="Q479" s="46"/>
      <c r="R479" s="46"/>
      <c r="S479" s="46"/>
      <c r="T479" s="46"/>
      <c r="U479" s="46"/>
      <c r="V479" s="46"/>
      <c r="W479" s="46"/>
      <c r="X479" s="46"/>
      <c r="Y479" s="46"/>
      <c r="Z479" s="46" t="s">
        <v>7227</v>
      </c>
      <c r="AA479" s="61"/>
      <c r="AB479" s="62">
        <f>AC479/(0.089*24*365/10^6)</f>
        <v>1282643.2712533989</v>
      </c>
      <c r="AC479" s="63">
        <v>1000</v>
      </c>
      <c r="AD479" s="62">
        <v>1000000</v>
      </c>
      <c r="AE479" s="62">
        <f t="shared" ref="AE479" si="55">IF(AND(G479&lt;&gt;"NG w CCUS",G479&lt;&gt;"Oil w CCUS",G479&lt;&gt;"Coal w CCUS"),AB479,AD479*10^3/(HoursInYear*IF(G479="NG w CCUS",0.9105,1.9075)))</f>
        <v>59845.478973290963</v>
      </c>
      <c r="AF479" s="64" t="s">
        <v>1803</v>
      </c>
      <c r="AG479" s="49">
        <v>0.9</v>
      </c>
    </row>
    <row r="480" spans="1:35" ht="34.5" customHeight="1" x14ac:dyDescent="0.3">
      <c r="A480" s="46">
        <v>828</v>
      </c>
      <c r="B480" s="46" t="s">
        <v>1804</v>
      </c>
      <c r="C480" s="46" t="s">
        <v>50</v>
      </c>
      <c r="D480" s="60"/>
      <c r="E480" s="60"/>
      <c r="F480" s="46" t="s">
        <v>225</v>
      </c>
      <c r="G480" s="46" t="s">
        <v>163</v>
      </c>
      <c r="H480" s="46" t="s">
        <v>1805</v>
      </c>
      <c r="I480" s="46"/>
      <c r="J480" s="46"/>
      <c r="K480" s="46" t="s">
        <v>68</v>
      </c>
      <c r="L480" s="46"/>
      <c r="M480" s="46"/>
      <c r="N480" s="46"/>
      <c r="O480" s="46"/>
      <c r="P480" s="46"/>
      <c r="Q480" s="46"/>
      <c r="R480" s="46"/>
      <c r="S480" s="46"/>
      <c r="T480" s="46"/>
      <c r="U480" s="46"/>
      <c r="V480" s="46"/>
      <c r="W480" s="46"/>
      <c r="X480" s="46"/>
      <c r="Y480" s="46"/>
      <c r="Z480" s="46"/>
      <c r="AA480" s="61"/>
      <c r="AB480" s="62"/>
      <c r="AC480" s="63"/>
      <c r="AD480" s="62"/>
      <c r="AE480" s="62">
        <f>AB480</f>
        <v>0</v>
      </c>
      <c r="AF480" s="64" t="s">
        <v>1361</v>
      </c>
      <c r="AG480" s="49">
        <v>0.9</v>
      </c>
    </row>
    <row r="481" spans="1:33" ht="34.5" customHeight="1" x14ac:dyDescent="0.3">
      <c r="A481" s="46">
        <v>829</v>
      </c>
      <c r="B481" s="46" t="s">
        <v>1806</v>
      </c>
      <c r="C481" s="46" t="s">
        <v>50</v>
      </c>
      <c r="D481" s="60"/>
      <c r="E481" s="60"/>
      <c r="F481" s="46" t="s">
        <v>225</v>
      </c>
      <c r="G481" s="46" t="s">
        <v>153</v>
      </c>
      <c r="H481" s="46" t="s">
        <v>1807</v>
      </c>
      <c r="I481" s="46"/>
      <c r="J481" s="46"/>
      <c r="K481" s="46" t="s">
        <v>68</v>
      </c>
      <c r="L481" s="46"/>
      <c r="M481" s="46"/>
      <c r="N481" s="46"/>
      <c r="O481" s="46"/>
      <c r="P481" s="46"/>
      <c r="Q481" s="46"/>
      <c r="R481" s="46"/>
      <c r="S481" s="46">
        <v>1</v>
      </c>
      <c r="T481" s="46"/>
      <c r="U481" s="46"/>
      <c r="V481" s="46"/>
      <c r="W481" s="46"/>
      <c r="X481" s="46"/>
      <c r="Y481" s="46"/>
      <c r="Z481" s="46"/>
      <c r="AA481" s="61"/>
      <c r="AB481" s="62"/>
      <c r="AC481" s="63"/>
      <c r="AD481" s="62"/>
      <c r="AE481" s="62">
        <f>AB481</f>
        <v>0</v>
      </c>
      <c r="AF481" s="64" t="s">
        <v>1361</v>
      </c>
      <c r="AG481" s="49">
        <v>0.9</v>
      </c>
    </row>
    <row r="482" spans="1:33" ht="34.5" customHeight="1" x14ac:dyDescent="0.3">
      <c r="A482" s="46">
        <v>830</v>
      </c>
      <c r="B482" s="46" t="s">
        <v>1808</v>
      </c>
      <c r="C482" s="46" t="s">
        <v>58</v>
      </c>
      <c r="D482" s="60">
        <v>2025</v>
      </c>
      <c r="E482" s="60"/>
      <c r="F482" s="46" t="s">
        <v>591</v>
      </c>
      <c r="G482" s="46" t="s">
        <v>159</v>
      </c>
      <c r="H482" s="46" t="s">
        <v>592</v>
      </c>
      <c r="I482" s="46" t="s">
        <v>169</v>
      </c>
      <c r="J482" s="46" t="s">
        <v>244</v>
      </c>
      <c r="K482" s="46" t="s">
        <v>68</v>
      </c>
      <c r="L482" s="46">
        <v>1</v>
      </c>
      <c r="M482" s="46">
        <v>1</v>
      </c>
      <c r="N482" s="46"/>
      <c r="O482" s="46">
        <v>1</v>
      </c>
      <c r="P482" s="46">
        <v>1</v>
      </c>
      <c r="Q482" s="46"/>
      <c r="R482" s="46"/>
      <c r="S482" s="46"/>
      <c r="T482" s="46"/>
      <c r="U482" s="46"/>
      <c r="V482" s="46"/>
      <c r="W482" s="46"/>
      <c r="X482" s="46"/>
      <c r="Y482" s="46"/>
      <c r="Z482" s="46" t="s">
        <v>1257</v>
      </c>
      <c r="AA482" s="61">
        <v>100</v>
      </c>
      <c r="AB482" s="62">
        <f>IF(OR(G482="ALK",G482="PEM",G482="SOEC",G482="Other Electrolysis"),
AA482/VLOOKUP(G482,ElectrolysisConvF,3,FALSE),
AC482*10^6/(H2dens*HoursInYear))</f>
        <v>22222.222222222223</v>
      </c>
      <c r="AC482" s="63">
        <f>AB482*H2dens*HoursInYear/10^6</f>
        <v>17.325333333333333</v>
      </c>
      <c r="AD482" s="62"/>
      <c r="AE482" s="62"/>
      <c r="AF482" s="64"/>
      <c r="AG482" s="49">
        <v>0.3</v>
      </c>
    </row>
    <row r="483" spans="1:33" ht="34.5" customHeight="1" x14ac:dyDescent="0.3">
      <c r="A483" s="46">
        <v>831</v>
      </c>
      <c r="B483" s="46" t="s">
        <v>1809</v>
      </c>
      <c r="C483" s="46" t="s">
        <v>41</v>
      </c>
      <c r="D483" s="60">
        <v>2023</v>
      </c>
      <c r="E483" s="60"/>
      <c r="F483" s="46" t="s">
        <v>675</v>
      </c>
      <c r="G483" s="46" t="s">
        <v>159</v>
      </c>
      <c r="H483" s="46" t="s">
        <v>1810</v>
      </c>
      <c r="I483" s="46" t="s">
        <v>169</v>
      </c>
      <c r="J483" s="46" t="s">
        <v>244</v>
      </c>
      <c r="K483" s="46" t="s">
        <v>68</v>
      </c>
      <c r="L483" s="46"/>
      <c r="M483" s="46"/>
      <c r="N483" s="46"/>
      <c r="O483" s="46"/>
      <c r="P483" s="46"/>
      <c r="Q483" s="46">
        <v>1</v>
      </c>
      <c r="R483" s="46"/>
      <c r="S483" s="46"/>
      <c r="T483" s="46"/>
      <c r="U483" s="46"/>
      <c r="V483" s="46"/>
      <c r="W483" s="46"/>
      <c r="X483" s="46"/>
      <c r="Y483" s="46"/>
      <c r="Z483" s="46" t="s">
        <v>1811</v>
      </c>
      <c r="AA483" s="61">
        <v>6</v>
      </c>
      <c r="AB483" s="62">
        <f>IF(OR(G483="ALK",G483="PEM",G483="SOEC",G483="Other Electrolysis"),
AA483/VLOOKUP(G483,ElectrolysisConvF,3,FALSE),
AC483*10^6/(H2dens*HoursInYear))</f>
        <v>1333.3333333333335</v>
      </c>
      <c r="AC483" s="63">
        <f>AB483*H2dens*HoursInYear/10^6</f>
        <v>1.03952</v>
      </c>
      <c r="AD483" s="62"/>
      <c r="AE483" s="62">
        <f>AB483</f>
        <v>1333.3333333333335</v>
      </c>
      <c r="AF483" s="64" t="s">
        <v>1812</v>
      </c>
      <c r="AG483" s="49">
        <v>0.3</v>
      </c>
    </row>
    <row r="484" spans="1:33" ht="34.5" customHeight="1" x14ac:dyDescent="0.3">
      <c r="A484" s="46">
        <v>833</v>
      </c>
      <c r="B484" s="46" t="s">
        <v>1813</v>
      </c>
      <c r="C484" s="46" t="s">
        <v>321</v>
      </c>
      <c r="D484" s="60">
        <v>2026</v>
      </c>
      <c r="E484" s="60"/>
      <c r="F484" s="46" t="s">
        <v>225</v>
      </c>
      <c r="G484" s="46" t="s">
        <v>3</v>
      </c>
      <c r="H484" s="46"/>
      <c r="I484" s="46" t="s">
        <v>166</v>
      </c>
      <c r="J484" s="46" t="s">
        <v>248</v>
      </c>
      <c r="K484" s="46" t="s">
        <v>68</v>
      </c>
      <c r="L484" s="46">
        <v>1</v>
      </c>
      <c r="M484" s="46"/>
      <c r="N484" s="46"/>
      <c r="O484" s="46"/>
      <c r="P484" s="46"/>
      <c r="Q484" s="46">
        <v>1</v>
      </c>
      <c r="R484" s="46"/>
      <c r="S484" s="46">
        <v>1</v>
      </c>
      <c r="T484" s="46"/>
      <c r="U484" s="46"/>
      <c r="V484" s="46">
        <v>1</v>
      </c>
      <c r="W484" s="46"/>
      <c r="X484" s="46"/>
      <c r="Y484" s="46"/>
      <c r="Z484" s="46" t="s">
        <v>1177</v>
      </c>
      <c r="AA484" s="61">
        <v>100</v>
      </c>
      <c r="AB484" s="62">
        <f>IF(OR(G484="ALK",G484="PEM",G484="SOEC",G484="Other Electrolysis"),
AA484/VLOOKUP(G484,ElectrolysisConvF,3,FALSE),
AC484*10^6/(H2dens*HoursInYear))</f>
        <v>21739.130434782608</v>
      </c>
      <c r="AC484" s="63">
        <f>AB484*H2dens*HoursInYear/10^6</f>
        <v>16.94869565217391</v>
      </c>
      <c r="AD484" s="62"/>
      <c r="AE484" s="62">
        <f t="shared" ref="AE484:AE501" si="56">AB484</f>
        <v>21739.130434782608</v>
      </c>
      <c r="AF484" s="64" t="s">
        <v>1814</v>
      </c>
      <c r="AG484" s="49">
        <v>0.56999999999999995</v>
      </c>
    </row>
    <row r="485" spans="1:33" ht="34.5" customHeight="1" x14ac:dyDescent="0.3">
      <c r="A485" s="46">
        <v>834</v>
      </c>
      <c r="B485" s="46" t="s">
        <v>1815</v>
      </c>
      <c r="C485" s="46" t="s">
        <v>50</v>
      </c>
      <c r="D485" s="60"/>
      <c r="E485" s="60"/>
      <c r="F485" s="46" t="s">
        <v>675</v>
      </c>
      <c r="G485" s="46" t="s">
        <v>159</v>
      </c>
      <c r="H485" s="46" t="s">
        <v>592</v>
      </c>
      <c r="I485" s="46" t="s">
        <v>157</v>
      </c>
      <c r="J485" s="46"/>
      <c r="K485" s="46" t="s">
        <v>68</v>
      </c>
      <c r="L485" s="46"/>
      <c r="M485" s="46"/>
      <c r="N485" s="46"/>
      <c r="O485" s="46"/>
      <c r="P485" s="46"/>
      <c r="Q485" s="46"/>
      <c r="R485" s="46"/>
      <c r="S485" s="46"/>
      <c r="T485" s="46"/>
      <c r="U485" s="46">
        <v>1</v>
      </c>
      <c r="V485" s="46"/>
      <c r="W485" s="46"/>
      <c r="X485" s="46"/>
      <c r="Y485" s="46"/>
      <c r="Z485" s="46"/>
      <c r="AA485" s="61"/>
      <c r="AB485" s="62"/>
      <c r="AC485" s="63"/>
      <c r="AD485" s="62"/>
      <c r="AE485" s="62">
        <f t="shared" si="56"/>
        <v>0</v>
      </c>
      <c r="AF485" s="64" t="s">
        <v>1816</v>
      </c>
      <c r="AG485" s="49">
        <v>0.56999999999999995</v>
      </c>
    </row>
    <row r="486" spans="1:33" ht="34.5" customHeight="1" x14ac:dyDescent="0.3">
      <c r="A486" s="46">
        <v>835</v>
      </c>
      <c r="B486" s="46" t="s">
        <v>1817</v>
      </c>
      <c r="C486" s="46" t="s">
        <v>321</v>
      </c>
      <c r="D486" s="60"/>
      <c r="E486" s="60"/>
      <c r="F486" s="46" t="s">
        <v>591</v>
      </c>
      <c r="G486" s="46" t="s">
        <v>159</v>
      </c>
      <c r="H486" s="46" t="s">
        <v>592</v>
      </c>
      <c r="I486" s="46" t="s">
        <v>169</v>
      </c>
      <c r="J486" s="46" t="s">
        <v>244</v>
      </c>
      <c r="K486" s="46" t="s">
        <v>68</v>
      </c>
      <c r="L486" s="46"/>
      <c r="M486" s="46"/>
      <c r="N486" s="46"/>
      <c r="O486" s="46"/>
      <c r="P486" s="46"/>
      <c r="Q486" s="46"/>
      <c r="R486" s="46"/>
      <c r="S486" s="46">
        <v>1</v>
      </c>
      <c r="T486" s="46"/>
      <c r="U486" s="46"/>
      <c r="V486" s="46"/>
      <c r="W486" s="46"/>
      <c r="X486" s="46"/>
      <c r="Y486" s="46"/>
      <c r="Z486" s="46" t="s">
        <v>1818</v>
      </c>
      <c r="AA486" s="61">
        <v>1.4999999999999999E-2</v>
      </c>
      <c r="AB486" s="62">
        <f>IF(OR(G486="ALK",G486="PEM",G486="SOEC",G486="Other Electrolysis"),
AA486/VLOOKUP(G486,ElectrolysisConvF,3,FALSE),
AC486*10^6/(H2dens*HoursInYear))</f>
        <v>3.3333333333333335</v>
      </c>
      <c r="AC486" s="63">
        <f>AB486*H2dens*HoursInYear/10^6</f>
        <v>2.5988000000000001E-3</v>
      </c>
      <c r="AD486" s="62"/>
      <c r="AE486" s="62">
        <f t="shared" si="56"/>
        <v>3.3333333333333335</v>
      </c>
      <c r="AF486" s="64" t="s">
        <v>1819</v>
      </c>
      <c r="AG486" s="49">
        <v>0.3</v>
      </c>
    </row>
    <row r="487" spans="1:33" ht="34.5" customHeight="1" x14ac:dyDescent="0.3">
      <c r="A487" s="46">
        <v>836</v>
      </c>
      <c r="B487" s="46" t="s">
        <v>1820</v>
      </c>
      <c r="C487" s="46" t="s">
        <v>40</v>
      </c>
      <c r="D487" s="60">
        <v>2023</v>
      </c>
      <c r="E487" s="60"/>
      <c r="F487" s="46" t="s">
        <v>226</v>
      </c>
      <c r="G487" s="46" t="s">
        <v>163</v>
      </c>
      <c r="H487" s="46" t="s">
        <v>1684</v>
      </c>
      <c r="I487" s="46"/>
      <c r="J487" s="46"/>
      <c r="K487" s="46" t="s">
        <v>68</v>
      </c>
      <c r="L487" s="46"/>
      <c r="M487" s="46"/>
      <c r="N487" s="46"/>
      <c r="O487" s="46"/>
      <c r="P487" s="46"/>
      <c r="Q487" s="46">
        <v>1</v>
      </c>
      <c r="R487" s="46"/>
      <c r="S487" s="46"/>
      <c r="T487" s="46"/>
      <c r="U487" s="46"/>
      <c r="V487" s="46"/>
      <c r="W487" s="46"/>
      <c r="X487" s="46"/>
      <c r="Y487" s="46"/>
      <c r="Z487" s="46" t="s">
        <v>1821</v>
      </c>
      <c r="AA487" s="61"/>
      <c r="AB487" s="62">
        <f>AC487/(H2dens*HoursInYear/10^6)</f>
        <v>561.79775280898878</v>
      </c>
      <c r="AC487" s="63">
        <f>1.2*365/1000</f>
        <v>0.438</v>
      </c>
      <c r="AD487" s="62"/>
      <c r="AE487" s="62">
        <f t="shared" si="56"/>
        <v>561.79775280898878</v>
      </c>
      <c r="AF487" s="64" t="s">
        <v>1822</v>
      </c>
      <c r="AG487" s="49">
        <v>0.9</v>
      </c>
    </row>
    <row r="488" spans="1:33" ht="34.5" customHeight="1" x14ac:dyDescent="0.3">
      <c r="A488" s="46">
        <v>837</v>
      </c>
      <c r="B488" s="46" t="s">
        <v>1823</v>
      </c>
      <c r="C488" s="46" t="s">
        <v>50</v>
      </c>
      <c r="D488" s="60">
        <v>2023</v>
      </c>
      <c r="E488" s="60"/>
      <c r="F488" s="46" t="s">
        <v>285</v>
      </c>
      <c r="G488" s="46" t="s">
        <v>163</v>
      </c>
      <c r="H488" s="46" t="s">
        <v>1805</v>
      </c>
      <c r="I488" s="46"/>
      <c r="J488" s="46"/>
      <c r="K488" s="46" t="s">
        <v>68</v>
      </c>
      <c r="L488" s="46"/>
      <c r="M488" s="46"/>
      <c r="N488" s="46"/>
      <c r="O488" s="46"/>
      <c r="P488" s="46">
        <v>1</v>
      </c>
      <c r="Q488" s="46"/>
      <c r="R488" s="46"/>
      <c r="S488" s="46"/>
      <c r="T488" s="46"/>
      <c r="U488" s="46"/>
      <c r="V488" s="46"/>
      <c r="W488" s="46"/>
      <c r="X488" s="46"/>
      <c r="Y488" s="46"/>
      <c r="Z488" s="46" t="s">
        <v>1824</v>
      </c>
      <c r="AA488" s="61"/>
      <c r="AB488" s="62">
        <f>IF(OR(G488="ALK",G488="PEM",G488="SOEC",G488="Other Electrolysis"),
AA488/VLOOKUP(G488,ElectrolysisConvF,3,FALSE),
AC488*10^6/(H2dens*HoursInYear))</f>
        <v>234.08239700374531</v>
      </c>
      <c r="AC488" s="73">
        <f>500/1000*365/1000</f>
        <v>0.1825</v>
      </c>
      <c r="AD488" s="62"/>
      <c r="AE488" s="62">
        <f t="shared" si="56"/>
        <v>234.08239700374531</v>
      </c>
      <c r="AF488" s="64" t="s">
        <v>1357</v>
      </c>
      <c r="AG488" s="49">
        <v>0.9</v>
      </c>
    </row>
    <row r="489" spans="1:33" ht="34.35" customHeight="1" x14ac:dyDescent="0.3">
      <c r="A489" s="46">
        <v>838</v>
      </c>
      <c r="B489" s="46" t="s">
        <v>1825</v>
      </c>
      <c r="C489" s="46" t="s">
        <v>49</v>
      </c>
      <c r="D489" s="60"/>
      <c r="E489" s="60"/>
      <c r="F489" s="46" t="s">
        <v>225</v>
      </c>
      <c r="G489" s="46" t="s">
        <v>159</v>
      </c>
      <c r="H489" s="46" t="s">
        <v>592</v>
      </c>
      <c r="I489" s="46" t="s">
        <v>169</v>
      </c>
      <c r="J489" s="46" t="s">
        <v>247</v>
      </c>
      <c r="K489" s="46" t="s">
        <v>140</v>
      </c>
      <c r="L489" s="46"/>
      <c r="M489" s="46"/>
      <c r="N489" s="46">
        <v>1</v>
      </c>
      <c r="O489" s="46"/>
      <c r="P489" s="46"/>
      <c r="Q489" s="46"/>
      <c r="R489" s="46"/>
      <c r="S489" s="46"/>
      <c r="T489" s="46"/>
      <c r="U489" s="46"/>
      <c r="V489" s="46"/>
      <c r="W489" s="46"/>
      <c r="X489" s="46"/>
      <c r="Y489" s="46"/>
      <c r="Z489" s="46"/>
      <c r="AA489" s="61"/>
      <c r="AB489" s="62"/>
      <c r="AC489" s="63"/>
      <c r="AD489" s="62"/>
      <c r="AE489" s="62">
        <f t="shared" si="56"/>
        <v>0</v>
      </c>
      <c r="AF489" s="64" t="s">
        <v>1826</v>
      </c>
      <c r="AG489" s="49">
        <v>0.8</v>
      </c>
    </row>
    <row r="490" spans="1:33" ht="34.5" customHeight="1" x14ac:dyDescent="0.3">
      <c r="A490" s="46">
        <v>839</v>
      </c>
      <c r="B490" s="46" t="s">
        <v>1827</v>
      </c>
      <c r="C490" s="46" t="s">
        <v>34</v>
      </c>
      <c r="D490" s="60">
        <v>2025</v>
      </c>
      <c r="E490" s="60"/>
      <c r="F490" s="46" t="s">
        <v>225</v>
      </c>
      <c r="G490" s="46" t="s">
        <v>159</v>
      </c>
      <c r="H490" s="46" t="s">
        <v>592</v>
      </c>
      <c r="I490" s="46" t="s">
        <v>169</v>
      </c>
      <c r="J490" s="46" t="s">
        <v>245</v>
      </c>
      <c r="K490" s="46" t="s">
        <v>68</v>
      </c>
      <c r="L490" s="46"/>
      <c r="M490" s="46"/>
      <c r="N490" s="46"/>
      <c r="O490" s="46"/>
      <c r="P490" s="46"/>
      <c r="Q490" s="46">
        <v>1</v>
      </c>
      <c r="R490" s="46"/>
      <c r="S490" s="46"/>
      <c r="T490" s="46"/>
      <c r="U490" s="46"/>
      <c r="V490" s="46"/>
      <c r="W490" s="46"/>
      <c r="X490" s="46"/>
      <c r="Y490" s="46"/>
      <c r="Z490" s="46" t="s">
        <v>1828</v>
      </c>
      <c r="AA490" s="61">
        <v>4</v>
      </c>
      <c r="AB490" s="62">
        <f>AA490/0.0045</f>
        <v>888.88888888888891</v>
      </c>
      <c r="AC490" s="63">
        <f>AB490*H2dens*HoursInYear/10^6</f>
        <v>0.69301333333333337</v>
      </c>
      <c r="AD490" s="62"/>
      <c r="AE490" s="62">
        <f t="shared" si="56"/>
        <v>888.88888888888891</v>
      </c>
      <c r="AF490" s="64" t="s">
        <v>1829</v>
      </c>
      <c r="AG490" s="49">
        <v>0.4</v>
      </c>
    </row>
    <row r="491" spans="1:33" ht="34.5" customHeight="1" x14ac:dyDescent="0.3">
      <c r="A491" s="46">
        <v>840</v>
      </c>
      <c r="B491" s="46" t="s">
        <v>1830</v>
      </c>
      <c r="C491" s="46" t="s">
        <v>40</v>
      </c>
      <c r="D491" s="60">
        <v>2021</v>
      </c>
      <c r="E491" s="60"/>
      <c r="F491" s="46" t="s">
        <v>285</v>
      </c>
      <c r="G491" s="46" t="s">
        <v>1</v>
      </c>
      <c r="H491" s="46"/>
      <c r="I491" s="46" t="s">
        <v>166</v>
      </c>
      <c r="J491" s="46"/>
      <c r="K491" s="46" t="s">
        <v>68</v>
      </c>
      <c r="L491" s="46"/>
      <c r="M491" s="46"/>
      <c r="N491" s="46"/>
      <c r="O491" s="46"/>
      <c r="P491" s="46"/>
      <c r="Q491" s="46"/>
      <c r="R491" s="46">
        <v>1</v>
      </c>
      <c r="S491" s="46"/>
      <c r="T491" s="46"/>
      <c r="U491" s="46"/>
      <c r="V491" s="46"/>
      <c r="W491" s="46"/>
      <c r="X491" s="46"/>
      <c r="Y491" s="46"/>
      <c r="Z491" s="46" t="s">
        <v>1624</v>
      </c>
      <c r="AA491" s="61">
        <v>0.5</v>
      </c>
      <c r="AB491" s="62">
        <f>AA491/0.0052</f>
        <v>96.15384615384616</v>
      </c>
      <c r="AC491" s="63">
        <f>AB491*H2dens*HoursInYear/10^6</f>
        <v>7.4965384615384628E-2</v>
      </c>
      <c r="AD491" s="62"/>
      <c r="AE491" s="62">
        <f t="shared" si="56"/>
        <v>96.15384615384616</v>
      </c>
      <c r="AF491" s="64" t="s">
        <v>1831</v>
      </c>
      <c r="AG491" s="49">
        <v>0.56999999999999995</v>
      </c>
    </row>
    <row r="492" spans="1:33" ht="34.5" customHeight="1" x14ac:dyDescent="0.3">
      <c r="A492" s="46">
        <v>842</v>
      </c>
      <c r="B492" s="46" t="s">
        <v>1832</v>
      </c>
      <c r="C492" s="46" t="s">
        <v>40</v>
      </c>
      <c r="D492" s="60">
        <v>2020</v>
      </c>
      <c r="E492" s="60"/>
      <c r="F492" s="46" t="s">
        <v>285</v>
      </c>
      <c r="G492" s="46" t="s">
        <v>1</v>
      </c>
      <c r="H492" s="46"/>
      <c r="I492" s="46" t="s">
        <v>169</v>
      </c>
      <c r="J492" s="46" t="s">
        <v>248</v>
      </c>
      <c r="K492" s="46" t="s">
        <v>68</v>
      </c>
      <c r="L492" s="46"/>
      <c r="M492" s="46"/>
      <c r="N492" s="46"/>
      <c r="O492" s="46"/>
      <c r="P492" s="46"/>
      <c r="Q492" s="46">
        <v>1</v>
      </c>
      <c r="R492" s="46">
        <v>1</v>
      </c>
      <c r="S492" s="46"/>
      <c r="T492" s="46"/>
      <c r="U492" s="46"/>
      <c r="V492" s="46"/>
      <c r="W492" s="46"/>
      <c r="X492" s="46"/>
      <c r="Y492" s="46"/>
      <c r="Z492" s="46" t="s">
        <v>1833</v>
      </c>
      <c r="AA492" s="61">
        <f>IF(OR(G492="ALK",G492="PEM",G492="SOEC",G492="Other Electrolysis"),
AB492*VLOOKUP(G492,ElectrolysisConvF,3,FALSE),
"")</f>
        <v>4.8689138576779027E-2</v>
      </c>
      <c r="AB492" s="62">
        <f>AC492/(H2dens*HoursInYear/10^6)</f>
        <v>9.3632958801498134</v>
      </c>
      <c r="AC492" s="63">
        <f>20*365/1000000</f>
        <v>7.3000000000000001E-3</v>
      </c>
      <c r="AD492" s="62"/>
      <c r="AE492" s="62">
        <f t="shared" si="56"/>
        <v>9.3632958801498134</v>
      </c>
      <c r="AF492" s="64" t="s">
        <v>1834</v>
      </c>
      <c r="AG492" s="49">
        <v>0.5</v>
      </c>
    </row>
    <row r="493" spans="1:33" ht="37.35" customHeight="1" x14ac:dyDescent="0.3">
      <c r="A493" s="46">
        <v>843</v>
      </c>
      <c r="B493" s="46" t="s">
        <v>1835</v>
      </c>
      <c r="C493" s="46" t="s">
        <v>50</v>
      </c>
      <c r="D493" s="60">
        <v>2030</v>
      </c>
      <c r="E493" s="60"/>
      <c r="F493" s="46" t="s">
        <v>225</v>
      </c>
      <c r="G493" s="46" t="s">
        <v>3</v>
      </c>
      <c r="H493" s="46"/>
      <c r="I493" s="46" t="s">
        <v>169</v>
      </c>
      <c r="J493" s="46" t="s">
        <v>246</v>
      </c>
      <c r="K493" s="46" t="s">
        <v>140</v>
      </c>
      <c r="L493" s="46"/>
      <c r="M493" s="46"/>
      <c r="N493" s="46">
        <v>1</v>
      </c>
      <c r="O493" s="46"/>
      <c r="P493" s="46"/>
      <c r="Q493" s="46"/>
      <c r="R493" s="46"/>
      <c r="S493" s="46"/>
      <c r="T493" s="46"/>
      <c r="U493" s="46"/>
      <c r="V493" s="46"/>
      <c r="W493" s="46"/>
      <c r="X493" s="46"/>
      <c r="Y493" s="46"/>
      <c r="Z493" s="46" t="s">
        <v>1339</v>
      </c>
      <c r="AA493" s="61">
        <v>40</v>
      </c>
      <c r="AB493" s="62">
        <f>AA493/0.0046</f>
        <v>8695.652173913044</v>
      </c>
      <c r="AC493" s="63">
        <f t="shared" ref="AC493" si="57">AB493*H2dens*HoursInYear/10^6</f>
        <v>6.7794782608695652</v>
      </c>
      <c r="AD493" s="62"/>
      <c r="AE493" s="62">
        <f t="shared" si="56"/>
        <v>8695.652173913044</v>
      </c>
      <c r="AF493" s="64" t="s">
        <v>1790</v>
      </c>
      <c r="AG493" s="49">
        <v>0.55000000000000004</v>
      </c>
    </row>
    <row r="494" spans="1:33" ht="34.5" customHeight="1" x14ac:dyDescent="0.3">
      <c r="A494" s="46">
        <v>844</v>
      </c>
      <c r="B494" s="46" t="s">
        <v>1836</v>
      </c>
      <c r="C494" s="46" t="s">
        <v>50</v>
      </c>
      <c r="D494" s="60">
        <v>2026</v>
      </c>
      <c r="E494" s="60"/>
      <c r="F494" s="46" t="s">
        <v>225</v>
      </c>
      <c r="G494" s="46" t="s">
        <v>159</v>
      </c>
      <c r="H494" s="46" t="s">
        <v>592</v>
      </c>
      <c r="I494" s="46" t="s">
        <v>157</v>
      </c>
      <c r="J494" s="46" t="s">
        <v>246</v>
      </c>
      <c r="K494" s="46" t="s">
        <v>68</v>
      </c>
      <c r="L494" s="46"/>
      <c r="M494" s="46"/>
      <c r="N494" s="46"/>
      <c r="O494" s="46"/>
      <c r="P494" s="46">
        <v>1</v>
      </c>
      <c r="Q494" s="46"/>
      <c r="R494" s="46"/>
      <c r="S494" s="46"/>
      <c r="T494" s="46"/>
      <c r="U494" s="46"/>
      <c r="V494" s="46"/>
      <c r="W494" s="46"/>
      <c r="X494" s="46"/>
      <c r="Y494" s="46"/>
      <c r="Z494" s="46" t="s">
        <v>1691</v>
      </c>
      <c r="AA494" s="61">
        <v>200</v>
      </c>
      <c r="AB494" s="62">
        <f t="shared" ref="AB494:AB500" si="58">AA494/0.0045</f>
        <v>44444.444444444445</v>
      </c>
      <c r="AC494" s="63">
        <f t="shared" ref="AC494:AC501" si="59">AB494*H2dens*HoursInYear/10^6</f>
        <v>34.650666666666666</v>
      </c>
      <c r="AD494" s="62"/>
      <c r="AE494" s="62">
        <f t="shared" si="56"/>
        <v>44444.444444444445</v>
      </c>
      <c r="AF494" s="64" t="s">
        <v>1837</v>
      </c>
      <c r="AG494" s="49">
        <v>0.56999999999999995</v>
      </c>
    </row>
    <row r="495" spans="1:33" ht="34.5" customHeight="1" x14ac:dyDescent="0.3">
      <c r="A495" s="46">
        <v>845</v>
      </c>
      <c r="B495" s="46" t="s">
        <v>1838</v>
      </c>
      <c r="C495" s="46" t="s">
        <v>50</v>
      </c>
      <c r="D495" s="60">
        <v>2024</v>
      </c>
      <c r="E495" s="60"/>
      <c r="F495" s="46" t="s">
        <v>225</v>
      </c>
      <c r="G495" s="46" t="s">
        <v>159</v>
      </c>
      <c r="H495" s="46" t="s">
        <v>592</v>
      </c>
      <c r="I495" s="46" t="s">
        <v>157</v>
      </c>
      <c r="J495" s="46"/>
      <c r="K495" s="46" t="s">
        <v>68</v>
      </c>
      <c r="L495" s="46">
        <v>1</v>
      </c>
      <c r="M495" s="46"/>
      <c r="N495" s="46"/>
      <c r="O495" s="46"/>
      <c r="P495" s="46"/>
      <c r="Q495" s="46"/>
      <c r="R495" s="46"/>
      <c r="S495" s="46"/>
      <c r="T495" s="46"/>
      <c r="U495" s="46"/>
      <c r="V495" s="46"/>
      <c r="W495" s="46"/>
      <c r="X495" s="46"/>
      <c r="Y495" s="46"/>
      <c r="Z495" s="46" t="s">
        <v>1839</v>
      </c>
      <c r="AA495" s="61">
        <v>150</v>
      </c>
      <c r="AB495" s="62">
        <f t="shared" si="58"/>
        <v>33333.333333333336</v>
      </c>
      <c r="AC495" s="63">
        <f t="shared" si="59"/>
        <v>25.988</v>
      </c>
      <c r="AD495" s="62"/>
      <c r="AE495" s="62">
        <f t="shared" si="56"/>
        <v>33333.333333333336</v>
      </c>
      <c r="AF495" s="64" t="s">
        <v>1840</v>
      </c>
      <c r="AG495" s="49">
        <v>0.56999999999999995</v>
      </c>
    </row>
    <row r="496" spans="1:33" ht="34.5" customHeight="1" x14ac:dyDescent="0.3">
      <c r="A496" s="46">
        <v>846</v>
      </c>
      <c r="B496" s="46" t="s">
        <v>1841</v>
      </c>
      <c r="C496" s="46" t="s">
        <v>50</v>
      </c>
      <c r="D496" s="60">
        <v>2027</v>
      </c>
      <c r="E496" s="60"/>
      <c r="F496" s="46" t="s">
        <v>225</v>
      </c>
      <c r="G496" s="46" t="s">
        <v>159</v>
      </c>
      <c r="H496" s="46" t="s">
        <v>592</v>
      </c>
      <c r="I496" s="46" t="s">
        <v>157</v>
      </c>
      <c r="J496" s="46"/>
      <c r="K496" s="46" t="s">
        <v>68</v>
      </c>
      <c r="L496" s="46"/>
      <c r="M496" s="46"/>
      <c r="N496" s="46"/>
      <c r="O496" s="46"/>
      <c r="P496" s="46">
        <v>1</v>
      </c>
      <c r="Q496" s="46"/>
      <c r="R496" s="46"/>
      <c r="S496" s="46">
        <v>1</v>
      </c>
      <c r="T496" s="46"/>
      <c r="U496" s="46"/>
      <c r="V496" s="46"/>
      <c r="W496" s="46"/>
      <c r="X496" s="46"/>
      <c r="Y496" s="46"/>
      <c r="Z496" s="46" t="s">
        <v>1269</v>
      </c>
      <c r="AA496" s="61">
        <v>700</v>
      </c>
      <c r="AB496" s="62">
        <f t="shared" si="58"/>
        <v>155555.55555555556</v>
      </c>
      <c r="AC496" s="63">
        <f t="shared" si="59"/>
        <v>121.27733333333335</v>
      </c>
      <c r="AD496" s="62"/>
      <c r="AE496" s="62">
        <f t="shared" si="56"/>
        <v>155555.55555555556</v>
      </c>
      <c r="AF496" s="64" t="s">
        <v>1840</v>
      </c>
      <c r="AG496" s="49">
        <v>0.56999999999999995</v>
      </c>
    </row>
    <row r="497" spans="1:33" ht="34.5" customHeight="1" x14ac:dyDescent="0.3">
      <c r="A497" s="46">
        <v>847</v>
      </c>
      <c r="B497" s="46" t="s">
        <v>1842</v>
      </c>
      <c r="C497" s="46" t="s">
        <v>52</v>
      </c>
      <c r="D497" s="60">
        <v>2030</v>
      </c>
      <c r="E497" s="60"/>
      <c r="F497" s="46" t="s">
        <v>591</v>
      </c>
      <c r="G497" s="46" t="s">
        <v>159</v>
      </c>
      <c r="H497" s="46" t="s">
        <v>592</v>
      </c>
      <c r="I497" s="46" t="s">
        <v>169</v>
      </c>
      <c r="J497" s="46" t="s">
        <v>246</v>
      </c>
      <c r="K497" s="46" t="s">
        <v>168</v>
      </c>
      <c r="L497" s="46"/>
      <c r="M497" s="46"/>
      <c r="N497" s="46"/>
      <c r="O497" s="46"/>
      <c r="P497" s="46">
        <v>1</v>
      </c>
      <c r="Q497" s="46"/>
      <c r="R497" s="46"/>
      <c r="S497" s="46"/>
      <c r="T497" s="46"/>
      <c r="U497" s="46"/>
      <c r="V497" s="46"/>
      <c r="W497" s="46"/>
      <c r="X497" s="46"/>
      <c r="Y497" s="46"/>
      <c r="Z497" s="46" t="s">
        <v>1843</v>
      </c>
      <c r="AA497" s="61">
        <v>300</v>
      </c>
      <c r="AB497" s="62">
        <f t="shared" si="58"/>
        <v>66666.666666666672</v>
      </c>
      <c r="AC497" s="63">
        <f t="shared" si="59"/>
        <v>51.975999999999999</v>
      </c>
      <c r="AD497" s="62"/>
      <c r="AE497" s="62">
        <f t="shared" si="56"/>
        <v>66666.666666666672</v>
      </c>
      <c r="AF497" s="64" t="s">
        <v>1840</v>
      </c>
      <c r="AG497" s="49">
        <v>0.55000000000000004</v>
      </c>
    </row>
    <row r="498" spans="1:33" ht="34.5" customHeight="1" x14ac:dyDescent="0.3">
      <c r="A498" s="46">
        <v>848</v>
      </c>
      <c r="B498" s="46" t="s">
        <v>1844</v>
      </c>
      <c r="C498" s="46" t="s">
        <v>50</v>
      </c>
      <c r="D498" s="60">
        <v>2025</v>
      </c>
      <c r="E498" s="60"/>
      <c r="F498" s="46" t="s">
        <v>225</v>
      </c>
      <c r="G498" s="46" t="s">
        <v>159</v>
      </c>
      <c r="H498" s="46" t="s">
        <v>592</v>
      </c>
      <c r="I498" s="46" t="s">
        <v>169</v>
      </c>
      <c r="J498" s="46" t="s">
        <v>246</v>
      </c>
      <c r="K498" s="46" t="s">
        <v>68</v>
      </c>
      <c r="L498" s="46"/>
      <c r="M498" s="46"/>
      <c r="N498" s="46"/>
      <c r="O498" s="46"/>
      <c r="P498" s="46"/>
      <c r="Q498" s="46"/>
      <c r="R498" s="46"/>
      <c r="S498" s="46"/>
      <c r="T498" s="46"/>
      <c r="U498" s="46"/>
      <c r="V498" s="46"/>
      <c r="W498" s="46"/>
      <c r="X498" s="46"/>
      <c r="Y498" s="46"/>
      <c r="Z498" s="46" t="s">
        <v>1161</v>
      </c>
      <c r="AA498" s="61">
        <v>25</v>
      </c>
      <c r="AB498" s="62">
        <f t="shared" si="58"/>
        <v>5555.5555555555557</v>
      </c>
      <c r="AC498" s="63">
        <f t="shared" si="59"/>
        <v>4.3313333333333333</v>
      </c>
      <c r="AD498" s="62"/>
      <c r="AE498" s="62">
        <f t="shared" si="56"/>
        <v>5555.5555555555557</v>
      </c>
      <c r="AF498" s="64" t="s">
        <v>1845</v>
      </c>
      <c r="AG498" s="49">
        <v>0.55000000000000004</v>
      </c>
    </row>
    <row r="499" spans="1:33" ht="34.5" customHeight="1" x14ac:dyDescent="0.3">
      <c r="A499" s="46">
        <v>849</v>
      </c>
      <c r="B499" s="46" t="s">
        <v>1846</v>
      </c>
      <c r="C499" s="46" t="s">
        <v>49</v>
      </c>
      <c r="D499" s="60">
        <v>2025</v>
      </c>
      <c r="E499" s="60"/>
      <c r="F499" s="46" t="s">
        <v>225</v>
      </c>
      <c r="G499" s="46" t="s">
        <v>159</v>
      </c>
      <c r="H499" s="46" t="s">
        <v>592</v>
      </c>
      <c r="I499" s="46" t="s">
        <v>169</v>
      </c>
      <c r="J499" s="46" t="s">
        <v>248</v>
      </c>
      <c r="K499" s="46" t="s">
        <v>68</v>
      </c>
      <c r="L499" s="46">
        <v>1</v>
      </c>
      <c r="M499" s="46"/>
      <c r="N499" s="46"/>
      <c r="O499" s="46"/>
      <c r="P499" s="46"/>
      <c r="Q499" s="46">
        <v>1</v>
      </c>
      <c r="R499" s="46"/>
      <c r="S499" s="46"/>
      <c r="T499" s="46"/>
      <c r="U499" s="46"/>
      <c r="V499" s="46"/>
      <c r="W499" s="46"/>
      <c r="X499" s="46"/>
      <c r="Y499" s="46"/>
      <c r="Z499" s="46" t="s">
        <v>1847</v>
      </c>
      <c r="AA499" s="61">
        <v>280</v>
      </c>
      <c r="AB499" s="62">
        <f t="shared" si="58"/>
        <v>62222.222222222226</v>
      </c>
      <c r="AC499" s="63">
        <f t="shared" si="59"/>
        <v>48.510933333333334</v>
      </c>
      <c r="AD499" s="62"/>
      <c r="AE499" s="62">
        <f t="shared" si="56"/>
        <v>62222.222222222226</v>
      </c>
      <c r="AF499" s="64" t="s">
        <v>1848</v>
      </c>
      <c r="AG499" s="49">
        <v>0.5</v>
      </c>
    </row>
    <row r="500" spans="1:33" ht="34.5" customHeight="1" x14ac:dyDescent="0.3">
      <c r="A500" s="46">
        <v>850</v>
      </c>
      <c r="B500" s="46" t="s">
        <v>1849</v>
      </c>
      <c r="C500" s="46" t="s">
        <v>49</v>
      </c>
      <c r="D500" s="60">
        <v>2023</v>
      </c>
      <c r="E500" s="60"/>
      <c r="F500" s="46" t="s">
        <v>675</v>
      </c>
      <c r="G500" s="46" t="s">
        <v>159</v>
      </c>
      <c r="H500" s="46" t="s">
        <v>592</v>
      </c>
      <c r="I500" s="46" t="s">
        <v>169</v>
      </c>
      <c r="J500" s="46" t="s">
        <v>248</v>
      </c>
      <c r="K500" s="46" t="s">
        <v>140</v>
      </c>
      <c r="L500" s="46"/>
      <c r="M500" s="46"/>
      <c r="N500" s="46">
        <v>1</v>
      </c>
      <c r="O500" s="46"/>
      <c r="P500" s="46"/>
      <c r="Q500" s="46"/>
      <c r="R500" s="46"/>
      <c r="S500" s="46"/>
      <c r="T500" s="46"/>
      <c r="U500" s="46"/>
      <c r="V500" s="46"/>
      <c r="W500" s="46"/>
      <c r="X500" s="46"/>
      <c r="Y500" s="46"/>
      <c r="Z500" s="46" t="s">
        <v>1850</v>
      </c>
      <c r="AA500" s="61">
        <v>6</v>
      </c>
      <c r="AB500" s="62">
        <f t="shared" si="58"/>
        <v>1333.3333333333335</v>
      </c>
      <c r="AC500" s="63">
        <f t="shared" si="59"/>
        <v>1.03952</v>
      </c>
      <c r="AD500" s="62"/>
      <c r="AE500" s="62">
        <f t="shared" si="56"/>
        <v>1333.3333333333335</v>
      </c>
      <c r="AF500" s="64" t="s">
        <v>1851</v>
      </c>
      <c r="AG500" s="49">
        <v>0.5</v>
      </c>
    </row>
    <row r="501" spans="1:33" ht="34.5" customHeight="1" x14ac:dyDescent="0.3">
      <c r="A501" s="46">
        <v>851</v>
      </c>
      <c r="B501" s="46" t="s">
        <v>1852</v>
      </c>
      <c r="C501" s="46" t="s">
        <v>41</v>
      </c>
      <c r="D501" s="60">
        <v>2022</v>
      </c>
      <c r="E501" s="60"/>
      <c r="F501" s="46" t="s">
        <v>226</v>
      </c>
      <c r="G501" s="46" t="s">
        <v>3</v>
      </c>
      <c r="H501" s="46"/>
      <c r="I501" s="46" t="s">
        <v>169</v>
      </c>
      <c r="J501" s="46" t="s">
        <v>245</v>
      </c>
      <c r="K501" s="46" t="s">
        <v>68</v>
      </c>
      <c r="L501" s="46"/>
      <c r="M501" s="46"/>
      <c r="N501" s="46"/>
      <c r="O501" s="46"/>
      <c r="P501" s="46"/>
      <c r="Q501" s="46">
        <v>1</v>
      </c>
      <c r="R501" s="46"/>
      <c r="S501" s="46"/>
      <c r="T501" s="46"/>
      <c r="U501" s="46"/>
      <c r="V501" s="46"/>
      <c r="W501" s="46"/>
      <c r="X501" s="46"/>
      <c r="Y501" s="46"/>
      <c r="Z501" s="46" t="s">
        <v>981</v>
      </c>
      <c r="AA501" s="61">
        <v>20</v>
      </c>
      <c r="AB501" s="62">
        <f>IF(OR(G501="ALK",G501="PEM",G501="SOEC",G501="Other Electrolysis"),
AA501/VLOOKUP(G501,ElectrolysisConvF,3,FALSE),
AC501*10^6/(H2dens*HoursInYear))</f>
        <v>4347.826086956522</v>
      </c>
      <c r="AC501" s="63">
        <f t="shared" si="59"/>
        <v>3.3897391304347826</v>
      </c>
      <c r="AD501" s="62"/>
      <c r="AE501" s="62">
        <f t="shared" si="56"/>
        <v>4347.826086956522</v>
      </c>
      <c r="AF501" s="64" t="s">
        <v>1853</v>
      </c>
      <c r="AG501" s="49">
        <v>0.4</v>
      </c>
    </row>
    <row r="502" spans="1:33" ht="34.5" customHeight="1" x14ac:dyDescent="0.3">
      <c r="A502" s="46">
        <v>853</v>
      </c>
      <c r="B502" s="46" t="s">
        <v>1854</v>
      </c>
      <c r="C502" s="46" t="s">
        <v>46</v>
      </c>
      <c r="D502" s="60">
        <v>2024</v>
      </c>
      <c r="E502" s="60"/>
      <c r="F502" s="46" t="s">
        <v>675</v>
      </c>
      <c r="G502" s="46" t="s">
        <v>159</v>
      </c>
      <c r="H502" s="46" t="s">
        <v>592</v>
      </c>
      <c r="I502" s="46" t="s">
        <v>157</v>
      </c>
      <c r="J502" s="46"/>
      <c r="K502" s="46" t="s">
        <v>68</v>
      </c>
      <c r="L502" s="46"/>
      <c r="M502" s="46"/>
      <c r="N502" s="46"/>
      <c r="O502" s="46"/>
      <c r="P502" s="46"/>
      <c r="Q502" s="46">
        <v>1</v>
      </c>
      <c r="R502" s="46"/>
      <c r="S502" s="46">
        <v>1</v>
      </c>
      <c r="T502" s="46"/>
      <c r="U502" s="46">
        <v>1</v>
      </c>
      <c r="V502" s="46"/>
      <c r="W502" s="46"/>
      <c r="X502" s="46"/>
      <c r="Y502" s="46"/>
      <c r="Z502" s="46" t="s">
        <v>1855</v>
      </c>
      <c r="AA502" s="61">
        <f>IF(OR(G502="ALK",G502="PEM",G502="SOEC",G502="Other Electrolysis"),
AB502*VLOOKUP(G502,ElectrolysisConvF,3,FALSE),
"")</f>
        <v>1.685393258426966</v>
      </c>
      <c r="AB502" s="62">
        <f>AC502/(0.089*24*365/10^6)</f>
        <v>374.53183520599248</v>
      </c>
      <c r="AC502" s="63">
        <f>800*365/1000000</f>
        <v>0.29199999999999998</v>
      </c>
      <c r="AD502" s="62"/>
      <c r="AE502" s="62">
        <f>IF(AND(G502&lt;&gt;"NG w CCUS",G502&lt;&gt;"Oil w CCUS",G502&lt;&gt;"Coal w CCUS"),AB502,AD502*10^3/(HoursInYear*IF(G502="NG w CCUS",0.9105,1.9075)))</f>
        <v>374.53183520599248</v>
      </c>
      <c r="AF502" s="64" t="s">
        <v>1856</v>
      </c>
      <c r="AG502" s="49">
        <v>0.56999999999999995</v>
      </c>
    </row>
    <row r="503" spans="1:33" ht="34.5" customHeight="1" x14ac:dyDescent="0.3">
      <c r="A503" s="46">
        <v>854</v>
      </c>
      <c r="B503" s="46" t="s">
        <v>1857</v>
      </c>
      <c r="C503" s="46" t="s">
        <v>39</v>
      </c>
      <c r="D503" s="60">
        <v>2026</v>
      </c>
      <c r="E503" s="60"/>
      <c r="F503" s="46" t="s">
        <v>225</v>
      </c>
      <c r="G503" s="46" t="s">
        <v>159</v>
      </c>
      <c r="H503" s="46" t="s">
        <v>592</v>
      </c>
      <c r="I503" s="46" t="s">
        <v>169</v>
      </c>
      <c r="J503" s="46" t="s">
        <v>248</v>
      </c>
      <c r="K503" s="46" t="s">
        <v>141</v>
      </c>
      <c r="L503" s="46"/>
      <c r="M503" s="46">
        <v>1</v>
      </c>
      <c r="N503" s="46"/>
      <c r="O503" s="46"/>
      <c r="P503" s="46"/>
      <c r="Q503" s="46"/>
      <c r="R503" s="46"/>
      <c r="S503" s="46"/>
      <c r="T503" s="46"/>
      <c r="U503" s="46"/>
      <c r="V503" s="46"/>
      <c r="W503" s="46"/>
      <c r="X503" s="46"/>
      <c r="Y503" s="46"/>
      <c r="Z503" s="46" t="s">
        <v>1858</v>
      </c>
      <c r="AA503" s="61">
        <v>250</v>
      </c>
      <c r="AB503" s="62">
        <f>AA503/0.0045</f>
        <v>55555.555555555562</v>
      </c>
      <c r="AC503" s="63">
        <f t="shared" ref="AC503:AC508" si="60">AB503*H2dens*HoursInYear/10^6</f>
        <v>43.313333333333333</v>
      </c>
      <c r="AD503" s="62"/>
      <c r="AE503" s="62">
        <f>AB503</f>
        <v>55555.555555555562</v>
      </c>
      <c r="AF503" s="64" t="s">
        <v>1859</v>
      </c>
      <c r="AG503" s="49">
        <v>0.5</v>
      </c>
    </row>
    <row r="504" spans="1:33" ht="34.5" customHeight="1" x14ac:dyDescent="0.3">
      <c r="A504" s="46">
        <v>855</v>
      </c>
      <c r="B504" s="46" t="s">
        <v>1860</v>
      </c>
      <c r="C504" s="46" t="s">
        <v>34</v>
      </c>
      <c r="D504" s="60"/>
      <c r="E504" s="60"/>
      <c r="F504" s="46" t="s">
        <v>591</v>
      </c>
      <c r="G504" s="46" t="s">
        <v>159</v>
      </c>
      <c r="H504" s="46" t="s">
        <v>592</v>
      </c>
      <c r="I504" s="46" t="s">
        <v>169</v>
      </c>
      <c r="J504" s="46" t="s">
        <v>244</v>
      </c>
      <c r="K504" s="46" t="s">
        <v>68</v>
      </c>
      <c r="L504" s="46"/>
      <c r="M504" s="46"/>
      <c r="N504" s="46"/>
      <c r="O504" s="46"/>
      <c r="P504" s="46"/>
      <c r="Q504" s="46">
        <v>1</v>
      </c>
      <c r="R504" s="46"/>
      <c r="S504" s="46"/>
      <c r="T504" s="46"/>
      <c r="U504" s="46"/>
      <c r="V504" s="46"/>
      <c r="W504" s="46"/>
      <c r="X504" s="46"/>
      <c r="Y504" s="46"/>
      <c r="Z504" s="46" t="s">
        <v>1198</v>
      </c>
      <c r="AA504" s="61">
        <v>2</v>
      </c>
      <c r="AB504" s="62">
        <f>IF(OR(G504="ALK",G504="PEM",G504="SOEC",G504="Other Electrolysis"),
AA504/VLOOKUP(G504,ElectrolysisConvF,3,FALSE),
AC504*10^6/(H2dens*HoursInYear))</f>
        <v>444.44444444444446</v>
      </c>
      <c r="AC504" s="63">
        <f t="shared" si="60"/>
        <v>0.34650666666666669</v>
      </c>
      <c r="AD504" s="62"/>
      <c r="AE504" s="62">
        <f>AB504</f>
        <v>444.44444444444446</v>
      </c>
      <c r="AF504" s="64" t="s">
        <v>1861</v>
      </c>
      <c r="AG504" s="49">
        <v>0.3</v>
      </c>
    </row>
    <row r="505" spans="1:33" ht="34.5" customHeight="1" x14ac:dyDescent="0.3">
      <c r="A505" s="46">
        <v>857</v>
      </c>
      <c r="B505" s="46" t="s">
        <v>1862</v>
      </c>
      <c r="C505" s="46" t="s">
        <v>321</v>
      </c>
      <c r="D505" s="60"/>
      <c r="E505" s="60"/>
      <c r="F505" s="46" t="s">
        <v>225</v>
      </c>
      <c r="G505" s="46" t="s">
        <v>159</v>
      </c>
      <c r="H505" s="46" t="s">
        <v>592</v>
      </c>
      <c r="I505" s="46" t="s">
        <v>169</v>
      </c>
      <c r="J505" s="46" t="s">
        <v>245</v>
      </c>
      <c r="K505" s="46" t="s">
        <v>68</v>
      </c>
      <c r="L505" s="46"/>
      <c r="M505" s="46"/>
      <c r="N505" s="46"/>
      <c r="O505" s="46"/>
      <c r="P505" s="46">
        <v>1</v>
      </c>
      <c r="Q505" s="46"/>
      <c r="R505" s="46"/>
      <c r="S505" s="46"/>
      <c r="T505" s="46"/>
      <c r="U505" s="46"/>
      <c r="V505" s="46"/>
      <c r="W505" s="46"/>
      <c r="X505" s="46"/>
      <c r="Y505" s="46"/>
      <c r="Z505" s="46" t="s">
        <v>1274</v>
      </c>
      <c r="AA505" s="61">
        <v>50</v>
      </c>
      <c r="AB505" s="62">
        <f>AA505/0.0045</f>
        <v>11111.111111111111</v>
      </c>
      <c r="AC505" s="63">
        <f t="shared" si="60"/>
        <v>8.6626666666666665</v>
      </c>
      <c r="AD505" s="62"/>
      <c r="AE505" s="62">
        <f>AB505</f>
        <v>11111.111111111111</v>
      </c>
      <c r="AF505" s="64" t="s">
        <v>1863</v>
      </c>
      <c r="AG505" s="49">
        <v>0.4</v>
      </c>
    </row>
    <row r="506" spans="1:33" ht="34.5" customHeight="1" x14ac:dyDescent="0.3">
      <c r="A506" s="46">
        <v>858</v>
      </c>
      <c r="B506" s="46" t="s">
        <v>1864</v>
      </c>
      <c r="C506" s="46" t="s">
        <v>46</v>
      </c>
      <c r="D506" s="60">
        <v>2025</v>
      </c>
      <c r="E506" s="60"/>
      <c r="F506" s="46" t="s">
        <v>285</v>
      </c>
      <c r="G506" s="46" t="s">
        <v>1</v>
      </c>
      <c r="H506" s="46"/>
      <c r="I506" s="46" t="s">
        <v>169</v>
      </c>
      <c r="J506" s="46" t="s">
        <v>248</v>
      </c>
      <c r="K506" s="46" t="s">
        <v>68</v>
      </c>
      <c r="L506" s="46"/>
      <c r="M506" s="46"/>
      <c r="N506" s="46"/>
      <c r="O506" s="46"/>
      <c r="P506" s="46"/>
      <c r="Q506" s="46"/>
      <c r="R506" s="46"/>
      <c r="S506" s="46"/>
      <c r="T506" s="46"/>
      <c r="U506" s="46"/>
      <c r="V506" s="46"/>
      <c r="W506" s="46"/>
      <c r="X506" s="46"/>
      <c r="Y506" s="46"/>
      <c r="Z506" s="46" t="s">
        <v>1865</v>
      </c>
      <c r="AA506" s="61">
        <v>0.67</v>
      </c>
      <c r="AB506" s="62">
        <f>AA506/0.0052</f>
        <v>128.84615384615387</v>
      </c>
      <c r="AC506" s="63">
        <f t="shared" si="60"/>
        <v>0.10045361538461539</v>
      </c>
      <c r="AD506" s="62"/>
      <c r="AE506" s="62"/>
      <c r="AF506" s="64" t="s">
        <v>1866</v>
      </c>
      <c r="AG506" s="49">
        <v>0.5</v>
      </c>
    </row>
    <row r="507" spans="1:33" ht="34.5" customHeight="1" x14ac:dyDescent="0.3">
      <c r="A507" s="46">
        <v>859</v>
      </c>
      <c r="B507" s="46" t="s">
        <v>1867</v>
      </c>
      <c r="C507" s="46" t="s">
        <v>321</v>
      </c>
      <c r="D507" s="60"/>
      <c r="E507" s="60"/>
      <c r="F507" s="46" t="s">
        <v>591</v>
      </c>
      <c r="G507" s="46" t="s">
        <v>159</v>
      </c>
      <c r="H507" s="46" t="s">
        <v>592</v>
      </c>
      <c r="I507" s="46" t="s">
        <v>166</v>
      </c>
      <c r="J507" s="46"/>
      <c r="K507" s="46" t="s">
        <v>68</v>
      </c>
      <c r="L507" s="46"/>
      <c r="M507" s="46"/>
      <c r="N507" s="46"/>
      <c r="O507" s="46"/>
      <c r="P507" s="46"/>
      <c r="Q507" s="46"/>
      <c r="R507" s="46"/>
      <c r="S507" s="46"/>
      <c r="T507" s="46"/>
      <c r="U507" s="46"/>
      <c r="V507" s="46"/>
      <c r="W507" s="46"/>
      <c r="X507" s="46"/>
      <c r="Y507" s="46"/>
      <c r="Z507" s="46" t="s">
        <v>1177</v>
      </c>
      <c r="AA507" s="61">
        <v>100</v>
      </c>
      <c r="AB507" s="62">
        <f>AA507/0.0045</f>
        <v>22222.222222222223</v>
      </c>
      <c r="AC507" s="63">
        <f t="shared" si="60"/>
        <v>17.325333333333333</v>
      </c>
      <c r="AD507" s="62"/>
      <c r="AE507" s="62"/>
      <c r="AF507" s="64" t="s">
        <v>1868</v>
      </c>
      <c r="AG507" s="49">
        <v>0.56999999999999995</v>
      </c>
    </row>
    <row r="508" spans="1:33" ht="34.5" customHeight="1" x14ac:dyDescent="0.3">
      <c r="A508" s="46">
        <v>860</v>
      </c>
      <c r="B508" s="46" t="s">
        <v>1869</v>
      </c>
      <c r="C508" s="46" t="s">
        <v>41</v>
      </c>
      <c r="D508" s="60"/>
      <c r="E508" s="60"/>
      <c r="F508" s="46" t="s">
        <v>675</v>
      </c>
      <c r="G508" s="46" t="s">
        <v>159</v>
      </c>
      <c r="H508" s="46" t="s">
        <v>592</v>
      </c>
      <c r="I508" s="46" t="s">
        <v>169</v>
      </c>
      <c r="J508" s="46" t="s">
        <v>247</v>
      </c>
      <c r="K508" s="46" t="s">
        <v>68</v>
      </c>
      <c r="L508" s="46"/>
      <c r="M508" s="46"/>
      <c r="N508" s="46"/>
      <c r="O508" s="46"/>
      <c r="P508" s="46"/>
      <c r="Q508" s="46"/>
      <c r="R508" s="46">
        <v>1</v>
      </c>
      <c r="S508" s="46"/>
      <c r="T508" s="46"/>
      <c r="U508" s="46"/>
      <c r="V508" s="46"/>
      <c r="W508" s="46"/>
      <c r="X508" s="46"/>
      <c r="Y508" s="46"/>
      <c r="Z508" s="46" t="s">
        <v>1870</v>
      </c>
      <c r="AA508" s="61">
        <f>IF(OR(G508="ALK",G508="PEM",G508="SOEC",G508="Other Electrolysis"),
AB508*VLOOKUP(G508,ElectrolysisConvF,3,FALSE),
"")</f>
        <v>26.999999999999996</v>
      </c>
      <c r="AB508" s="62">
        <v>6000</v>
      </c>
      <c r="AC508" s="63">
        <f t="shared" si="60"/>
        <v>4.6778399999999998</v>
      </c>
      <c r="AD508" s="62"/>
      <c r="AE508" s="62">
        <f>AB508</f>
        <v>6000</v>
      </c>
      <c r="AF508" s="64" t="s">
        <v>1871</v>
      </c>
      <c r="AG508" s="49">
        <v>0.8</v>
      </c>
    </row>
    <row r="509" spans="1:33" ht="34.5" customHeight="1" x14ac:dyDescent="0.3">
      <c r="A509" s="46">
        <v>861</v>
      </c>
      <c r="B509" s="46" t="s">
        <v>1872</v>
      </c>
      <c r="C509" s="46" t="s">
        <v>50</v>
      </c>
      <c r="D509" s="60">
        <v>2030</v>
      </c>
      <c r="E509" s="60"/>
      <c r="F509" s="46" t="s">
        <v>225</v>
      </c>
      <c r="G509" s="46" t="s">
        <v>161</v>
      </c>
      <c r="H509" s="46" t="s">
        <v>882</v>
      </c>
      <c r="I509" s="46"/>
      <c r="J509" s="46"/>
      <c r="K509" s="46" t="s">
        <v>68</v>
      </c>
      <c r="L509" s="46">
        <v>1</v>
      </c>
      <c r="M509" s="46"/>
      <c r="N509" s="46"/>
      <c r="O509" s="46"/>
      <c r="P509" s="46">
        <v>1</v>
      </c>
      <c r="Q509" s="46"/>
      <c r="R509" s="46"/>
      <c r="S509" s="46"/>
      <c r="T509" s="46"/>
      <c r="U509" s="46"/>
      <c r="V509" s="46"/>
      <c r="W509" s="46"/>
      <c r="X509" s="46"/>
      <c r="Y509" s="46"/>
      <c r="Z509" s="46" t="s">
        <v>1873</v>
      </c>
      <c r="AA509" s="61"/>
      <c r="AB509" s="62">
        <f>AC509/(0.089*24*365/10^6)</f>
        <v>256528.65425067977</v>
      </c>
      <c r="AC509" s="63">
        <f>300-100</f>
        <v>200</v>
      </c>
      <c r="AD509" s="62">
        <f>1300000</f>
        <v>1300000</v>
      </c>
      <c r="AE509" s="62">
        <f>IF(AND(G509&lt;&gt;"NG w CCUS",G509&lt;&gt;"Oil w CCUS",G509&lt;&gt;"Coal w CCUS"),AB509,AD509*10^3/(HoursInYear*IF(G509="NG w CCUS",0.9105,1.9075)))</f>
        <v>162989.37560023973</v>
      </c>
      <c r="AF509" s="64" t="s">
        <v>1751</v>
      </c>
      <c r="AG509" s="49">
        <v>0.9</v>
      </c>
    </row>
    <row r="510" spans="1:33" ht="34.5" customHeight="1" x14ac:dyDescent="0.3">
      <c r="A510" s="46">
        <v>862</v>
      </c>
      <c r="B510" s="46" t="s">
        <v>1874</v>
      </c>
      <c r="C510" s="46" t="s">
        <v>52</v>
      </c>
      <c r="D510" s="60">
        <v>2024</v>
      </c>
      <c r="E510" s="60"/>
      <c r="F510" s="46" t="s">
        <v>225</v>
      </c>
      <c r="G510" s="46" t="s">
        <v>3</v>
      </c>
      <c r="H510" s="46"/>
      <c r="I510" s="46" t="s">
        <v>157</v>
      </c>
      <c r="J510" s="46"/>
      <c r="K510" s="46" t="s">
        <v>68</v>
      </c>
      <c r="L510" s="46"/>
      <c r="M510" s="46"/>
      <c r="N510" s="46"/>
      <c r="O510" s="46"/>
      <c r="P510" s="46"/>
      <c r="Q510" s="46">
        <v>1</v>
      </c>
      <c r="R510" s="46"/>
      <c r="S510" s="46"/>
      <c r="T510" s="46"/>
      <c r="U510" s="46"/>
      <c r="V510" s="46"/>
      <c r="W510" s="46"/>
      <c r="X510" s="46"/>
      <c r="Y510" s="46"/>
      <c r="Z510" s="46" t="s">
        <v>1875</v>
      </c>
      <c r="AA510" s="61">
        <v>0.75</v>
      </c>
      <c r="AB510" s="62">
        <f>AA510/0.0046</f>
        <v>163.04347826086956</v>
      </c>
      <c r="AC510" s="63">
        <f t="shared" ref="AC510" si="61">AB510*H2dens*HoursInYear/10^6</f>
        <v>0.12711521739130432</v>
      </c>
      <c r="AD510" s="62"/>
      <c r="AE510" s="62">
        <f>AB510</f>
        <v>163.04347826086956</v>
      </c>
      <c r="AF510" s="64" t="s">
        <v>1876</v>
      </c>
      <c r="AG510" s="49">
        <v>0.56999999999999995</v>
      </c>
    </row>
    <row r="511" spans="1:33" ht="34.5" customHeight="1" x14ac:dyDescent="0.3">
      <c r="A511" s="46">
        <v>863</v>
      </c>
      <c r="B511" s="46" t="s">
        <v>1877</v>
      </c>
      <c r="C511" s="46" t="s">
        <v>52</v>
      </c>
      <c r="D511" s="60"/>
      <c r="E511" s="60"/>
      <c r="F511" s="46" t="s">
        <v>591</v>
      </c>
      <c r="G511" s="46" t="s">
        <v>159</v>
      </c>
      <c r="H511" s="46" t="s">
        <v>592</v>
      </c>
      <c r="I511" s="46" t="s">
        <v>169</v>
      </c>
      <c r="J511" s="46" t="s">
        <v>246</v>
      </c>
      <c r="K511" s="46" t="s">
        <v>140</v>
      </c>
      <c r="L511" s="46"/>
      <c r="M511" s="46"/>
      <c r="N511" s="46">
        <v>1</v>
      </c>
      <c r="O511" s="46"/>
      <c r="P511" s="46"/>
      <c r="Q511" s="46"/>
      <c r="R511" s="46"/>
      <c r="S511" s="46"/>
      <c r="T511" s="46"/>
      <c r="U511" s="46"/>
      <c r="V511" s="46"/>
      <c r="W511" s="46"/>
      <c r="X511" s="46"/>
      <c r="Y511" s="46"/>
      <c r="Z511" s="46" t="s">
        <v>1257</v>
      </c>
      <c r="AA511" s="61">
        <v>90</v>
      </c>
      <c r="AB511" s="62">
        <f>AA511/0.0045</f>
        <v>20000</v>
      </c>
      <c r="AC511" s="63">
        <f>AB511*H2dens*HoursInYear/10^6</f>
        <v>15.5928</v>
      </c>
      <c r="AD511" s="62"/>
      <c r="AE511" s="62">
        <f>AB511</f>
        <v>20000</v>
      </c>
      <c r="AF511" s="64" t="s">
        <v>1166</v>
      </c>
      <c r="AG511" s="49">
        <v>0.55000000000000004</v>
      </c>
    </row>
    <row r="512" spans="1:33" ht="34.5" customHeight="1" x14ac:dyDescent="0.3">
      <c r="A512" s="53">
        <v>865</v>
      </c>
      <c r="B512" s="53" t="s">
        <v>1878</v>
      </c>
      <c r="C512" s="53" t="s">
        <v>45</v>
      </c>
      <c r="D512" s="54"/>
      <c r="E512" s="54"/>
      <c r="F512" s="53" t="s">
        <v>591</v>
      </c>
      <c r="G512" s="53" t="s">
        <v>159</v>
      </c>
      <c r="H512" s="53" t="s">
        <v>592</v>
      </c>
      <c r="I512" s="53" t="s">
        <v>169</v>
      </c>
      <c r="J512" s="53" t="s">
        <v>248</v>
      </c>
      <c r="K512" s="53" t="s">
        <v>68</v>
      </c>
      <c r="L512" s="53"/>
      <c r="M512" s="53"/>
      <c r="N512" s="53"/>
      <c r="O512" s="53"/>
      <c r="P512" s="53"/>
      <c r="Q512" s="53"/>
      <c r="R512" s="53"/>
      <c r="S512" s="53"/>
      <c r="T512" s="53"/>
      <c r="U512" s="53"/>
      <c r="V512" s="53"/>
      <c r="W512" s="53"/>
      <c r="X512" s="53"/>
      <c r="Y512" s="53"/>
      <c r="Z512" s="53" t="s">
        <v>1879</v>
      </c>
      <c r="AA512" s="55"/>
      <c r="AB512" s="56">
        <f>AA512/0.0045</f>
        <v>0</v>
      </c>
      <c r="AC512" s="57">
        <f>AB512*H2dens*HoursInYear/10^6</f>
        <v>0</v>
      </c>
      <c r="AD512" s="56"/>
      <c r="AE512" s="56">
        <f>AB512</f>
        <v>0</v>
      </c>
      <c r="AF512" s="58"/>
      <c r="AG512" s="49">
        <v>0.5</v>
      </c>
    </row>
    <row r="513" spans="1:33" ht="34.5" customHeight="1" x14ac:dyDescent="0.3">
      <c r="A513" s="46">
        <v>866</v>
      </c>
      <c r="B513" s="46" t="s">
        <v>1880</v>
      </c>
      <c r="C513" s="46" t="s">
        <v>58</v>
      </c>
      <c r="D513" s="60">
        <v>2029</v>
      </c>
      <c r="E513" s="60"/>
      <c r="F513" s="46" t="s">
        <v>225</v>
      </c>
      <c r="G513" s="46" t="s">
        <v>159</v>
      </c>
      <c r="H513" s="46" t="s">
        <v>168</v>
      </c>
      <c r="I513" s="46" t="s">
        <v>169</v>
      </c>
      <c r="J513" s="46" t="s">
        <v>248</v>
      </c>
      <c r="K513" s="46" t="s">
        <v>68</v>
      </c>
      <c r="L513" s="46"/>
      <c r="M513" s="46"/>
      <c r="N513" s="46"/>
      <c r="O513" s="46"/>
      <c r="P513" s="46"/>
      <c r="Q513" s="46"/>
      <c r="R513" s="46">
        <v>1</v>
      </c>
      <c r="S513" s="46"/>
      <c r="T513" s="46">
        <v>1</v>
      </c>
      <c r="U513" s="46">
        <v>1</v>
      </c>
      <c r="V513" s="46"/>
      <c r="W513" s="46"/>
      <c r="X513" s="46"/>
      <c r="Y513" s="46"/>
      <c r="Z513" s="46" t="s">
        <v>1881</v>
      </c>
      <c r="AA513" s="61">
        <f>IF(OR(G513="ALK",G513="PEM",G513="SOEC",G513="Other Electrolysis"),
AB513*VLOOKUP(G513,ElectrolysisConvF,3,FALSE),
"")</f>
        <v>2885.9473603201473</v>
      </c>
      <c r="AB513" s="62">
        <f>AC513/(0.089*24*365/10^6)</f>
        <v>641321.63562669943</v>
      </c>
      <c r="AC513" s="63">
        <f>250/H2ProjectDB4578610[[#This Row],[Column33]]</f>
        <v>500</v>
      </c>
      <c r="AD513" s="62"/>
      <c r="AE513" s="62">
        <f>AB513</f>
        <v>641321.63562669943</v>
      </c>
      <c r="AF513" s="64" t="s">
        <v>1882</v>
      </c>
      <c r="AG513" s="49">
        <v>0.5</v>
      </c>
    </row>
    <row r="514" spans="1:33" ht="34.5" customHeight="1" x14ac:dyDescent="0.3">
      <c r="A514" s="46">
        <v>867</v>
      </c>
      <c r="B514" s="46" t="s">
        <v>1883</v>
      </c>
      <c r="C514" s="46" t="s">
        <v>52</v>
      </c>
      <c r="D514" s="60">
        <v>2028</v>
      </c>
      <c r="E514" s="60"/>
      <c r="F514" s="46" t="s">
        <v>591</v>
      </c>
      <c r="G514" s="46" t="s">
        <v>159</v>
      </c>
      <c r="H514" s="46" t="s">
        <v>592</v>
      </c>
      <c r="I514" s="46" t="s">
        <v>169</v>
      </c>
      <c r="J514" s="46" t="s">
        <v>248</v>
      </c>
      <c r="K514" s="46" t="s">
        <v>168</v>
      </c>
      <c r="L514" s="46"/>
      <c r="M514" s="46">
        <v>1</v>
      </c>
      <c r="N514" s="46"/>
      <c r="O514" s="46"/>
      <c r="P514" s="46"/>
      <c r="Q514" s="46"/>
      <c r="R514" s="46"/>
      <c r="S514" s="46"/>
      <c r="T514" s="46"/>
      <c r="U514" s="46"/>
      <c r="V514" s="46"/>
      <c r="W514" s="46"/>
      <c r="X514" s="46"/>
      <c r="Y514" s="46"/>
      <c r="Z514" s="46" t="s">
        <v>1664</v>
      </c>
      <c r="AA514" s="61">
        <f>300-63</f>
        <v>237</v>
      </c>
      <c r="AB514" s="62">
        <f>AA514/0.0045</f>
        <v>52666.666666666672</v>
      </c>
      <c r="AC514" s="63">
        <f>AB514*H2dens*HoursInYear/10^6</f>
        <v>41.061040000000006</v>
      </c>
      <c r="AD514" s="62"/>
      <c r="AE514" s="62">
        <f>AB514</f>
        <v>52666.666666666672</v>
      </c>
      <c r="AF514" s="64" t="s">
        <v>1286</v>
      </c>
      <c r="AG514" s="49">
        <v>0.5</v>
      </c>
    </row>
    <row r="515" spans="1:33" ht="34.5" customHeight="1" x14ac:dyDescent="0.3">
      <c r="A515" s="46">
        <v>868</v>
      </c>
      <c r="B515" s="46" t="s">
        <v>1884</v>
      </c>
      <c r="C515" s="46" t="s">
        <v>52</v>
      </c>
      <c r="D515" s="60"/>
      <c r="E515" s="60">
        <v>2014</v>
      </c>
      <c r="F515" s="46" t="s">
        <v>285</v>
      </c>
      <c r="G515" s="46" t="s">
        <v>3</v>
      </c>
      <c r="H515" s="46"/>
      <c r="I515" s="46" t="s">
        <v>169</v>
      </c>
      <c r="J515" s="46" t="s">
        <v>245</v>
      </c>
      <c r="K515" s="46" t="s">
        <v>68</v>
      </c>
      <c r="L515" s="46"/>
      <c r="M515" s="46"/>
      <c r="N515" s="46"/>
      <c r="O515" s="46"/>
      <c r="P515" s="46"/>
      <c r="Q515" s="46">
        <v>1</v>
      </c>
      <c r="R515" s="46"/>
      <c r="S515" s="46"/>
      <c r="T515" s="46"/>
      <c r="U515" s="46"/>
      <c r="V515" s="46"/>
      <c r="W515" s="46"/>
      <c r="X515" s="46"/>
      <c r="Y515" s="46"/>
      <c r="Z515" s="46" t="s">
        <v>942</v>
      </c>
      <c r="AA515" s="61">
        <v>0.3</v>
      </c>
      <c r="AB515" s="62">
        <f>AA515/0.0046</f>
        <v>65.217391304347828</v>
      </c>
      <c r="AC515" s="63">
        <f t="shared" ref="AC515" si="62">AB515*H2dens*HoursInYear/10^6</f>
        <v>5.0846086956521735E-2</v>
      </c>
      <c r="AD515" s="62"/>
      <c r="AE515" s="62">
        <f>IF(AND(G515&lt;&gt;"NG w CCUS",G515&lt;&gt;"Oil w CCUS",G515&lt;&gt;"Coal w CCUS"),AB515,AD515*10^3/(HoursInYear*IF(G515="NG w CCUS",0.9105,1.9075)))</f>
        <v>65.217391304347828</v>
      </c>
      <c r="AF515" s="64" t="s">
        <v>1885</v>
      </c>
      <c r="AG515" s="49">
        <v>0.4</v>
      </c>
    </row>
    <row r="516" spans="1:33" ht="34.5" customHeight="1" x14ac:dyDescent="0.3">
      <c r="A516" s="46">
        <v>870</v>
      </c>
      <c r="B516" s="46" t="s">
        <v>1886</v>
      </c>
      <c r="C516" s="46" t="s">
        <v>39</v>
      </c>
      <c r="D516" s="60">
        <v>2025</v>
      </c>
      <c r="E516" s="60"/>
      <c r="F516" s="46" t="s">
        <v>225</v>
      </c>
      <c r="G516" s="46" t="s">
        <v>159</v>
      </c>
      <c r="H516" s="46" t="s">
        <v>592</v>
      </c>
      <c r="I516" s="46" t="s">
        <v>169</v>
      </c>
      <c r="J516" s="46" t="s">
        <v>248</v>
      </c>
      <c r="K516" s="46" t="s">
        <v>141</v>
      </c>
      <c r="L516" s="46"/>
      <c r="M516" s="46">
        <v>1</v>
      </c>
      <c r="N516" s="46"/>
      <c r="O516" s="46"/>
      <c r="P516" s="46"/>
      <c r="Q516" s="46"/>
      <c r="R516" s="46"/>
      <c r="S516" s="46"/>
      <c r="T516" s="46"/>
      <c r="U516" s="46"/>
      <c r="V516" s="46"/>
      <c r="W516" s="46"/>
      <c r="X516" s="46"/>
      <c r="Y516" s="46"/>
      <c r="Z516" s="46" t="s">
        <v>1887</v>
      </c>
      <c r="AA516" s="61">
        <v>500</v>
      </c>
      <c r="AB516" s="62">
        <f>AC516/(H2dens*HoursInYear/10^6)</f>
        <v>97006.618439279671</v>
      </c>
      <c r="AC516" s="63">
        <f>420*0.180072</f>
        <v>75.630240000000001</v>
      </c>
      <c r="AD516" s="62"/>
      <c r="AE516" s="62">
        <f>IF(AND(G516&lt;&gt;"NG w CCUS",G516&lt;&gt;"Oil w CCUS",G516&lt;&gt;"Coal w CCUS"),AB516,AD516*10^3/(HoursInYear*IF(G516="NG w CCUS",0.9105,1.9075)))</f>
        <v>97006.618439279671</v>
      </c>
      <c r="AF516" s="64" t="s">
        <v>1888</v>
      </c>
      <c r="AG516" s="49">
        <v>0.5</v>
      </c>
    </row>
    <row r="517" spans="1:33" ht="34.5" customHeight="1" x14ac:dyDescent="0.3">
      <c r="A517" s="46">
        <v>871</v>
      </c>
      <c r="B517" s="46" t="s">
        <v>1889</v>
      </c>
      <c r="C517" s="46" t="s">
        <v>42</v>
      </c>
      <c r="D517" s="60">
        <v>2020</v>
      </c>
      <c r="E517" s="60"/>
      <c r="F517" s="46" t="s">
        <v>226</v>
      </c>
      <c r="G517" s="46" t="s">
        <v>1</v>
      </c>
      <c r="H517" s="46"/>
      <c r="I517" s="46" t="s">
        <v>166</v>
      </c>
      <c r="J517" s="46"/>
      <c r="K517" s="46" t="s">
        <v>68</v>
      </c>
      <c r="L517" s="46"/>
      <c r="M517" s="46"/>
      <c r="N517" s="46"/>
      <c r="O517" s="46"/>
      <c r="P517" s="46"/>
      <c r="Q517" s="46">
        <v>1</v>
      </c>
      <c r="R517" s="46">
        <v>1</v>
      </c>
      <c r="S517" s="46"/>
      <c r="T517" s="46"/>
      <c r="U517" s="46"/>
      <c r="V517" s="46"/>
      <c r="W517" s="46"/>
      <c r="X517" s="46"/>
      <c r="Y517" s="46"/>
      <c r="Z517" s="46" t="s">
        <v>738</v>
      </c>
      <c r="AA517" s="61">
        <f>IF(OR(G517="ALK",G517="PEM",G517="SOEC",G517="Other Electrolysis"),
AB517*VLOOKUP(G517,ElectrolysisConvF,3,FALSE),
"")</f>
        <v>5.1999999999999998E-3</v>
      </c>
      <c r="AB517" s="62">
        <v>1</v>
      </c>
      <c r="AC517" s="63">
        <f>AB517*H2dens*HoursInYear/10^6</f>
        <v>7.7963999999999996E-4</v>
      </c>
      <c r="AD517" s="62"/>
      <c r="AE517" s="62">
        <f>AB517</f>
        <v>1</v>
      </c>
      <c r="AF517" s="64" t="s">
        <v>1890</v>
      </c>
      <c r="AG517" s="49">
        <v>0.56999999999999995</v>
      </c>
    </row>
    <row r="518" spans="1:33" ht="34.5" customHeight="1" x14ac:dyDescent="0.3">
      <c r="A518" s="46">
        <v>872</v>
      </c>
      <c r="B518" s="46" t="s">
        <v>1891</v>
      </c>
      <c r="C518" s="46" t="s">
        <v>46</v>
      </c>
      <c r="D518" s="60">
        <v>2024</v>
      </c>
      <c r="E518" s="60"/>
      <c r="F518" s="46" t="s">
        <v>675</v>
      </c>
      <c r="G518" s="46" t="s">
        <v>3</v>
      </c>
      <c r="H518" s="46"/>
      <c r="I518" s="46" t="s">
        <v>169</v>
      </c>
      <c r="J518" s="46" t="s">
        <v>248</v>
      </c>
      <c r="K518" s="46" t="s">
        <v>68</v>
      </c>
      <c r="L518" s="46"/>
      <c r="M518" s="46"/>
      <c r="N518" s="46"/>
      <c r="O518" s="46"/>
      <c r="P518" s="46"/>
      <c r="Q518" s="46"/>
      <c r="R518" s="46"/>
      <c r="S518" s="46"/>
      <c r="T518" s="46"/>
      <c r="U518" s="46">
        <v>1</v>
      </c>
      <c r="V518" s="46"/>
      <c r="W518" s="46"/>
      <c r="X518" s="46"/>
      <c r="Y518" s="46"/>
      <c r="Z518" s="46" t="s">
        <v>1001</v>
      </c>
      <c r="AA518" s="61">
        <v>5</v>
      </c>
      <c r="AB518" s="62">
        <f>AA518/0.0046</f>
        <v>1086.9565217391305</v>
      </c>
      <c r="AC518" s="63">
        <f>AB518*H2dens*HoursInYear/10^6</f>
        <v>0.84743478260869565</v>
      </c>
      <c r="AD518" s="62"/>
      <c r="AE518" s="62">
        <f>IF(AND(G518&lt;&gt;"NG w CCUS",G518&lt;&gt;"Oil w CCUS",G518&lt;&gt;"Coal w CCUS"),AB518,AD518*10^3/(HoursInYear*IF(G518="NG w CCUS",0.9105,1.9075)))</f>
        <v>1086.9565217391305</v>
      </c>
      <c r="AF518" s="64" t="s">
        <v>1892</v>
      </c>
      <c r="AG518" s="49">
        <v>0.5</v>
      </c>
    </row>
    <row r="519" spans="1:33" ht="34.5" customHeight="1" x14ac:dyDescent="0.3">
      <c r="A519" s="46">
        <v>873</v>
      </c>
      <c r="B519" s="46" t="s">
        <v>1893</v>
      </c>
      <c r="C519" s="46" t="s">
        <v>203</v>
      </c>
      <c r="D519" s="60">
        <v>2026</v>
      </c>
      <c r="E519" s="60"/>
      <c r="F519" s="46" t="s">
        <v>225</v>
      </c>
      <c r="G519" s="46" t="s">
        <v>3</v>
      </c>
      <c r="H519" s="46"/>
      <c r="I519" s="46" t="s">
        <v>166</v>
      </c>
      <c r="J519" s="46"/>
      <c r="K519" s="46" t="s">
        <v>68</v>
      </c>
      <c r="L519" s="46"/>
      <c r="M519" s="46"/>
      <c r="N519" s="46"/>
      <c r="O519" s="46">
        <v>1</v>
      </c>
      <c r="P519" s="46"/>
      <c r="Q519" s="46"/>
      <c r="R519" s="46"/>
      <c r="S519" s="46"/>
      <c r="T519" s="46"/>
      <c r="U519" s="46"/>
      <c r="V519" s="46"/>
      <c r="W519" s="46"/>
      <c r="X519" s="46"/>
      <c r="Y519" s="46"/>
      <c r="Z519" s="46" t="s">
        <v>1894</v>
      </c>
      <c r="AA519" s="61">
        <v>520</v>
      </c>
      <c r="AB519" s="62">
        <f>AA519/0.0046</f>
        <v>113043.47826086957</v>
      </c>
      <c r="AC519" s="63">
        <f t="shared" ref="AC519" si="63">AB519*H2dens*HoursInYear/10^6</f>
        <v>88.133217391304356</v>
      </c>
      <c r="AD519" s="62"/>
      <c r="AE519" s="62">
        <f>AB519</f>
        <v>113043.47826086957</v>
      </c>
      <c r="AF519" s="64" t="s">
        <v>1895</v>
      </c>
      <c r="AG519" s="49">
        <v>0.56999999999999995</v>
      </c>
    </row>
    <row r="520" spans="1:33" ht="34.5" customHeight="1" x14ac:dyDescent="0.3">
      <c r="A520" s="46">
        <v>874</v>
      </c>
      <c r="B520" s="60" t="s">
        <v>1896</v>
      </c>
      <c r="C520" s="46" t="s">
        <v>45</v>
      </c>
      <c r="D520" s="60">
        <v>2025</v>
      </c>
      <c r="E520" s="60"/>
      <c r="F520" s="46" t="s">
        <v>225</v>
      </c>
      <c r="G520" s="46" t="s">
        <v>1</v>
      </c>
      <c r="H520" s="46"/>
      <c r="I520" s="46" t="s">
        <v>169</v>
      </c>
      <c r="J520" s="46" t="s">
        <v>248</v>
      </c>
      <c r="K520" s="46" t="s">
        <v>68</v>
      </c>
      <c r="L520" s="46">
        <v>1</v>
      </c>
      <c r="M520" s="46"/>
      <c r="N520" s="46"/>
      <c r="O520" s="46"/>
      <c r="P520" s="46"/>
      <c r="Q520" s="46"/>
      <c r="R520" s="46"/>
      <c r="S520" s="46"/>
      <c r="T520" s="46"/>
      <c r="U520" s="46"/>
      <c r="V520" s="46"/>
      <c r="W520" s="46"/>
      <c r="X520" s="46"/>
      <c r="Y520" s="46"/>
      <c r="Z520" s="46" t="s">
        <v>981</v>
      </c>
      <c r="AA520" s="61">
        <v>20</v>
      </c>
      <c r="AB520" s="62">
        <f>IF(OR(G520="ALK",G520="PEM",G520="SOEC",G520="Other Electrolysis"),
AA520/VLOOKUP(G520,ElectrolysisConvF,3,FALSE),
AC520*10^6/(H2dens*HoursInYear))</f>
        <v>3846.1538461538462</v>
      </c>
      <c r="AC520" s="63">
        <f t="shared" ref="AC520:AC525" si="64">AB520*H2dens*HoursInYear/10^6</f>
        <v>2.9986153846153845</v>
      </c>
      <c r="AD520" s="62"/>
      <c r="AE520" s="62">
        <f>IF(AND(G520&lt;&gt;"NG w CCUS",G520&lt;&gt;"Oil w CCUS",G520&lt;&gt;"Coal w CCUS"),AB520,AD520*10^3/(HoursInYear*IF(G520="NG w CCUS",0.9105,1.9075)))</f>
        <v>3846.1538461538462</v>
      </c>
      <c r="AF520" s="64" t="s">
        <v>1897</v>
      </c>
      <c r="AG520" s="49">
        <v>0.5</v>
      </c>
    </row>
    <row r="521" spans="1:33" ht="34.5" customHeight="1" x14ac:dyDescent="0.3">
      <c r="A521" s="46">
        <v>875</v>
      </c>
      <c r="B521" s="74" t="s">
        <v>1898</v>
      </c>
      <c r="C521" s="46" t="s">
        <v>45</v>
      </c>
      <c r="D521" s="60">
        <v>2025</v>
      </c>
      <c r="E521" s="60"/>
      <c r="F521" s="46" t="s">
        <v>225</v>
      </c>
      <c r="G521" s="46" t="s">
        <v>1</v>
      </c>
      <c r="H521" s="46"/>
      <c r="I521" s="46" t="s">
        <v>169</v>
      </c>
      <c r="J521" s="46" t="s">
        <v>248</v>
      </c>
      <c r="K521" s="46" t="s">
        <v>68</v>
      </c>
      <c r="L521" s="46">
        <v>1</v>
      </c>
      <c r="M521" s="46"/>
      <c r="N521" s="46"/>
      <c r="O521" s="46"/>
      <c r="P521" s="46"/>
      <c r="Q521" s="46"/>
      <c r="R521" s="46"/>
      <c r="S521" s="46"/>
      <c r="T521" s="46"/>
      <c r="U521" s="46"/>
      <c r="V521" s="46"/>
      <c r="W521" s="46"/>
      <c r="X521" s="46"/>
      <c r="Y521" s="46"/>
      <c r="Z521" s="46" t="s">
        <v>1168</v>
      </c>
      <c r="AA521" s="61">
        <v>10</v>
      </c>
      <c r="AB521" s="62">
        <f>IF(OR(G521="ALK",G521="PEM",G521="SOEC",G521="Other Electrolysis"),
AA521/VLOOKUP(G521,ElectrolysisConvF,3,FALSE),
AC521*10^6/(H2dens*HoursInYear))</f>
        <v>1923.0769230769231</v>
      </c>
      <c r="AC521" s="63">
        <f t="shared" si="64"/>
        <v>1.4993076923076922</v>
      </c>
      <c r="AD521" s="62"/>
      <c r="AE521" s="62">
        <f>IF(AND(G521&lt;&gt;"NG w CCUS",G521&lt;&gt;"Oil w CCUS",G521&lt;&gt;"Coal w CCUS"),AB521,AD521*10^3/(HoursInYear*IF(G521="NG w CCUS",0.9105,1.9075)))</f>
        <v>1923.0769230769231</v>
      </c>
      <c r="AF521" s="64" t="s">
        <v>1897</v>
      </c>
      <c r="AG521" s="49">
        <v>0.5</v>
      </c>
    </row>
    <row r="522" spans="1:33" ht="34.5" customHeight="1" x14ac:dyDescent="0.3">
      <c r="A522" s="46">
        <v>878</v>
      </c>
      <c r="B522" s="46" t="s">
        <v>1899</v>
      </c>
      <c r="C522" s="46" t="s">
        <v>321</v>
      </c>
      <c r="D522" s="60">
        <v>2024</v>
      </c>
      <c r="E522" s="60"/>
      <c r="F522" s="46" t="s">
        <v>675</v>
      </c>
      <c r="G522" s="46" t="s">
        <v>159</v>
      </c>
      <c r="H522" s="46" t="s">
        <v>592</v>
      </c>
      <c r="I522" s="46" t="s">
        <v>166</v>
      </c>
      <c r="J522" s="46" t="str">
        <f>IF(I522&lt;&gt;"Dedicated renewable","N/A",)</f>
        <v>N/A</v>
      </c>
      <c r="K522" s="46" t="s">
        <v>68</v>
      </c>
      <c r="L522" s="46"/>
      <c r="M522" s="46"/>
      <c r="N522" s="46"/>
      <c r="O522" s="46"/>
      <c r="P522" s="46"/>
      <c r="Q522" s="46">
        <v>1</v>
      </c>
      <c r="R522" s="46">
        <v>1</v>
      </c>
      <c r="S522" s="46">
        <v>1</v>
      </c>
      <c r="T522" s="46"/>
      <c r="U522" s="46"/>
      <c r="V522" s="46"/>
      <c r="W522" s="46"/>
      <c r="X522" s="46"/>
      <c r="Y522" s="46"/>
      <c r="Z522" s="46" t="s">
        <v>981</v>
      </c>
      <c r="AA522" s="61">
        <v>20</v>
      </c>
      <c r="AB522" s="62">
        <f>IF(OR(G522="ALK",G522="PEM",G522="SOEC",G522="Other Electrolysis"),
AA522/VLOOKUP(G522,ElectrolysisConvF,3,FALSE),
AC522*10^6/(H2dens*HoursInYear))</f>
        <v>4444.4444444444443</v>
      </c>
      <c r="AC522" s="63">
        <f t="shared" si="64"/>
        <v>3.4650666666666665</v>
      </c>
      <c r="AD522" s="62"/>
      <c r="AE522" s="62">
        <f t="shared" ref="AE522:AE529" si="65">IF(AND(G522&lt;&gt;"NG w CCUS",G522&lt;&gt;"Oil w CCUS",G522&lt;&gt;"Coal w CCUS"),AB522,AD522*10^3/(HoursInYear*IF(G522="NG w CCUS",0.9105,1.9075)))</f>
        <v>4444.4444444444443</v>
      </c>
      <c r="AF522" s="64" t="s">
        <v>1900</v>
      </c>
      <c r="AG522" s="49">
        <v>0.56999999999999995</v>
      </c>
    </row>
    <row r="523" spans="1:33" ht="34.5" customHeight="1" x14ac:dyDescent="0.3">
      <c r="A523" s="46">
        <v>879</v>
      </c>
      <c r="B523" s="46" t="s">
        <v>1901</v>
      </c>
      <c r="C523" s="46" t="s">
        <v>321</v>
      </c>
      <c r="D523" s="60">
        <v>2030</v>
      </c>
      <c r="E523" s="60"/>
      <c r="F523" s="46" t="s">
        <v>225</v>
      </c>
      <c r="G523" s="46" t="s">
        <v>159</v>
      </c>
      <c r="H523" s="46" t="s">
        <v>592</v>
      </c>
      <c r="I523" s="46" t="s">
        <v>166</v>
      </c>
      <c r="J523" s="46" t="str">
        <f>IF(I523&lt;&gt;"Dedicated renewable","N/A",)</f>
        <v>N/A</v>
      </c>
      <c r="K523" s="46" t="s">
        <v>68</v>
      </c>
      <c r="L523" s="46"/>
      <c r="M523" s="46"/>
      <c r="N523" s="46"/>
      <c r="O523" s="46"/>
      <c r="P523" s="46"/>
      <c r="Q523" s="46">
        <v>1</v>
      </c>
      <c r="R523" s="46">
        <v>1</v>
      </c>
      <c r="S523" s="46">
        <v>1</v>
      </c>
      <c r="T523" s="46"/>
      <c r="U523" s="46"/>
      <c r="V523" s="46"/>
      <c r="W523" s="46"/>
      <c r="X523" s="46"/>
      <c r="Y523" s="46"/>
      <c r="Z523" s="46" t="s">
        <v>1691</v>
      </c>
      <c r="AA523" s="61">
        <v>180</v>
      </c>
      <c r="AB523" s="62">
        <f>IF(OR(G523="ALK",G523="PEM",G523="SOEC",G523="Other Electrolysis"),
AA523/VLOOKUP(G523,ElectrolysisConvF,3,FALSE),
AC523*10^6/(H2dens*HoursInYear))</f>
        <v>40000</v>
      </c>
      <c r="AC523" s="63">
        <f t="shared" si="64"/>
        <v>31.185600000000001</v>
      </c>
      <c r="AD523" s="62"/>
      <c r="AE523" s="62">
        <f t="shared" si="65"/>
        <v>40000</v>
      </c>
      <c r="AF523" s="64" t="s">
        <v>1900</v>
      </c>
      <c r="AG523" s="49">
        <v>0.56999999999999995</v>
      </c>
    </row>
    <row r="524" spans="1:33" ht="34.5" customHeight="1" x14ac:dyDescent="0.3">
      <c r="A524" s="46">
        <v>880</v>
      </c>
      <c r="B524" s="46" t="s">
        <v>1902</v>
      </c>
      <c r="C524" s="46" t="s">
        <v>39</v>
      </c>
      <c r="D524" s="60">
        <v>2021</v>
      </c>
      <c r="E524" s="60"/>
      <c r="F524" s="46" t="s">
        <v>226</v>
      </c>
      <c r="G524" s="46" t="s">
        <v>1</v>
      </c>
      <c r="H524" s="46"/>
      <c r="I524" s="46" t="s">
        <v>169</v>
      </c>
      <c r="J524" s="46" t="s">
        <v>248</v>
      </c>
      <c r="K524" s="46" t="s">
        <v>68</v>
      </c>
      <c r="L524" s="46"/>
      <c r="M524" s="46"/>
      <c r="N524" s="46"/>
      <c r="O524" s="46"/>
      <c r="P524" s="46"/>
      <c r="Q524" s="46">
        <v>1</v>
      </c>
      <c r="R524" s="46"/>
      <c r="S524" s="46"/>
      <c r="T524" s="46"/>
      <c r="U524" s="46"/>
      <c r="V524" s="46"/>
      <c r="W524" s="46"/>
      <c r="X524" s="46"/>
      <c r="Y524" s="46"/>
      <c r="Z524" s="46" t="s">
        <v>898</v>
      </c>
      <c r="AA524" s="61">
        <f>IF(OR(G524="ALK",G524="PEM",G524="SOEC",G524="Other Electrolysis"),
AB524*VLOOKUP(G524,ElectrolysisConvF,3,FALSE),
"")</f>
        <v>5.1999999999999998E-2</v>
      </c>
      <c r="AB524" s="62">
        <v>10</v>
      </c>
      <c r="AC524" s="63">
        <f t="shared" si="64"/>
        <v>7.7963999999999985E-3</v>
      </c>
      <c r="AD524" s="62"/>
      <c r="AE524" s="62">
        <f t="shared" si="65"/>
        <v>10</v>
      </c>
      <c r="AF524" s="64" t="s">
        <v>1903</v>
      </c>
      <c r="AG524" s="49">
        <v>0.5</v>
      </c>
    </row>
    <row r="525" spans="1:33" ht="34.5" customHeight="1" x14ac:dyDescent="0.3">
      <c r="A525" s="46">
        <v>881</v>
      </c>
      <c r="B525" s="46" t="s">
        <v>1904</v>
      </c>
      <c r="C525" s="46" t="s">
        <v>37</v>
      </c>
      <c r="D525" s="60">
        <v>2024</v>
      </c>
      <c r="E525" s="60"/>
      <c r="F525" s="46" t="s">
        <v>675</v>
      </c>
      <c r="G525" s="46" t="s">
        <v>3</v>
      </c>
      <c r="H525" s="46"/>
      <c r="I525" s="46" t="s">
        <v>169</v>
      </c>
      <c r="J525" s="46" t="s">
        <v>248</v>
      </c>
      <c r="K525" s="46" t="s">
        <v>68</v>
      </c>
      <c r="L525" s="46"/>
      <c r="M525" s="46"/>
      <c r="N525" s="46"/>
      <c r="O525" s="46"/>
      <c r="P525" s="46"/>
      <c r="Q525" s="46"/>
      <c r="R525" s="46"/>
      <c r="S525" s="46"/>
      <c r="T525" s="46"/>
      <c r="U525" s="46"/>
      <c r="V525" s="46">
        <v>1</v>
      </c>
      <c r="W525" s="46"/>
      <c r="X525" s="46"/>
      <c r="Y525" s="46"/>
      <c r="Z525" s="46" t="s">
        <v>1905</v>
      </c>
      <c r="AA525" s="61">
        <v>88</v>
      </c>
      <c r="AB525" s="62">
        <f>IF(OR(G525="ALK",G525="PEM",G525="SOEC",G525="Other Electrolysis"),
AA525/VLOOKUP(G525,ElectrolysisConvF,3,FALSE),
AC525*10^6/(H2dens*HoursInYear))</f>
        <v>19130.434782608696</v>
      </c>
      <c r="AC525" s="63">
        <f t="shared" si="64"/>
        <v>14.914852173913044</v>
      </c>
      <c r="AD525" s="62"/>
      <c r="AE525" s="62">
        <f t="shared" si="65"/>
        <v>19130.434782608696</v>
      </c>
      <c r="AF525" s="64" t="s">
        <v>1906</v>
      </c>
      <c r="AG525" s="49">
        <v>0.5</v>
      </c>
    </row>
    <row r="526" spans="1:33" ht="34.5" customHeight="1" x14ac:dyDescent="0.3">
      <c r="A526" s="46">
        <v>882</v>
      </c>
      <c r="B526" s="46" t="s">
        <v>1907</v>
      </c>
      <c r="C526" s="46" t="s">
        <v>41</v>
      </c>
      <c r="D526" s="60"/>
      <c r="E526" s="60"/>
      <c r="F526" s="46" t="s">
        <v>591</v>
      </c>
      <c r="G526" s="46" t="s">
        <v>159</v>
      </c>
      <c r="H526" s="46" t="s">
        <v>592</v>
      </c>
      <c r="I526" s="46" t="s">
        <v>169</v>
      </c>
      <c r="J526" s="46" t="s">
        <v>248</v>
      </c>
      <c r="K526" s="46" t="s">
        <v>68</v>
      </c>
      <c r="L526" s="46"/>
      <c r="M526" s="46"/>
      <c r="N526" s="46"/>
      <c r="O526" s="46"/>
      <c r="P526" s="46"/>
      <c r="Q526" s="46"/>
      <c r="R526" s="46"/>
      <c r="S526" s="46"/>
      <c r="T526" s="46"/>
      <c r="U526" s="46"/>
      <c r="V526" s="46"/>
      <c r="W526" s="46"/>
      <c r="X526" s="46"/>
      <c r="Y526" s="46"/>
      <c r="Z526" s="46" t="s">
        <v>1908</v>
      </c>
      <c r="AA526" s="61">
        <f>IF(OR(G526="ALK",G526="PEM",G526="SOEC",G526="Other Electrolysis"),
AB526*VLOOKUP(G526,ElectrolysisConvF,3,FALSE),
"")</f>
        <v>2885.9473603201477</v>
      </c>
      <c r="AB526" s="62">
        <f>AC526*10^6/(H2dens*HoursInYear)</f>
        <v>641321.63562669954</v>
      </c>
      <c r="AC526" s="63">
        <v>500</v>
      </c>
      <c r="AD526" s="62"/>
      <c r="AE526" s="62">
        <f t="shared" si="65"/>
        <v>641321.63562669954</v>
      </c>
      <c r="AF526" s="64" t="s">
        <v>1909</v>
      </c>
      <c r="AG526" s="49">
        <v>0.5</v>
      </c>
    </row>
    <row r="527" spans="1:33" ht="34.5" customHeight="1" x14ac:dyDescent="0.3">
      <c r="A527" s="46">
        <v>883</v>
      </c>
      <c r="B527" s="46" t="s">
        <v>1910</v>
      </c>
      <c r="C527" s="46" t="s">
        <v>49</v>
      </c>
      <c r="D527" s="60">
        <v>2024</v>
      </c>
      <c r="E527" s="60"/>
      <c r="F527" s="46" t="s">
        <v>675</v>
      </c>
      <c r="G527" s="46" t="s">
        <v>3</v>
      </c>
      <c r="H527" s="46"/>
      <c r="I527" s="46" t="s">
        <v>169</v>
      </c>
      <c r="J527" s="46" t="s">
        <v>248</v>
      </c>
      <c r="K527" s="46" t="s">
        <v>141</v>
      </c>
      <c r="L527" s="46"/>
      <c r="M527" s="46">
        <v>1</v>
      </c>
      <c r="N527" s="46"/>
      <c r="O527" s="46"/>
      <c r="P527" s="46"/>
      <c r="Q527" s="46"/>
      <c r="R527" s="46"/>
      <c r="S527" s="46"/>
      <c r="T527" s="46"/>
      <c r="U527" s="46"/>
      <c r="V527" s="46"/>
      <c r="W527" s="46"/>
      <c r="X527" s="46"/>
      <c r="Y527" s="46"/>
      <c r="Z527" s="46" t="s">
        <v>1168</v>
      </c>
      <c r="AA527" s="61">
        <v>10</v>
      </c>
      <c r="AB527" s="62">
        <f>AA527/0.0046</f>
        <v>2173.913043478261</v>
      </c>
      <c r="AC527" s="63">
        <f>AB527*H2dens*HoursInYear/10^6</f>
        <v>1.6948695652173913</v>
      </c>
      <c r="AD527" s="62"/>
      <c r="AE527" s="62">
        <f t="shared" si="65"/>
        <v>2173.913043478261</v>
      </c>
      <c r="AF527" s="64" t="s">
        <v>1911</v>
      </c>
      <c r="AG527" s="49">
        <v>0.5</v>
      </c>
    </row>
    <row r="528" spans="1:33" ht="34.5" customHeight="1" x14ac:dyDescent="0.3">
      <c r="A528" s="46">
        <v>884</v>
      </c>
      <c r="B528" s="46" t="s">
        <v>1912</v>
      </c>
      <c r="C528" s="46" t="s">
        <v>52</v>
      </c>
      <c r="D528" s="60">
        <v>2025</v>
      </c>
      <c r="E528" s="60"/>
      <c r="F528" s="46" t="s">
        <v>225</v>
      </c>
      <c r="G528" s="46" t="s">
        <v>3</v>
      </c>
      <c r="H528" s="46"/>
      <c r="I528" s="46" t="s">
        <v>169</v>
      </c>
      <c r="J528" s="46" t="s">
        <v>248</v>
      </c>
      <c r="K528" s="46" t="s">
        <v>72</v>
      </c>
      <c r="L528" s="46"/>
      <c r="M528" s="46"/>
      <c r="N528" s="46"/>
      <c r="O528" s="46"/>
      <c r="P528" s="46"/>
      <c r="Q528" s="46"/>
      <c r="R528" s="46"/>
      <c r="S528" s="46"/>
      <c r="T528" s="46"/>
      <c r="U528" s="46"/>
      <c r="V528" s="46"/>
      <c r="W528" s="46"/>
      <c r="X528" s="46">
        <v>1</v>
      </c>
      <c r="Y528" s="46"/>
      <c r="Z528" s="46" t="s">
        <v>1913</v>
      </c>
      <c r="AA528" s="61">
        <v>75</v>
      </c>
      <c r="AB528" s="62">
        <f>IF(OR(G528="ALK",G528="PEM",G528="SOEC",G528="Other Electrolysis"),
AA528/VLOOKUP(G528,ElectrolysisConvF,3,FALSE),
AC528*10^6/(H2dens*HoursInYear))</f>
        <v>16304.347826086956</v>
      </c>
      <c r="AC528" s="63">
        <f>AB528*H2dens*HoursInYear/10^6</f>
        <v>12.711521739130434</v>
      </c>
      <c r="AD528" s="62"/>
      <c r="AE528" s="62">
        <f t="shared" si="65"/>
        <v>16304.347826086956</v>
      </c>
      <c r="AF528" s="64" t="s">
        <v>1914</v>
      </c>
      <c r="AG528" s="49">
        <v>0.5</v>
      </c>
    </row>
    <row r="529" spans="1:33" ht="34.5" customHeight="1" x14ac:dyDescent="0.3">
      <c r="A529" s="46">
        <v>885</v>
      </c>
      <c r="B529" s="46" t="s">
        <v>1915</v>
      </c>
      <c r="C529" s="46" t="s">
        <v>203</v>
      </c>
      <c r="D529" s="60">
        <v>2025</v>
      </c>
      <c r="E529" s="60"/>
      <c r="F529" s="46" t="s">
        <v>225</v>
      </c>
      <c r="G529" s="46" t="s">
        <v>1</v>
      </c>
      <c r="H529" s="46"/>
      <c r="I529" s="46" t="s">
        <v>169</v>
      </c>
      <c r="J529" s="46" t="s">
        <v>246</v>
      </c>
      <c r="K529" s="46" t="s">
        <v>68</v>
      </c>
      <c r="L529" s="46">
        <v>1</v>
      </c>
      <c r="M529" s="46"/>
      <c r="N529" s="46"/>
      <c r="O529" s="46">
        <v>1</v>
      </c>
      <c r="P529" s="46">
        <v>1</v>
      </c>
      <c r="Q529" s="46">
        <v>1</v>
      </c>
      <c r="R529" s="46">
        <v>1</v>
      </c>
      <c r="S529" s="46">
        <v>1</v>
      </c>
      <c r="T529" s="46"/>
      <c r="U529" s="46"/>
      <c r="V529" s="46"/>
      <c r="W529" s="46"/>
      <c r="X529" s="46"/>
      <c r="Y529" s="46"/>
      <c r="Z529" s="46" t="s">
        <v>1691</v>
      </c>
      <c r="AA529" s="61">
        <f>200-100</f>
        <v>100</v>
      </c>
      <c r="AB529" s="62">
        <f>IF(OR(G529="ALK",G529="PEM",G529="SOEC",G529="Other Electrolysis"),
AA529/VLOOKUP(G529,ElectrolysisConvF,3,FALSE),
AC529*10^6/(H2dens*HoursInYear))</f>
        <v>19230.76923076923</v>
      </c>
      <c r="AC529" s="63">
        <f>AB529*H2dens*HoursInYear/10^6</f>
        <v>14.993076923076922</v>
      </c>
      <c r="AD529" s="62"/>
      <c r="AE529" s="62">
        <f t="shared" si="65"/>
        <v>19230.76923076923</v>
      </c>
      <c r="AF529" s="64" t="s">
        <v>1916</v>
      </c>
      <c r="AG529" s="49">
        <v>0.55000000000000004</v>
      </c>
    </row>
    <row r="530" spans="1:33" ht="34.5" customHeight="1" x14ac:dyDescent="0.3">
      <c r="A530" s="46">
        <v>886</v>
      </c>
      <c r="B530" s="46" t="s">
        <v>1917</v>
      </c>
      <c r="C530" s="46" t="s">
        <v>50</v>
      </c>
      <c r="D530" s="60">
        <v>2040</v>
      </c>
      <c r="E530" s="60"/>
      <c r="F530" s="46" t="s">
        <v>591</v>
      </c>
      <c r="G530" s="46" t="s">
        <v>159</v>
      </c>
      <c r="H530" s="46" t="s">
        <v>592</v>
      </c>
      <c r="I530" s="46" t="s">
        <v>169</v>
      </c>
      <c r="J530" s="46" t="s">
        <v>246</v>
      </c>
      <c r="K530" s="46" t="s">
        <v>68</v>
      </c>
      <c r="L530" s="46">
        <v>1</v>
      </c>
      <c r="M530" s="46"/>
      <c r="N530" s="46"/>
      <c r="O530" s="46"/>
      <c r="P530" s="46">
        <v>1</v>
      </c>
      <c r="Q530" s="46"/>
      <c r="R530" s="46"/>
      <c r="S530" s="46"/>
      <c r="T530" s="46"/>
      <c r="U530" s="46"/>
      <c r="V530" s="46"/>
      <c r="W530" s="46"/>
      <c r="X530" s="46"/>
      <c r="Y530" s="46"/>
      <c r="Z530" s="61" t="s">
        <v>1918</v>
      </c>
      <c r="AA530" s="61">
        <v>6000</v>
      </c>
      <c r="AB530" s="62">
        <f>AA530/0.0045</f>
        <v>1333333.3333333335</v>
      </c>
      <c r="AC530" s="63">
        <f>AB530*H2dens*HoursInYear/10^6</f>
        <v>1039.52</v>
      </c>
      <c r="AD530" s="62"/>
      <c r="AE530" s="62">
        <f>AB530</f>
        <v>1333333.3333333335</v>
      </c>
      <c r="AF530" s="64" t="s">
        <v>682</v>
      </c>
      <c r="AG530" s="49">
        <v>0.55000000000000004</v>
      </c>
    </row>
    <row r="531" spans="1:33" ht="34.5" customHeight="1" x14ac:dyDescent="0.3">
      <c r="A531" s="46">
        <v>888</v>
      </c>
      <c r="B531" s="46" t="s">
        <v>1919</v>
      </c>
      <c r="C531" s="46" t="s">
        <v>203</v>
      </c>
      <c r="D531" s="60">
        <v>2025</v>
      </c>
      <c r="E531" s="60"/>
      <c r="F531" s="46" t="s">
        <v>225</v>
      </c>
      <c r="G531" s="46" t="s">
        <v>159</v>
      </c>
      <c r="H531" s="46" t="s">
        <v>592</v>
      </c>
      <c r="I531" s="46" t="s">
        <v>169</v>
      </c>
      <c r="J531" s="46" t="s">
        <v>246</v>
      </c>
      <c r="K531" s="46" t="s">
        <v>68</v>
      </c>
      <c r="L531" s="46"/>
      <c r="M531" s="46"/>
      <c r="N531" s="46"/>
      <c r="O531" s="46"/>
      <c r="P531" s="46"/>
      <c r="Q531" s="46"/>
      <c r="R531" s="46"/>
      <c r="S531" s="46"/>
      <c r="T531" s="46"/>
      <c r="U531" s="46"/>
      <c r="V531" s="46"/>
      <c r="W531" s="46"/>
      <c r="X531" s="46"/>
      <c r="Y531" s="46"/>
      <c r="Z531" s="61" t="s">
        <v>1920</v>
      </c>
      <c r="AA531" s="61">
        <v>28</v>
      </c>
      <c r="AB531" s="62">
        <f>IF(OR(G531="ALK",G531="PEM",G531="SOEC",G531="Other Electrolysis"),
AA531/VLOOKUP(G531,ElectrolysisConvF,3,FALSE),
AC531*10^6/(H2dens*HoursInYear))</f>
        <v>6222.2222222222226</v>
      </c>
      <c r="AC531" s="63">
        <f>AB531*H2dens*HoursInYear/10^6</f>
        <v>4.8510933333333339</v>
      </c>
      <c r="AD531" s="62"/>
      <c r="AE531" s="62">
        <f t="shared" ref="AE531:AE557" si="66">IF(AND(G531&lt;&gt;"NG w CCUS",G531&lt;&gt;"Oil w CCUS",G531&lt;&gt;"Coal w CCUS"),AB531,AD531*10^3/(HoursInYear*IF(G531="NG w CCUS",0.9105,1.9075)))</f>
        <v>6222.2222222222226</v>
      </c>
      <c r="AF531" s="64" t="s">
        <v>1921</v>
      </c>
      <c r="AG531" s="49">
        <v>0.55000000000000004</v>
      </c>
    </row>
    <row r="532" spans="1:33" ht="34.5" customHeight="1" x14ac:dyDescent="0.3">
      <c r="A532" s="46">
        <v>889</v>
      </c>
      <c r="B532" s="46" t="s">
        <v>1922</v>
      </c>
      <c r="C532" s="46" t="s">
        <v>39</v>
      </c>
      <c r="D532" s="60">
        <v>2024</v>
      </c>
      <c r="E532" s="60"/>
      <c r="F532" s="46" t="s">
        <v>591</v>
      </c>
      <c r="G532" s="46" t="s">
        <v>159</v>
      </c>
      <c r="H532" s="46" t="s">
        <v>592</v>
      </c>
      <c r="I532" s="46" t="s">
        <v>169</v>
      </c>
      <c r="J532" s="46" t="s">
        <v>244</v>
      </c>
      <c r="K532" s="46" t="s">
        <v>68</v>
      </c>
      <c r="L532" s="46"/>
      <c r="M532" s="46"/>
      <c r="N532" s="46"/>
      <c r="O532" s="46"/>
      <c r="P532" s="46"/>
      <c r="Q532" s="46"/>
      <c r="R532" s="46"/>
      <c r="S532" s="46"/>
      <c r="T532" s="46"/>
      <c r="U532" s="46"/>
      <c r="V532" s="46"/>
      <c r="W532" s="46"/>
      <c r="X532" s="46"/>
      <c r="Y532" s="46"/>
      <c r="Z532" s="46" t="s">
        <v>1923</v>
      </c>
      <c r="AA532" s="61">
        <f>IF(OR(G532="ALK",G532="PEM",G532="SOEC",G532="Other Electrolysis"),
AB532*VLOOKUP(G532,ElectrolysisConvF,3,FALSE),
"")</f>
        <v>1154.3789441280589</v>
      </c>
      <c r="AB532" s="62">
        <f>AC532*10^6/(H2dens*HoursInYear)</f>
        <v>256528.6542506798</v>
      </c>
      <c r="AC532" s="63">
        <v>200</v>
      </c>
      <c r="AD532" s="62"/>
      <c r="AE532" s="62">
        <f t="shared" si="66"/>
        <v>256528.6542506798</v>
      </c>
      <c r="AF532" s="64" t="s">
        <v>1924</v>
      </c>
      <c r="AG532" s="49">
        <v>0.3</v>
      </c>
    </row>
    <row r="533" spans="1:33" ht="34.5" customHeight="1" x14ac:dyDescent="0.3">
      <c r="A533" s="46">
        <v>890</v>
      </c>
      <c r="B533" s="46" t="s">
        <v>1925</v>
      </c>
      <c r="C533" s="46" t="s">
        <v>39</v>
      </c>
      <c r="D533" s="60">
        <v>2030</v>
      </c>
      <c r="E533" s="60"/>
      <c r="F533" s="46" t="s">
        <v>225</v>
      </c>
      <c r="G533" s="46" t="s">
        <v>159</v>
      </c>
      <c r="H533" s="46" t="s">
        <v>592</v>
      </c>
      <c r="I533" s="46" t="s">
        <v>169</v>
      </c>
      <c r="J533" s="46" t="s">
        <v>248</v>
      </c>
      <c r="K533" s="46" t="s">
        <v>141</v>
      </c>
      <c r="L533" s="46"/>
      <c r="M533" s="46">
        <v>1</v>
      </c>
      <c r="N533" s="46"/>
      <c r="O533" s="46"/>
      <c r="P533" s="46"/>
      <c r="Q533" s="46"/>
      <c r="R533" s="46"/>
      <c r="S533" s="46"/>
      <c r="T533" s="46"/>
      <c r="U533" s="46"/>
      <c r="V533" s="46"/>
      <c r="W533" s="46"/>
      <c r="X533" s="46"/>
      <c r="Y533" s="46"/>
      <c r="Z533" s="46" t="s">
        <v>1926</v>
      </c>
      <c r="AA533" s="61">
        <v>2850</v>
      </c>
      <c r="AB533" s="62">
        <f>IF(OR(G533="ALK",G533="PEM",G533="SOEC",G533="Other Electrolysis"),
AA533/VLOOKUP(G533,ElectrolysisConvF,3,FALSE),
AC533*10^6/(H2dens*HoursInYear))</f>
        <v>633333.33333333337</v>
      </c>
      <c r="AC533" s="63">
        <f>AB533*H2dens*HoursInYear/10^6</f>
        <v>493.77199999999999</v>
      </c>
      <c r="AD533" s="62"/>
      <c r="AE533" s="62">
        <f t="shared" si="66"/>
        <v>633333.33333333337</v>
      </c>
      <c r="AF533" s="64" t="s">
        <v>1668</v>
      </c>
      <c r="AG533" s="49">
        <v>0.5</v>
      </c>
    </row>
    <row r="534" spans="1:33" ht="34.5" customHeight="1" x14ac:dyDescent="0.3">
      <c r="A534" s="46">
        <v>891</v>
      </c>
      <c r="B534" s="46" t="s">
        <v>1927</v>
      </c>
      <c r="C534" s="46" t="s">
        <v>49</v>
      </c>
      <c r="D534" s="60">
        <v>2021</v>
      </c>
      <c r="E534" s="60"/>
      <c r="F534" s="46" t="s">
        <v>285</v>
      </c>
      <c r="G534" s="46" t="s">
        <v>1</v>
      </c>
      <c r="H534" s="46"/>
      <c r="I534" s="46" t="s">
        <v>169</v>
      </c>
      <c r="J534" s="46" t="s">
        <v>246</v>
      </c>
      <c r="K534" s="46" t="s">
        <v>68</v>
      </c>
      <c r="L534" s="46"/>
      <c r="M534" s="46"/>
      <c r="N534" s="46"/>
      <c r="O534" s="46"/>
      <c r="P534" s="46"/>
      <c r="Q534" s="46">
        <v>1</v>
      </c>
      <c r="R534" s="46"/>
      <c r="S534" s="46"/>
      <c r="T534" s="46"/>
      <c r="U534" s="46"/>
      <c r="V534" s="46"/>
      <c r="W534" s="46"/>
      <c r="X534" s="46"/>
      <c r="Y534" s="46"/>
      <c r="Z534" s="46" t="s">
        <v>1928</v>
      </c>
      <c r="AA534" s="61">
        <v>0.4</v>
      </c>
      <c r="AB534" s="62">
        <f>IF(OR(G534="ALK",G534="PEM",G534="SOEC",G534="Other Electrolysis"),
AA534/VLOOKUP(G534,ElectrolysisConvF,3,FALSE),
AC534*10^6/(H2dens*HoursInYear))</f>
        <v>76.923076923076934</v>
      </c>
      <c r="AC534" s="63">
        <f>AB534*H2dens*HoursInYear/10^6</f>
        <v>5.9972307692307693E-2</v>
      </c>
      <c r="AD534" s="62"/>
      <c r="AE534" s="62">
        <f t="shared" si="66"/>
        <v>76.923076923076934</v>
      </c>
      <c r="AF534" s="64" t="s">
        <v>1929</v>
      </c>
      <c r="AG534" s="49">
        <v>0.55000000000000004</v>
      </c>
    </row>
    <row r="535" spans="1:33" ht="34.5" customHeight="1" x14ac:dyDescent="0.3">
      <c r="A535" s="46">
        <v>892</v>
      </c>
      <c r="B535" s="46" t="s">
        <v>1930</v>
      </c>
      <c r="C535" s="46" t="s">
        <v>45</v>
      </c>
      <c r="D535" s="60"/>
      <c r="E535" s="60"/>
      <c r="F535" s="46" t="s">
        <v>225</v>
      </c>
      <c r="G535" s="46" t="s">
        <v>159</v>
      </c>
      <c r="H535" s="46" t="s">
        <v>592</v>
      </c>
      <c r="I535" s="46" t="s">
        <v>169</v>
      </c>
      <c r="J535" s="46" t="s">
        <v>248</v>
      </c>
      <c r="K535" s="46" t="s">
        <v>68</v>
      </c>
      <c r="L535" s="46"/>
      <c r="M535" s="46"/>
      <c r="N535" s="46"/>
      <c r="O535" s="46">
        <v>1</v>
      </c>
      <c r="P535" s="46"/>
      <c r="Q535" s="46"/>
      <c r="R535" s="46"/>
      <c r="S535" s="46"/>
      <c r="T535" s="46"/>
      <c r="U535" s="46"/>
      <c r="V535" s="46"/>
      <c r="W535" s="46"/>
      <c r="X535" s="46"/>
      <c r="Y535" s="46"/>
      <c r="Z535" s="46" t="s">
        <v>981</v>
      </c>
      <c r="AA535" s="61">
        <v>20</v>
      </c>
      <c r="AB535" s="62">
        <f>IF(OR(G535="ALK",G535="PEM",G535="SOEC",G535="Other Electrolysis"),
AA535/VLOOKUP(G535,ElectrolysisConvF,3,FALSE),
AC535*10^6/(H2dens*HoursInYear))</f>
        <v>4444.4444444444443</v>
      </c>
      <c r="AC535" s="63">
        <f>AB535*H2dens*HoursInYear/10^6</f>
        <v>3.4650666666666665</v>
      </c>
      <c r="AD535" s="62"/>
      <c r="AE535" s="62">
        <f t="shared" si="66"/>
        <v>4444.4444444444443</v>
      </c>
      <c r="AF535" s="64" t="s">
        <v>1931</v>
      </c>
      <c r="AG535" s="49">
        <v>0.5</v>
      </c>
    </row>
    <row r="536" spans="1:33" ht="34.5" customHeight="1" x14ac:dyDescent="0.3">
      <c r="A536" s="46">
        <v>893</v>
      </c>
      <c r="B536" s="46" t="s">
        <v>1932</v>
      </c>
      <c r="C536" s="46" t="s">
        <v>34</v>
      </c>
      <c r="D536" s="60">
        <v>2027</v>
      </c>
      <c r="E536" s="60"/>
      <c r="F536" s="46" t="s">
        <v>225</v>
      </c>
      <c r="G536" s="46" t="s">
        <v>159</v>
      </c>
      <c r="H536" s="46" t="s">
        <v>592</v>
      </c>
      <c r="I536" s="46" t="s">
        <v>169</v>
      </c>
      <c r="J536" s="46" t="s">
        <v>244</v>
      </c>
      <c r="K536" s="46" t="s">
        <v>68</v>
      </c>
      <c r="L536" s="46"/>
      <c r="M536" s="46"/>
      <c r="N536" s="46"/>
      <c r="O536" s="46"/>
      <c r="P536" s="46">
        <v>1</v>
      </c>
      <c r="Q536" s="46"/>
      <c r="R536" s="46"/>
      <c r="S536" s="46"/>
      <c r="T536" s="46"/>
      <c r="U536" s="46"/>
      <c r="V536" s="46"/>
      <c r="W536" s="46"/>
      <c r="X536" s="46"/>
      <c r="Y536" s="46"/>
      <c r="Z536" s="46" t="s">
        <v>711</v>
      </c>
      <c r="AA536" s="61">
        <v>10</v>
      </c>
      <c r="AB536" s="62">
        <f>IF(OR(G536="ALK",G536="PEM",G536="SOEC",G536="Other Electrolysis"),
AA536/VLOOKUP(G536,ElectrolysisConvF,3,FALSE),
AC536*10^6/(H2dens*HoursInYear))</f>
        <v>2222.2222222222222</v>
      </c>
      <c r="AC536" s="63">
        <f>AB536*H2dens*HoursInYear/10^6</f>
        <v>1.7325333333333333</v>
      </c>
      <c r="AD536" s="62"/>
      <c r="AE536" s="62">
        <f t="shared" si="66"/>
        <v>2222.2222222222222</v>
      </c>
      <c r="AF536" s="64" t="s">
        <v>1933</v>
      </c>
      <c r="AG536" s="49">
        <v>0.3</v>
      </c>
    </row>
    <row r="537" spans="1:33" ht="34.5" customHeight="1" x14ac:dyDescent="0.3">
      <c r="A537" s="46">
        <v>894</v>
      </c>
      <c r="B537" s="46" t="s">
        <v>1934</v>
      </c>
      <c r="C537" s="46" t="s">
        <v>35</v>
      </c>
      <c r="D537" s="60"/>
      <c r="E537" s="60"/>
      <c r="F537" s="46" t="s">
        <v>285</v>
      </c>
      <c r="G537" s="46" t="s">
        <v>159</v>
      </c>
      <c r="H537" s="46" t="s">
        <v>592</v>
      </c>
      <c r="I537" s="46" t="s">
        <v>169</v>
      </c>
      <c r="J537" s="46" t="s">
        <v>246</v>
      </c>
      <c r="K537" s="46" t="s">
        <v>68</v>
      </c>
      <c r="L537" s="46"/>
      <c r="M537" s="46"/>
      <c r="N537" s="46"/>
      <c r="O537" s="46"/>
      <c r="P537" s="46">
        <v>1</v>
      </c>
      <c r="Q537" s="46">
        <v>1</v>
      </c>
      <c r="R537" s="46">
        <v>1</v>
      </c>
      <c r="S537" s="46"/>
      <c r="T537" s="46"/>
      <c r="U537" s="46"/>
      <c r="V537" s="46"/>
      <c r="W537" s="46"/>
      <c r="X537" s="46"/>
      <c r="Y537" s="46"/>
      <c r="Z537" s="46"/>
      <c r="AA537" s="61"/>
      <c r="AB537" s="62"/>
      <c r="AC537" s="63"/>
      <c r="AD537" s="62"/>
      <c r="AE537" s="62">
        <f t="shared" si="66"/>
        <v>0</v>
      </c>
      <c r="AF537" s="64" t="s">
        <v>1935</v>
      </c>
      <c r="AG537" s="49">
        <v>0.55000000000000004</v>
      </c>
    </row>
    <row r="538" spans="1:33" ht="34.5" customHeight="1" x14ac:dyDescent="0.3">
      <c r="A538" s="46">
        <v>895</v>
      </c>
      <c r="B538" s="46" t="s">
        <v>1936</v>
      </c>
      <c r="C538" s="46" t="s">
        <v>321</v>
      </c>
      <c r="D538" s="60">
        <v>2024</v>
      </c>
      <c r="E538" s="60"/>
      <c r="F538" s="46" t="s">
        <v>675</v>
      </c>
      <c r="G538" s="46" t="s">
        <v>159</v>
      </c>
      <c r="H538" s="46" t="s">
        <v>592</v>
      </c>
      <c r="I538" s="46" t="s">
        <v>169</v>
      </c>
      <c r="J538" s="46" t="s">
        <v>248</v>
      </c>
      <c r="K538" s="46" t="s">
        <v>68</v>
      </c>
      <c r="L538" s="46"/>
      <c r="M538" s="46"/>
      <c r="N538" s="46"/>
      <c r="O538" s="46"/>
      <c r="P538" s="46">
        <v>1</v>
      </c>
      <c r="Q538" s="46"/>
      <c r="R538" s="46"/>
      <c r="S538" s="46"/>
      <c r="T538" s="46"/>
      <c r="U538" s="46"/>
      <c r="V538" s="46"/>
      <c r="W538" s="46"/>
      <c r="X538" s="46"/>
      <c r="Y538" s="46"/>
      <c r="Z538" s="46" t="s">
        <v>1937</v>
      </c>
      <c r="AA538" s="61">
        <f>IF(OR(G538="ALK",G538="PEM",G538="SOEC",G538="Other Electrolysis"),
AB538*VLOOKUP(G538,ElectrolysisConvF,3,FALSE),
"")</f>
        <v>0.4617515776512236</v>
      </c>
      <c r="AB538" s="62">
        <f>AC538*10^6/(H2dens*HoursInYear)</f>
        <v>102.61146170027192</v>
      </c>
      <c r="AC538" s="63">
        <v>0.08</v>
      </c>
      <c r="AD538" s="62"/>
      <c r="AE538" s="62">
        <f t="shared" si="66"/>
        <v>102.61146170027192</v>
      </c>
      <c r="AF538" s="64" t="s">
        <v>1938</v>
      </c>
      <c r="AG538" s="49">
        <v>0.5</v>
      </c>
    </row>
    <row r="539" spans="1:33" ht="34.5" customHeight="1" x14ac:dyDescent="0.3">
      <c r="A539" s="46">
        <v>896</v>
      </c>
      <c r="B539" s="46" t="s">
        <v>1939</v>
      </c>
      <c r="C539" s="46" t="s">
        <v>203</v>
      </c>
      <c r="D539" s="60">
        <v>2023</v>
      </c>
      <c r="E539" s="60"/>
      <c r="F539" s="46" t="s">
        <v>675</v>
      </c>
      <c r="G539" s="46" t="s">
        <v>1</v>
      </c>
      <c r="H539" s="46"/>
      <c r="I539" s="46" t="s">
        <v>169</v>
      </c>
      <c r="J539" s="46" t="s">
        <v>69</v>
      </c>
      <c r="K539" s="46" t="s">
        <v>68</v>
      </c>
      <c r="L539" s="46"/>
      <c r="M539" s="46"/>
      <c r="N539" s="46"/>
      <c r="O539" s="46"/>
      <c r="P539" s="46">
        <v>1</v>
      </c>
      <c r="Q539" s="46">
        <v>1</v>
      </c>
      <c r="R539" s="46"/>
      <c r="S539" s="46"/>
      <c r="T539" s="46"/>
      <c r="U539" s="46"/>
      <c r="V539" s="46"/>
      <c r="W539" s="46"/>
      <c r="X539" s="46"/>
      <c r="Y539" s="46"/>
      <c r="Z539" s="46" t="s">
        <v>1228</v>
      </c>
      <c r="AA539" s="61">
        <v>24</v>
      </c>
      <c r="AB539" s="62">
        <f>IF(OR(G539="ALK",G539="PEM",G539="SOEC",G539="Other Electrolysis"),
AA539/VLOOKUP(G539,ElectrolysisConvF,3,FALSE),
AC539*10^6/(H2dens*HoursInYear))</f>
        <v>4615.3846153846152</v>
      </c>
      <c r="AC539" s="63">
        <f>AB539*H2dens*HoursInYear/10^6</f>
        <v>3.5983384615384608</v>
      </c>
      <c r="AD539" s="62"/>
      <c r="AE539" s="62">
        <f t="shared" si="66"/>
        <v>4615.3846153846152</v>
      </c>
      <c r="AF539" s="64" t="s">
        <v>1940</v>
      </c>
      <c r="AG539" s="49">
        <v>0.5</v>
      </c>
    </row>
    <row r="540" spans="1:33" ht="34.5" customHeight="1" x14ac:dyDescent="0.3">
      <c r="A540" s="46">
        <v>898</v>
      </c>
      <c r="B540" s="46" t="s">
        <v>1941</v>
      </c>
      <c r="C540" s="46" t="s">
        <v>39</v>
      </c>
      <c r="D540" s="60">
        <v>2024</v>
      </c>
      <c r="E540" s="60"/>
      <c r="F540" s="46" t="s">
        <v>225</v>
      </c>
      <c r="G540" s="46" t="s">
        <v>159</v>
      </c>
      <c r="H540" s="46" t="s">
        <v>592</v>
      </c>
      <c r="I540" s="46" t="s">
        <v>169</v>
      </c>
      <c r="J540" s="46" t="s">
        <v>245</v>
      </c>
      <c r="K540" s="46" t="s">
        <v>68</v>
      </c>
      <c r="L540" s="46"/>
      <c r="M540" s="46"/>
      <c r="N540" s="46"/>
      <c r="O540" s="46"/>
      <c r="P540" s="46"/>
      <c r="Q540" s="46"/>
      <c r="R540" s="46"/>
      <c r="S540" s="46">
        <v>1</v>
      </c>
      <c r="T540" s="46"/>
      <c r="U540" s="46"/>
      <c r="V540" s="46"/>
      <c r="W540" s="46"/>
      <c r="X540" s="46"/>
      <c r="Y540" s="46"/>
      <c r="Z540" s="46" t="s">
        <v>1168</v>
      </c>
      <c r="AA540" s="61">
        <v>10</v>
      </c>
      <c r="AB540" s="62">
        <f>IF(OR(G540="ALK",G540="PEM",G540="SOEC",G540="Other Electrolysis"),
AA540/VLOOKUP(G540,ElectrolysisConvF,3,FALSE),
AC540*10^6/(H2dens*HoursInYear))</f>
        <v>2222.2222222222222</v>
      </c>
      <c r="AC540" s="63">
        <f>AB540*H2dens*HoursInYear/10^6</f>
        <v>1.7325333333333333</v>
      </c>
      <c r="AD540" s="62"/>
      <c r="AE540" s="62">
        <f t="shared" si="66"/>
        <v>2222.2222222222222</v>
      </c>
      <c r="AF540" s="64" t="s">
        <v>1942</v>
      </c>
      <c r="AG540" s="49">
        <v>0.4</v>
      </c>
    </row>
    <row r="541" spans="1:33" ht="34.5" customHeight="1" x14ac:dyDescent="0.3">
      <c r="A541" s="46">
        <v>899</v>
      </c>
      <c r="B541" s="46" t="s">
        <v>1943</v>
      </c>
      <c r="C541" s="46" t="s">
        <v>65</v>
      </c>
      <c r="D541" s="60">
        <v>2027</v>
      </c>
      <c r="E541" s="60"/>
      <c r="F541" s="46" t="s">
        <v>225</v>
      </c>
      <c r="G541" s="46" t="s">
        <v>159</v>
      </c>
      <c r="H541" s="46" t="s">
        <v>592</v>
      </c>
      <c r="I541" s="46" t="s">
        <v>169</v>
      </c>
      <c r="J541" s="46" t="s">
        <v>248</v>
      </c>
      <c r="K541" s="46" t="s">
        <v>68</v>
      </c>
      <c r="L541" s="46">
        <v>1</v>
      </c>
      <c r="M541" s="46"/>
      <c r="N541" s="46"/>
      <c r="O541" s="46"/>
      <c r="P541" s="46"/>
      <c r="Q541" s="46"/>
      <c r="R541" s="46"/>
      <c r="S541" s="46"/>
      <c r="T541" s="46"/>
      <c r="U541" s="46"/>
      <c r="V541" s="46"/>
      <c r="W541" s="46"/>
      <c r="X541" s="46"/>
      <c r="Y541" s="46"/>
      <c r="Z541" s="46" t="s">
        <v>1257</v>
      </c>
      <c r="AA541" s="61">
        <v>100</v>
      </c>
      <c r="AB541" s="62">
        <f>IF(OR(G541="ALK",G541="PEM",G541="SOEC",G541="Other Electrolysis"),
AA541/VLOOKUP(G541,ElectrolysisConvF,3,FALSE),
AC541*10^6/(H2dens*HoursInYear))</f>
        <v>22222.222222222223</v>
      </c>
      <c r="AC541" s="63">
        <f>AB541*H2dens*HoursInYear/10^6</f>
        <v>17.325333333333333</v>
      </c>
      <c r="AD541" s="62"/>
      <c r="AE541" s="62">
        <f t="shared" si="66"/>
        <v>22222.222222222223</v>
      </c>
      <c r="AF541" s="64" t="s">
        <v>1944</v>
      </c>
      <c r="AG541" s="49">
        <v>0.5</v>
      </c>
    </row>
    <row r="542" spans="1:33" ht="34.5" customHeight="1" x14ac:dyDescent="0.3">
      <c r="A542" s="46">
        <v>900</v>
      </c>
      <c r="B542" s="46" t="s">
        <v>1945</v>
      </c>
      <c r="C542" s="46" t="s">
        <v>203</v>
      </c>
      <c r="D542" s="60">
        <v>2026</v>
      </c>
      <c r="E542" s="60"/>
      <c r="F542" s="46" t="s">
        <v>225</v>
      </c>
      <c r="G542" s="46" t="s">
        <v>159</v>
      </c>
      <c r="H542" s="46" t="s">
        <v>592</v>
      </c>
      <c r="I542" s="46" t="s">
        <v>169</v>
      </c>
      <c r="J542" s="46" t="s">
        <v>248</v>
      </c>
      <c r="K542" s="46" t="s">
        <v>68</v>
      </c>
      <c r="L542" s="46"/>
      <c r="M542" s="46"/>
      <c r="N542" s="46"/>
      <c r="O542" s="46"/>
      <c r="P542" s="46"/>
      <c r="Q542" s="46"/>
      <c r="R542" s="46"/>
      <c r="S542" s="46"/>
      <c r="T542" s="46"/>
      <c r="U542" s="46"/>
      <c r="V542" s="46"/>
      <c r="W542" s="46"/>
      <c r="X542" s="46"/>
      <c r="Y542" s="46"/>
      <c r="Z542" s="46" t="s">
        <v>1257</v>
      </c>
      <c r="AA542" s="61">
        <v>100</v>
      </c>
      <c r="AB542" s="62">
        <f>IF(OR(G542="ALK",G542="PEM",G542="SOEC",G542="Other Electrolysis"),
AA542/VLOOKUP(G542,ElectrolysisConvF,3,FALSE),
AC542*10^6/(H2dens*HoursInYear))</f>
        <v>22222.222222222223</v>
      </c>
      <c r="AC542" s="63">
        <f>AB542*H2dens*HoursInYear/10^6</f>
        <v>17.325333333333333</v>
      </c>
      <c r="AD542" s="62"/>
      <c r="AE542" s="62">
        <f t="shared" si="66"/>
        <v>22222.222222222223</v>
      </c>
      <c r="AF542" s="64" t="s">
        <v>1946</v>
      </c>
      <c r="AG542" s="49">
        <v>0.5</v>
      </c>
    </row>
    <row r="543" spans="1:33" ht="34.5" customHeight="1" x14ac:dyDescent="0.3">
      <c r="A543" s="46">
        <v>902</v>
      </c>
      <c r="B543" s="46" t="s">
        <v>1947</v>
      </c>
      <c r="C543" s="46" t="s">
        <v>39</v>
      </c>
      <c r="D543" s="60">
        <v>2023</v>
      </c>
      <c r="E543" s="60"/>
      <c r="F543" s="46" t="s">
        <v>225</v>
      </c>
      <c r="G543" s="46" t="s">
        <v>159</v>
      </c>
      <c r="H543" s="46" t="s">
        <v>592</v>
      </c>
      <c r="I543" s="46" t="s">
        <v>169</v>
      </c>
      <c r="J543" s="46" t="s">
        <v>244</v>
      </c>
      <c r="K543" s="46" t="s">
        <v>68</v>
      </c>
      <c r="L543" s="46"/>
      <c r="M543" s="46"/>
      <c r="N543" s="46"/>
      <c r="O543" s="46"/>
      <c r="P543" s="46">
        <v>1</v>
      </c>
      <c r="Q543" s="46">
        <v>1</v>
      </c>
      <c r="R543" s="46"/>
      <c r="S543" s="46"/>
      <c r="T543" s="46"/>
      <c r="U543" s="46"/>
      <c r="V543" s="46"/>
      <c r="W543" s="46"/>
      <c r="X543" s="46"/>
      <c r="Y543" s="46"/>
      <c r="Z543" s="46" t="s">
        <v>1948</v>
      </c>
      <c r="AA543" s="61">
        <f>IF(OR(G543="ALK",G543="PEM",G543="SOEC",G543="Other Electrolysis"),
AB543*VLOOKUP(G543,ElectrolysisConvF,3,FALSE),
"")</f>
        <v>1.587271048176081</v>
      </c>
      <c r="AB543" s="62">
        <f>AC543*10^6/(H2dens*HoursInYear)</f>
        <v>352.72689959468471</v>
      </c>
      <c r="AC543" s="63">
        <v>0.27500000000000002</v>
      </c>
      <c r="AD543" s="62"/>
      <c r="AE543" s="62">
        <f t="shared" si="66"/>
        <v>352.72689959468471</v>
      </c>
      <c r="AF543" s="64" t="s">
        <v>1949</v>
      </c>
      <c r="AG543" s="49">
        <v>0.3</v>
      </c>
    </row>
    <row r="544" spans="1:33" ht="34.5" customHeight="1" x14ac:dyDescent="0.3">
      <c r="A544" s="46">
        <v>903</v>
      </c>
      <c r="B544" s="46" t="s">
        <v>1950</v>
      </c>
      <c r="C544" s="46" t="s">
        <v>74</v>
      </c>
      <c r="D544" s="60">
        <v>2025</v>
      </c>
      <c r="E544" s="60"/>
      <c r="F544" s="46" t="s">
        <v>591</v>
      </c>
      <c r="G544" s="46" t="s">
        <v>161</v>
      </c>
      <c r="H544" s="46" t="s">
        <v>1951</v>
      </c>
      <c r="I544" s="46"/>
      <c r="J544" s="46"/>
      <c r="K544" s="46" t="s">
        <v>68</v>
      </c>
      <c r="L544" s="46"/>
      <c r="M544" s="46"/>
      <c r="N544" s="46"/>
      <c r="O544" s="46"/>
      <c r="P544" s="46"/>
      <c r="Q544" s="46">
        <v>1</v>
      </c>
      <c r="R544" s="46"/>
      <c r="S544" s="46"/>
      <c r="T544" s="46"/>
      <c r="U544" s="46"/>
      <c r="V544" s="46"/>
      <c r="W544" s="46"/>
      <c r="X544" s="46"/>
      <c r="Y544" s="46"/>
      <c r="Z544" s="46" t="s">
        <v>1952</v>
      </c>
      <c r="AA544" s="61" t="str">
        <f>IF(OR(G544="ALK",G544="PEM",G544="SOEC",G544="Other Electrolysis"),
AB544*VLOOKUP(G544,ElectrolysisConvF,3,FALSE),
"")</f>
        <v/>
      </c>
      <c r="AB544" s="62">
        <f>AC544*10^6/(H2dens*HoursInYear)</f>
        <v>448.92514493868964</v>
      </c>
      <c r="AC544" s="63">
        <v>0.35</v>
      </c>
      <c r="AD544" s="62"/>
      <c r="AE544" s="62">
        <f t="shared" si="66"/>
        <v>0</v>
      </c>
      <c r="AF544" s="64" t="s">
        <v>1953</v>
      </c>
      <c r="AG544" s="49">
        <v>0.9</v>
      </c>
    </row>
    <row r="545" spans="1:33" ht="34.5" customHeight="1" x14ac:dyDescent="0.3">
      <c r="A545" s="46">
        <v>904</v>
      </c>
      <c r="B545" s="46" t="s">
        <v>1954</v>
      </c>
      <c r="C545" s="46" t="s">
        <v>38</v>
      </c>
      <c r="D545" s="60"/>
      <c r="E545" s="60"/>
      <c r="F545" s="46" t="s">
        <v>225</v>
      </c>
      <c r="G545" s="46" t="s">
        <v>159</v>
      </c>
      <c r="H545" s="46" t="s">
        <v>592</v>
      </c>
      <c r="I545" s="46" t="s">
        <v>169</v>
      </c>
      <c r="J545" s="46" t="s">
        <v>247</v>
      </c>
      <c r="K545" s="46" t="s">
        <v>68</v>
      </c>
      <c r="L545" s="46"/>
      <c r="M545" s="46"/>
      <c r="N545" s="46"/>
      <c r="O545" s="46"/>
      <c r="P545" s="46"/>
      <c r="Q545" s="46"/>
      <c r="R545" s="46"/>
      <c r="S545" s="46"/>
      <c r="T545" s="46"/>
      <c r="U545" s="46"/>
      <c r="V545" s="46"/>
      <c r="W545" s="46"/>
      <c r="X545" s="46"/>
      <c r="Y545" s="46"/>
      <c r="Z545" s="46"/>
      <c r="AA545" s="61"/>
      <c r="AB545" s="62"/>
      <c r="AC545" s="63"/>
      <c r="AD545" s="62"/>
      <c r="AE545" s="62">
        <f t="shared" si="66"/>
        <v>0</v>
      </c>
      <c r="AF545" s="64" t="s">
        <v>1955</v>
      </c>
      <c r="AG545" s="49">
        <v>0.8</v>
      </c>
    </row>
    <row r="546" spans="1:33" ht="34.5" customHeight="1" x14ac:dyDescent="0.3">
      <c r="A546" s="46">
        <v>906</v>
      </c>
      <c r="B546" s="46" t="s">
        <v>1956</v>
      </c>
      <c r="C546" s="46" t="s">
        <v>321</v>
      </c>
      <c r="D546" s="60">
        <v>2025</v>
      </c>
      <c r="E546" s="60"/>
      <c r="F546" s="46" t="s">
        <v>225</v>
      </c>
      <c r="G546" s="46" t="s">
        <v>159</v>
      </c>
      <c r="H546" s="46" t="s">
        <v>592</v>
      </c>
      <c r="I546" s="46" t="s">
        <v>169</v>
      </c>
      <c r="J546" s="46" t="s">
        <v>245</v>
      </c>
      <c r="K546" s="46" t="s">
        <v>68</v>
      </c>
      <c r="L546" s="46"/>
      <c r="M546" s="46"/>
      <c r="N546" s="46"/>
      <c r="O546" s="46"/>
      <c r="P546" s="46"/>
      <c r="Q546" s="46"/>
      <c r="R546" s="46"/>
      <c r="S546" s="46"/>
      <c r="T546" s="46"/>
      <c r="U546" s="46"/>
      <c r="V546" s="46"/>
      <c r="W546" s="46"/>
      <c r="X546" s="46"/>
      <c r="Y546" s="46"/>
      <c r="Z546" s="46" t="s">
        <v>1257</v>
      </c>
      <c r="AA546" s="61">
        <v>100</v>
      </c>
      <c r="AB546" s="62">
        <f t="shared" ref="AB546:AB557" si="67">IF(OR(G546="ALK",G546="PEM",G546="SOEC",G546="Other Electrolysis"),
AA546/VLOOKUP(G546,ElectrolysisConvF,3,FALSE),
AC546*10^6/(H2dens*HoursInYear))</f>
        <v>22222.222222222223</v>
      </c>
      <c r="AC546" s="63">
        <f t="shared" ref="AC546:AC557" si="68">AB546*H2dens*HoursInYear/10^6</f>
        <v>17.325333333333333</v>
      </c>
      <c r="AD546" s="62"/>
      <c r="AE546" s="62">
        <f t="shared" si="66"/>
        <v>22222.222222222223</v>
      </c>
      <c r="AF546" s="64" t="s">
        <v>1957</v>
      </c>
      <c r="AG546" s="49">
        <v>0.4</v>
      </c>
    </row>
    <row r="547" spans="1:33" ht="34.5" customHeight="1" x14ac:dyDescent="0.3">
      <c r="A547" s="46">
        <v>907</v>
      </c>
      <c r="B547" s="46" t="s">
        <v>1958</v>
      </c>
      <c r="C547" s="46" t="s">
        <v>203</v>
      </c>
      <c r="D547" s="60">
        <v>2021</v>
      </c>
      <c r="E547" s="60"/>
      <c r="F547" s="46" t="s">
        <v>226</v>
      </c>
      <c r="G547" s="46" t="s">
        <v>3</v>
      </c>
      <c r="H547" s="46"/>
      <c r="I547" s="46" t="s">
        <v>166</v>
      </c>
      <c r="J547" s="46" t="str">
        <f>IF(I547&lt;&gt;"Dedicated renewable","N/A",)</f>
        <v>N/A</v>
      </c>
      <c r="K547" s="46" t="s">
        <v>68</v>
      </c>
      <c r="L547" s="46"/>
      <c r="M547" s="46"/>
      <c r="N547" s="46"/>
      <c r="O547" s="46"/>
      <c r="P547" s="46"/>
      <c r="Q547" s="46">
        <v>1</v>
      </c>
      <c r="R547" s="46"/>
      <c r="S547" s="46">
        <v>1</v>
      </c>
      <c r="T547" s="46"/>
      <c r="U547" s="46"/>
      <c r="V547" s="46"/>
      <c r="W547" s="46"/>
      <c r="X547" s="46"/>
      <c r="Y547" s="46"/>
      <c r="Z547" s="46" t="s">
        <v>1624</v>
      </c>
      <c r="AA547" s="61">
        <v>0.5</v>
      </c>
      <c r="AB547" s="62">
        <f t="shared" si="67"/>
        <v>108.69565217391305</v>
      </c>
      <c r="AC547" s="63">
        <f t="shared" si="68"/>
        <v>8.4743478260869559E-2</v>
      </c>
      <c r="AD547" s="62"/>
      <c r="AE547" s="62">
        <f t="shared" si="66"/>
        <v>108.69565217391305</v>
      </c>
      <c r="AF547" s="64" t="s">
        <v>1959</v>
      </c>
      <c r="AG547" s="49">
        <v>0.56999999999999995</v>
      </c>
    </row>
    <row r="548" spans="1:33" ht="34.5" customHeight="1" x14ac:dyDescent="0.3">
      <c r="A548" s="46">
        <v>908</v>
      </c>
      <c r="B548" s="46" t="s">
        <v>1960</v>
      </c>
      <c r="C548" s="46" t="s">
        <v>321</v>
      </c>
      <c r="D548" s="60">
        <v>2024</v>
      </c>
      <c r="E548" s="60"/>
      <c r="F548" s="46" t="s">
        <v>225</v>
      </c>
      <c r="G548" s="46" t="s">
        <v>159</v>
      </c>
      <c r="H548" s="46" t="s">
        <v>592</v>
      </c>
      <c r="I548" s="46" t="s">
        <v>169</v>
      </c>
      <c r="J548" s="46" t="s">
        <v>244</v>
      </c>
      <c r="K548" s="46" t="s">
        <v>68</v>
      </c>
      <c r="L548" s="46"/>
      <c r="M548" s="46"/>
      <c r="N548" s="46"/>
      <c r="O548" s="46"/>
      <c r="P548" s="46"/>
      <c r="Q548" s="46"/>
      <c r="R548" s="46"/>
      <c r="S548" s="46"/>
      <c r="T548" s="46"/>
      <c r="U548" s="46"/>
      <c r="V548" s="46"/>
      <c r="W548" s="46"/>
      <c r="X548" s="46"/>
      <c r="Y548" s="46"/>
      <c r="Z548" s="46" t="s">
        <v>1828</v>
      </c>
      <c r="AA548" s="61">
        <v>4</v>
      </c>
      <c r="AB548" s="62">
        <f t="shared" si="67"/>
        <v>888.88888888888891</v>
      </c>
      <c r="AC548" s="63">
        <f t="shared" si="68"/>
        <v>0.69301333333333337</v>
      </c>
      <c r="AD548" s="62"/>
      <c r="AE548" s="62">
        <f t="shared" si="66"/>
        <v>888.88888888888891</v>
      </c>
      <c r="AF548" s="64" t="s">
        <v>1961</v>
      </c>
      <c r="AG548" s="49">
        <v>0.3</v>
      </c>
    </row>
    <row r="549" spans="1:33" ht="34.5" customHeight="1" x14ac:dyDescent="0.3">
      <c r="A549" s="46">
        <v>909</v>
      </c>
      <c r="B549" s="46" t="s">
        <v>1962</v>
      </c>
      <c r="C549" s="46" t="s">
        <v>321</v>
      </c>
      <c r="D549" s="60">
        <v>2024</v>
      </c>
      <c r="E549" s="60"/>
      <c r="F549" s="46" t="s">
        <v>225</v>
      </c>
      <c r="G549" s="46" t="s">
        <v>159</v>
      </c>
      <c r="H549" s="46" t="s">
        <v>592</v>
      </c>
      <c r="I549" s="46" t="s">
        <v>169</v>
      </c>
      <c r="J549" s="46" t="s">
        <v>244</v>
      </c>
      <c r="K549" s="46" t="s">
        <v>68</v>
      </c>
      <c r="L549" s="46"/>
      <c r="M549" s="46"/>
      <c r="N549" s="46"/>
      <c r="O549" s="46"/>
      <c r="P549" s="46"/>
      <c r="Q549" s="46"/>
      <c r="R549" s="46"/>
      <c r="S549" s="46"/>
      <c r="T549" s="46"/>
      <c r="U549" s="46"/>
      <c r="V549" s="46"/>
      <c r="W549" s="46"/>
      <c r="X549" s="46"/>
      <c r="Y549" s="46"/>
      <c r="Z549" s="46" t="s">
        <v>1828</v>
      </c>
      <c r="AA549" s="61">
        <v>4</v>
      </c>
      <c r="AB549" s="62">
        <f t="shared" si="67"/>
        <v>888.88888888888891</v>
      </c>
      <c r="AC549" s="63">
        <f t="shared" si="68"/>
        <v>0.69301333333333337</v>
      </c>
      <c r="AD549" s="62"/>
      <c r="AE549" s="62">
        <f t="shared" si="66"/>
        <v>888.88888888888891</v>
      </c>
      <c r="AF549" s="64" t="s">
        <v>1961</v>
      </c>
      <c r="AG549" s="49">
        <v>0.3</v>
      </c>
    </row>
    <row r="550" spans="1:33" ht="34.5" customHeight="1" x14ac:dyDescent="0.3">
      <c r="A550" s="46">
        <v>910</v>
      </c>
      <c r="B550" s="46" t="s">
        <v>1963</v>
      </c>
      <c r="C550" s="46" t="s">
        <v>321</v>
      </c>
      <c r="D550" s="60">
        <v>2024</v>
      </c>
      <c r="E550" s="60"/>
      <c r="F550" s="46" t="s">
        <v>225</v>
      </c>
      <c r="G550" s="46" t="s">
        <v>159</v>
      </c>
      <c r="H550" s="46" t="s">
        <v>592</v>
      </c>
      <c r="I550" s="46" t="s">
        <v>169</v>
      </c>
      <c r="J550" s="46" t="s">
        <v>244</v>
      </c>
      <c r="K550" s="46" t="s">
        <v>68</v>
      </c>
      <c r="L550" s="46"/>
      <c r="M550" s="46"/>
      <c r="N550" s="46"/>
      <c r="O550" s="46"/>
      <c r="P550" s="46"/>
      <c r="Q550" s="46"/>
      <c r="R550" s="46"/>
      <c r="S550" s="46"/>
      <c r="T550" s="46"/>
      <c r="U550" s="46"/>
      <c r="V550" s="46"/>
      <c r="W550" s="46"/>
      <c r="X550" s="46"/>
      <c r="Y550" s="46"/>
      <c r="Z550" s="46" t="s">
        <v>1257</v>
      </c>
      <c r="AA550" s="61">
        <v>100</v>
      </c>
      <c r="AB550" s="62">
        <f t="shared" si="67"/>
        <v>22222.222222222223</v>
      </c>
      <c r="AC550" s="63">
        <f t="shared" si="68"/>
        <v>17.325333333333333</v>
      </c>
      <c r="AD550" s="62"/>
      <c r="AE550" s="62">
        <f t="shared" si="66"/>
        <v>22222.222222222223</v>
      </c>
      <c r="AF550" s="64" t="s">
        <v>1961</v>
      </c>
      <c r="AG550" s="49">
        <v>0.3</v>
      </c>
    </row>
    <row r="551" spans="1:33" ht="34.5" customHeight="1" x14ac:dyDescent="0.3">
      <c r="A551" s="46">
        <v>911</v>
      </c>
      <c r="B551" s="46" t="s">
        <v>1964</v>
      </c>
      <c r="C551" s="46" t="s">
        <v>321</v>
      </c>
      <c r="D551" s="60">
        <v>2024</v>
      </c>
      <c r="E551" s="60"/>
      <c r="F551" s="46" t="s">
        <v>225</v>
      </c>
      <c r="G551" s="46" t="s">
        <v>159</v>
      </c>
      <c r="H551" s="46" t="s">
        <v>592</v>
      </c>
      <c r="I551" s="46" t="s">
        <v>169</v>
      </c>
      <c r="J551" s="46" t="s">
        <v>245</v>
      </c>
      <c r="K551" s="46" t="s">
        <v>68</v>
      </c>
      <c r="L551" s="46"/>
      <c r="M551" s="46"/>
      <c r="N551" s="46"/>
      <c r="O551" s="46"/>
      <c r="P551" s="46"/>
      <c r="Q551" s="46"/>
      <c r="R551" s="46"/>
      <c r="S551" s="46"/>
      <c r="T551" s="46"/>
      <c r="U551" s="46"/>
      <c r="V551" s="46"/>
      <c r="W551" s="46"/>
      <c r="X551" s="46"/>
      <c r="Y551" s="46"/>
      <c r="Z551" s="46" t="s">
        <v>1965</v>
      </c>
      <c r="AA551" s="61">
        <v>7.2</v>
      </c>
      <c r="AB551" s="62">
        <f t="shared" si="67"/>
        <v>1600.0000000000002</v>
      </c>
      <c r="AC551" s="63">
        <f t="shared" si="68"/>
        <v>1.2474240000000001</v>
      </c>
      <c r="AD551" s="62"/>
      <c r="AE551" s="62">
        <f t="shared" si="66"/>
        <v>1600.0000000000002</v>
      </c>
      <c r="AF551" s="64" t="s">
        <v>1961</v>
      </c>
      <c r="AG551" s="49">
        <v>0.4</v>
      </c>
    </row>
    <row r="552" spans="1:33" ht="34.5" customHeight="1" x14ac:dyDescent="0.3">
      <c r="A552" s="46">
        <v>912</v>
      </c>
      <c r="B552" s="46" t="s">
        <v>1966</v>
      </c>
      <c r="C552" s="46" t="s">
        <v>321</v>
      </c>
      <c r="D552" s="60">
        <v>2024</v>
      </c>
      <c r="E552" s="60"/>
      <c r="F552" s="46" t="s">
        <v>225</v>
      </c>
      <c r="G552" s="46" t="s">
        <v>159</v>
      </c>
      <c r="H552" s="46" t="s">
        <v>592</v>
      </c>
      <c r="I552" s="46" t="s">
        <v>169</v>
      </c>
      <c r="J552" s="46" t="s">
        <v>244</v>
      </c>
      <c r="K552" s="46" t="s">
        <v>68</v>
      </c>
      <c r="L552" s="46"/>
      <c r="M552" s="46"/>
      <c r="N552" s="46"/>
      <c r="O552" s="46"/>
      <c r="P552" s="46"/>
      <c r="Q552" s="46"/>
      <c r="R552" s="46"/>
      <c r="S552" s="46"/>
      <c r="T552" s="46"/>
      <c r="U552" s="46"/>
      <c r="V552" s="46"/>
      <c r="W552" s="46"/>
      <c r="X552" s="46"/>
      <c r="Y552" s="46"/>
      <c r="Z552" s="46" t="s">
        <v>981</v>
      </c>
      <c r="AA552" s="61">
        <v>20</v>
      </c>
      <c r="AB552" s="62">
        <f t="shared" si="67"/>
        <v>4444.4444444444443</v>
      </c>
      <c r="AC552" s="63">
        <f t="shared" si="68"/>
        <v>3.4650666666666665</v>
      </c>
      <c r="AD552" s="62"/>
      <c r="AE552" s="62">
        <f t="shared" si="66"/>
        <v>4444.4444444444443</v>
      </c>
      <c r="AF552" s="64" t="s">
        <v>1961</v>
      </c>
      <c r="AG552" s="49">
        <v>0.3</v>
      </c>
    </row>
    <row r="553" spans="1:33" ht="34.5" customHeight="1" x14ac:dyDescent="0.3">
      <c r="A553" s="46">
        <v>913</v>
      </c>
      <c r="B553" s="46" t="s">
        <v>1967</v>
      </c>
      <c r="C553" s="46" t="s">
        <v>321</v>
      </c>
      <c r="D553" s="60">
        <v>2024</v>
      </c>
      <c r="E553" s="60"/>
      <c r="F553" s="46" t="s">
        <v>225</v>
      </c>
      <c r="G553" s="46" t="s">
        <v>159</v>
      </c>
      <c r="H553" s="46" t="s">
        <v>592</v>
      </c>
      <c r="I553" s="46" t="s">
        <v>169</v>
      </c>
      <c r="J553" s="46" t="s">
        <v>248</v>
      </c>
      <c r="K553" s="46" t="s">
        <v>68</v>
      </c>
      <c r="L553" s="46"/>
      <c r="M553" s="46"/>
      <c r="N553" s="46"/>
      <c r="O553" s="46"/>
      <c r="P553" s="46"/>
      <c r="Q553" s="46"/>
      <c r="R553" s="46"/>
      <c r="S553" s="46"/>
      <c r="T553" s="46"/>
      <c r="U553" s="46"/>
      <c r="V553" s="46"/>
      <c r="W553" s="46"/>
      <c r="X553" s="46"/>
      <c r="Y553" s="46"/>
      <c r="Z553" s="46" t="s">
        <v>1350</v>
      </c>
      <c r="AA553" s="61">
        <v>60</v>
      </c>
      <c r="AB553" s="62">
        <f t="shared" si="67"/>
        <v>13333.333333333334</v>
      </c>
      <c r="AC553" s="63">
        <f t="shared" si="68"/>
        <v>10.395200000000001</v>
      </c>
      <c r="AD553" s="62"/>
      <c r="AE553" s="62">
        <f t="shared" si="66"/>
        <v>13333.333333333334</v>
      </c>
      <c r="AF553" s="64" t="s">
        <v>1961</v>
      </c>
      <c r="AG553" s="49">
        <v>0.5</v>
      </c>
    </row>
    <row r="554" spans="1:33" ht="34.5" customHeight="1" x14ac:dyDescent="0.3">
      <c r="A554" s="46">
        <v>914</v>
      </c>
      <c r="B554" s="46" t="s">
        <v>1968</v>
      </c>
      <c r="C554" s="46" t="s">
        <v>321</v>
      </c>
      <c r="D554" s="60">
        <v>2024</v>
      </c>
      <c r="E554" s="60"/>
      <c r="F554" s="46" t="s">
        <v>225</v>
      </c>
      <c r="G554" s="46" t="s">
        <v>159</v>
      </c>
      <c r="H554" s="46" t="s">
        <v>592</v>
      </c>
      <c r="I554" s="46" t="s">
        <v>169</v>
      </c>
      <c r="J554" s="46" t="s">
        <v>244</v>
      </c>
      <c r="K554" s="46" t="s">
        <v>68</v>
      </c>
      <c r="L554" s="46"/>
      <c r="M554" s="46"/>
      <c r="N554" s="46"/>
      <c r="O554" s="46"/>
      <c r="P554" s="46"/>
      <c r="Q554" s="46"/>
      <c r="R554" s="46"/>
      <c r="S554" s="46"/>
      <c r="T554" s="46"/>
      <c r="U554" s="46"/>
      <c r="V554" s="46"/>
      <c r="W554" s="46"/>
      <c r="X554" s="46"/>
      <c r="Y554" s="46"/>
      <c r="Z554" s="46" t="s">
        <v>981</v>
      </c>
      <c r="AA554" s="61">
        <v>20</v>
      </c>
      <c r="AB554" s="62">
        <f t="shared" si="67"/>
        <v>4444.4444444444443</v>
      </c>
      <c r="AC554" s="63">
        <f t="shared" si="68"/>
        <v>3.4650666666666665</v>
      </c>
      <c r="AD554" s="62"/>
      <c r="AE554" s="62">
        <f t="shared" si="66"/>
        <v>4444.4444444444443</v>
      </c>
      <c r="AF554" s="64" t="s">
        <v>1961</v>
      </c>
      <c r="AG554" s="49">
        <v>0.3</v>
      </c>
    </row>
    <row r="555" spans="1:33" ht="34.5" customHeight="1" x14ac:dyDescent="0.3">
      <c r="A555" s="46">
        <v>915</v>
      </c>
      <c r="B555" s="46" t="s">
        <v>1969</v>
      </c>
      <c r="C555" s="46" t="s">
        <v>321</v>
      </c>
      <c r="D555" s="60">
        <v>2025</v>
      </c>
      <c r="E555" s="60"/>
      <c r="F555" s="46" t="s">
        <v>225</v>
      </c>
      <c r="G555" s="46" t="s">
        <v>159</v>
      </c>
      <c r="H555" s="46" t="s">
        <v>592</v>
      </c>
      <c r="I555" s="46" t="s">
        <v>169</v>
      </c>
      <c r="J555" s="46" t="s">
        <v>244</v>
      </c>
      <c r="K555" s="46" t="s">
        <v>68</v>
      </c>
      <c r="L555" s="46"/>
      <c r="M555" s="46"/>
      <c r="N555" s="46"/>
      <c r="O555" s="46"/>
      <c r="P555" s="46"/>
      <c r="Q555" s="46"/>
      <c r="R555" s="46"/>
      <c r="S555" s="46"/>
      <c r="T555" s="46"/>
      <c r="U555" s="46"/>
      <c r="V555" s="46"/>
      <c r="W555" s="46"/>
      <c r="X555" s="46"/>
      <c r="Y555" s="46"/>
      <c r="Z555" s="46" t="s">
        <v>665</v>
      </c>
      <c r="AA555" s="61">
        <v>7</v>
      </c>
      <c r="AB555" s="62">
        <f t="shared" si="67"/>
        <v>1555.5555555555557</v>
      </c>
      <c r="AC555" s="63">
        <f t="shared" si="68"/>
        <v>1.2127733333333335</v>
      </c>
      <c r="AD555" s="62"/>
      <c r="AE555" s="62">
        <f t="shared" si="66"/>
        <v>1555.5555555555557</v>
      </c>
      <c r="AF555" s="64" t="s">
        <v>1961</v>
      </c>
      <c r="AG555" s="49">
        <v>0.3</v>
      </c>
    </row>
    <row r="556" spans="1:33" ht="34.5" customHeight="1" x14ac:dyDescent="0.3">
      <c r="A556" s="46">
        <v>916</v>
      </c>
      <c r="B556" s="46" t="s">
        <v>1970</v>
      </c>
      <c r="C556" s="46" t="s">
        <v>321</v>
      </c>
      <c r="D556" s="60">
        <v>2025</v>
      </c>
      <c r="E556" s="60"/>
      <c r="F556" s="46" t="s">
        <v>225</v>
      </c>
      <c r="G556" s="46" t="s">
        <v>159</v>
      </c>
      <c r="H556" s="46" t="s">
        <v>592</v>
      </c>
      <c r="I556" s="46" t="s">
        <v>169</v>
      </c>
      <c r="J556" s="46" t="s">
        <v>248</v>
      </c>
      <c r="K556" s="46" t="s">
        <v>68</v>
      </c>
      <c r="L556" s="46"/>
      <c r="M556" s="46"/>
      <c r="N556" s="46"/>
      <c r="O556" s="46"/>
      <c r="P556" s="46"/>
      <c r="Q556" s="46"/>
      <c r="R556" s="46"/>
      <c r="S556" s="46"/>
      <c r="T556" s="46"/>
      <c r="U556" s="46"/>
      <c r="V556" s="46"/>
      <c r="W556" s="46"/>
      <c r="X556" s="46"/>
      <c r="Y556" s="46"/>
      <c r="Z556" s="46" t="s">
        <v>1168</v>
      </c>
      <c r="AA556" s="61">
        <v>10</v>
      </c>
      <c r="AB556" s="62">
        <f t="shared" si="67"/>
        <v>2222.2222222222222</v>
      </c>
      <c r="AC556" s="63">
        <f t="shared" si="68"/>
        <v>1.7325333333333333</v>
      </c>
      <c r="AD556" s="62"/>
      <c r="AE556" s="62">
        <f t="shared" si="66"/>
        <v>2222.2222222222222</v>
      </c>
      <c r="AF556" s="64" t="s">
        <v>1961</v>
      </c>
      <c r="AG556" s="49">
        <v>0.5</v>
      </c>
    </row>
    <row r="557" spans="1:33" ht="34.5" customHeight="1" x14ac:dyDescent="0.3">
      <c r="A557" s="46">
        <v>917</v>
      </c>
      <c r="B557" s="46" t="s">
        <v>1971</v>
      </c>
      <c r="C557" s="46" t="s">
        <v>321</v>
      </c>
      <c r="D557" s="60">
        <v>2024</v>
      </c>
      <c r="E557" s="60"/>
      <c r="F557" s="46" t="s">
        <v>225</v>
      </c>
      <c r="G557" s="46" t="s">
        <v>159</v>
      </c>
      <c r="H557" s="46" t="s">
        <v>592</v>
      </c>
      <c r="I557" s="46" t="s">
        <v>169</v>
      </c>
      <c r="J557" s="46" t="s">
        <v>244</v>
      </c>
      <c r="K557" s="46" t="s">
        <v>68</v>
      </c>
      <c r="L557" s="46"/>
      <c r="M557" s="46"/>
      <c r="N557" s="46"/>
      <c r="O557" s="46"/>
      <c r="P557" s="46"/>
      <c r="Q557" s="46"/>
      <c r="R557" s="46"/>
      <c r="S557" s="46"/>
      <c r="T557" s="46"/>
      <c r="U557" s="46"/>
      <c r="V557" s="46"/>
      <c r="W557" s="46"/>
      <c r="X557" s="46"/>
      <c r="Y557" s="46"/>
      <c r="Z557" s="46" t="s">
        <v>1972</v>
      </c>
      <c r="AA557" s="61">
        <v>8</v>
      </c>
      <c r="AB557" s="62">
        <f t="shared" si="67"/>
        <v>1777.7777777777778</v>
      </c>
      <c r="AC557" s="63">
        <f t="shared" si="68"/>
        <v>1.3860266666666667</v>
      </c>
      <c r="AD557" s="62"/>
      <c r="AE557" s="62">
        <f t="shared" si="66"/>
        <v>1777.7777777777778</v>
      </c>
      <c r="AF557" s="64" t="s">
        <v>1961</v>
      </c>
      <c r="AG557" s="49">
        <v>0.3</v>
      </c>
    </row>
    <row r="558" spans="1:33" ht="34.5" customHeight="1" x14ac:dyDescent="0.3">
      <c r="A558" s="46">
        <v>918</v>
      </c>
      <c r="B558" s="46" t="s">
        <v>1973</v>
      </c>
      <c r="C558" s="46" t="s">
        <v>321</v>
      </c>
      <c r="D558" s="60"/>
      <c r="E558" s="60"/>
      <c r="F558" s="46" t="s">
        <v>225</v>
      </c>
      <c r="G558" s="46" t="s">
        <v>159</v>
      </c>
      <c r="H558" s="46" t="s">
        <v>592</v>
      </c>
      <c r="I558" s="46" t="s">
        <v>169</v>
      </c>
      <c r="J558" s="46" t="s">
        <v>246</v>
      </c>
      <c r="K558" s="46" t="s">
        <v>68</v>
      </c>
      <c r="L558" s="46"/>
      <c r="M558" s="46"/>
      <c r="N558" s="46"/>
      <c r="O558" s="46"/>
      <c r="P558" s="46">
        <v>1</v>
      </c>
      <c r="Q558" s="46"/>
      <c r="R558" s="46"/>
      <c r="S558" s="46"/>
      <c r="T558" s="46"/>
      <c r="U558" s="46"/>
      <c r="V558" s="46"/>
      <c r="W558" s="46"/>
      <c r="X558" s="46"/>
      <c r="Y558" s="46"/>
      <c r="Z558" s="46" t="s">
        <v>1396</v>
      </c>
      <c r="AA558" s="61">
        <v>5</v>
      </c>
      <c r="AB558" s="62">
        <f>AA558/0.0045</f>
        <v>1111.1111111111111</v>
      </c>
      <c r="AC558" s="63">
        <f>AB558*H2dens*HoursInYear/10^6</f>
        <v>0.86626666666666663</v>
      </c>
      <c r="AD558" s="62"/>
      <c r="AE558" s="62">
        <f>AB558</f>
        <v>1111.1111111111111</v>
      </c>
      <c r="AF558" s="64" t="s">
        <v>1974</v>
      </c>
      <c r="AG558" s="49">
        <v>0.55000000000000004</v>
      </c>
    </row>
    <row r="559" spans="1:33" ht="34.5" customHeight="1" x14ac:dyDescent="0.3">
      <c r="A559" s="46">
        <v>919</v>
      </c>
      <c r="B559" s="46" t="s">
        <v>1975</v>
      </c>
      <c r="C559" s="46" t="s">
        <v>321</v>
      </c>
      <c r="D559" s="60"/>
      <c r="E559" s="60"/>
      <c r="F559" s="46" t="s">
        <v>225</v>
      </c>
      <c r="G559" s="46" t="s">
        <v>159</v>
      </c>
      <c r="H559" s="46" t="s">
        <v>592</v>
      </c>
      <c r="I559" s="46" t="s">
        <v>169</v>
      </c>
      <c r="J559" s="46" t="s">
        <v>246</v>
      </c>
      <c r="K559" s="46" t="s">
        <v>68</v>
      </c>
      <c r="L559" s="46"/>
      <c r="M559" s="46"/>
      <c r="N559" s="46"/>
      <c r="O559" s="46"/>
      <c r="P559" s="46">
        <v>1</v>
      </c>
      <c r="Q559" s="46"/>
      <c r="R559" s="46"/>
      <c r="S559" s="46"/>
      <c r="T559" s="46"/>
      <c r="U559" s="46"/>
      <c r="V559" s="46"/>
      <c r="W559" s="46"/>
      <c r="X559" s="46"/>
      <c r="Y559" s="46"/>
      <c r="Z559" s="46" t="s">
        <v>1976</v>
      </c>
      <c r="AA559" s="61">
        <v>100</v>
      </c>
      <c r="AB559" s="62">
        <f>AA559/0.0045</f>
        <v>22222.222222222223</v>
      </c>
      <c r="AC559" s="63">
        <f>AB559*H2dens*HoursInYear/10^6</f>
        <v>17.325333333333333</v>
      </c>
      <c r="AD559" s="62"/>
      <c r="AE559" s="62">
        <f>AB559</f>
        <v>22222.222222222223</v>
      </c>
      <c r="AF559" s="64" t="s">
        <v>1974</v>
      </c>
      <c r="AG559" s="49">
        <v>0.55000000000000004</v>
      </c>
    </row>
    <row r="560" spans="1:33" ht="34.5" customHeight="1" x14ac:dyDescent="0.3">
      <c r="A560" s="46">
        <v>920</v>
      </c>
      <c r="B560" s="46" t="s">
        <v>1977</v>
      </c>
      <c r="C560" s="46" t="s">
        <v>46</v>
      </c>
      <c r="D560" s="60">
        <v>2030</v>
      </c>
      <c r="E560" s="60"/>
      <c r="F560" s="46" t="s">
        <v>225</v>
      </c>
      <c r="G560" s="46" t="s">
        <v>161</v>
      </c>
      <c r="H560" s="46" t="s">
        <v>882</v>
      </c>
      <c r="I560" s="46"/>
      <c r="J560" s="46"/>
      <c r="K560" s="46" t="s">
        <v>68</v>
      </c>
      <c r="L560" s="46">
        <v>1</v>
      </c>
      <c r="M560" s="46"/>
      <c r="N560" s="46"/>
      <c r="O560" s="46"/>
      <c r="P560" s="46">
        <v>1</v>
      </c>
      <c r="Q560" s="46">
        <v>1</v>
      </c>
      <c r="R560" s="46">
        <v>1</v>
      </c>
      <c r="S560" s="46">
        <v>1</v>
      </c>
      <c r="T560" s="46"/>
      <c r="U560" s="46"/>
      <c r="V560" s="46"/>
      <c r="W560" s="46"/>
      <c r="X560" s="46"/>
      <c r="Y560" s="46"/>
      <c r="Z560" s="46" t="s">
        <v>1978</v>
      </c>
      <c r="AA560" s="61"/>
      <c r="AB560" s="62">
        <f>AC560/365/24/0.089*10^6</f>
        <v>1038941.0497152532</v>
      </c>
      <c r="AC560" s="63">
        <f>(30-3)*3.6/0.12</f>
        <v>810</v>
      </c>
      <c r="AD560" s="62">
        <v>7290000</v>
      </c>
      <c r="AE560" s="62">
        <f>IF(AND(G560&lt;&gt;"NG w CCUS",G560&lt;&gt;"Oil w CCUS",G560&lt;&gt;"Coal w CCUS"),AB560,AD560*10^3/(HoursInYear*IF(G560="NG w CCUS",0.9105,1.9075)))</f>
        <v>913994.26778903662</v>
      </c>
      <c r="AF560" s="64" t="s">
        <v>887</v>
      </c>
      <c r="AG560" s="49">
        <v>0.9</v>
      </c>
    </row>
    <row r="561" spans="1:33" ht="34.5" customHeight="1" x14ac:dyDescent="0.3">
      <c r="A561" s="46">
        <v>921</v>
      </c>
      <c r="B561" s="46" t="s">
        <v>1979</v>
      </c>
      <c r="C561" s="46" t="s">
        <v>34</v>
      </c>
      <c r="D561" s="60">
        <v>2024</v>
      </c>
      <c r="E561" s="60"/>
      <c r="F561" s="46" t="s">
        <v>675</v>
      </c>
      <c r="G561" s="46" t="s">
        <v>3</v>
      </c>
      <c r="H561" s="46"/>
      <c r="I561" s="46" t="s">
        <v>166</v>
      </c>
      <c r="J561" s="46"/>
      <c r="K561" s="46" t="s">
        <v>68</v>
      </c>
      <c r="L561" s="46"/>
      <c r="M561" s="46"/>
      <c r="N561" s="46"/>
      <c r="O561" s="46"/>
      <c r="P561" s="46"/>
      <c r="Q561" s="46">
        <v>1</v>
      </c>
      <c r="R561" s="46"/>
      <c r="S561" s="46"/>
      <c r="T561" s="46"/>
      <c r="U561" s="46"/>
      <c r="V561" s="46"/>
      <c r="W561" s="46"/>
      <c r="X561" s="46"/>
      <c r="Y561" s="46"/>
      <c r="Z561" s="46" t="s">
        <v>1327</v>
      </c>
      <c r="AA561" s="61">
        <v>1</v>
      </c>
      <c r="AB561" s="62">
        <f>IF(OR(G561="ALK",G561="PEM",G561="SOEC",G561="Other Electrolysis"),
AA561/VLOOKUP(G561,ElectrolysisConvF,3,FALSE),
AC561*10^6/(H2dens*HoursInYear))</f>
        <v>217.39130434782609</v>
      </c>
      <c r="AC561" s="63">
        <f>AB561*H2dens*HoursInYear/10^6</f>
        <v>0.16948695652173912</v>
      </c>
      <c r="AD561" s="62"/>
      <c r="AE561" s="62">
        <f>IF(AND(G561&lt;&gt;"NG w CCUS",G561&lt;&gt;"Oil w CCUS",G561&lt;&gt;"Coal w CCUS"),AB561,AD561*10^3/(HoursInYear*IF(G561="NG w CCUS",0.9105,1.9075)))</f>
        <v>217.39130434782609</v>
      </c>
      <c r="AF561" s="64" t="s">
        <v>1980</v>
      </c>
      <c r="AG561" s="49">
        <v>0.56999999999999995</v>
      </c>
    </row>
    <row r="562" spans="1:33" ht="34.5" customHeight="1" x14ac:dyDescent="0.3">
      <c r="A562" s="46">
        <v>922</v>
      </c>
      <c r="B562" s="46" t="s">
        <v>1981</v>
      </c>
      <c r="C562" s="46" t="s">
        <v>321</v>
      </c>
      <c r="D562" s="60">
        <v>2026</v>
      </c>
      <c r="E562" s="60"/>
      <c r="F562" s="46" t="s">
        <v>225</v>
      </c>
      <c r="G562" s="46" t="s">
        <v>1</v>
      </c>
      <c r="H562" s="46"/>
      <c r="I562" s="46" t="s">
        <v>169</v>
      </c>
      <c r="J562" s="46" t="s">
        <v>248</v>
      </c>
      <c r="K562" s="46" t="s">
        <v>141</v>
      </c>
      <c r="L562" s="46"/>
      <c r="M562" s="46"/>
      <c r="N562" s="46"/>
      <c r="O562" s="46"/>
      <c r="P562" s="46"/>
      <c r="Q562" s="46"/>
      <c r="R562" s="46"/>
      <c r="S562" s="46"/>
      <c r="T562" s="46"/>
      <c r="U562" s="46"/>
      <c r="V562" s="46"/>
      <c r="W562" s="46"/>
      <c r="X562" s="46"/>
      <c r="Y562" s="46"/>
      <c r="Z562" s="46"/>
      <c r="AA562" s="61"/>
      <c r="AB562" s="62"/>
      <c r="AC562" s="63"/>
      <c r="AD562" s="62"/>
      <c r="AE562" s="62"/>
      <c r="AF562" s="64" t="s">
        <v>1982</v>
      </c>
      <c r="AG562" s="49">
        <v>0.5</v>
      </c>
    </row>
    <row r="563" spans="1:33" ht="34.5" customHeight="1" x14ac:dyDescent="0.3">
      <c r="A563" s="46">
        <v>923</v>
      </c>
      <c r="B563" s="46" t="s">
        <v>1983</v>
      </c>
      <c r="C563" s="46" t="s">
        <v>39</v>
      </c>
      <c r="D563" s="60"/>
      <c r="E563" s="60"/>
      <c r="F563" s="46" t="s">
        <v>591</v>
      </c>
      <c r="G563" s="46" t="s">
        <v>153</v>
      </c>
      <c r="H563" s="46" t="s">
        <v>1715</v>
      </c>
      <c r="I563" s="46"/>
      <c r="J563" s="46"/>
      <c r="K563" s="46" t="s">
        <v>68</v>
      </c>
      <c r="L563" s="46"/>
      <c r="M563" s="46"/>
      <c r="N563" s="46"/>
      <c r="O563" s="46"/>
      <c r="P563" s="46"/>
      <c r="Q563" s="46">
        <v>1</v>
      </c>
      <c r="R563" s="46"/>
      <c r="S563" s="46"/>
      <c r="T563" s="46"/>
      <c r="U563" s="46"/>
      <c r="V563" s="46"/>
      <c r="W563" s="46"/>
      <c r="X563" s="46"/>
      <c r="Y563" s="46"/>
      <c r="Z563" s="46" t="s">
        <v>1984</v>
      </c>
      <c r="AA563" s="61" t="str">
        <f>IF(OR(G563="ALK",G563="PEM",G563="SOEC",G563="Other Electrolysis"),
AB563*VLOOKUP(G563,ElectrolysisConvF,3,FALSE),
"")</f>
        <v/>
      </c>
      <c r="AB563" s="62">
        <f>IF(OR(G563="ALK",G563="PEM",G563="SOEC",G563="Other Electrolysis"),
AA563/VLOOKUP(G563,ElectrolysisConvF,3,FALSE),
AC563*10^6/(H2dens*HoursInYear))</f>
        <v>93632.958801498127</v>
      </c>
      <c r="AC563" s="63">
        <f>20*365/100</f>
        <v>73</v>
      </c>
      <c r="AD563" s="62"/>
      <c r="AE563" s="62">
        <f>AB563</f>
        <v>93632.958801498127</v>
      </c>
      <c r="AF563" s="64" t="s">
        <v>1985</v>
      </c>
      <c r="AG563" s="49">
        <v>0.9</v>
      </c>
    </row>
    <row r="564" spans="1:33" ht="34.5" customHeight="1" x14ac:dyDescent="0.3">
      <c r="A564" s="46">
        <v>924</v>
      </c>
      <c r="B564" s="46" t="s">
        <v>1986</v>
      </c>
      <c r="C564" s="46" t="s">
        <v>39</v>
      </c>
      <c r="D564" s="60">
        <v>2023</v>
      </c>
      <c r="E564" s="60"/>
      <c r="F564" s="46" t="s">
        <v>675</v>
      </c>
      <c r="G564" s="46" t="s">
        <v>159</v>
      </c>
      <c r="H564" s="46" t="s">
        <v>592</v>
      </c>
      <c r="I564" s="46" t="s">
        <v>169</v>
      </c>
      <c r="J564" s="46" t="s">
        <v>244</v>
      </c>
      <c r="K564" s="46" t="s">
        <v>68</v>
      </c>
      <c r="L564" s="46"/>
      <c r="M564" s="46"/>
      <c r="N564" s="46"/>
      <c r="O564" s="46"/>
      <c r="P564" s="46"/>
      <c r="Q564" s="46">
        <v>1</v>
      </c>
      <c r="R564" s="46">
        <v>1</v>
      </c>
      <c r="S564" s="46"/>
      <c r="T564" s="46"/>
      <c r="U564" s="46"/>
      <c r="V564" s="46"/>
      <c r="W564" s="46"/>
      <c r="X564" s="46"/>
      <c r="Y564" s="46"/>
      <c r="Z564" s="46" t="s">
        <v>1987</v>
      </c>
      <c r="AA564" s="61">
        <v>0.7</v>
      </c>
      <c r="AB564" s="62">
        <f>IF(OR(G564="ALK",G564="PEM",G564="SOEC",G564="Other Electrolysis"),
AA564/VLOOKUP(G564,ElectrolysisConvF,3,FALSE),
AC564*10^6/(H2dens*HoursInYear))</f>
        <v>155.55555555555557</v>
      </c>
      <c r="AC564" s="63">
        <f>AB564*H2dens*HoursInYear/10^6</f>
        <v>0.12127733333333335</v>
      </c>
      <c r="AD564" s="62"/>
      <c r="AE564" s="62">
        <f t="shared" ref="AE564:AE569" si="69">IF(AND(G564&lt;&gt;"NG w CCUS",G564&lt;&gt;"Oil w CCUS",G564&lt;&gt;"Coal w CCUS"),AB564,AD564*10^3/(HoursInYear*IF(G564="NG w CCUS",0.9105,1.9075)))</f>
        <v>155.55555555555557</v>
      </c>
      <c r="AF564" s="64" t="s">
        <v>1988</v>
      </c>
      <c r="AG564" s="49">
        <v>0.3</v>
      </c>
    </row>
    <row r="565" spans="1:33" ht="34.5" customHeight="1" x14ac:dyDescent="0.3">
      <c r="A565" s="46">
        <v>925</v>
      </c>
      <c r="B565" s="46" t="s">
        <v>1989</v>
      </c>
      <c r="C565" s="46" t="s">
        <v>47</v>
      </c>
      <c r="D565" s="60"/>
      <c r="E565" s="60"/>
      <c r="F565" s="46" t="s">
        <v>675</v>
      </c>
      <c r="G565" s="46" t="s">
        <v>159</v>
      </c>
      <c r="H565" s="46" t="s">
        <v>592</v>
      </c>
      <c r="I565" s="46" t="s">
        <v>169</v>
      </c>
      <c r="J565" s="46" t="s">
        <v>248</v>
      </c>
      <c r="K565" s="46" t="s">
        <v>168</v>
      </c>
      <c r="L565" s="46"/>
      <c r="M565" s="46"/>
      <c r="N565" s="46"/>
      <c r="O565" s="46"/>
      <c r="P565" s="46"/>
      <c r="Q565" s="46">
        <v>1</v>
      </c>
      <c r="R565" s="46"/>
      <c r="S565" s="46"/>
      <c r="T565" s="46"/>
      <c r="U565" s="46"/>
      <c r="V565" s="46"/>
      <c r="W565" s="46">
        <v>1</v>
      </c>
      <c r="X565" s="46"/>
      <c r="Y565" s="46"/>
      <c r="Z565" s="46" t="s">
        <v>1990</v>
      </c>
      <c r="AA565" s="61">
        <f>IF(OR(G565="ALK",G565="PEM",G565="SOEC",G565="Other Electrolysis"),
AB565*VLOOKUP(G565,ElectrolysisConvF,3,FALSE),
"")</f>
        <v>0</v>
      </c>
      <c r="AB565" s="62">
        <f>AC565/(0.089*24*365/10^6)</f>
        <v>0</v>
      </c>
      <c r="AC565" s="63"/>
      <c r="AD565" s="62"/>
      <c r="AE565" s="62">
        <f t="shared" si="69"/>
        <v>0</v>
      </c>
      <c r="AF565" s="64" t="s">
        <v>1991</v>
      </c>
      <c r="AG565" s="49">
        <v>0.5</v>
      </c>
    </row>
    <row r="566" spans="1:33" ht="34.5" customHeight="1" x14ac:dyDescent="0.3">
      <c r="A566" s="46">
        <v>926</v>
      </c>
      <c r="B566" s="46" t="s">
        <v>1992</v>
      </c>
      <c r="C566" s="46" t="s">
        <v>63</v>
      </c>
      <c r="D566" s="60"/>
      <c r="E566" s="60"/>
      <c r="F566" s="46" t="s">
        <v>225</v>
      </c>
      <c r="G566" s="46" t="s">
        <v>159</v>
      </c>
      <c r="H566" s="46" t="s">
        <v>592</v>
      </c>
      <c r="I566" s="46" t="s">
        <v>169</v>
      </c>
      <c r="J566" s="46" t="s">
        <v>248</v>
      </c>
      <c r="K566" s="46" t="s">
        <v>68</v>
      </c>
      <c r="L566" s="46"/>
      <c r="M566" s="46"/>
      <c r="N566" s="46"/>
      <c r="O566" s="46"/>
      <c r="P566" s="46"/>
      <c r="Q566" s="46"/>
      <c r="R566" s="46"/>
      <c r="S566" s="46"/>
      <c r="T566" s="46"/>
      <c r="U566" s="46"/>
      <c r="V566" s="46">
        <v>1</v>
      </c>
      <c r="W566" s="46"/>
      <c r="X566" s="46"/>
      <c r="Y566" s="46"/>
      <c r="Z566" s="46" t="s">
        <v>1274</v>
      </c>
      <c r="AA566" s="61">
        <v>50</v>
      </c>
      <c r="AB566" s="62">
        <f t="shared" ref="AB566:AB580" si="70">IF(OR(G566="ALK",G566="PEM",G566="SOEC",G566="Other Electrolysis"),
AA566/VLOOKUP(G566,ElectrolysisConvF,3,FALSE),
AC566*10^6/(H2dens*HoursInYear))</f>
        <v>11111.111111111111</v>
      </c>
      <c r="AC566" s="63">
        <f t="shared" ref="AC566:AC573" si="71">AB566*H2dens*HoursInYear/10^6</f>
        <v>8.6626666666666665</v>
      </c>
      <c r="AD566" s="62"/>
      <c r="AE566" s="62">
        <f t="shared" si="69"/>
        <v>11111.111111111111</v>
      </c>
      <c r="AF566" s="64"/>
      <c r="AG566" s="49">
        <v>0.5</v>
      </c>
    </row>
    <row r="567" spans="1:33" ht="34.5" customHeight="1" x14ac:dyDescent="0.3">
      <c r="A567" s="46">
        <v>927</v>
      </c>
      <c r="B567" s="46" t="s">
        <v>1993</v>
      </c>
      <c r="C567" s="46" t="s">
        <v>50</v>
      </c>
      <c r="D567" s="60">
        <v>2026</v>
      </c>
      <c r="E567" s="60"/>
      <c r="F567" s="46" t="s">
        <v>225</v>
      </c>
      <c r="G567" s="46" t="s">
        <v>1</v>
      </c>
      <c r="H567" s="46"/>
      <c r="I567" s="46" t="s">
        <v>169</v>
      </c>
      <c r="J567" s="46" t="s">
        <v>246</v>
      </c>
      <c r="K567" s="46" t="s">
        <v>68</v>
      </c>
      <c r="L567" s="46"/>
      <c r="M567" s="46"/>
      <c r="N567" s="46"/>
      <c r="O567" s="46"/>
      <c r="P567" s="46"/>
      <c r="Q567" s="46"/>
      <c r="R567" s="46"/>
      <c r="S567" s="46"/>
      <c r="T567" s="46"/>
      <c r="U567" s="46"/>
      <c r="V567" s="46"/>
      <c r="W567" s="46"/>
      <c r="X567" s="46"/>
      <c r="Y567" s="46"/>
      <c r="Z567" s="46" t="s">
        <v>1257</v>
      </c>
      <c r="AA567" s="61">
        <v>100</v>
      </c>
      <c r="AB567" s="62">
        <f t="shared" si="70"/>
        <v>19230.76923076923</v>
      </c>
      <c r="AC567" s="63">
        <f t="shared" si="71"/>
        <v>14.993076923076922</v>
      </c>
      <c r="AD567" s="62"/>
      <c r="AE567" s="62">
        <f t="shared" si="69"/>
        <v>19230.76923076923</v>
      </c>
      <c r="AF567" s="64" t="s">
        <v>1994</v>
      </c>
      <c r="AG567" s="49">
        <v>0.55000000000000004</v>
      </c>
    </row>
    <row r="568" spans="1:33" ht="34.5" customHeight="1" x14ac:dyDescent="0.3">
      <c r="A568" s="46">
        <v>928</v>
      </c>
      <c r="B568" s="46" t="s">
        <v>1995</v>
      </c>
      <c r="C568" s="46" t="s">
        <v>50</v>
      </c>
      <c r="D568" s="60">
        <v>2030</v>
      </c>
      <c r="E568" s="60"/>
      <c r="F568" s="46" t="s">
        <v>225</v>
      </c>
      <c r="G568" s="46" t="s">
        <v>159</v>
      </c>
      <c r="H568" s="46" t="s">
        <v>592</v>
      </c>
      <c r="I568" s="46" t="s">
        <v>169</v>
      </c>
      <c r="J568" s="46" t="s">
        <v>246</v>
      </c>
      <c r="K568" s="46" t="s">
        <v>68</v>
      </c>
      <c r="L568" s="46"/>
      <c r="M568" s="46"/>
      <c r="N568" s="46"/>
      <c r="O568" s="46"/>
      <c r="P568" s="46"/>
      <c r="Q568" s="46"/>
      <c r="R568" s="46"/>
      <c r="S568" s="46"/>
      <c r="T568" s="46"/>
      <c r="U568" s="46"/>
      <c r="V568" s="46"/>
      <c r="W568" s="46"/>
      <c r="X568" s="46"/>
      <c r="Y568" s="46"/>
      <c r="Z568" s="46" t="s">
        <v>1654</v>
      </c>
      <c r="AA568" s="61">
        <v>400</v>
      </c>
      <c r="AB568" s="62">
        <f t="shared" si="70"/>
        <v>88888.888888888891</v>
      </c>
      <c r="AC568" s="63">
        <f t="shared" si="71"/>
        <v>69.301333333333332</v>
      </c>
      <c r="AD568" s="62"/>
      <c r="AE568" s="62">
        <f t="shared" si="69"/>
        <v>88888.888888888891</v>
      </c>
      <c r="AF568" s="64" t="s">
        <v>1996</v>
      </c>
      <c r="AG568" s="49">
        <v>0.55000000000000004</v>
      </c>
    </row>
    <row r="569" spans="1:33" ht="34.5" customHeight="1" x14ac:dyDescent="0.3">
      <c r="A569" s="46">
        <v>929</v>
      </c>
      <c r="B569" s="46" t="s">
        <v>1997</v>
      </c>
      <c r="C569" s="46" t="s">
        <v>39</v>
      </c>
      <c r="D569" s="60">
        <v>2025</v>
      </c>
      <c r="E569" s="60"/>
      <c r="F569" s="46" t="s">
        <v>675</v>
      </c>
      <c r="G569" s="46" t="s">
        <v>3</v>
      </c>
      <c r="H569" s="46"/>
      <c r="I569" s="46" t="s">
        <v>169</v>
      </c>
      <c r="J569" s="46" t="s">
        <v>248</v>
      </c>
      <c r="K569" s="46" t="s">
        <v>68</v>
      </c>
      <c r="L569" s="46"/>
      <c r="M569" s="46"/>
      <c r="N569" s="46"/>
      <c r="O569" s="46"/>
      <c r="P569" s="46"/>
      <c r="Q569" s="46"/>
      <c r="R569" s="46"/>
      <c r="S569" s="46">
        <v>1</v>
      </c>
      <c r="T569" s="46"/>
      <c r="U569" s="46"/>
      <c r="V569" s="46"/>
      <c r="W569" s="46"/>
      <c r="X569" s="46"/>
      <c r="Y569" s="46"/>
      <c r="Z569" s="46" t="s">
        <v>1168</v>
      </c>
      <c r="AA569" s="61">
        <v>10</v>
      </c>
      <c r="AB569" s="62">
        <f t="shared" si="70"/>
        <v>2173.913043478261</v>
      </c>
      <c r="AC569" s="63">
        <f t="shared" si="71"/>
        <v>1.6948695652173913</v>
      </c>
      <c r="AD569" s="62"/>
      <c r="AE569" s="62">
        <f t="shared" si="69"/>
        <v>2173.913043478261</v>
      </c>
      <c r="AF569" s="64" t="s">
        <v>1998</v>
      </c>
      <c r="AG569" s="49">
        <v>0.5</v>
      </c>
    </row>
    <row r="570" spans="1:33" ht="34.5" customHeight="1" x14ac:dyDescent="0.3">
      <c r="A570" s="46">
        <v>931</v>
      </c>
      <c r="B570" s="46" t="s">
        <v>1999</v>
      </c>
      <c r="C570" s="46" t="s">
        <v>321</v>
      </c>
      <c r="D570" s="60">
        <v>2026</v>
      </c>
      <c r="E570" s="60"/>
      <c r="F570" s="46" t="s">
        <v>225</v>
      </c>
      <c r="G570" s="46" t="s">
        <v>3</v>
      </c>
      <c r="H570" s="46"/>
      <c r="I570" s="46" t="s">
        <v>169</v>
      </c>
      <c r="J570" s="46" t="s">
        <v>248</v>
      </c>
      <c r="K570" s="46" t="s">
        <v>68</v>
      </c>
      <c r="L570" s="46"/>
      <c r="M570" s="46"/>
      <c r="N570" s="46"/>
      <c r="O570" s="46"/>
      <c r="P570" s="46">
        <v>1</v>
      </c>
      <c r="Q570" s="46"/>
      <c r="R570" s="46"/>
      <c r="S570" s="46"/>
      <c r="T570" s="46"/>
      <c r="U570" s="46"/>
      <c r="V570" s="46"/>
      <c r="W570" s="46"/>
      <c r="X570" s="46"/>
      <c r="Y570" s="46"/>
      <c r="Z570" s="46" t="s">
        <v>1257</v>
      </c>
      <c r="AA570" s="61">
        <v>100</v>
      </c>
      <c r="AB570" s="62">
        <f t="shared" si="70"/>
        <v>21739.130434782608</v>
      </c>
      <c r="AC570" s="63">
        <f t="shared" si="71"/>
        <v>16.94869565217391</v>
      </c>
      <c r="AD570" s="62"/>
      <c r="AE570" s="62">
        <f>IF(AND(G570&lt;&gt;"NG w CCUS",G570&lt;&gt;"Oil w CCUS",G570&lt;&gt;"Coal w CCUS"),AB570,AD570*10^3/(HoursInYear*IF(G570="NG w CCUS",0.9105,1.9075)))</f>
        <v>21739.130434782608</v>
      </c>
      <c r="AF570" s="64" t="s">
        <v>2000</v>
      </c>
      <c r="AG570" s="49">
        <v>0.5</v>
      </c>
    </row>
    <row r="571" spans="1:33" ht="34.5" customHeight="1" x14ac:dyDescent="0.3">
      <c r="A571" s="46">
        <v>932</v>
      </c>
      <c r="B571" s="46" t="s">
        <v>2001</v>
      </c>
      <c r="C571" s="46" t="s">
        <v>45</v>
      </c>
      <c r="D571" s="60">
        <v>2024</v>
      </c>
      <c r="E571" s="60"/>
      <c r="F571" s="46" t="s">
        <v>225</v>
      </c>
      <c r="G571" s="46" t="s">
        <v>159</v>
      </c>
      <c r="H571" s="46" t="s">
        <v>592</v>
      </c>
      <c r="I571" s="46" t="s">
        <v>169</v>
      </c>
      <c r="J571" s="46" t="s">
        <v>248</v>
      </c>
      <c r="K571" s="46" t="s">
        <v>68</v>
      </c>
      <c r="L571" s="46">
        <v>1</v>
      </c>
      <c r="M571" s="46"/>
      <c r="N571" s="46"/>
      <c r="O571" s="46"/>
      <c r="P571" s="46"/>
      <c r="Q571" s="46"/>
      <c r="R571" s="46"/>
      <c r="S571" s="46"/>
      <c r="T571" s="46"/>
      <c r="U571" s="46"/>
      <c r="V571" s="46"/>
      <c r="W571" s="46"/>
      <c r="X571" s="46"/>
      <c r="Y571" s="46"/>
      <c r="Z571" s="46" t="s">
        <v>981</v>
      </c>
      <c r="AA571" s="61">
        <v>20</v>
      </c>
      <c r="AB571" s="62">
        <f t="shared" si="70"/>
        <v>4444.4444444444443</v>
      </c>
      <c r="AC571" s="63">
        <f t="shared" si="71"/>
        <v>3.4650666666666665</v>
      </c>
      <c r="AD571" s="62"/>
      <c r="AE571" s="62">
        <f>IF(AND(G571&lt;&gt;"NG w CCUS",G571&lt;&gt;"Oil w CCUS",G571&lt;&gt;"Coal w CCUS"),AB571,AD571*10^3/(HoursInYear*IF(G571="NG w CCUS",0.9105,1.9075)))</f>
        <v>4444.4444444444443</v>
      </c>
      <c r="AF571" s="64" t="s">
        <v>2002</v>
      </c>
      <c r="AG571" s="49">
        <v>0.5</v>
      </c>
    </row>
    <row r="572" spans="1:33" ht="34.5" customHeight="1" x14ac:dyDescent="0.3">
      <c r="A572" s="46">
        <v>933</v>
      </c>
      <c r="B572" s="46" t="s">
        <v>2003</v>
      </c>
      <c r="C572" s="46" t="s">
        <v>34</v>
      </c>
      <c r="D572" s="60">
        <v>2024</v>
      </c>
      <c r="E572" s="60"/>
      <c r="F572" s="46" t="s">
        <v>675</v>
      </c>
      <c r="G572" s="46" t="s">
        <v>159</v>
      </c>
      <c r="H572" s="46" t="s">
        <v>592</v>
      </c>
      <c r="I572" s="46" t="s">
        <v>169</v>
      </c>
      <c r="J572" s="46" t="s">
        <v>248</v>
      </c>
      <c r="K572" s="46" t="s">
        <v>68</v>
      </c>
      <c r="L572" s="46"/>
      <c r="M572" s="46"/>
      <c r="N572" s="46"/>
      <c r="O572" s="46"/>
      <c r="P572" s="46"/>
      <c r="Q572" s="46">
        <v>1</v>
      </c>
      <c r="R572" s="46"/>
      <c r="S572" s="46"/>
      <c r="T572" s="46"/>
      <c r="U572" s="46"/>
      <c r="V572" s="46"/>
      <c r="W572" s="46"/>
      <c r="X572" s="46"/>
      <c r="Y572" s="46"/>
      <c r="Z572" s="46" t="s">
        <v>2004</v>
      </c>
      <c r="AA572" s="61">
        <v>2.5</v>
      </c>
      <c r="AB572" s="62">
        <f t="shared" si="70"/>
        <v>555.55555555555554</v>
      </c>
      <c r="AC572" s="63">
        <f t="shared" si="71"/>
        <v>0.43313333333333331</v>
      </c>
      <c r="AD572" s="62"/>
      <c r="AE572" s="62">
        <f>IF(AND(G572&lt;&gt;"NG w CCUS",G572&lt;&gt;"Oil w CCUS",G572&lt;&gt;"Coal w CCUS"),AB572,AD572*10^3/(HoursInYear*IF(G572="NG w CCUS",0.9105,1.9075)))</f>
        <v>555.55555555555554</v>
      </c>
      <c r="AF572" s="64" t="s">
        <v>2005</v>
      </c>
      <c r="AG572" s="49">
        <v>0.5</v>
      </c>
    </row>
    <row r="573" spans="1:33" ht="34.5" customHeight="1" x14ac:dyDescent="0.3">
      <c r="A573" s="46">
        <v>934</v>
      </c>
      <c r="B573" s="46" t="s">
        <v>2006</v>
      </c>
      <c r="C573" s="46" t="s">
        <v>40</v>
      </c>
      <c r="D573" s="60">
        <v>2018</v>
      </c>
      <c r="E573" s="60"/>
      <c r="F573" s="46" t="s">
        <v>226</v>
      </c>
      <c r="G573" s="46" t="s">
        <v>1</v>
      </c>
      <c r="H573" s="46"/>
      <c r="I573" s="46" t="s">
        <v>157</v>
      </c>
      <c r="J573" s="46"/>
      <c r="K573" s="46" t="s">
        <v>68</v>
      </c>
      <c r="L573" s="46"/>
      <c r="M573" s="46"/>
      <c r="N573" s="46"/>
      <c r="O573" s="46"/>
      <c r="P573" s="46"/>
      <c r="Q573" s="46">
        <v>1</v>
      </c>
      <c r="R573" s="46"/>
      <c r="S573" s="46"/>
      <c r="T573" s="46"/>
      <c r="U573" s="46"/>
      <c r="V573" s="46"/>
      <c r="W573" s="46"/>
      <c r="X573" s="46"/>
      <c r="Y573" s="46"/>
      <c r="Z573" s="46" t="s">
        <v>1198</v>
      </c>
      <c r="AA573" s="61">
        <v>2</v>
      </c>
      <c r="AB573" s="62">
        <f t="shared" si="70"/>
        <v>384.61538461538464</v>
      </c>
      <c r="AC573" s="63">
        <f t="shared" si="71"/>
        <v>0.29986153846153851</v>
      </c>
      <c r="AD573" s="62"/>
      <c r="AE573" s="62">
        <f>IF(AND(G573&lt;&gt;"NG w CCUS",G573&lt;&gt;"Oil w CCUS",G573&lt;&gt;"Coal w CCUS"),AB573,AD573*10^3/(HoursInYear*IF(G573="NG w CCUS",0.9105,1.9075)))</f>
        <v>384.61538461538464</v>
      </c>
      <c r="AF573" s="64" t="s">
        <v>2007</v>
      </c>
      <c r="AG573" s="49">
        <v>0.56999999999999995</v>
      </c>
    </row>
    <row r="574" spans="1:33" ht="34.5" customHeight="1" x14ac:dyDescent="0.3">
      <c r="A574" s="46">
        <v>936</v>
      </c>
      <c r="B574" s="46" t="s">
        <v>2008</v>
      </c>
      <c r="C574" s="46" t="s">
        <v>63</v>
      </c>
      <c r="D574" s="60">
        <v>2025</v>
      </c>
      <c r="E574" s="60"/>
      <c r="F574" s="46" t="s">
        <v>675</v>
      </c>
      <c r="G574" s="46" t="s">
        <v>3</v>
      </c>
      <c r="H574" s="46"/>
      <c r="I574" s="46" t="s">
        <v>169</v>
      </c>
      <c r="J574" s="46" t="s">
        <v>247</v>
      </c>
      <c r="K574" s="46" t="s">
        <v>68</v>
      </c>
      <c r="L574" s="46"/>
      <c r="M574" s="46"/>
      <c r="N574" s="46"/>
      <c r="O574" s="46">
        <v>1</v>
      </c>
      <c r="P574" s="46"/>
      <c r="Q574" s="46"/>
      <c r="R574" s="46"/>
      <c r="S574" s="46"/>
      <c r="T574" s="46"/>
      <c r="U574" s="46"/>
      <c r="V574" s="46"/>
      <c r="W574" s="46"/>
      <c r="X574" s="46"/>
      <c r="Y574" s="46"/>
      <c r="Z574" s="46" t="s">
        <v>2009</v>
      </c>
      <c r="AA574" s="61">
        <v>800</v>
      </c>
      <c r="AB574" s="62">
        <f t="shared" si="70"/>
        <v>173913.04347826086</v>
      </c>
      <c r="AC574" s="63">
        <f>AB574*H2dens*HoursInYear/10^6</f>
        <v>135.58956521739128</v>
      </c>
      <c r="AD574" s="62"/>
      <c r="AE574" s="62">
        <f t="shared" ref="AE574:AE593" si="72">IF(AND(G574&lt;&gt;"NG w CCUS",G574&lt;&gt;"Oil w CCUS",G574&lt;&gt;"Coal w CCUS"),AB574,AD574*10^3/(HoursInYear*IF(G574="NG w CCUS",0.9105,1.9075)))</f>
        <v>173913.04347826086</v>
      </c>
      <c r="AF574" s="64" t="s">
        <v>2010</v>
      </c>
      <c r="AG574" s="49">
        <v>0.8</v>
      </c>
    </row>
    <row r="575" spans="1:33" ht="34.5" customHeight="1" x14ac:dyDescent="0.3">
      <c r="A575" s="46">
        <v>937</v>
      </c>
      <c r="B575" s="46" t="s">
        <v>2011</v>
      </c>
      <c r="C575" s="46" t="s">
        <v>40</v>
      </c>
      <c r="D575" s="60">
        <v>2024</v>
      </c>
      <c r="E575" s="60"/>
      <c r="F575" s="46" t="s">
        <v>675</v>
      </c>
      <c r="G575" s="46" t="s">
        <v>1</v>
      </c>
      <c r="H575" s="46"/>
      <c r="I575" s="46" t="s">
        <v>169</v>
      </c>
      <c r="J575" s="46" t="s">
        <v>247</v>
      </c>
      <c r="K575" s="46" t="s">
        <v>68</v>
      </c>
      <c r="L575" s="46"/>
      <c r="M575" s="46"/>
      <c r="N575" s="46"/>
      <c r="O575" s="46"/>
      <c r="P575" s="46"/>
      <c r="Q575" s="46">
        <v>1</v>
      </c>
      <c r="R575" s="46"/>
      <c r="S575" s="46"/>
      <c r="T575" s="46"/>
      <c r="U575" s="46"/>
      <c r="V575" s="46"/>
      <c r="W575" s="46"/>
      <c r="X575" s="46"/>
      <c r="Y575" s="46"/>
      <c r="Z575" s="46" t="s">
        <v>914</v>
      </c>
      <c r="AA575" s="61">
        <v>120</v>
      </c>
      <c r="AB575" s="62">
        <f t="shared" si="70"/>
        <v>23076.923076923078</v>
      </c>
      <c r="AC575" s="63">
        <f>AB575*H2dens*HoursInYear/10^6</f>
        <v>17.991692307692308</v>
      </c>
      <c r="AD575" s="62"/>
      <c r="AE575" s="62">
        <f t="shared" si="72"/>
        <v>23076.923076923078</v>
      </c>
      <c r="AF575" s="64" t="s">
        <v>2012</v>
      </c>
      <c r="AG575" s="49">
        <v>0.8</v>
      </c>
    </row>
    <row r="576" spans="1:33" ht="34.5" customHeight="1" x14ac:dyDescent="0.3">
      <c r="A576" s="46">
        <v>938</v>
      </c>
      <c r="B576" s="46" t="s">
        <v>2013</v>
      </c>
      <c r="C576" s="46" t="s">
        <v>321</v>
      </c>
      <c r="D576" s="60">
        <v>2023</v>
      </c>
      <c r="E576" s="60"/>
      <c r="F576" s="46" t="s">
        <v>226</v>
      </c>
      <c r="G576" s="46" t="s">
        <v>2014</v>
      </c>
      <c r="H576" s="46"/>
      <c r="I576" s="46" t="s">
        <v>169</v>
      </c>
      <c r="J576" s="46" t="s">
        <v>69</v>
      </c>
      <c r="K576" s="46" t="s">
        <v>68</v>
      </c>
      <c r="L576" s="46">
        <v>1</v>
      </c>
      <c r="M576" s="46"/>
      <c r="N576" s="46"/>
      <c r="O576" s="46"/>
      <c r="P576" s="46"/>
      <c r="Q576" s="46">
        <v>1</v>
      </c>
      <c r="R576" s="46"/>
      <c r="S576" s="46"/>
      <c r="T576" s="46"/>
      <c r="U576" s="46"/>
      <c r="V576" s="46"/>
      <c r="W576" s="46"/>
      <c r="X576" s="46"/>
      <c r="Y576" s="46"/>
      <c r="Z576" s="46" t="s">
        <v>676</v>
      </c>
      <c r="AA576" s="61">
        <v>2.5</v>
      </c>
      <c r="AB576" s="62">
        <f t="shared" si="70"/>
        <v>543.47826086956525</v>
      </c>
      <c r="AC576" s="63">
        <f>AB576*H2dens*HoursInYear/10^6</f>
        <v>0.42371739130434782</v>
      </c>
      <c r="AD576" s="62"/>
      <c r="AE576" s="62">
        <f t="shared" si="72"/>
        <v>543.47826086956525</v>
      </c>
      <c r="AF576" s="64" t="s">
        <v>2015</v>
      </c>
      <c r="AG576" s="49">
        <v>0.5</v>
      </c>
    </row>
    <row r="577" spans="1:33" ht="34.5" customHeight="1" x14ac:dyDescent="0.3">
      <c r="A577" s="53">
        <v>939</v>
      </c>
      <c r="B577" s="53" t="s">
        <v>2016</v>
      </c>
      <c r="C577" s="58" t="s">
        <v>2017</v>
      </c>
      <c r="D577" s="54">
        <v>2030</v>
      </c>
      <c r="E577" s="54"/>
      <c r="F577" s="53" t="s">
        <v>591</v>
      </c>
      <c r="G577" s="53" t="s">
        <v>159</v>
      </c>
      <c r="H577" s="53" t="s">
        <v>592</v>
      </c>
      <c r="I577" s="53" t="s">
        <v>169</v>
      </c>
      <c r="J577" s="53" t="s">
        <v>248</v>
      </c>
      <c r="K577" s="53" t="s">
        <v>68</v>
      </c>
      <c r="L577" s="53"/>
      <c r="M577" s="53"/>
      <c r="N577" s="53"/>
      <c r="O577" s="53"/>
      <c r="P577" s="53">
        <v>1</v>
      </c>
      <c r="Q577" s="53">
        <v>1</v>
      </c>
      <c r="R577" s="53"/>
      <c r="S577" s="53">
        <v>1</v>
      </c>
      <c r="T577" s="53"/>
      <c r="U577" s="53"/>
      <c r="V577" s="53"/>
      <c r="W577" s="53"/>
      <c r="X577" s="53"/>
      <c r="Y577" s="53"/>
      <c r="Z577" s="53" t="s">
        <v>2018</v>
      </c>
      <c r="AA577" s="55"/>
      <c r="AB577" s="56">
        <f t="shared" si="70"/>
        <v>0</v>
      </c>
      <c r="AC577" s="57">
        <f>AB577*H2dens*HoursInYear/10^6</f>
        <v>0</v>
      </c>
      <c r="AD577" s="56"/>
      <c r="AE577" s="56">
        <f t="shared" si="72"/>
        <v>0</v>
      </c>
      <c r="AF577" s="58" t="s">
        <v>2019</v>
      </c>
      <c r="AG577" s="49">
        <v>0.5</v>
      </c>
    </row>
    <row r="578" spans="1:33" ht="34.5" customHeight="1" x14ac:dyDescent="0.3">
      <c r="A578" s="46">
        <v>940</v>
      </c>
      <c r="B578" s="46" t="s">
        <v>2020</v>
      </c>
      <c r="C578" s="46" t="s">
        <v>78</v>
      </c>
      <c r="D578" s="60">
        <v>2025</v>
      </c>
      <c r="E578" s="60"/>
      <c r="F578" s="46" t="s">
        <v>225</v>
      </c>
      <c r="G578" s="46" t="s">
        <v>161</v>
      </c>
      <c r="H578" s="46" t="s">
        <v>1951</v>
      </c>
      <c r="I578" s="46"/>
      <c r="J578" s="46"/>
      <c r="K578" s="46" t="s">
        <v>68</v>
      </c>
      <c r="L578" s="46"/>
      <c r="M578" s="46"/>
      <c r="N578" s="46"/>
      <c r="O578" s="46"/>
      <c r="P578" s="46"/>
      <c r="Q578" s="46"/>
      <c r="R578" s="46"/>
      <c r="S578" s="46"/>
      <c r="T578" s="46"/>
      <c r="U578" s="46"/>
      <c r="V578" s="46"/>
      <c r="W578" s="46"/>
      <c r="X578" s="46"/>
      <c r="Y578" s="46"/>
      <c r="Z578" s="46" t="s">
        <v>2021</v>
      </c>
      <c r="AA578" s="61" t="str">
        <f>IF(OR(G578="ALK",G578="PEM",G578="SOEC",G578="Other Electrolysis"),
AB578*VLOOKUP(G578,ElectrolysisConvF,3,FALSE),
"")</f>
        <v/>
      </c>
      <c r="AB578" s="62">
        <f t="shared" si="70"/>
        <v>320660.81781334977</v>
      </c>
      <c r="AC578" s="63">
        <v>250</v>
      </c>
      <c r="AD578" s="62">
        <v>150000</v>
      </c>
      <c r="AE578" s="62">
        <f t="shared" si="72"/>
        <v>18806.466415412277</v>
      </c>
      <c r="AF578" s="64" t="s">
        <v>2022</v>
      </c>
      <c r="AG578" s="49">
        <v>0.9</v>
      </c>
    </row>
    <row r="579" spans="1:33" ht="34.5" customHeight="1" x14ac:dyDescent="0.3">
      <c r="A579" s="46">
        <v>941</v>
      </c>
      <c r="B579" s="46" t="s">
        <v>2023</v>
      </c>
      <c r="C579" s="46" t="s">
        <v>40</v>
      </c>
      <c r="D579" s="60">
        <v>2023</v>
      </c>
      <c r="E579" s="60"/>
      <c r="F579" s="46" t="s">
        <v>675</v>
      </c>
      <c r="G579" s="46" t="s">
        <v>1</v>
      </c>
      <c r="H579" s="46"/>
      <c r="I579" s="46" t="s">
        <v>169</v>
      </c>
      <c r="J579" s="46" t="s">
        <v>244</v>
      </c>
      <c r="K579" s="46" t="s">
        <v>68</v>
      </c>
      <c r="L579" s="46"/>
      <c r="M579" s="46"/>
      <c r="N579" s="46"/>
      <c r="O579" s="46"/>
      <c r="P579" s="46"/>
      <c r="Q579" s="46"/>
      <c r="R579" s="46">
        <v>1</v>
      </c>
      <c r="S579" s="46"/>
      <c r="T579" s="46"/>
      <c r="U579" s="46"/>
      <c r="V579" s="46"/>
      <c r="W579" s="46"/>
      <c r="X579" s="46"/>
      <c r="Y579" s="46"/>
      <c r="Z579" s="46" t="s">
        <v>1161</v>
      </c>
      <c r="AA579" s="61">
        <v>25</v>
      </c>
      <c r="AB579" s="62">
        <f t="shared" si="70"/>
        <v>4807.6923076923076</v>
      </c>
      <c r="AC579" s="63">
        <f>AB579*H2dens*HoursInYear/10^6</f>
        <v>3.7482692307692305</v>
      </c>
      <c r="AD579" s="62"/>
      <c r="AE579" s="62">
        <f t="shared" si="72"/>
        <v>4807.6923076923076</v>
      </c>
      <c r="AF579" s="64" t="s">
        <v>2024</v>
      </c>
      <c r="AG579" s="49">
        <v>0.3</v>
      </c>
    </row>
    <row r="580" spans="1:33" ht="34.5" customHeight="1" x14ac:dyDescent="0.3">
      <c r="A580" s="46">
        <v>942</v>
      </c>
      <c r="B580" s="46" t="s">
        <v>2025</v>
      </c>
      <c r="C580" s="46" t="s">
        <v>203</v>
      </c>
      <c r="D580" s="60">
        <v>2025</v>
      </c>
      <c r="E580" s="60"/>
      <c r="F580" s="46" t="s">
        <v>225</v>
      </c>
      <c r="G580" s="46" t="s">
        <v>1</v>
      </c>
      <c r="H580" s="46"/>
      <c r="I580" s="46" t="s">
        <v>166</v>
      </c>
      <c r="J580" s="46"/>
      <c r="K580" s="46" t="s">
        <v>68</v>
      </c>
      <c r="L580" s="46">
        <v>1</v>
      </c>
      <c r="M580" s="46"/>
      <c r="N580" s="46"/>
      <c r="O580" s="46"/>
      <c r="P580" s="46"/>
      <c r="Q580" s="46"/>
      <c r="R580" s="46"/>
      <c r="S580" s="46"/>
      <c r="T580" s="46"/>
      <c r="U580" s="46"/>
      <c r="V580" s="46"/>
      <c r="W580" s="46"/>
      <c r="X580" s="46"/>
      <c r="Y580" s="46"/>
      <c r="Z580" s="46" t="s">
        <v>1257</v>
      </c>
      <c r="AA580" s="61">
        <v>90</v>
      </c>
      <c r="AB580" s="62">
        <f t="shared" si="70"/>
        <v>17307.692307692309</v>
      </c>
      <c r="AC580" s="63">
        <f>AB580*H2dens*HoursInYear/10^6</f>
        <v>13.493769230769232</v>
      </c>
      <c r="AD580" s="62"/>
      <c r="AE580" s="62">
        <f t="shared" si="72"/>
        <v>17307.692307692309</v>
      </c>
      <c r="AF580" s="64" t="s">
        <v>2026</v>
      </c>
      <c r="AG580" s="49">
        <v>0.56999999999999995</v>
      </c>
    </row>
    <row r="581" spans="1:33" ht="34.5" customHeight="1" x14ac:dyDescent="0.3">
      <c r="A581" s="46">
        <v>943</v>
      </c>
      <c r="B581" s="46" t="s">
        <v>2027</v>
      </c>
      <c r="C581" s="46" t="s">
        <v>321</v>
      </c>
      <c r="D581" s="60">
        <v>2022</v>
      </c>
      <c r="E581" s="60"/>
      <c r="F581" s="46" t="s">
        <v>226</v>
      </c>
      <c r="G581" s="46" t="s">
        <v>1</v>
      </c>
      <c r="H581" s="46"/>
      <c r="I581" s="46" t="s">
        <v>169</v>
      </c>
      <c r="J581" s="46" t="s">
        <v>244</v>
      </c>
      <c r="K581" s="46" t="s">
        <v>68</v>
      </c>
      <c r="L581" s="46"/>
      <c r="M581" s="46"/>
      <c r="N581" s="46"/>
      <c r="O581" s="46"/>
      <c r="P581" s="46"/>
      <c r="Q581" s="46">
        <v>1</v>
      </c>
      <c r="R581" s="46"/>
      <c r="S581" s="46"/>
      <c r="T581" s="46"/>
      <c r="U581" s="46"/>
      <c r="V581" s="46"/>
      <c r="W581" s="46"/>
      <c r="X581" s="46"/>
      <c r="Y581" s="46"/>
      <c r="Z581" s="46" t="s">
        <v>2028</v>
      </c>
      <c r="AA581" s="61">
        <f>IF(OR(G581="ALK",G581="PEM",G581="SOEC",G581="Other Electrolysis"),
AB581*VLOOKUP(G581,ElectrolysisConvF,3,FALSE),
"")</f>
        <v>1.333949002103535E-2</v>
      </c>
      <c r="AB581" s="62">
        <f>AC581/(H2dens*HoursInYear/10^6)</f>
        <v>2.5652865425067981</v>
      </c>
      <c r="AC581" s="63">
        <v>2E-3</v>
      </c>
      <c r="AD581" s="62"/>
      <c r="AE581" s="62">
        <f t="shared" si="72"/>
        <v>2.5652865425067981</v>
      </c>
      <c r="AF581" s="64" t="s">
        <v>2029</v>
      </c>
      <c r="AG581" s="49">
        <v>0.3</v>
      </c>
    </row>
    <row r="582" spans="1:33" ht="34.5" customHeight="1" x14ac:dyDescent="0.3">
      <c r="A582" s="46">
        <v>944</v>
      </c>
      <c r="B582" s="46" t="s">
        <v>2030</v>
      </c>
      <c r="C582" s="46" t="s">
        <v>78</v>
      </c>
      <c r="D582" s="60">
        <v>2023</v>
      </c>
      <c r="E582" s="60"/>
      <c r="F582" s="46" t="s">
        <v>675</v>
      </c>
      <c r="G582" s="46" t="s">
        <v>2</v>
      </c>
      <c r="H582" s="46"/>
      <c r="I582" s="46" t="s">
        <v>169</v>
      </c>
      <c r="J582" s="46" t="s">
        <v>244</v>
      </c>
      <c r="K582" s="46" t="s">
        <v>68</v>
      </c>
      <c r="L582" s="46"/>
      <c r="M582" s="46"/>
      <c r="N582" s="46"/>
      <c r="O582" s="46"/>
      <c r="P582" s="46"/>
      <c r="Q582" s="46"/>
      <c r="R582" s="46">
        <v>1</v>
      </c>
      <c r="S582" s="46"/>
      <c r="T582" s="46"/>
      <c r="U582" s="46"/>
      <c r="V582" s="46"/>
      <c r="W582" s="46"/>
      <c r="X582" s="46"/>
      <c r="Y582" s="46"/>
      <c r="Z582" s="46"/>
      <c r="AA582" s="61"/>
      <c r="AB582" s="62"/>
      <c r="AC582" s="63"/>
      <c r="AD582" s="62"/>
      <c r="AE582" s="62">
        <f t="shared" si="72"/>
        <v>0</v>
      </c>
      <c r="AF582" s="64" t="s">
        <v>2031</v>
      </c>
      <c r="AG582" s="49">
        <v>0.3</v>
      </c>
    </row>
    <row r="583" spans="1:33" ht="34.5" customHeight="1" x14ac:dyDescent="0.3">
      <c r="A583" s="46">
        <v>945</v>
      </c>
      <c r="B583" s="46" t="s">
        <v>2032</v>
      </c>
      <c r="C583" s="46" t="s">
        <v>203</v>
      </c>
      <c r="D583" s="60">
        <v>2025</v>
      </c>
      <c r="E583" s="60"/>
      <c r="F583" s="46" t="s">
        <v>225</v>
      </c>
      <c r="G583" s="46" t="s">
        <v>159</v>
      </c>
      <c r="H583" s="46" t="s">
        <v>592</v>
      </c>
      <c r="I583" s="46" t="s">
        <v>169</v>
      </c>
      <c r="J583" s="46" t="s">
        <v>69</v>
      </c>
      <c r="K583" s="46" t="s">
        <v>68</v>
      </c>
      <c r="L583" s="46"/>
      <c r="M583" s="46"/>
      <c r="N583" s="46"/>
      <c r="O583" s="46">
        <v>1</v>
      </c>
      <c r="P583" s="46"/>
      <c r="Q583" s="46"/>
      <c r="R583" s="46"/>
      <c r="S583" s="46"/>
      <c r="T583" s="46"/>
      <c r="U583" s="46"/>
      <c r="V583" s="46"/>
      <c r="W583" s="46"/>
      <c r="X583" s="46"/>
      <c r="Y583" s="46"/>
      <c r="Z583" s="46" t="s">
        <v>2033</v>
      </c>
      <c r="AA583" s="61">
        <v>70</v>
      </c>
      <c r="AB583" s="62">
        <f>IF(OR(G583="ALK",G583="PEM",G583="SOEC",G583="Other Electrolysis"),
AA583/VLOOKUP(G583,ElectrolysisConvF,3,FALSE),
AC583*10^6/(H2dens*HoursInYear))</f>
        <v>15555.555555555557</v>
      </c>
      <c r="AC583" s="63">
        <f>AB583*H2dens*HoursInYear/10^6</f>
        <v>12.127733333333333</v>
      </c>
      <c r="AD583" s="62"/>
      <c r="AE583" s="62">
        <f t="shared" si="72"/>
        <v>15555.555555555557</v>
      </c>
      <c r="AF583" s="64" t="s">
        <v>2034</v>
      </c>
      <c r="AG583" s="49">
        <v>0.5</v>
      </c>
    </row>
    <row r="584" spans="1:33" ht="34.5" customHeight="1" x14ac:dyDescent="0.3">
      <c r="A584" s="46">
        <v>946</v>
      </c>
      <c r="B584" s="46" t="s">
        <v>2035</v>
      </c>
      <c r="C584" s="46" t="s">
        <v>41</v>
      </c>
      <c r="D584" s="60">
        <v>2022</v>
      </c>
      <c r="E584" s="60"/>
      <c r="F584" s="46" t="s">
        <v>226</v>
      </c>
      <c r="G584" s="46" t="s">
        <v>160</v>
      </c>
      <c r="H584" s="46"/>
      <c r="I584" s="46" t="str">
        <f>IF(AND(G584&lt;&gt;"ALK",G584&lt;&gt;"PEM",G584&lt;&gt;"SOEC",G584&lt;&gt;"Other electrolysis"),"N/A","")</f>
        <v>N/A</v>
      </c>
      <c r="J584" s="46" t="str">
        <f>IF(I584&lt;&gt;"Dedicated renewable","N/A",)</f>
        <v>N/A</v>
      </c>
      <c r="K584" s="46" t="s">
        <v>68</v>
      </c>
      <c r="L584" s="46"/>
      <c r="M584" s="46">
        <v>1</v>
      </c>
      <c r="N584" s="46"/>
      <c r="O584" s="46"/>
      <c r="P584" s="46"/>
      <c r="Q584" s="46"/>
      <c r="R584" s="46"/>
      <c r="S584" s="46"/>
      <c r="T584" s="46"/>
      <c r="U584" s="46"/>
      <c r="V584" s="46"/>
      <c r="W584" s="46"/>
      <c r="X584" s="46"/>
      <c r="Y584" s="46"/>
      <c r="Z584" s="46" t="s">
        <v>2036</v>
      </c>
      <c r="AA584" s="61" t="str">
        <f>IF(OR(G584="ALK",G584="PEM",G584="SOEC",G584="Other Electrolysis"),
AB584*VLOOKUP(G584,ElectrolysisConvF,3,FALSE),
"")</f>
        <v/>
      </c>
      <c r="AB584" s="62"/>
      <c r="AC584" s="63"/>
      <c r="AD584" s="62">
        <v>1000000</v>
      </c>
      <c r="AE584" s="62">
        <f t="shared" si="72"/>
        <v>59845.478973290963</v>
      </c>
      <c r="AF584" s="64" t="s">
        <v>2037</v>
      </c>
      <c r="AG584" s="49">
        <v>0.9</v>
      </c>
    </row>
    <row r="585" spans="1:33" ht="34.5" customHeight="1" x14ac:dyDescent="0.3">
      <c r="A585" s="46">
        <v>947</v>
      </c>
      <c r="B585" s="46" t="s">
        <v>2038</v>
      </c>
      <c r="C585" s="46" t="s">
        <v>41</v>
      </c>
      <c r="D585" s="60">
        <v>2015</v>
      </c>
      <c r="E585" s="60"/>
      <c r="F585" s="46" t="s">
        <v>226</v>
      </c>
      <c r="G585" s="46" t="s">
        <v>162</v>
      </c>
      <c r="H585" s="46"/>
      <c r="I585" s="46" t="str">
        <f>IF(AND(G585&lt;&gt;"ALK",G585&lt;&gt;"PEM",G585&lt;&gt;"SOEC",G585&lt;&gt;"Other electrolysis"),"N/A","")</f>
        <v>N/A</v>
      </c>
      <c r="J585" s="46" t="str">
        <f>IF(I585&lt;&gt;"Dedicated renewable","N/A",)</f>
        <v>N/A</v>
      </c>
      <c r="K585" s="46" t="s">
        <v>140</v>
      </c>
      <c r="L585" s="46"/>
      <c r="M585" s="46"/>
      <c r="N585" s="46">
        <v>1</v>
      </c>
      <c r="O585" s="46"/>
      <c r="P585" s="46"/>
      <c r="Q585" s="46"/>
      <c r="R585" s="46"/>
      <c r="S585" s="46"/>
      <c r="T585" s="46"/>
      <c r="U585" s="46"/>
      <c r="V585" s="46"/>
      <c r="W585" s="46"/>
      <c r="X585" s="46"/>
      <c r="Y585" s="46"/>
      <c r="Z585" s="46" t="s">
        <v>2039</v>
      </c>
      <c r="AA585" s="61" t="str">
        <f>IF(OR(G585="ALK",G585="PEM",G585="SOEC",G585="Other Electrolysis"),
AB585*VLOOKUP(G585,ElectrolysisConvF,3,FALSE),
"")</f>
        <v/>
      </c>
      <c r="AB585" s="62"/>
      <c r="AC585" s="63"/>
      <c r="AD585" s="62">
        <v>100000</v>
      </c>
      <c r="AE585" s="62">
        <f t="shared" si="72"/>
        <v>5984.5478973290956</v>
      </c>
      <c r="AF585" s="64" t="s">
        <v>2040</v>
      </c>
      <c r="AG585" s="49">
        <v>0.9</v>
      </c>
    </row>
    <row r="586" spans="1:33" ht="34.5" customHeight="1" x14ac:dyDescent="0.3">
      <c r="A586" s="46">
        <v>948</v>
      </c>
      <c r="B586" s="46" t="s">
        <v>2041</v>
      </c>
      <c r="C586" s="46" t="s">
        <v>40</v>
      </c>
      <c r="D586" s="60">
        <v>2000</v>
      </c>
      <c r="E586" s="60">
        <v>2025</v>
      </c>
      <c r="F586" s="46" t="s">
        <v>226</v>
      </c>
      <c r="G586" s="46" t="s">
        <v>160</v>
      </c>
      <c r="H586" s="46" t="s">
        <v>1562</v>
      </c>
      <c r="I586" s="46" t="str">
        <f>IF(AND(G586&lt;&gt;"ALK",G586&lt;&gt;"PEM",G586&lt;&gt;"SOEC",G586&lt;&gt;"Other electrolysis"),"N/A","")</f>
        <v>N/A</v>
      </c>
      <c r="J586" s="46" t="str">
        <f>IF(I586&lt;&gt;"Dedicated renewable","N/A",)</f>
        <v>N/A</v>
      </c>
      <c r="K586" s="46" t="s">
        <v>72</v>
      </c>
      <c r="L586" s="46"/>
      <c r="M586" s="46"/>
      <c r="N586" s="46"/>
      <c r="O586" s="46"/>
      <c r="P586" s="46"/>
      <c r="Q586" s="46"/>
      <c r="R586" s="46"/>
      <c r="S586" s="46"/>
      <c r="T586" s="46"/>
      <c r="U586" s="46"/>
      <c r="V586" s="46"/>
      <c r="W586" s="46"/>
      <c r="X586" s="46">
        <v>1</v>
      </c>
      <c r="Y586" s="46"/>
      <c r="Z586" s="46" t="s">
        <v>2042</v>
      </c>
      <c r="AA586" s="61" t="str">
        <f>IF(OR(G586="ALK",G586="PEM",G586="SOEC",G586="Other Electrolysis"),
AB586*VLOOKUP(G586,ElectrolysisConvF,3,FALSE),
"")</f>
        <v/>
      </c>
      <c r="AB586" s="62"/>
      <c r="AC586" s="63"/>
      <c r="AD586" s="62">
        <v>3000000</v>
      </c>
      <c r="AE586" s="62">
        <f t="shared" si="72"/>
        <v>179536.43691987288</v>
      </c>
      <c r="AF586" s="64" t="s">
        <v>2043</v>
      </c>
      <c r="AG586" s="49">
        <v>0.9</v>
      </c>
    </row>
    <row r="587" spans="1:33" ht="34.5" customHeight="1" x14ac:dyDescent="0.3">
      <c r="A587" s="46">
        <v>949</v>
      </c>
      <c r="B587" s="46" t="s">
        <v>2044</v>
      </c>
      <c r="C587" s="46" t="s">
        <v>47</v>
      </c>
      <c r="D587" s="60">
        <v>2016</v>
      </c>
      <c r="E587" s="60"/>
      <c r="F587" s="46" t="s">
        <v>226</v>
      </c>
      <c r="G587" s="46" t="s">
        <v>161</v>
      </c>
      <c r="H587" s="46" t="s">
        <v>1951</v>
      </c>
      <c r="I587" s="46" t="str">
        <f>IF(AND(G587&lt;&gt;"ALK",G587&lt;&gt;"PEM",G587&lt;&gt;"SOEC",G587&lt;&gt;"Other electrolysis"),"N/A","")</f>
        <v>N/A</v>
      </c>
      <c r="J587" s="46" t="str">
        <f>IF(I587&lt;&gt;"Dedicated renewable","N/A",)</f>
        <v>N/A</v>
      </c>
      <c r="K587" s="46" t="s">
        <v>68</v>
      </c>
      <c r="L587" s="46"/>
      <c r="M587" s="46"/>
      <c r="N587" s="46"/>
      <c r="O587" s="46">
        <v>1</v>
      </c>
      <c r="P587" s="46"/>
      <c r="Q587" s="46"/>
      <c r="R587" s="46"/>
      <c r="S587" s="46"/>
      <c r="T587" s="46"/>
      <c r="U587" s="46"/>
      <c r="V587" s="46"/>
      <c r="W587" s="46"/>
      <c r="X587" s="46"/>
      <c r="Y587" s="46"/>
      <c r="Z587" s="46" t="s">
        <v>2045</v>
      </c>
      <c r="AA587" s="61" t="str">
        <f>IF(OR(G587="ALK",G587="PEM",G587="SOEC",G587="Other Electrolysis"),
AB587*VLOOKUP(G587,ElectrolysisConvF,3,FALSE),
"")</f>
        <v/>
      </c>
      <c r="AB587" s="62"/>
      <c r="AC587" s="63"/>
      <c r="AD587" s="62">
        <v>800000</v>
      </c>
      <c r="AE587" s="62">
        <f t="shared" si="72"/>
        <v>100301.15421553214</v>
      </c>
      <c r="AF587" s="64" t="s">
        <v>2046</v>
      </c>
      <c r="AG587" s="49">
        <v>0.9</v>
      </c>
    </row>
    <row r="588" spans="1:33" ht="34.5" customHeight="1" x14ac:dyDescent="0.3">
      <c r="A588" s="46">
        <v>950</v>
      </c>
      <c r="B588" s="46" t="s">
        <v>2047</v>
      </c>
      <c r="C588" s="46" t="s">
        <v>46</v>
      </c>
      <c r="D588" s="60">
        <v>2025</v>
      </c>
      <c r="E588" s="60"/>
      <c r="F588" s="46" t="s">
        <v>225</v>
      </c>
      <c r="G588" s="46" t="s">
        <v>1</v>
      </c>
      <c r="H588" s="46"/>
      <c r="I588" s="46" t="s">
        <v>157</v>
      </c>
      <c r="J588" s="46"/>
      <c r="K588" s="46" t="s">
        <v>68</v>
      </c>
      <c r="L588" s="46"/>
      <c r="M588" s="46"/>
      <c r="N588" s="46"/>
      <c r="O588" s="46"/>
      <c r="P588" s="46"/>
      <c r="Q588" s="46">
        <v>1</v>
      </c>
      <c r="R588" s="46"/>
      <c r="S588" s="46"/>
      <c r="T588" s="46"/>
      <c r="U588" s="46"/>
      <c r="V588" s="46"/>
      <c r="W588" s="46"/>
      <c r="X588" s="46"/>
      <c r="Y588" s="46"/>
      <c r="Z588" s="46"/>
      <c r="AA588" s="61"/>
      <c r="AB588" s="62"/>
      <c r="AC588" s="63"/>
      <c r="AD588" s="62"/>
      <c r="AE588" s="62">
        <f t="shared" si="72"/>
        <v>0</v>
      </c>
      <c r="AF588" s="64" t="s">
        <v>2048</v>
      </c>
      <c r="AG588" s="49">
        <v>0.56999999999999995</v>
      </c>
    </row>
    <row r="589" spans="1:33" ht="34.5" customHeight="1" x14ac:dyDescent="0.3">
      <c r="A589" s="46">
        <v>951</v>
      </c>
      <c r="B589" s="46" t="s">
        <v>2049</v>
      </c>
      <c r="C589" s="46" t="s">
        <v>40</v>
      </c>
      <c r="D589" s="60"/>
      <c r="E589" s="60"/>
      <c r="F589" s="46" t="s">
        <v>591</v>
      </c>
      <c r="G589" s="46" t="s">
        <v>159</v>
      </c>
      <c r="H589" s="46" t="s">
        <v>592</v>
      </c>
      <c r="I589" s="46" t="s">
        <v>169</v>
      </c>
      <c r="J589" s="46" t="s">
        <v>248</v>
      </c>
      <c r="K589" s="46" t="s">
        <v>72</v>
      </c>
      <c r="L589" s="46"/>
      <c r="M589" s="46"/>
      <c r="N589" s="46"/>
      <c r="O589" s="46"/>
      <c r="P589" s="46"/>
      <c r="Q589" s="46"/>
      <c r="R589" s="46"/>
      <c r="S589" s="46"/>
      <c r="T589" s="46"/>
      <c r="U589" s="46"/>
      <c r="V589" s="46"/>
      <c r="W589" s="46"/>
      <c r="X589" s="46">
        <v>1</v>
      </c>
      <c r="Y589" s="46"/>
      <c r="Z589" s="46" t="s">
        <v>2050</v>
      </c>
      <c r="AA589" s="61">
        <v>10</v>
      </c>
      <c r="AB589" s="62">
        <f>IF(OR(G589="ALK",G589="PEM",G589="SOEC",G589="Other Electrolysis"),
AA589/VLOOKUP(G589,ElectrolysisConvF,3,FALSE),
AC589*10^6/(H2dens*HoursInYear))</f>
        <v>2222.2222222222222</v>
      </c>
      <c r="AC589" s="63">
        <f>AB589*H2dens*HoursInYear/10^6</f>
        <v>1.7325333333333333</v>
      </c>
      <c r="AD589" s="62"/>
      <c r="AE589" s="62">
        <f t="shared" si="72"/>
        <v>2222.2222222222222</v>
      </c>
      <c r="AF589" s="64" t="s">
        <v>2051</v>
      </c>
      <c r="AG589" s="49">
        <v>0.5</v>
      </c>
    </row>
    <row r="590" spans="1:33" ht="34.5" customHeight="1" x14ac:dyDescent="0.3">
      <c r="A590" s="46">
        <v>952</v>
      </c>
      <c r="B590" s="46" t="s">
        <v>2052</v>
      </c>
      <c r="C590" s="46" t="s">
        <v>40</v>
      </c>
      <c r="D590" s="60"/>
      <c r="E590" s="60"/>
      <c r="F590" s="46" t="s">
        <v>591</v>
      </c>
      <c r="G590" s="46" t="s">
        <v>159</v>
      </c>
      <c r="H590" s="46" t="s">
        <v>592</v>
      </c>
      <c r="I590" s="46" t="s">
        <v>169</v>
      </c>
      <c r="J590" s="46" t="s">
        <v>248</v>
      </c>
      <c r="K590" s="46" t="s">
        <v>68</v>
      </c>
      <c r="L590" s="46"/>
      <c r="M590" s="46"/>
      <c r="N590" s="46"/>
      <c r="O590" s="46"/>
      <c r="P590" s="46"/>
      <c r="Q590" s="46"/>
      <c r="R590" s="46"/>
      <c r="S590" s="46">
        <v>1</v>
      </c>
      <c r="T590" s="46"/>
      <c r="U590" s="46"/>
      <c r="V590" s="46"/>
      <c r="W590" s="46"/>
      <c r="X590" s="46"/>
      <c r="Y590" s="46"/>
      <c r="Z590" s="46"/>
      <c r="AA590" s="61"/>
      <c r="AB590" s="62"/>
      <c r="AC590" s="63"/>
      <c r="AD590" s="62"/>
      <c r="AE590" s="62">
        <f t="shared" si="72"/>
        <v>0</v>
      </c>
      <c r="AF590" s="64" t="s">
        <v>2053</v>
      </c>
      <c r="AG590" s="49">
        <v>0.5</v>
      </c>
    </row>
    <row r="591" spans="1:33" ht="34.5" customHeight="1" x14ac:dyDescent="0.3">
      <c r="A591" s="46">
        <v>953</v>
      </c>
      <c r="B591" s="46" t="s">
        <v>2054</v>
      </c>
      <c r="C591" s="46" t="s">
        <v>40</v>
      </c>
      <c r="D591" s="60">
        <v>2021</v>
      </c>
      <c r="E591" s="60"/>
      <c r="F591" s="46" t="s">
        <v>226</v>
      </c>
      <c r="G591" s="46" t="s">
        <v>159</v>
      </c>
      <c r="H591" s="46" t="s">
        <v>592</v>
      </c>
      <c r="I591" s="46" t="s">
        <v>157</v>
      </c>
      <c r="J591" s="46"/>
      <c r="K591" s="46" t="s">
        <v>68</v>
      </c>
      <c r="L591" s="46"/>
      <c r="M591" s="46"/>
      <c r="N591" s="46"/>
      <c r="O591" s="46"/>
      <c r="P591" s="46"/>
      <c r="Q591" s="46"/>
      <c r="R591" s="46"/>
      <c r="S591" s="46">
        <v>1</v>
      </c>
      <c r="T591" s="46"/>
      <c r="U591" s="46"/>
      <c r="V591" s="46"/>
      <c r="W591" s="46"/>
      <c r="X591" s="46"/>
      <c r="Y591" s="46"/>
      <c r="Z591" s="46" t="s">
        <v>2055</v>
      </c>
      <c r="AA591" s="61">
        <v>0.17499999999999999</v>
      </c>
      <c r="AB591" s="62">
        <f>IF(OR(G591="ALK",G591="PEM",G591="SOEC",G591="Other Electrolysis"),
AA591/VLOOKUP(G591,ElectrolysisConvF,3,FALSE),
AC591*10^6/(H2dens*HoursInYear))</f>
        <v>38.888888888888893</v>
      </c>
      <c r="AC591" s="63">
        <f>AB591*H2dens*HoursInYear/10^6</f>
        <v>3.0319333333333337E-2</v>
      </c>
      <c r="AD591" s="62"/>
      <c r="AE591" s="62">
        <f t="shared" si="72"/>
        <v>38.888888888888893</v>
      </c>
      <c r="AF591" s="64" t="s">
        <v>2056</v>
      </c>
      <c r="AG591" s="49">
        <v>0.56999999999999995</v>
      </c>
    </row>
    <row r="592" spans="1:33" ht="34.5" customHeight="1" x14ac:dyDescent="0.3">
      <c r="A592" s="46">
        <v>954</v>
      </c>
      <c r="B592" s="46" t="s">
        <v>2057</v>
      </c>
      <c r="C592" s="46" t="s">
        <v>36</v>
      </c>
      <c r="D592" s="60">
        <v>2025</v>
      </c>
      <c r="E592" s="60"/>
      <c r="F592" s="46" t="s">
        <v>675</v>
      </c>
      <c r="G592" s="46" t="s">
        <v>159</v>
      </c>
      <c r="H592" s="46" t="s">
        <v>592</v>
      </c>
      <c r="I592" s="46" t="s">
        <v>169</v>
      </c>
      <c r="J592" s="46" t="s">
        <v>245</v>
      </c>
      <c r="K592" s="46" t="s">
        <v>72</v>
      </c>
      <c r="L592" s="46"/>
      <c r="M592" s="46"/>
      <c r="N592" s="46"/>
      <c r="O592" s="46"/>
      <c r="P592" s="46"/>
      <c r="Q592" s="46"/>
      <c r="R592" s="46"/>
      <c r="S592" s="46"/>
      <c r="T592" s="46"/>
      <c r="U592" s="46"/>
      <c r="V592" s="46"/>
      <c r="W592" s="46"/>
      <c r="X592" s="46">
        <v>1</v>
      </c>
      <c r="Y592" s="46"/>
      <c r="Z592" s="46" t="s">
        <v>981</v>
      </c>
      <c r="AA592" s="61">
        <v>20</v>
      </c>
      <c r="AB592" s="62">
        <f>IF(OR(G592="ALK",G592="PEM",G592="SOEC",G592="Other Electrolysis"),
AA592/VLOOKUP(G592,ElectrolysisConvF,3,FALSE),
AC592*10^6/(H2dens*HoursInYear))</f>
        <v>4444.4444444444443</v>
      </c>
      <c r="AC592" s="63">
        <f>AB592*H2dens*HoursInYear/10^6</f>
        <v>3.4650666666666665</v>
      </c>
      <c r="AD592" s="62"/>
      <c r="AE592" s="62">
        <f t="shared" si="72"/>
        <v>4444.4444444444443</v>
      </c>
      <c r="AF592" s="64" t="s">
        <v>2058</v>
      </c>
      <c r="AG592" s="49">
        <v>0.4</v>
      </c>
    </row>
    <row r="593" spans="1:33" ht="34.5" customHeight="1" x14ac:dyDescent="0.3">
      <c r="A593" s="46">
        <v>955</v>
      </c>
      <c r="B593" s="46" t="s">
        <v>2059</v>
      </c>
      <c r="C593" s="46" t="s">
        <v>64</v>
      </c>
      <c r="D593" s="60">
        <v>2025</v>
      </c>
      <c r="E593" s="60"/>
      <c r="F593" s="46" t="s">
        <v>225</v>
      </c>
      <c r="G593" s="46" t="s">
        <v>159</v>
      </c>
      <c r="H593" s="75" t="s">
        <v>592</v>
      </c>
      <c r="I593" s="46" t="s">
        <v>1317</v>
      </c>
      <c r="J593" s="46" t="s">
        <v>248</v>
      </c>
      <c r="K593" s="46" t="s">
        <v>141</v>
      </c>
      <c r="L593" s="46"/>
      <c r="M593" s="46">
        <v>1</v>
      </c>
      <c r="N593" s="46"/>
      <c r="O593" s="46"/>
      <c r="P593" s="46"/>
      <c r="Q593" s="46"/>
      <c r="R593" s="46"/>
      <c r="S593" s="46"/>
      <c r="T593" s="46"/>
      <c r="U593" s="46"/>
      <c r="V593" s="46"/>
      <c r="W593" s="46"/>
      <c r="X593" s="46"/>
      <c r="Y593" s="46"/>
      <c r="Z593" s="46" t="s">
        <v>2060</v>
      </c>
      <c r="AA593" s="61">
        <f>IF(OR(G593="ALK",G593="PEM",G593="SOEC",G593="Other Electrolysis"),
AB593*VLOOKUP(G593,ElectrolysisConvF,3,FALSE),
"")</f>
        <v>412.27819433144964</v>
      </c>
      <c r="AB593" s="62">
        <f>AC593/(H2dens*HoursInYear/10^6)</f>
        <v>91617.376518099933</v>
      </c>
      <c r="AC593" s="63">
        <f>50/H2ProjectDB4578610[[#This Row],[Column33]]</f>
        <v>71.428571428571431</v>
      </c>
      <c r="AD593" s="62"/>
      <c r="AE593" s="62">
        <f t="shared" si="72"/>
        <v>91617.376518099933</v>
      </c>
      <c r="AF593" s="64" t="s">
        <v>2061</v>
      </c>
      <c r="AG593" s="49">
        <v>0.7</v>
      </c>
    </row>
    <row r="594" spans="1:33" ht="34.5" customHeight="1" x14ac:dyDescent="0.3">
      <c r="A594" s="46">
        <v>958</v>
      </c>
      <c r="B594" s="46" t="s">
        <v>2062</v>
      </c>
      <c r="C594" s="46" t="s">
        <v>41</v>
      </c>
      <c r="D594" s="60">
        <v>2020</v>
      </c>
      <c r="E594" s="60"/>
      <c r="F594" s="46" t="s">
        <v>285</v>
      </c>
      <c r="G594" s="46" t="s">
        <v>159</v>
      </c>
      <c r="H594" s="75" t="s">
        <v>592</v>
      </c>
      <c r="I594" s="46" t="s">
        <v>169</v>
      </c>
      <c r="J594" s="46" t="s">
        <v>245</v>
      </c>
      <c r="K594" s="46" t="s">
        <v>68</v>
      </c>
      <c r="L594" s="46"/>
      <c r="M594" s="46"/>
      <c r="N594" s="46"/>
      <c r="O594" s="46"/>
      <c r="P594" s="46"/>
      <c r="Q594" s="46"/>
      <c r="R594" s="46"/>
      <c r="S594" s="46"/>
      <c r="T594" s="46"/>
      <c r="U594" s="46"/>
      <c r="V594" s="46"/>
      <c r="W594" s="46"/>
      <c r="X594" s="46"/>
      <c r="Y594" s="46"/>
      <c r="Z594" s="46"/>
      <c r="AA594" s="61"/>
      <c r="AB594" s="62"/>
      <c r="AC594" s="63"/>
      <c r="AD594" s="62"/>
      <c r="AE594" s="62"/>
      <c r="AF594" s="64" t="s">
        <v>2063</v>
      </c>
      <c r="AG594" s="49">
        <v>0.4</v>
      </c>
    </row>
    <row r="595" spans="1:33" ht="34.5" customHeight="1" x14ac:dyDescent="0.3">
      <c r="A595" s="46">
        <v>959</v>
      </c>
      <c r="B595" s="46" t="s">
        <v>2064</v>
      </c>
      <c r="C595" s="46" t="s">
        <v>41</v>
      </c>
      <c r="D595" s="60">
        <v>2020</v>
      </c>
      <c r="E595" s="60"/>
      <c r="F595" s="46" t="s">
        <v>285</v>
      </c>
      <c r="G595" s="75" t="s">
        <v>159</v>
      </c>
      <c r="H595" s="75" t="s">
        <v>592</v>
      </c>
      <c r="I595" s="75" t="s">
        <v>288</v>
      </c>
      <c r="J595" s="46" t="str">
        <f>IF(I595&lt;&gt;"Dedicated renewable","N/A",)</f>
        <v>N/A</v>
      </c>
      <c r="K595" s="46" t="s">
        <v>68</v>
      </c>
      <c r="L595" s="46"/>
      <c r="M595" s="46"/>
      <c r="N595" s="46"/>
      <c r="O595" s="46">
        <v>1</v>
      </c>
      <c r="P595" s="46"/>
      <c r="Q595" s="46"/>
      <c r="R595" s="46"/>
      <c r="S595" s="46"/>
      <c r="T595" s="46"/>
      <c r="U595" s="46"/>
      <c r="V595" s="46"/>
      <c r="W595" s="46"/>
      <c r="X595" s="46"/>
      <c r="Y595" s="46"/>
      <c r="Z595" s="46" t="s">
        <v>2065</v>
      </c>
      <c r="AA595" s="61">
        <f>IF(OR(G595="ALK",G595="PEM",G595="SOEC",G595="Other Electrolysis"),
AB595*VLOOKUP(G595,ElectrolysisConvF,3,FALSE),
"")</f>
        <v>4.4999999999999999E-4</v>
      </c>
      <c r="AB595" s="62">
        <v>0.1</v>
      </c>
      <c r="AC595" s="63">
        <f>AB595*H2dens*HoursInYear/10^6</f>
        <v>7.7964000000000001E-5</v>
      </c>
      <c r="AD595" s="62"/>
      <c r="AE595" s="62">
        <f t="shared" ref="AE595:AE617" si="73">IF(AND(G595&lt;&gt;"NG w CCUS",G595&lt;&gt;"Oil w CCUS",G595&lt;&gt;"Coal w CCUS"),AB595,AD595*10^3/(HoursInYear*IF(G595="NG w CCUS",0.9105,1.9075)))</f>
        <v>0.1</v>
      </c>
      <c r="AF595" s="64" t="s">
        <v>2066</v>
      </c>
      <c r="AG595" s="49">
        <v>0.8</v>
      </c>
    </row>
    <row r="596" spans="1:33" ht="34.5" customHeight="1" x14ac:dyDescent="0.3">
      <c r="A596" s="46">
        <v>960</v>
      </c>
      <c r="B596" s="46" t="s">
        <v>2067</v>
      </c>
      <c r="C596" s="46" t="s">
        <v>41</v>
      </c>
      <c r="D596" s="60"/>
      <c r="E596" s="60"/>
      <c r="F596" s="46" t="s">
        <v>591</v>
      </c>
      <c r="G596" s="75" t="s">
        <v>159</v>
      </c>
      <c r="H596" s="75" t="s">
        <v>592</v>
      </c>
      <c r="I596" s="46" t="s">
        <v>288</v>
      </c>
      <c r="J596" s="46" t="str">
        <f>IF(I596&lt;&gt;"Dedicated renewable","N/A",)</f>
        <v>N/A</v>
      </c>
      <c r="K596" s="46" t="s">
        <v>68</v>
      </c>
      <c r="L596" s="46"/>
      <c r="M596" s="46"/>
      <c r="N596" s="46"/>
      <c r="O596" s="46">
        <v>1</v>
      </c>
      <c r="P596" s="46"/>
      <c r="Q596" s="46"/>
      <c r="R596" s="46"/>
      <c r="S596" s="46"/>
      <c r="T596" s="46"/>
      <c r="U596" s="46"/>
      <c r="V596" s="46"/>
      <c r="W596" s="46"/>
      <c r="X596" s="46"/>
      <c r="Y596" s="46"/>
      <c r="Z596" s="46" t="s">
        <v>2068</v>
      </c>
      <c r="AA596" s="61">
        <f>IF(OR(G596="ALK",G596="PEM",G596="SOEC",G596="Other Electrolysis"),
AB596*VLOOKUP(G596,ElectrolysisConvF,3,FALSE),
"")</f>
        <v>224.99999999999997</v>
      </c>
      <c r="AB596" s="62">
        <v>50000</v>
      </c>
      <c r="AC596" s="63">
        <f>AB596*H2dens*HoursInYear/10^6</f>
        <v>38.981999999999999</v>
      </c>
      <c r="AD596" s="62"/>
      <c r="AE596" s="62">
        <f t="shared" si="73"/>
        <v>50000</v>
      </c>
      <c r="AF596" s="64" t="s">
        <v>2066</v>
      </c>
      <c r="AG596" s="49">
        <v>0.8</v>
      </c>
    </row>
    <row r="597" spans="1:33" customFormat="1" ht="34.5" customHeight="1" x14ac:dyDescent="0.3">
      <c r="A597" s="46">
        <v>961</v>
      </c>
      <c r="B597" s="46" t="s">
        <v>2069</v>
      </c>
      <c r="C597" s="46" t="s">
        <v>41</v>
      </c>
      <c r="D597" s="60">
        <v>2025</v>
      </c>
      <c r="E597" s="60"/>
      <c r="F597" s="46" t="s">
        <v>675</v>
      </c>
      <c r="G597" s="75" t="s">
        <v>159</v>
      </c>
      <c r="H597" s="75" t="s">
        <v>592</v>
      </c>
      <c r="I597" s="46" t="s">
        <v>169</v>
      </c>
      <c r="J597" s="46" t="s">
        <v>244</v>
      </c>
      <c r="K597" s="46" t="s">
        <v>68</v>
      </c>
      <c r="L597" s="46"/>
      <c r="M597" s="46"/>
      <c r="N597" s="46"/>
      <c r="O597" s="46"/>
      <c r="P597" s="46"/>
      <c r="Q597" s="46"/>
      <c r="R597" s="46"/>
      <c r="S597" s="46"/>
      <c r="T597" s="46"/>
      <c r="U597" s="46"/>
      <c r="V597" s="46"/>
      <c r="W597" s="46"/>
      <c r="X597" s="46"/>
      <c r="Y597" s="46"/>
      <c r="Z597" s="46" t="s">
        <v>1168</v>
      </c>
      <c r="AA597" s="61">
        <v>10</v>
      </c>
      <c r="AB597" s="62">
        <f>IF(OR(G597="ALK",G597="PEM",G597="SOEC",G597="Other Electrolysis"),
AA597/VLOOKUP(G597,ElectrolysisConvF,3,FALSE),
AC597*10^6/(H2dens*HoursInYear))</f>
        <v>2222.2222222222222</v>
      </c>
      <c r="AC597" s="63">
        <f>AB597*H2dens*HoursInYear/10^6</f>
        <v>1.7325333333333333</v>
      </c>
      <c r="AD597" s="62"/>
      <c r="AE597" s="62">
        <f t="shared" si="73"/>
        <v>2222.2222222222222</v>
      </c>
      <c r="AF597" s="64" t="s">
        <v>2070</v>
      </c>
      <c r="AG597" s="49">
        <v>0.3</v>
      </c>
    </row>
    <row r="598" spans="1:33" customFormat="1" ht="34.5" customHeight="1" x14ac:dyDescent="0.3">
      <c r="A598" s="46">
        <v>962</v>
      </c>
      <c r="B598" s="46" t="s">
        <v>2071</v>
      </c>
      <c r="C598" s="46" t="s">
        <v>39</v>
      </c>
      <c r="D598" s="60">
        <v>2024</v>
      </c>
      <c r="E598" s="60"/>
      <c r="F598" s="46" t="s">
        <v>225</v>
      </c>
      <c r="G598" s="75" t="s">
        <v>159</v>
      </c>
      <c r="H598" s="75" t="s">
        <v>592</v>
      </c>
      <c r="I598" s="46" t="s">
        <v>169</v>
      </c>
      <c r="J598" s="46" t="s">
        <v>244</v>
      </c>
      <c r="K598" s="46" t="s">
        <v>68</v>
      </c>
      <c r="L598" s="46"/>
      <c r="M598" s="46"/>
      <c r="N598" s="46"/>
      <c r="O598" s="46"/>
      <c r="P598" s="46"/>
      <c r="Q598" s="46"/>
      <c r="R598" s="46"/>
      <c r="S598" s="46"/>
      <c r="T598" s="46"/>
      <c r="U598" s="46"/>
      <c r="V598" s="46"/>
      <c r="W598" s="46"/>
      <c r="X598" s="46"/>
      <c r="Y598" s="46"/>
      <c r="Z598" s="46" t="s">
        <v>2072</v>
      </c>
      <c r="AA598" s="62">
        <v>200</v>
      </c>
      <c r="AB598" s="62">
        <f>IF(OR(G598="ALK",G598="PEM",G598="SOEC",G598="Other Electrolysis"),
AA598/VLOOKUP(G598,ElectrolysisConvF,3,FALSE),
AC598*10^6/(H2dens*HoursInYear))</f>
        <v>44444.444444444445</v>
      </c>
      <c r="AC598" s="63">
        <f>AB598*H2dens*HoursInYear/10^6</f>
        <v>34.650666666666666</v>
      </c>
      <c r="AD598" s="62"/>
      <c r="AE598" s="62">
        <f t="shared" si="73"/>
        <v>44444.444444444445</v>
      </c>
      <c r="AF598" s="64" t="s">
        <v>2073</v>
      </c>
      <c r="AG598" s="49">
        <v>0.3</v>
      </c>
    </row>
    <row r="599" spans="1:33" customFormat="1" ht="34.5" customHeight="1" x14ac:dyDescent="0.3">
      <c r="A599" s="46">
        <v>963</v>
      </c>
      <c r="B599" s="46" t="s">
        <v>2074</v>
      </c>
      <c r="C599" s="46" t="s">
        <v>40</v>
      </c>
      <c r="D599" s="60">
        <v>2022</v>
      </c>
      <c r="E599" s="60"/>
      <c r="F599" s="46" t="s">
        <v>675</v>
      </c>
      <c r="G599" s="75" t="s">
        <v>159</v>
      </c>
      <c r="H599" s="75" t="s">
        <v>592</v>
      </c>
      <c r="I599" s="75" t="s">
        <v>169</v>
      </c>
      <c r="J599" s="46" t="s">
        <v>69</v>
      </c>
      <c r="K599" s="46" t="s">
        <v>68</v>
      </c>
      <c r="L599" s="46"/>
      <c r="M599" s="46"/>
      <c r="N599" s="46"/>
      <c r="O599" s="46"/>
      <c r="P599" s="46"/>
      <c r="Q599" s="46">
        <v>1</v>
      </c>
      <c r="R599" s="46">
        <v>1</v>
      </c>
      <c r="S599" s="46">
        <v>1</v>
      </c>
      <c r="T599" s="46"/>
      <c r="U599" s="46"/>
      <c r="V599" s="46"/>
      <c r="W599" s="46"/>
      <c r="X599" s="46"/>
      <c r="Y599" s="46"/>
      <c r="Z599" s="46"/>
      <c r="AA599" s="61"/>
      <c r="AB599" s="62"/>
      <c r="AC599" s="63"/>
      <c r="AD599" s="62"/>
      <c r="AE599" s="62">
        <f t="shared" si="73"/>
        <v>0</v>
      </c>
      <c r="AF599" s="64" t="s">
        <v>2075</v>
      </c>
      <c r="AG599" s="49">
        <v>0.5</v>
      </c>
    </row>
    <row r="600" spans="1:33" customFormat="1" ht="34.5" customHeight="1" x14ac:dyDescent="0.3">
      <c r="A600" s="46">
        <v>964</v>
      </c>
      <c r="B600" s="46" t="s">
        <v>2076</v>
      </c>
      <c r="C600" s="46" t="s">
        <v>321</v>
      </c>
      <c r="D600" s="60">
        <v>2024</v>
      </c>
      <c r="E600" s="60"/>
      <c r="F600" s="46" t="s">
        <v>591</v>
      </c>
      <c r="G600" s="75" t="s">
        <v>159</v>
      </c>
      <c r="H600" s="75" t="s">
        <v>592</v>
      </c>
      <c r="I600" s="75" t="s">
        <v>169</v>
      </c>
      <c r="J600" s="46" t="s">
        <v>69</v>
      </c>
      <c r="K600" s="46" t="s">
        <v>68</v>
      </c>
      <c r="L600" s="46"/>
      <c r="M600" s="46"/>
      <c r="N600" s="46"/>
      <c r="O600" s="46"/>
      <c r="P600" s="46"/>
      <c r="Q600" s="46"/>
      <c r="R600" s="46"/>
      <c r="S600" s="46"/>
      <c r="T600" s="46"/>
      <c r="U600" s="46"/>
      <c r="V600" s="46"/>
      <c r="W600" s="46"/>
      <c r="X600" s="46"/>
      <c r="Y600" s="46"/>
      <c r="Z600" s="46" t="s">
        <v>708</v>
      </c>
      <c r="AA600" s="61">
        <v>1</v>
      </c>
      <c r="AB600" s="62">
        <f>IF(OR(G600="ALK",G600="PEM",G600="SOEC",G600="Other Electrolysis"),
AA600/VLOOKUP(G600,ElectrolysisConvF,3,FALSE),
AC600*10^6/(H2dens*HoursInYear))</f>
        <v>222.22222222222223</v>
      </c>
      <c r="AC600" s="63">
        <f>AB600*H2dens*HoursInYear/10^6</f>
        <v>0.17325333333333334</v>
      </c>
      <c r="AD600" s="62"/>
      <c r="AE600" s="62">
        <f t="shared" si="73"/>
        <v>222.22222222222223</v>
      </c>
      <c r="AF600" s="64" t="s">
        <v>2077</v>
      </c>
      <c r="AG600" s="49">
        <v>0.5</v>
      </c>
    </row>
    <row r="601" spans="1:33" customFormat="1" ht="34.5" customHeight="1" x14ac:dyDescent="0.3">
      <c r="A601" s="46">
        <v>965</v>
      </c>
      <c r="B601" s="46" t="s">
        <v>2078</v>
      </c>
      <c r="C601" s="46" t="s">
        <v>45</v>
      </c>
      <c r="D601" s="60"/>
      <c r="E601" s="60"/>
      <c r="F601" s="46" t="s">
        <v>225</v>
      </c>
      <c r="G601" s="75" t="s">
        <v>159</v>
      </c>
      <c r="H601" s="75" t="s">
        <v>592</v>
      </c>
      <c r="I601" s="75" t="s">
        <v>157</v>
      </c>
      <c r="J601" s="46"/>
      <c r="K601" s="46" t="s">
        <v>68</v>
      </c>
      <c r="L601" s="46"/>
      <c r="M601" s="46"/>
      <c r="N601" s="46"/>
      <c r="O601" s="46"/>
      <c r="P601" s="46">
        <v>1</v>
      </c>
      <c r="Q601" s="46"/>
      <c r="R601" s="46"/>
      <c r="S601" s="46">
        <v>1</v>
      </c>
      <c r="T601" s="46"/>
      <c r="U601" s="46"/>
      <c r="V601" s="46"/>
      <c r="W601" s="46"/>
      <c r="X601" s="46"/>
      <c r="Y601" s="46"/>
      <c r="Z601" s="46" t="s">
        <v>2079</v>
      </c>
      <c r="AA601" s="61">
        <v>160</v>
      </c>
      <c r="AB601" s="62">
        <f>IF(OR(G601="ALK",G601="PEM",G601="SOEC",G601="Other Electrolysis"),
AA601/VLOOKUP(G601,ElectrolysisConvF,3,FALSE),
AC601*10^6/(H2dens*HoursInYear))</f>
        <v>35555.555555555555</v>
      </c>
      <c r="AC601" s="63">
        <f>AB601*H2dens*HoursInYear/10^6</f>
        <v>27.720533333333332</v>
      </c>
      <c r="AD601" s="62"/>
      <c r="AE601" s="62">
        <f t="shared" si="73"/>
        <v>35555.555555555555</v>
      </c>
      <c r="AF601" s="64" t="s">
        <v>2080</v>
      </c>
      <c r="AG601" s="49">
        <v>0.56999999999999995</v>
      </c>
    </row>
    <row r="602" spans="1:33" customFormat="1" ht="34.5" customHeight="1" x14ac:dyDescent="0.3">
      <c r="A602" s="46">
        <v>966</v>
      </c>
      <c r="B602" s="46" t="s">
        <v>2081</v>
      </c>
      <c r="C602" s="46" t="s">
        <v>135</v>
      </c>
      <c r="D602" s="60"/>
      <c r="E602" s="60"/>
      <c r="F602" s="46" t="s">
        <v>591</v>
      </c>
      <c r="G602" s="75" t="s">
        <v>159</v>
      </c>
      <c r="H602" s="75" t="s">
        <v>592</v>
      </c>
      <c r="I602" s="46" t="s">
        <v>157</v>
      </c>
      <c r="J602" s="46"/>
      <c r="K602" s="46" t="s">
        <v>68</v>
      </c>
      <c r="L602" s="46"/>
      <c r="M602" s="46"/>
      <c r="N602" s="46"/>
      <c r="O602" s="46"/>
      <c r="P602" s="46"/>
      <c r="Q602" s="46"/>
      <c r="R602" s="46"/>
      <c r="S602" s="46"/>
      <c r="T602" s="46"/>
      <c r="U602" s="46"/>
      <c r="V602" s="46"/>
      <c r="W602" s="46"/>
      <c r="X602" s="46"/>
      <c r="Y602" s="46"/>
      <c r="Z602" s="46"/>
      <c r="AA602" s="61"/>
      <c r="AB602" s="62"/>
      <c r="AC602" s="63"/>
      <c r="AD602" s="62"/>
      <c r="AE602" s="62">
        <f t="shared" si="73"/>
        <v>0</v>
      </c>
      <c r="AF602" s="64" t="s">
        <v>2082</v>
      </c>
      <c r="AG602" s="49">
        <v>0.56999999999999995</v>
      </c>
    </row>
    <row r="603" spans="1:33" customFormat="1" ht="34.5" customHeight="1" x14ac:dyDescent="0.3">
      <c r="A603" s="46">
        <v>967</v>
      </c>
      <c r="B603" s="46" t="s">
        <v>2081</v>
      </c>
      <c r="C603" s="46" t="s">
        <v>330</v>
      </c>
      <c r="D603" s="60"/>
      <c r="E603" s="60"/>
      <c r="F603" s="46" t="s">
        <v>591</v>
      </c>
      <c r="G603" s="75" t="s">
        <v>159</v>
      </c>
      <c r="H603" s="75" t="s">
        <v>592</v>
      </c>
      <c r="I603" s="46" t="s">
        <v>157</v>
      </c>
      <c r="J603" s="46"/>
      <c r="K603" s="46" t="s">
        <v>68</v>
      </c>
      <c r="L603" s="46"/>
      <c r="M603" s="46"/>
      <c r="N603" s="46"/>
      <c r="O603" s="46"/>
      <c r="P603" s="46"/>
      <c r="Q603" s="46"/>
      <c r="R603" s="46"/>
      <c r="S603" s="46"/>
      <c r="T603" s="46"/>
      <c r="U603" s="46"/>
      <c r="V603" s="46"/>
      <c r="W603" s="46"/>
      <c r="X603" s="46"/>
      <c r="Y603" s="46"/>
      <c r="Z603" s="46"/>
      <c r="AA603" s="61"/>
      <c r="AB603" s="62"/>
      <c r="AC603" s="63"/>
      <c r="AD603" s="62"/>
      <c r="AE603" s="62">
        <f t="shared" si="73"/>
        <v>0</v>
      </c>
      <c r="AF603" s="64" t="s">
        <v>2082</v>
      </c>
      <c r="AG603" s="49">
        <v>0.56999999999999995</v>
      </c>
    </row>
    <row r="604" spans="1:33" customFormat="1" ht="34.5" customHeight="1" x14ac:dyDescent="0.3">
      <c r="A604" s="46">
        <v>968</v>
      </c>
      <c r="B604" s="46" t="s">
        <v>2083</v>
      </c>
      <c r="C604" s="46" t="s">
        <v>39</v>
      </c>
      <c r="D604" s="60"/>
      <c r="E604" s="60"/>
      <c r="F604" s="46" t="s">
        <v>675</v>
      </c>
      <c r="G604" s="75" t="s">
        <v>1</v>
      </c>
      <c r="H604" s="75"/>
      <c r="I604" s="46" t="s">
        <v>157</v>
      </c>
      <c r="J604" s="46"/>
      <c r="K604" s="46" t="s">
        <v>68</v>
      </c>
      <c r="L604" s="46"/>
      <c r="M604" s="46"/>
      <c r="N604" s="46"/>
      <c r="O604" s="46"/>
      <c r="P604" s="46"/>
      <c r="Q604" s="46"/>
      <c r="R604" s="46">
        <v>1</v>
      </c>
      <c r="S604" s="46"/>
      <c r="T604" s="46"/>
      <c r="U604" s="46"/>
      <c r="V604" s="46"/>
      <c r="W604" s="46"/>
      <c r="X604" s="46"/>
      <c r="Y604" s="46"/>
      <c r="Z604" s="46" t="s">
        <v>1987</v>
      </c>
      <c r="AA604" s="61">
        <v>0.7</v>
      </c>
      <c r="AB604" s="62">
        <f>IF(OR(G604="ALK",G604="PEM",G604="SOEC",G604="Other Electrolysis"),
AA604/VLOOKUP(G604,ElectrolysisConvF,3,FALSE),
AC604*10^6/(H2dens*HoursInYear))</f>
        <v>134.61538461538461</v>
      </c>
      <c r="AC604" s="63">
        <f>AB604*H2dens*HoursInYear/10^6</f>
        <v>0.10495153846153846</v>
      </c>
      <c r="AD604" s="62"/>
      <c r="AE604" s="62">
        <f t="shared" si="73"/>
        <v>134.61538461538461</v>
      </c>
      <c r="AF604" s="64" t="s">
        <v>2084</v>
      </c>
      <c r="AG604" s="49">
        <v>0.56999999999999995</v>
      </c>
    </row>
    <row r="605" spans="1:33" customFormat="1" ht="34.5" customHeight="1" x14ac:dyDescent="0.3">
      <c r="A605" s="46">
        <v>970</v>
      </c>
      <c r="B605" s="46" t="s">
        <v>2085</v>
      </c>
      <c r="C605" s="46" t="s">
        <v>46</v>
      </c>
      <c r="D605" s="60"/>
      <c r="E605" s="60"/>
      <c r="F605" s="46" t="s">
        <v>591</v>
      </c>
      <c r="G605" s="46" t="s">
        <v>1</v>
      </c>
      <c r="H605" s="46"/>
      <c r="I605" s="46" t="s">
        <v>157</v>
      </c>
      <c r="J605" s="46"/>
      <c r="K605" s="46" t="s">
        <v>68</v>
      </c>
      <c r="L605" s="46"/>
      <c r="M605" s="46"/>
      <c r="N605" s="46"/>
      <c r="O605" s="46"/>
      <c r="P605" s="46">
        <v>1</v>
      </c>
      <c r="Q605" s="46"/>
      <c r="R605" s="46"/>
      <c r="S605" s="46"/>
      <c r="T605" s="46"/>
      <c r="U605" s="46"/>
      <c r="V605" s="46"/>
      <c r="W605" s="46"/>
      <c r="X605" s="46"/>
      <c r="Y605" s="46"/>
      <c r="Z605" s="46" t="s">
        <v>672</v>
      </c>
      <c r="AA605" s="61">
        <v>1000</v>
      </c>
      <c r="AB605" s="62">
        <f>IF(OR(G605="ALK",G605="PEM",G605="SOEC",G605="Other Electrolysis"),
AA605/VLOOKUP(G605,ElectrolysisConvF,3,FALSE),
AC605*10^6/(H2dens*HoursInYear))</f>
        <v>192307.69230769231</v>
      </c>
      <c r="AC605" s="63">
        <f>AB605*H2dens*HoursInYear/10^6</f>
        <v>149.93076923076922</v>
      </c>
      <c r="AD605" s="62"/>
      <c r="AE605" s="62">
        <f t="shared" si="73"/>
        <v>192307.69230769231</v>
      </c>
      <c r="AF605" s="64" t="s">
        <v>2086</v>
      </c>
      <c r="AG605" s="49">
        <v>0.56999999999999995</v>
      </c>
    </row>
    <row r="606" spans="1:33" customFormat="1" ht="34.5" customHeight="1" x14ac:dyDescent="0.3">
      <c r="A606" s="46">
        <v>971</v>
      </c>
      <c r="B606" s="46" t="s">
        <v>2087</v>
      </c>
      <c r="C606" s="46" t="s">
        <v>46</v>
      </c>
      <c r="D606" s="60">
        <v>2019</v>
      </c>
      <c r="E606" s="60">
        <v>2022</v>
      </c>
      <c r="F606" s="46" t="s">
        <v>156</v>
      </c>
      <c r="G606" s="46" t="s">
        <v>1</v>
      </c>
      <c r="H606" s="46"/>
      <c r="I606" s="46" t="s">
        <v>166</v>
      </c>
      <c r="J606" s="46" t="str">
        <f>IF(I606&lt;&gt;"Dedicated renewable","N/A",)</f>
        <v>N/A</v>
      </c>
      <c r="K606" s="46" t="s">
        <v>68</v>
      </c>
      <c r="L606" s="46"/>
      <c r="M606" s="46"/>
      <c r="N606" s="46"/>
      <c r="O606" s="46"/>
      <c r="P606" s="46"/>
      <c r="Q606" s="46">
        <v>1</v>
      </c>
      <c r="R606" s="46"/>
      <c r="S606" s="46"/>
      <c r="T606" s="46"/>
      <c r="U606" s="46"/>
      <c r="V606" s="46"/>
      <c r="W606" s="46"/>
      <c r="X606" s="46"/>
      <c r="Y606" s="46"/>
      <c r="Z606" s="46"/>
      <c r="AA606" s="61"/>
      <c r="AB606" s="62"/>
      <c r="AC606" s="63"/>
      <c r="AD606" s="62"/>
      <c r="AE606" s="62">
        <f t="shared" si="73"/>
        <v>0</v>
      </c>
      <c r="AF606" s="64" t="s">
        <v>2088</v>
      </c>
      <c r="AG606" s="49">
        <v>0.56999999999999995</v>
      </c>
    </row>
    <row r="607" spans="1:33" customFormat="1" ht="34.5" customHeight="1" x14ac:dyDescent="0.3">
      <c r="A607" s="46">
        <v>972</v>
      </c>
      <c r="B607" s="46" t="s">
        <v>2089</v>
      </c>
      <c r="C607" s="46" t="s">
        <v>39</v>
      </c>
      <c r="D607" s="60">
        <v>2018</v>
      </c>
      <c r="E607" s="60"/>
      <c r="F607" s="46" t="s">
        <v>226</v>
      </c>
      <c r="G607" s="46" t="s">
        <v>1</v>
      </c>
      <c r="H607" s="46"/>
      <c r="I607" s="46" t="s">
        <v>157</v>
      </c>
      <c r="J607" s="46"/>
      <c r="K607" s="46" t="s">
        <v>68</v>
      </c>
      <c r="L607" s="46"/>
      <c r="M607" s="46"/>
      <c r="N607" s="46"/>
      <c r="O607" s="46"/>
      <c r="P607" s="46"/>
      <c r="Q607" s="46"/>
      <c r="R607" s="46"/>
      <c r="S607" s="46"/>
      <c r="T607" s="46"/>
      <c r="U607" s="46"/>
      <c r="V607" s="46"/>
      <c r="W607" s="46"/>
      <c r="X607" s="46"/>
      <c r="Y607" s="46"/>
      <c r="Z607" s="46" t="s">
        <v>2090</v>
      </c>
      <c r="AA607" s="61">
        <v>0.75</v>
      </c>
      <c r="AB607" s="62">
        <f>IF(OR(G607="ALK",G607="PEM",G607="SOEC",G607="Other Electrolysis"),
AA607/VLOOKUP(G607,ElectrolysisConvF,3,FALSE),
AC607*10^6/(H2dens*HoursInYear))</f>
        <v>144.23076923076923</v>
      </c>
      <c r="AC607" s="63">
        <f>AB607*H2dens*HoursInYear/10^6</f>
        <v>0.1124480769230769</v>
      </c>
      <c r="AD607" s="62"/>
      <c r="AE607" s="62">
        <f t="shared" si="73"/>
        <v>144.23076923076923</v>
      </c>
      <c r="AF607" s="64" t="s">
        <v>2091</v>
      </c>
      <c r="AG607" s="49">
        <v>0.56999999999999995</v>
      </c>
    </row>
    <row r="608" spans="1:33" customFormat="1" ht="34.5" customHeight="1" x14ac:dyDescent="0.3">
      <c r="A608" s="46">
        <v>973</v>
      </c>
      <c r="B608" s="46" t="s">
        <v>2092</v>
      </c>
      <c r="C608" s="46" t="s">
        <v>46</v>
      </c>
      <c r="D608" s="60">
        <v>2018</v>
      </c>
      <c r="E608" s="60"/>
      <c r="F608" s="46" t="s">
        <v>226</v>
      </c>
      <c r="G608" s="46" t="s">
        <v>1</v>
      </c>
      <c r="H608" s="46"/>
      <c r="I608" s="46" t="s">
        <v>166</v>
      </c>
      <c r="J608" s="46" t="str">
        <f>IF(I608&lt;&gt;"Dedicated renewable","N/A",)</f>
        <v>N/A</v>
      </c>
      <c r="K608" s="46" t="s">
        <v>68</v>
      </c>
      <c r="L608" s="46"/>
      <c r="M608" s="46"/>
      <c r="N608" s="46"/>
      <c r="O608" s="46"/>
      <c r="P608" s="46"/>
      <c r="Q608" s="46">
        <v>1</v>
      </c>
      <c r="R608" s="46"/>
      <c r="S608" s="46"/>
      <c r="T608" s="46"/>
      <c r="U608" s="46"/>
      <c r="V608" s="46"/>
      <c r="W608" s="46"/>
      <c r="X608" s="46"/>
      <c r="Y608" s="46"/>
      <c r="Z608" s="46"/>
      <c r="AA608" s="61"/>
      <c r="AB608" s="62"/>
      <c r="AC608" s="63"/>
      <c r="AD608" s="62"/>
      <c r="AE608" s="62">
        <f t="shared" si="73"/>
        <v>0</v>
      </c>
      <c r="AF608" s="64" t="s">
        <v>2093</v>
      </c>
      <c r="AG608" s="49">
        <v>0.56999999999999995</v>
      </c>
    </row>
    <row r="609" spans="1:33" customFormat="1" ht="34.5" customHeight="1" x14ac:dyDescent="0.3">
      <c r="A609" s="46">
        <v>974</v>
      </c>
      <c r="B609" s="46" t="s">
        <v>2094</v>
      </c>
      <c r="C609" s="46" t="s">
        <v>46</v>
      </c>
      <c r="D609" s="60">
        <v>2018</v>
      </c>
      <c r="E609" s="60">
        <v>2022</v>
      </c>
      <c r="F609" s="46" t="s">
        <v>156</v>
      </c>
      <c r="G609" s="46" t="s">
        <v>1</v>
      </c>
      <c r="H609" s="46"/>
      <c r="I609" s="46" t="s">
        <v>166</v>
      </c>
      <c r="J609" s="46" t="str">
        <f>IF(I609&lt;&gt;"Dedicated renewable","N/A",)</f>
        <v>N/A</v>
      </c>
      <c r="K609" s="46" t="s">
        <v>68</v>
      </c>
      <c r="L609" s="46"/>
      <c r="M609" s="46"/>
      <c r="N609" s="46"/>
      <c r="O609" s="46"/>
      <c r="P609" s="46"/>
      <c r="Q609" s="46">
        <v>1</v>
      </c>
      <c r="R609" s="46"/>
      <c r="S609" s="46"/>
      <c r="T609" s="46"/>
      <c r="U609" s="46"/>
      <c r="V609" s="46"/>
      <c r="W609" s="46"/>
      <c r="X609" s="46"/>
      <c r="Y609" s="46"/>
      <c r="Z609" s="46"/>
      <c r="AA609" s="61"/>
      <c r="AB609" s="62"/>
      <c r="AC609" s="63"/>
      <c r="AD609" s="62"/>
      <c r="AE609" s="62">
        <f t="shared" si="73"/>
        <v>0</v>
      </c>
      <c r="AF609" s="64" t="s">
        <v>2095</v>
      </c>
      <c r="AG609" s="49">
        <v>0.56999999999999995</v>
      </c>
    </row>
    <row r="610" spans="1:33" customFormat="1" ht="34.5" customHeight="1" x14ac:dyDescent="0.3">
      <c r="A610" s="46">
        <v>975</v>
      </c>
      <c r="B610" s="46" t="s">
        <v>2096</v>
      </c>
      <c r="C610" s="46" t="s">
        <v>39</v>
      </c>
      <c r="D610" s="60"/>
      <c r="E610" s="60"/>
      <c r="F610" s="46" t="s">
        <v>591</v>
      </c>
      <c r="G610" s="46" t="s">
        <v>159</v>
      </c>
      <c r="H610" s="46" t="s">
        <v>592</v>
      </c>
      <c r="I610" s="46" t="s">
        <v>169</v>
      </c>
      <c r="J610" s="46" t="s">
        <v>244</v>
      </c>
      <c r="K610" s="46" t="s">
        <v>68</v>
      </c>
      <c r="L610" s="46">
        <v>1</v>
      </c>
      <c r="M610" s="46"/>
      <c r="N610" s="46"/>
      <c r="O610" s="46"/>
      <c r="P610" s="46"/>
      <c r="Q610" s="46"/>
      <c r="R610" s="46"/>
      <c r="S610" s="46"/>
      <c r="T610" s="46"/>
      <c r="U610" s="46"/>
      <c r="V610" s="46"/>
      <c r="W610" s="46"/>
      <c r="X610" s="46"/>
      <c r="Y610" s="46"/>
      <c r="Z610" s="46"/>
      <c r="AA610" s="61"/>
      <c r="AB610" s="62"/>
      <c r="AC610" s="63"/>
      <c r="AD610" s="62"/>
      <c r="AE610" s="62">
        <f t="shared" si="73"/>
        <v>0</v>
      </c>
      <c r="AF610" s="64" t="s">
        <v>2097</v>
      </c>
      <c r="AG610" s="49">
        <v>0.3</v>
      </c>
    </row>
    <row r="611" spans="1:33" customFormat="1" ht="34.5" customHeight="1" x14ac:dyDescent="0.3">
      <c r="A611" s="46">
        <v>976</v>
      </c>
      <c r="B611" s="46" t="s">
        <v>2098</v>
      </c>
      <c r="C611" s="46" t="s">
        <v>35</v>
      </c>
      <c r="D611" s="60"/>
      <c r="E611" s="60"/>
      <c r="F611" s="46" t="s">
        <v>675</v>
      </c>
      <c r="G611" s="75" t="s">
        <v>159</v>
      </c>
      <c r="H611" s="75" t="s">
        <v>592</v>
      </c>
      <c r="I611" s="75" t="s">
        <v>169</v>
      </c>
      <c r="J611" s="46" t="s">
        <v>69</v>
      </c>
      <c r="K611" s="46" t="s">
        <v>68</v>
      </c>
      <c r="L611" s="46"/>
      <c r="M611" s="46"/>
      <c r="N611" s="46"/>
      <c r="O611" s="46"/>
      <c r="P611" s="46"/>
      <c r="Q611" s="46">
        <v>1</v>
      </c>
      <c r="R611" s="46"/>
      <c r="S611" s="46"/>
      <c r="T611" s="46"/>
      <c r="U611" s="46"/>
      <c r="V611" s="46"/>
      <c r="W611" s="46"/>
      <c r="X611" s="46"/>
      <c r="Y611" s="46"/>
      <c r="Z611" s="46" t="s">
        <v>696</v>
      </c>
      <c r="AA611" s="61">
        <v>20</v>
      </c>
      <c r="AB611" s="62">
        <f>IF(OR(G611="ALK",G611="PEM",G611="SOEC",G611="Other Electrolysis"),
AA611/VLOOKUP(G611,ElectrolysisConvF,3,FALSE),
AC611*10^6/(H2dens*HoursInYear))</f>
        <v>4444.4444444444443</v>
      </c>
      <c r="AC611" s="63">
        <f>AB611*H2dens*HoursInYear/10^6</f>
        <v>3.4650666666666665</v>
      </c>
      <c r="AD611" s="62"/>
      <c r="AE611" s="62">
        <f t="shared" si="73"/>
        <v>4444.4444444444443</v>
      </c>
      <c r="AF611" s="64" t="s">
        <v>2099</v>
      </c>
      <c r="AG611" s="49">
        <v>0.5</v>
      </c>
    </row>
    <row r="612" spans="1:33" customFormat="1" ht="34.5" customHeight="1" x14ac:dyDescent="0.3">
      <c r="A612" s="46">
        <v>977</v>
      </c>
      <c r="B612" s="46" t="s">
        <v>2100</v>
      </c>
      <c r="C612" s="46" t="s">
        <v>50</v>
      </c>
      <c r="D612" s="60">
        <v>2027</v>
      </c>
      <c r="E612" s="60"/>
      <c r="F612" s="46" t="s">
        <v>225</v>
      </c>
      <c r="G612" s="46" t="s">
        <v>159</v>
      </c>
      <c r="H612" s="75" t="s">
        <v>592</v>
      </c>
      <c r="I612" s="46" t="s">
        <v>169</v>
      </c>
      <c r="J612" s="46" t="s">
        <v>69</v>
      </c>
      <c r="K612" s="46" t="s">
        <v>167</v>
      </c>
      <c r="L612" s="46"/>
      <c r="M612" s="46"/>
      <c r="N612" s="46"/>
      <c r="O612" s="46"/>
      <c r="P612" s="46"/>
      <c r="Q612" s="46"/>
      <c r="R612" s="46"/>
      <c r="S612" s="46"/>
      <c r="T612" s="46"/>
      <c r="U612" s="46"/>
      <c r="V612" s="46"/>
      <c r="W612" s="46">
        <v>1</v>
      </c>
      <c r="X612" s="46"/>
      <c r="Y612" s="46"/>
      <c r="Z612" s="46" t="s">
        <v>1257</v>
      </c>
      <c r="AA612" s="61">
        <v>100</v>
      </c>
      <c r="AB612" s="62">
        <f>IF(OR(G612="ALK",G612="PEM",G612="SOEC",G612="Other Electrolysis"),
AA612/VLOOKUP(G612,ElectrolysisConvF,3,FALSE),
AC612*10^6/(H2dens*HoursInYear))</f>
        <v>22222.222222222223</v>
      </c>
      <c r="AC612" s="63">
        <f>AB612*H2dens*HoursInYear/10^6</f>
        <v>17.325333333333333</v>
      </c>
      <c r="AD612" s="62"/>
      <c r="AE612" s="62">
        <f t="shared" si="73"/>
        <v>22222.222222222223</v>
      </c>
      <c r="AF612" s="64" t="s">
        <v>2101</v>
      </c>
      <c r="AG612" s="49">
        <v>0.5</v>
      </c>
    </row>
    <row r="613" spans="1:33" customFormat="1" ht="34.5" customHeight="1" x14ac:dyDescent="0.3">
      <c r="A613" s="46">
        <v>978</v>
      </c>
      <c r="B613" s="46" t="s">
        <v>2102</v>
      </c>
      <c r="C613" s="46" t="s">
        <v>50</v>
      </c>
      <c r="D613" s="60"/>
      <c r="E613" s="60"/>
      <c r="F613" s="46" t="s">
        <v>591</v>
      </c>
      <c r="G613" s="46" t="s">
        <v>159</v>
      </c>
      <c r="H613" s="75" t="s">
        <v>592</v>
      </c>
      <c r="I613" s="46" t="s">
        <v>157</v>
      </c>
      <c r="J613" s="46"/>
      <c r="K613" s="46" t="s">
        <v>167</v>
      </c>
      <c r="L613" s="46"/>
      <c r="M613" s="46"/>
      <c r="N613" s="46"/>
      <c r="O613" s="46"/>
      <c r="P613" s="46"/>
      <c r="Q613" s="46"/>
      <c r="R613" s="46"/>
      <c r="S613" s="46"/>
      <c r="T613" s="46"/>
      <c r="U613" s="46"/>
      <c r="V613" s="46"/>
      <c r="W613" s="46">
        <v>1</v>
      </c>
      <c r="X613" s="46"/>
      <c r="Y613" s="46"/>
      <c r="Z613" s="46"/>
      <c r="AA613" s="61"/>
      <c r="AB613" s="62"/>
      <c r="AC613" s="63"/>
      <c r="AD613" s="62"/>
      <c r="AE613" s="62">
        <f t="shared" si="73"/>
        <v>0</v>
      </c>
      <c r="AF613" s="64" t="s">
        <v>2103</v>
      </c>
      <c r="AG613" s="49">
        <v>0.56999999999999995</v>
      </c>
    </row>
    <row r="614" spans="1:33" customFormat="1" ht="34.5" customHeight="1" x14ac:dyDescent="0.3">
      <c r="A614" s="46">
        <v>979</v>
      </c>
      <c r="B614" s="46" t="s">
        <v>2104</v>
      </c>
      <c r="C614" s="46" t="s">
        <v>46</v>
      </c>
      <c r="D614" s="60">
        <v>2028</v>
      </c>
      <c r="E614" s="60"/>
      <c r="F614" s="46" t="s">
        <v>225</v>
      </c>
      <c r="G614" s="46" t="s">
        <v>161</v>
      </c>
      <c r="H614" s="75" t="s">
        <v>1951</v>
      </c>
      <c r="I614" s="46"/>
      <c r="J614" s="46"/>
      <c r="K614" s="46" t="s">
        <v>68</v>
      </c>
      <c r="L614" s="46"/>
      <c r="M614" s="46"/>
      <c r="N614" s="46"/>
      <c r="O614" s="46"/>
      <c r="P614" s="46">
        <v>1</v>
      </c>
      <c r="Q614" s="46"/>
      <c r="R614" s="46"/>
      <c r="S614" s="46"/>
      <c r="T614" s="46">
        <v>1</v>
      </c>
      <c r="U614" s="46"/>
      <c r="V614" s="46"/>
      <c r="W614" s="46"/>
      <c r="X614" s="46"/>
      <c r="Y614" s="46"/>
      <c r="Z614" s="46" t="s">
        <v>2105</v>
      </c>
      <c r="AA614" s="61" t="str">
        <f>IF(OR(G614="ALK",G614="PEM",G614="SOEC",G614="Other Electrolysis"),
AB614*VLOOKUP(G614,ElectrolysisConvF,3,FALSE),
"")</f>
        <v/>
      </c>
      <c r="AB614" s="62">
        <f>IF(OR(G614="ALK",G614="PEM",G614="SOEC",G614="Other Electrolysis"),
AA614/VLOOKUP(G614,ElectrolysisConvF,3,FALSE),
AC614*10^6/(H2dens*HoursInYear))</f>
        <v>192134.83146067415</v>
      </c>
      <c r="AC614" s="63">
        <f>600*HoursInYear*0.95*3.6/120/1000</f>
        <v>149.79599999999999</v>
      </c>
      <c r="AD614" s="62">
        <v>1000000</v>
      </c>
      <c r="AE614" s="62">
        <f t="shared" si="73"/>
        <v>125376.44276941518</v>
      </c>
      <c r="AF614" s="64" t="s">
        <v>2106</v>
      </c>
      <c r="AG614" s="49">
        <v>0.9</v>
      </c>
    </row>
    <row r="615" spans="1:33" customFormat="1" ht="34.5" customHeight="1" x14ac:dyDescent="0.3">
      <c r="A615" s="46">
        <v>980</v>
      </c>
      <c r="B615" s="46" t="s">
        <v>2107</v>
      </c>
      <c r="C615" s="46" t="s">
        <v>46</v>
      </c>
      <c r="D615" s="60">
        <v>2030</v>
      </c>
      <c r="E615" s="60"/>
      <c r="F615" s="46" t="s">
        <v>225</v>
      </c>
      <c r="G615" s="46" t="s">
        <v>161</v>
      </c>
      <c r="H615" s="46" t="s">
        <v>1951</v>
      </c>
      <c r="I615" s="46"/>
      <c r="J615" s="46"/>
      <c r="K615" s="46" t="s">
        <v>68</v>
      </c>
      <c r="L615" s="46"/>
      <c r="M615" s="46"/>
      <c r="N615" s="46"/>
      <c r="O615" s="46"/>
      <c r="P615" s="46"/>
      <c r="Q615" s="46"/>
      <c r="R615" s="46"/>
      <c r="S615" s="46"/>
      <c r="T615" s="46"/>
      <c r="U615" s="46"/>
      <c r="V615" s="46"/>
      <c r="W615" s="46"/>
      <c r="X615" s="46"/>
      <c r="Y615" s="46"/>
      <c r="Z615" s="46" t="s">
        <v>2108</v>
      </c>
      <c r="AA615" s="61" t="str">
        <f>IF(OR(G615="ALK",G615="PEM",G615="SOEC",G615="Other Electrolysis"),
AB615*VLOOKUP(G615,ElectrolysisConvF,3,FALSE),
"")</f>
        <v/>
      </c>
      <c r="AB615" s="62">
        <f>IF(OR(G615="ALK",G615="PEM",G615="SOEC",G615="Other Electrolysis"),
AA615/VLOOKUP(G615,ElectrolysisConvF,3,FALSE),
AC615*10^6/(H2dens*HoursInYear))</f>
        <v>192134.83146067415</v>
      </c>
      <c r="AC615" s="63">
        <f>600*HoursInYear*0.95*3.6/120/1000</f>
        <v>149.79599999999999</v>
      </c>
      <c r="AD615" s="62">
        <v>1000000</v>
      </c>
      <c r="AE615" s="62">
        <f t="shared" si="73"/>
        <v>125376.44276941518</v>
      </c>
      <c r="AF615" s="64" t="s">
        <v>2106</v>
      </c>
      <c r="AG615" s="49">
        <v>0.9</v>
      </c>
    </row>
    <row r="616" spans="1:33" customFormat="1" ht="34.5" customHeight="1" x14ac:dyDescent="0.3">
      <c r="A616" s="46">
        <v>981</v>
      </c>
      <c r="B616" s="46" t="s">
        <v>2109</v>
      </c>
      <c r="C616" s="46" t="s">
        <v>42</v>
      </c>
      <c r="D616" s="60">
        <v>2023</v>
      </c>
      <c r="E616" s="60"/>
      <c r="F616" s="46" t="s">
        <v>675</v>
      </c>
      <c r="G616" s="46" t="s">
        <v>1</v>
      </c>
      <c r="H616" s="46"/>
      <c r="I616" s="46" t="s">
        <v>157</v>
      </c>
      <c r="J616" s="46"/>
      <c r="K616" s="46" t="s">
        <v>68</v>
      </c>
      <c r="L616" s="46"/>
      <c r="M616" s="46"/>
      <c r="N616" s="46"/>
      <c r="O616" s="46"/>
      <c r="P616" s="46"/>
      <c r="Q616" s="46"/>
      <c r="R616" s="46"/>
      <c r="S616" s="46"/>
      <c r="T616" s="46"/>
      <c r="U616" s="46"/>
      <c r="V616" s="46"/>
      <c r="W616" s="46"/>
      <c r="X616" s="46"/>
      <c r="Y616" s="46"/>
      <c r="Z616" s="46" t="s">
        <v>2110</v>
      </c>
      <c r="AA616" s="61">
        <v>1.4</v>
      </c>
      <c r="AB616" s="62">
        <f>IF(OR(G616="ALK",G616="PEM",G616="SOEC",G616="Other Electrolysis"),
AA616/VLOOKUP(G616,ElectrolysisConvF,3,FALSE),
AC616*10^6/(H2dens*HoursInYear))</f>
        <v>269.23076923076923</v>
      </c>
      <c r="AC616" s="63">
        <f>AB616*H2dens*HoursInYear/10^6</f>
        <v>0.20990307692307691</v>
      </c>
      <c r="AD616" s="62"/>
      <c r="AE616" s="62">
        <f t="shared" si="73"/>
        <v>269.23076923076923</v>
      </c>
      <c r="AF616" s="64" t="s">
        <v>2111</v>
      </c>
      <c r="AG616" s="49">
        <v>0.56999999999999995</v>
      </c>
    </row>
    <row r="617" spans="1:33" customFormat="1" ht="34.5" customHeight="1" x14ac:dyDescent="0.3">
      <c r="A617" s="46">
        <v>982</v>
      </c>
      <c r="B617" s="46" t="s">
        <v>2112</v>
      </c>
      <c r="C617" s="46" t="s">
        <v>100</v>
      </c>
      <c r="D617" s="60">
        <v>2028</v>
      </c>
      <c r="E617" s="60"/>
      <c r="F617" s="46" t="s">
        <v>225</v>
      </c>
      <c r="G617" s="46" t="s">
        <v>161</v>
      </c>
      <c r="H617" s="46" t="s">
        <v>1951</v>
      </c>
      <c r="I617" s="46"/>
      <c r="J617" s="46"/>
      <c r="K617" s="46" t="s">
        <v>141</v>
      </c>
      <c r="L617" s="46"/>
      <c r="M617" s="46">
        <v>1</v>
      </c>
      <c r="N617" s="46"/>
      <c r="O617" s="46"/>
      <c r="P617" s="46"/>
      <c r="Q617" s="46"/>
      <c r="R617" s="46"/>
      <c r="S617" s="46"/>
      <c r="T617" s="46"/>
      <c r="U617" s="46"/>
      <c r="V617" s="46"/>
      <c r="W617" s="46"/>
      <c r="X617" s="46"/>
      <c r="Y617" s="46"/>
      <c r="Z617" s="46" t="s">
        <v>2113</v>
      </c>
      <c r="AA617" s="61"/>
      <c r="AB617" s="62">
        <f>AC617/(H2dens*HoursInYear/10^6)</f>
        <v>161677.72326723518</v>
      </c>
      <c r="AC617" s="63">
        <f>700*3/17/0.98</f>
        <v>126.05042016806723</v>
      </c>
      <c r="AD617" s="62">
        <v>950000</v>
      </c>
      <c r="AE617" s="62">
        <f t="shared" si="73"/>
        <v>119107.62063094442</v>
      </c>
      <c r="AF617" s="64" t="s">
        <v>2114</v>
      </c>
      <c r="AG617" s="49">
        <v>0.9</v>
      </c>
    </row>
    <row r="618" spans="1:33" customFormat="1" ht="34.5" customHeight="1" x14ac:dyDescent="0.3">
      <c r="A618" s="46">
        <v>984</v>
      </c>
      <c r="B618" s="46" t="s">
        <v>2115</v>
      </c>
      <c r="C618" s="46" t="s">
        <v>35</v>
      </c>
      <c r="D618" s="60">
        <v>2025</v>
      </c>
      <c r="E618" s="60"/>
      <c r="F618" s="46" t="s">
        <v>225</v>
      </c>
      <c r="G618" s="46" t="s">
        <v>161</v>
      </c>
      <c r="H618" s="46" t="s">
        <v>882</v>
      </c>
      <c r="I618" s="46"/>
      <c r="J618" s="46"/>
      <c r="K618" s="46" t="s">
        <v>141</v>
      </c>
      <c r="L618" s="46"/>
      <c r="M618" s="46">
        <v>1</v>
      </c>
      <c r="N618" s="46"/>
      <c r="O618" s="46"/>
      <c r="P618" s="46"/>
      <c r="Q618" s="46"/>
      <c r="R618" s="46"/>
      <c r="S618" s="46"/>
      <c r="T618" s="46"/>
      <c r="U618" s="46"/>
      <c r="V618" s="46"/>
      <c r="W618" s="46"/>
      <c r="X618" s="46"/>
      <c r="Y618" s="46"/>
      <c r="Z618" s="46" t="s">
        <v>2116</v>
      </c>
      <c r="AA618" s="61" t="str">
        <f>IF(OR(G618="ALK",G618="PEM",G618="SOEC",G618="Other Electrolysis"),
AB618*VLOOKUP(G618,ElectrolysisConvF,3,FALSE),
"")</f>
        <v/>
      </c>
      <c r="AB618" s="62">
        <f>AC618/(H2dens*HoursInYear/10^6)</f>
        <v>230968.17609605024</v>
      </c>
      <c r="AC618" s="63">
        <f>1000*3/17/0.98</f>
        <v>180.0720288115246</v>
      </c>
      <c r="AD618" s="62">
        <v>2000000</v>
      </c>
      <c r="AE618" s="62">
        <f>IF(AND(G618&lt;&gt;"NG w CCUS",G618&lt;&gt;"Oil w CCUS",G618&lt;&gt;"Coal w CCUS"),AB618,AD618*10^3/(HoursInYear*IF(G618="NG w CCUS",0.9105,1.9075)))</f>
        <v>250752.88553883036</v>
      </c>
      <c r="AF618" s="64" t="s">
        <v>2117</v>
      </c>
      <c r="AG618" s="49">
        <v>0.9</v>
      </c>
    </row>
    <row r="619" spans="1:33" customFormat="1" ht="34.5" customHeight="1" x14ac:dyDescent="0.3">
      <c r="A619" s="46">
        <v>985</v>
      </c>
      <c r="B619" s="46" t="s">
        <v>2118</v>
      </c>
      <c r="C619" s="46" t="s">
        <v>321</v>
      </c>
      <c r="D619" s="60"/>
      <c r="E619" s="60"/>
      <c r="F619" s="46" t="s">
        <v>591</v>
      </c>
      <c r="G619" s="46" t="s">
        <v>159</v>
      </c>
      <c r="H619" s="46" t="s">
        <v>592</v>
      </c>
      <c r="I619" s="46" t="s">
        <v>169</v>
      </c>
      <c r="J619" s="46" t="s">
        <v>248</v>
      </c>
      <c r="K619" s="46" t="s">
        <v>68</v>
      </c>
      <c r="L619" s="46"/>
      <c r="M619" s="46"/>
      <c r="N619" s="46"/>
      <c r="O619" s="46"/>
      <c r="P619" s="46">
        <v>1</v>
      </c>
      <c r="Q619" s="46">
        <v>1</v>
      </c>
      <c r="R619" s="46"/>
      <c r="S619" s="46"/>
      <c r="T619" s="46"/>
      <c r="U619" s="46"/>
      <c r="V619" s="46"/>
      <c r="W619" s="46"/>
      <c r="X619" s="46"/>
      <c r="Y619" s="46"/>
      <c r="Z619" s="46" t="s">
        <v>1691</v>
      </c>
      <c r="AA619" s="61">
        <v>160</v>
      </c>
      <c r="AB619" s="62">
        <f>AA619/0.0045</f>
        <v>35555.555555555555</v>
      </c>
      <c r="AC619" s="63">
        <f>AB619*H2dens*HoursInYear/10^6</f>
        <v>27.720533333333332</v>
      </c>
      <c r="AD619" s="62"/>
      <c r="AE619" s="62">
        <f>AB619</f>
        <v>35555.555555555555</v>
      </c>
      <c r="AF619" s="64" t="s">
        <v>1340</v>
      </c>
      <c r="AG619" s="49">
        <v>0.5</v>
      </c>
    </row>
    <row r="620" spans="1:33" customFormat="1" ht="34.5" customHeight="1" x14ac:dyDescent="0.3">
      <c r="A620" s="46">
        <v>986</v>
      </c>
      <c r="B620" s="46" t="s">
        <v>2119</v>
      </c>
      <c r="C620" s="46" t="s">
        <v>437</v>
      </c>
      <c r="D620" s="60">
        <v>2024</v>
      </c>
      <c r="E620" s="60"/>
      <c r="F620" s="46" t="s">
        <v>225</v>
      </c>
      <c r="G620" s="46" t="s">
        <v>1</v>
      </c>
      <c r="H620" s="46"/>
      <c r="I620" s="46" t="s">
        <v>169</v>
      </c>
      <c r="J620" s="46" t="s">
        <v>244</v>
      </c>
      <c r="K620" s="46" t="s">
        <v>68</v>
      </c>
      <c r="L620" s="46"/>
      <c r="M620" s="46"/>
      <c r="N620" s="46"/>
      <c r="O620" s="46"/>
      <c r="P620" s="46"/>
      <c r="Q620" s="46"/>
      <c r="R620" s="46">
        <v>1</v>
      </c>
      <c r="S620" s="46"/>
      <c r="T620" s="46"/>
      <c r="U620" s="46"/>
      <c r="V620" s="46"/>
      <c r="W620" s="46"/>
      <c r="X620" s="46"/>
      <c r="Y620" s="46"/>
      <c r="Z620" s="46" t="s">
        <v>1379</v>
      </c>
      <c r="AA620" s="61">
        <v>15</v>
      </c>
      <c r="AB620" s="62">
        <f>IF(OR(G620="ALK",G620="PEM",G620="SOEC",G620="Other Electrolysis"),
AA620/VLOOKUP(G620,ElectrolysisConvF,3,FALSE),
AC620*10^6/(H2dens*HoursInYear))</f>
        <v>2884.6153846153848</v>
      </c>
      <c r="AC620" s="63">
        <f>AB620*H2dens*HoursInYear/10^6</f>
        <v>2.2489615384615385</v>
      </c>
      <c r="AD620" s="62"/>
      <c r="AE620" s="62">
        <f t="shared" ref="AE620:AE627" si="74">IF(AND(G620&lt;&gt;"NG w CCUS",G620&lt;&gt;"Oil w CCUS",G620&lt;&gt;"Coal w CCUS"),AB620,AD620*10^3/(HoursInYear*IF(G620="NG w CCUS",0.9105,1.9075)))</f>
        <v>2884.6153846153848</v>
      </c>
      <c r="AF620" s="64" t="s">
        <v>2120</v>
      </c>
      <c r="AG620" s="49">
        <v>0.3</v>
      </c>
    </row>
    <row r="621" spans="1:33" customFormat="1" ht="34.5" customHeight="1" x14ac:dyDescent="0.3">
      <c r="A621" s="46">
        <v>987</v>
      </c>
      <c r="B621" s="46" t="s">
        <v>2121</v>
      </c>
      <c r="C621" s="46" t="s">
        <v>34</v>
      </c>
      <c r="D621" s="60">
        <v>2024</v>
      </c>
      <c r="E621" s="60"/>
      <c r="F621" s="46" t="s">
        <v>675</v>
      </c>
      <c r="G621" s="46" t="s">
        <v>3</v>
      </c>
      <c r="H621" s="46"/>
      <c r="I621" s="46" t="s">
        <v>169</v>
      </c>
      <c r="J621" s="46" t="s">
        <v>244</v>
      </c>
      <c r="K621" s="46" t="s">
        <v>68</v>
      </c>
      <c r="L621" s="46"/>
      <c r="M621" s="46"/>
      <c r="N621" s="46"/>
      <c r="O621" s="46"/>
      <c r="P621" s="46"/>
      <c r="Q621" s="46"/>
      <c r="R621" s="46">
        <v>1</v>
      </c>
      <c r="S621" s="46"/>
      <c r="T621" s="46"/>
      <c r="U621" s="46"/>
      <c r="V621" s="46"/>
      <c r="W621" s="46"/>
      <c r="X621" s="46"/>
      <c r="Y621" s="46"/>
      <c r="Z621" s="46" t="s">
        <v>1828</v>
      </c>
      <c r="AA621" s="61">
        <v>4</v>
      </c>
      <c r="AB621" s="62">
        <f>IF(OR(G621="ALK",G621="PEM",G621="SOEC",G621="Other Electrolysis"),
AA621/VLOOKUP(G621,ElectrolysisConvF,3,FALSE),
AC621*10^6/(H2dens*HoursInYear))</f>
        <v>869.56521739130437</v>
      </c>
      <c r="AC621" s="63">
        <f>AB621*H2dens*HoursInYear/10^6</f>
        <v>0.67794782608695647</v>
      </c>
      <c r="AD621" s="62"/>
      <c r="AE621" s="62">
        <f t="shared" si="74"/>
        <v>869.56521739130437</v>
      </c>
      <c r="AF621" s="46" t="s">
        <v>2122</v>
      </c>
      <c r="AG621" s="49">
        <v>0.3</v>
      </c>
    </row>
    <row r="622" spans="1:33" customFormat="1" ht="34.5" customHeight="1" x14ac:dyDescent="0.3">
      <c r="A622" s="46">
        <v>988</v>
      </c>
      <c r="B622" s="46" t="s">
        <v>2123</v>
      </c>
      <c r="C622" s="46" t="s">
        <v>427</v>
      </c>
      <c r="D622" s="60">
        <v>2024</v>
      </c>
      <c r="E622" s="60"/>
      <c r="F622" s="46" t="s">
        <v>225</v>
      </c>
      <c r="G622" s="46" t="s">
        <v>159</v>
      </c>
      <c r="H622" s="46" t="s">
        <v>592</v>
      </c>
      <c r="I622" s="46" t="s">
        <v>1317</v>
      </c>
      <c r="J622" s="46" t="s">
        <v>69</v>
      </c>
      <c r="K622" s="46" t="s">
        <v>141</v>
      </c>
      <c r="L622" s="46"/>
      <c r="M622" s="46">
        <v>1</v>
      </c>
      <c r="N622" s="46"/>
      <c r="O622" s="46"/>
      <c r="P622" s="46"/>
      <c r="Q622" s="46"/>
      <c r="R622" s="46"/>
      <c r="S622" s="46"/>
      <c r="T622" s="46"/>
      <c r="U622" s="46"/>
      <c r="V622" s="46"/>
      <c r="W622" s="46"/>
      <c r="X622" s="46"/>
      <c r="Y622" s="46"/>
      <c r="Z622" s="46" t="s">
        <v>2124</v>
      </c>
      <c r="AA622" s="61">
        <v>170</v>
      </c>
      <c r="AB622" s="62">
        <f>IF(OR(G622="ALK",G622="PEM",G622="SOEC",G622="Other Electrolysis"),
AA622/VLOOKUP(G622,ElectrolysisConvF,3,FALSE),
AC622*10^6/(H2dens*HoursInYear))</f>
        <v>37777.777777777781</v>
      </c>
      <c r="AC622" s="63">
        <f>AB622*H2dens*HoursInYear/10^6</f>
        <v>29.453066666666668</v>
      </c>
      <c r="AD622" s="62"/>
      <c r="AE622" s="62">
        <f t="shared" si="74"/>
        <v>37777.777777777781</v>
      </c>
      <c r="AF622" s="46" t="s">
        <v>2125</v>
      </c>
      <c r="AG622" s="49">
        <v>0.7</v>
      </c>
    </row>
    <row r="623" spans="1:33" customFormat="1" ht="34.5" customHeight="1" x14ac:dyDescent="0.3">
      <c r="A623" s="46">
        <v>989</v>
      </c>
      <c r="B623" s="46" t="s">
        <v>2126</v>
      </c>
      <c r="C623" s="46" t="s">
        <v>37</v>
      </c>
      <c r="D623" s="60">
        <v>2025</v>
      </c>
      <c r="E623" s="60"/>
      <c r="F623" s="46" t="s">
        <v>225</v>
      </c>
      <c r="G623" s="46" t="s">
        <v>161</v>
      </c>
      <c r="H623" s="46" t="s">
        <v>1951</v>
      </c>
      <c r="I623" s="46"/>
      <c r="J623" s="46"/>
      <c r="K623" s="46" t="s">
        <v>140</v>
      </c>
      <c r="L623" s="46"/>
      <c r="M623" s="46"/>
      <c r="N623" s="46">
        <v>1</v>
      </c>
      <c r="O623" s="46"/>
      <c r="P623" s="46"/>
      <c r="Q623" s="46"/>
      <c r="R623" s="46"/>
      <c r="S623" s="46"/>
      <c r="T623" s="46"/>
      <c r="U623" s="46"/>
      <c r="V623" s="46"/>
      <c r="W623" s="46"/>
      <c r="X623" s="46"/>
      <c r="Y623" s="46"/>
      <c r="Z623" s="46" t="s">
        <v>2127</v>
      </c>
      <c r="AA623" s="61" t="str">
        <f>IF(OR(G623="ALK",G623="PEM",G623="SOEC",G623="Other Electrolysis"),
AB623*VLOOKUP(G623,ElectrolysisConvF,3,FALSE),
"")</f>
        <v/>
      </c>
      <c r="AB623" s="62">
        <f>IF(OR(G623="ALK",G623="PEM",G623="SOEC",G623="Other Electrolysis"),
AA623/VLOOKUP(G623,ElectrolysisConvF,3,FALSE),
AC623*10^6/(H2dens*HoursInYear))</f>
        <v>556248.26843158377</v>
      </c>
      <c r="AC623" s="63">
        <f>3400*0.127551</f>
        <v>433.67340000000002</v>
      </c>
      <c r="AD623" s="62">
        <v>900000</v>
      </c>
      <c r="AE623" s="62">
        <f t="shared" si="74"/>
        <v>112838.79849247365</v>
      </c>
      <c r="AF623" s="64" t="s">
        <v>2128</v>
      </c>
      <c r="AG623" s="49">
        <v>0.9</v>
      </c>
    </row>
    <row r="624" spans="1:33" customFormat="1" ht="34.5" customHeight="1" x14ac:dyDescent="0.3">
      <c r="A624" s="46">
        <v>990</v>
      </c>
      <c r="B624" s="46" t="s">
        <v>2129</v>
      </c>
      <c r="C624" s="46" t="s">
        <v>37</v>
      </c>
      <c r="D624" s="60"/>
      <c r="E624" s="60"/>
      <c r="F624" s="46" t="s">
        <v>675</v>
      </c>
      <c r="G624" s="46" t="s">
        <v>159</v>
      </c>
      <c r="H624" s="46" t="s">
        <v>592</v>
      </c>
      <c r="I624" s="46" t="s">
        <v>169</v>
      </c>
      <c r="J624" s="46" t="s">
        <v>247</v>
      </c>
      <c r="K624" s="46" t="s">
        <v>68</v>
      </c>
      <c r="L624" s="46"/>
      <c r="M624" s="46"/>
      <c r="N624" s="46"/>
      <c r="O624" s="46"/>
      <c r="P624" s="46"/>
      <c r="Q624" s="46"/>
      <c r="R624" s="46"/>
      <c r="S624" s="46">
        <v>1</v>
      </c>
      <c r="T624" s="46"/>
      <c r="U624" s="46"/>
      <c r="V624" s="46"/>
      <c r="W624" s="46"/>
      <c r="X624" s="46"/>
      <c r="Y624" s="46"/>
      <c r="Z624" s="46" t="s">
        <v>981</v>
      </c>
      <c r="AA624" s="61">
        <v>20</v>
      </c>
      <c r="AB624" s="62">
        <f>IF(OR(G624="ALK",G624="PEM",G624="SOEC",G624="Other Electrolysis"),
AA624/VLOOKUP(G624,ElectrolysisConvF,3,FALSE),
AC624*10^6/(H2dens*HoursInYear))</f>
        <v>4444.4444444444443</v>
      </c>
      <c r="AC624" s="63">
        <f>AB624*H2dens*HoursInYear/10^6</f>
        <v>3.4650666666666665</v>
      </c>
      <c r="AD624" s="62"/>
      <c r="AE624" s="62">
        <f t="shared" si="74"/>
        <v>4444.4444444444443</v>
      </c>
      <c r="AF624" s="64" t="s">
        <v>2130</v>
      </c>
      <c r="AG624" s="49">
        <v>0.8</v>
      </c>
    </row>
    <row r="625" spans="1:33" customFormat="1" ht="34.5" customHeight="1" x14ac:dyDescent="0.3">
      <c r="A625" s="46">
        <v>991</v>
      </c>
      <c r="B625" s="46" t="s">
        <v>2131</v>
      </c>
      <c r="C625" s="46" t="s">
        <v>363</v>
      </c>
      <c r="D625" s="60">
        <v>2020</v>
      </c>
      <c r="E625" s="60"/>
      <c r="F625" s="46" t="s">
        <v>285</v>
      </c>
      <c r="G625" s="46" t="s">
        <v>163</v>
      </c>
      <c r="H625" s="46"/>
      <c r="I625" s="46"/>
      <c r="J625" s="46"/>
      <c r="K625" s="46" t="s">
        <v>68</v>
      </c>
      <c r="L625" s="46"/>
      <c r="M625" s="46"/>
      <c r="N625" s="46"/>
      <c r="O625" s="46"/>
      <c r="P625" s="46"/>
      <c r="Q625" s="46"/>
      <c r="R625" s="46"/>
      <c r="S625" s="46"/>
      <c r="T625" s="46"/>
      <c r="U625" s="46"/>
      <c r="V625" s="46"/>
      <c r="W625" s="46"/>
      <c r="X625" s="46"/>
      <c r="Y625" s="46"/>
      <c r="Z625" s="46"/>
      <c r="AA625" s="61"/>
      <c r="AB625" s="62"/>
      <c r="AC625" s="63"/>
      <c r="AD625" s="62"/>
      <c r="AE625" s="62">
        <f t="shared" si="74"/>
        <v>0</v>
      </c>
      <c r="AF625" s="64" t="s">
        <v>2132</v>
      </c>
      <c r="AG625" s="49">
        <v>0.9</v>
      </c>
    </row>
    <row r="626" spans="1:33" customFormat="1" ht="34.5" customHeight="1" x14ac:dyDescent="0.3">
      <c r="A626" s="46">
        <v>992</v>
      </c>
      <c r="B626" s="46" t="s">
        <v>2133</v>
      </c>
      <c r="C626" s="46" t="s">
        <v>90</v>
      </c>
      <c r="D626" s="60">
        <v>2025</v>
      </c>
      <c r="E626" s="60"/>
      <c r="F626" s="46" t="s">
        <v>225</v>
      </c>
      <c r="G626" s="46" t="s">
        <v>159</v>
      </c>
      <c r="H626" s="46" t="s">
        <v>592</v>
      </c>
      <c r="I626" s="46" t="s">
        <v>169</v>
      </c>
      <c r="J626" s="46" t="s">
        <v>247</v>
      </c>
      <c r="K626" s="46" t="s">
        <v>68</v>
      </c>
      <c r="L626" s="46"/>
      <c r="M626" s="46"/>
      <c r="N626" s="46"/>
      <c r="O626" s="46"/>
      <c r="P626" s="46"/>
      <c r="Q626" s="46"/>
      <c r="R626" s="46"/>
      <c r="S626" s="46"/>
      <c r="T626" s="46"/>
      <c r="U626" s="46"/>
      <c r="V626" s="46"/>
      <c r="W626" s="46"/>
      <c r="X626" s="46"/>
      <c r="Y626" s="46"/>
      <c r="Z626" s="46" t="s">
        <v>2134</v>
      </c>
      <c r="AA626" s="62">
        <f>IF(OR(G626="ALK",G626="PEM",G626="SOEC",G626="Other Electrolysis"),
AB626*VLOOKUP(G626,ElectrolysisConvF,3,FALSE),
"")</f>
        <v>4328.9210404802216</v>
      </c>
      <c r="AB626" s="62">
        <f>AC626/(H2dens*HoursInYear/10^6)</f>
        <v>961982.45344004931</v>
      </c>
      <c r="AC626" s="63">
        <f>600/H2ProjectDB4578610[[#This Row],[Column33]]</f>
        <v>750</v>
      </c>
      <c r="AD626" s="62"/>
      <c r="AE626" s="62">
        <f t="shared" si="74"/>
        <v>961982.45344004931</v>
      </c>
      <c r="AF626" s="64" t="s">
        <v>2135</v>
      </c>
      <c r="AG626" s="49">
        <v>0.8</v>
      </c>
    </row>
    <row r="627" spans="1:33" customFormat="1" ht="34.5" customHeight="1" x14ac:dyDescent="0.3">
      <c r="A627" s="46">
        <v>993</v>
      </c>
      <c r="B627" s="46" t="s">
        <v>2136</v>
      </c>
      <c r="C627" s="46" t="s">
        <v>311</v>
      </c>
      <c r="D627" s="60">
        <v>2023</v>
      </c>
      <c r="E627" s="60"/>
      <c r="F627" s="46" t="s">
        <v>226</v>
      </c>
      <c r="G627" s="46" t="s">
        <v>1</v>
      </c>
      <c r="H627" s="46"/>
      <c r="I627" s="46" t="s">
        <v>169</v>
      </c>
      <c r="J627" s="46" t="s">
        <v>248</v>
      </c>
      <c r="K627" s="46" t="s">
        <v>68</v>
      </c>
      <c r="L627" s="46"/>
      <c r="M627" s="46"/>
      <c r="N627" s="46"/>
      <c r="O627" s="46"/>
      <c r="P627" s="46"/>
      <c r="Q627" s="46"/>
      <c r="R627" s="46">
        <v>1</v>
      </c>
      <c r="S627" s="46"/>
      <c r="T627" s="46"/>
      <c r="U627" s="46"/>
      <c r="V627" s="46"/>
      <c r="W627" s="46"/>
      <c r="X627" s="46"/>
      <c r="Y627" s="46"/>
      <c r="Z627" s="46" t="s">
        <v>1198</v>
      </c>
      <c r="AA627" s="61">
        <v>2</v>
      </c>
      <c r="AB627" s="62">
        <f>IF(OR(G627="ALK",G627="PEM",G627="SOEC",G627="Other Electrolysis"),
AA627/VLOOKUP(G627,ElectrolysisConvF,3,FALSE),
AC627*10^6/(H2dens*HoursInYear))</f>
        <v>384.61538461538464</v>
      </c>
      <c r="AC627" s="63">
        <f>AB627*H2dens*HoursInYear/10^6</f>
        <v>0.29986153846153851</v>
      </c>
      <c r="AD627" s="62"/>
      <c r="AE627" s="62">
        <f t="shared" si="74"/>
        <v>384.61538461538464</v>
      </c>
      <c r="AF627" s="64" t="s">
        <v>2137</v>
      </c>
      <c r="AG627" s="49">
        <v>0.5</v>
      </c>
    </row>
    <row r="628" spans="1:33" customFormat="1" ht="34.5" customHeight="1" x14ac:dyDescent="0.3">
      <c r="A628" s="46">
        <v>995</v>
      </c>
      <c r="B628" s="46" t="s">
        <v>2138</v>
      </c>
      <c r="C628" s="46" t="s">
        <v>203</v>
      </c>
      <c r="D628" s="60">
        <v>2024</v>
      </c>
      <c r="E628" s="60"/>
      <c r="F628" s="46" t="s">
        <v>675</v>
      </c>
      <c r="G628" s="46" t="s">
        <v>159</v>
      </c>
      <c r="H628" s="46" t="s">
        <v>592</v>
      </c>
      <c r="I628" s="46" t="s">
        <v>157</v>
      </c>
      <c r="J628" s="46"/>
      <c r="K628" s="46" t="s">
        <v>68</v>
      </c>
      <c r="L628" s="46"/>
      <c r="M628" s="46"/>
      <c r="N628" s="46"/>
      <c r="O628" s="46"/>
      <c r="P628" s="46"/>
      <c r="Q628" s="46"/>
      <c r="R628" s="46"/>
      <c r="S628" s="46"/>
      <c r="T628" s="46"/>
      <c r="U628" s="46"/>
      <c r="V628" s="46"/>
      <c r="W628" s="46"/>
      <c r="X628" s="46"/>
      <c r="Y628" s="46"/>
      <c r="Z628" s="46" t="s">
        <v>2139</v>
      </c>
      <c r="AA628" s="61">
        <v>17</v>
      </c>
      <c r="AB628" s="62">
        <f>IF(OR(G628="ALK",G628="PEM",G628="SOEC",G628="Other Electrolysis"),
AA628/VLOOKUP(G628,ElectrolysisConvF,3,FALSE),
AC628*10^6/(H2dens*HoursInYear))</f>
        <v>3777.7777777777783</v>
      </c>
      <c r="AC628" s="63">
        <f>AB628*H2dens*HoursInYear/10^6</f>
        <v>2.9453066666666663</v>
      </c>
      <c r="AD628" s="62"/>
      <c r="AE628" s="62">
        <f>IF(AND(G628&lt;&gt;"NG w CCUS",G628&lt;&gt;"Oil w CCUS",G628&lt;&gt;"Coal w CCUS"),AB628,AD628*10^3/(HoursInYear*IF(G628="NG w CCUS",0.9105,1.9075)))</f>
        <v>3777.7777777777783</v>
      </c>
      <c r="AF628" s="64" t="s">
        <v>2140</v>
      </c>
      <c r="AG628" s="49">
        <v>0.56999999999999995</v>
      </c>
    </row>
    <row r="629" spans="1:33" ht="34.5" customHeight="1" x14ac:dyDescent="0.3">
      <c r="A629" s="46">
        <v>1000</v>
      </c>
      <c r="B629" s="46" t="s">
        <v>2141</v>
      </c>
      <c r="C629" s="46" t="s">
        <v>37</v>
      </c>
      <c r="D629" s="60">
        <v>2023</v>
      </c>
      <c r="E629" s="60"/>
      <c r="F629" s="46" t="s">
        <v>675</v>
      </c>
      <c r="G629" s="46" t="s">
        <v>159</v>
      </c>
      <c r="H629" s="46" t="s">
        <v>592</v>
      </c>
      <c r="I629" s="46" t="s">
        <v>169</v>
      </c>
      <c r="J629" s="46" t="s">
        <v>248</v>
      </c>
      <c r="K629" s="46" t="s">
        <v>68</v>
      </c>
      <c r="L629" s="46">
        <v>1</v>
      </c>
      <c r="M629" s="46"/>
      <c r="N629" s="46"/>
      <c r="O629" s="46"/>
      <c r="P629" s="46"/>
      <c r="Q629" s="46"/>
      <c r="R629" s="46"/>
      <c r="S629" s="46"/>
      <c r="T629" s="46"/>
      <c r="U629" s="46"/>
      <c r="V629" s="46">
        <v>1</v>
      </c>
      <c r="W629" s="46"/>
      <c r="X629" s="46"/>
      <c r="Y629" s="46"/>
      <c r="Z629" s="46" t="s">
        <v>2142</v>
      </c>
      <c r="AA629" s="61">
        <f>IF(OR(G629="ALK",G629="PEM",G629="SOEC",G629="Other Electrolysis"),
AB629*VLOOKUP(G629,ElectrolysisConvF,3,FALSE),
"")</f>
        <v>53.062499999999993</v>
      </c>
      <c r="AB629" s="62">
        <f>10000000*0.0283/24</f>
        <v>11791.666666666666</v>
      </c>
      <c r="AC629" s="63">
        <f>AB629*H2dens*HoursInYear/10^6</f>
        <v>9.1932550000000006</v>
      </c>
      <c r="AD629" s="62"/>
      <c r="AE629" s="62">
        <f t="shared" ref="AE629:AE638" si="75">IF(AND(G629&lt;&gt;"NG w CCUS",G629&lt;&gt;"Oil w CCUS",G629&lt;&gt;"Coal w CCUS"),AB629,AD629*10^3/(HoursInYear*IF(G629="NG w CCUS",0.9105,1.9075)))</f>
        <v>11791.666666666666</v>
      </c>
      <c r="AF629" s="64" t="s">
        <v>2143</v>
      </c>
      <c r="AG629" s="49">
        <v>0.5</v>
      </c>
    </row>
    <row r="630" spans="1:33" ht="34.5" customHeight="1" x14ac:dyDescent="0.3">
      <c r="A630" s="46">
        <v>1001</v>
      </c>
      <c r="B630" s="46" t="s">
        <v>2144</v>
      </c>
      <c r="C630" s="46" t="s">
        <v>365</v>
      </c>
      <c r="D630" s="60">
        <v>2021</v>
      </c>
      <c r="E630" s="60"/>
      <c r="F630" s="46" t="s">
        <v>226</v>
      </c>
      <c r="G630" s="46" t="s">
        <v>159</v>
      </c>
      <c r="H630" s="46" t="s">
        <v>592</v>
      </c>
      <c r="I630" s="46" t="s">
        <v>157</v>
      </c>
      <c r="J630" s="46"/>
      <c r="K630" s="46" t="s">
        <v>68</v>
      </c>
      <c r="L630" s="46"/>
      <c r="M630" s="46"/>
      <c r="N630" s="46"/>
      <c r="O630" s="46"/>
      <c r="P630" s="46">
        <v>1</v>
      </c>
      <c r="Q630" s="46"/>
      <c r="R630" s="46"/>
      <c r="S630" s="46"/>
      <c r="T630" s="46"/>
      <c r="U630" s="46"/>
      <c r="V630" s="46"/>
      <c r="W630" s="46"/>
      <c r="X630" s="46"/>
      <c r="Y630" s="46"/>
      <c r="Z630" s="46" t="s">
        <v>1161</v>
      </c>
      <c r="AA630" s="61">
        <v>25</v>
      </c>
      <c r="AB630" s="62">
        <f>IF(OR(G630="ALK",G630="PEM",G630="SOEC",G630="Other Electrolysis"),
AA630/VLOOKUP(G630,ElectrolysisConvF,3,FALSE),
AC630*10^6/(H2dens*HoursInYear))</f>
        <v>5555.5555555555557</v>
      </c>
      <c r="AC630" s="63">
        <f>AB630*H2dens*HoursInYear/10^6</f>
        <v>4.3313333333333333</v>
      </c>
      <c r="AD630" s="62"/>
      <c r="AE630" s="62">
        <f t="shared" si="75"/>
        <v>5555.5555555555557</v>
      </c>
      <c r="AF630" s="64" t="s">
        <v>2145</v>
      </c>
      <c r="AG630" s="49">
        <v>0.56999999999999995</v>
      </c>
    </row>
    <row r="631" spans="1:33" ht="34.5" customHeight="1" x14ac:dyDescent="0.3">
      <c r="A631" s="53">
        <v>1002</v>
      </c>
      <c r="B631" s="53" t="s">
        <v>2146</v>
      </c>
      <c r="C631" s="53" t="s">
        <v>50</v>
      </c>
      <c r="D631" s="54">
        <v>2030</v>
      </c>
      <c r="E631" s="54"/>
      <c r="F631" s="53" t="s">
        <v>225</v>
      </c>
      <c r="G631" s="53" t="s">
        <v>159</v>
      </c>
      <c r="H631" s="53" t="s">
        <v>592</v>
      </c>
      <c r="I631" s="53" t="s">
        <v>169</v>
      </c>
      <c r="J631" s="53" t="s">
        <v>246</v>
      </c>
      <c r="K631" s="53" t="s">
        <v>68</v>
      </c>
      <c r="L631" s="53">
        <v>1</v>
      </c>
      <c r="M631" s="53">
        <v>1</v>
      </c>
      <c r="N631" s="53">
        <v>1</v>
      </c>
      <c r="O631" s="53">
        <v>1</v>
      </c>
      <c r="P631" s="53">
        <v>1</v>
      </c>
      <c r="Q631" s="53"/>
      <c r="R631" s="53"/>
      <c r="S631" s="53"/>
      <c r="T631" s="53"/>
      <c r="U631" s="53"/>
      <c r="V631" s="53"/>
      <c r="W631" s="53"/>
      <c r="X631" s="53"/>
      <c r="Y631" s="53"/>
      <c r="Z631" s="53" t="s">
        <v>672</v>
      </c>
      <c r="AA631" s="55"/>
      <c r="AB631" s="56">
        <f>IF(OR(G631="ALK",G631="PEM",G631="SOEC",G631="Other Electrolysis"),
AA631/VLOOKUP(G631,ElectrolysisConvF,3,FALSE),
AC631*10^6/(H2dens*HoursInYear))</f>
        <v>0</v>
      </c>
      <c r="AC631" s="57">
        <f>AB631*H2dens*HoursInYear/10^6</f>
        <v>0</v>
      </c>
      <c r="AD631" s="56"/>
      <c r="AE631" s="56">
        <f t="shared" si="75"/>
        <v>0</v>
      </c>
      <c r="AF631" s="58" t="s">
        <v>2147</v>
      </c>
      <c r="AG631" s="49">
        <v>0.55000000000000004</v>
      </c>
    </row>
    <row r="632" spans="1:33" ht="34.5" customHeight="1" x14ac:dyDescent="0.3">
      <c r="A632" s="46">
        <v>1003</v>
      </c>
      <c r="B632" s="46" t="s">
        <v>2148</v>
      </c>
      <c r="C632" s="46" t="s">
        <v>203</v>
      </c>
      <c r="D632" s="60">
        <v>2022</v>
      </c>
      <c r="E632" s="60"/>
      <c r="F632" s="46" t="s">
        <v>226</v>
      </c>
      <c r="G632" s="46" t="s">
        <v>1</v>
      </c>
      <c r="H632" s="46"/>
      <c r="I632" s="46" t="s">
        <v>157</v>
      </c>
      <c r="J632" s="46"/>
      <c r="K632" s="46" t="s">
        <v>68</v>
      </c>
      <c r="L632" s="46"/>
      <c r="M632" s="46"/>
      <c r="N632" s="46"/>
      <c r="O632" s="46"/>
      <c r="P632" s="46"/>
      <c r="Q632" s="46">
        <v>1</v>
      </c>
      <c r="R632" s="46"/>
      <c r="S632" s="46"/>
      <c r="T632" s="46"/>
      <c r="U632" s="46"/>
      <c r="V632" s="46"/>
      <c r="W632" s="46"/>
      <c r="X632" s="46"/>
      <c r="Y632" s="46"/>
      <c r="Z632" s="46" t="s">
        <v>2149</v>
      </c>
      <c r="AA632" s="61">
        <f>IF(OR(G632="ALK",G632="PEM",G632="SOEC",G632="Other Electrolysis"),
AB632*VLOOKUP(G632,ElectrolysisConvF,3,FALSE),
"")</f>
        <v>3.8951310861423214</v>
      </c>
      <c r="AB632" s="62">
        <f>AC632/(H2dens*HoursInYear/10^6)</f>
        <v>749.06367041198496</v>
      </c>
      <c r="AC632" s="63">
        <f>1.6*365/1000</f>
        <v>0.58399999999999996</v>
      </c>
      <c r="AD632" s="62"/>
      <c r="AE632" s="62">
        <f t="shared" si="75"/>
        <v>749.06367041198496</v>
      </c>
      <c r="AF632" s="64" t="s">
        <v>2150</v>
      </c>
      <c r="AG632" s="49">
        <v>0.56999999999999995</v>
      </c>
    </row>
    <row r="633" spans="1:33" ht="34.5" customHeight="1" x14ac:dyDescent="0.3">
      <c r="A633" s="46">
        <v>1004</v>
      </c>
      <c r="B633" s="46" t="s">
        <v>2151</v>
      </c>
      <c r="C633" s="46" t="s">
        <v>203</v>
      </c>
      <c r="D633" s="60">
        <v>2024</v>
      </c>
      <c r="E633" s="60"/>
      <c r="F633" s="46" t="s">
        <v>675</v>
      </c>
      <c r="G633" s="46" t="s">
        <v>159</v>
      </c>
      <c r="H633" s="46" t="s">
        <v>592</v>
      </c>
      <c r="I633" s="46" t="s">
        <v>157</v>
      </c>
      <c r="J633" s="46"/>
      <c r="K633" s="46" t="s">
        <v>68</v>
      </c>
      <c r="L633" s="46"/>
      <c r="M633" s="46"/>
      <c r="N633" s="46"/>
      <c r="O633" s="46">
        <v>1</v>
      </c>
      <c r="P633" s="46"/>
      <c r="Q633" s="46"/>
      <c r="R633" s="46"/>
      <c r="S633" s="46"/>
      <c r="T633" s="46"/>
      <c r="U633" s="46"/>
      <c r="V633" s="46"/>
      <c r="W633" s="46"/>
      <c r="X633" s="46"/>
      <c r="Y633" s="46"/>
      <c r="Z633" s="46" t="s">
        <v>711</v>
      </c>
      <c r="AA633" s="61">
        <v>10</v>
      </c>
      <c r="AB633" s="62">
        <f>IF(OR(G633="ALK",G633="PEM",G633="SOEC",G633="Other Electrolysis"),
AA633/VLOOKUP(G633,ElectrolysisConvF,3,FALSE),
AC633*10^6/(H2dens*HoursInYear))</f>
        <v>2222.2222222222222</v>
      </c>
      <c r="AC633" s="63">
        <f>AB633*H2dens*HoursInYear/10^6</f>
        <v>1.7325333333333333</v>
      </c>
      <c r="AD633" s="62"/>
      <c r="AE633" s="62">
        <f t="shared" si="75"/>
        <v>2222.2222222222222</v>
      </c>
      <c r="AF633" s="64" t="s">
        <v>2152</v>
      </c>
      <c r="AG633" s="49">
        <v>0.56999999999999995</v>
      </c>
    </row>
    <row r="634" spans="1:33" ht="34.5" customHeight="1" x14ac:dyDescent="0.3">
      <c r="A634" s="46">
        <v>1005</v>
      </c>
      <c r="B634" s="46" t="s">
        <v>2153</v>
      </c>
      <c r="C634" s="46" t="s">
        <v>321</v>
      </c>
      <c r="D634" s="60">
        <v>2023</v>
      </c>
      <c r="E634" s="60"/>
      <c r="F634" s="46" t="s">
        <v>225</v>
      </c>
      <c r="G634" s="46" t="s">
        <v>159</v>
      </c>
      <c r="H634" s="46" t="s">
        <v>592</v>
      </c>
      <c r="I634" s="46" t="s">
        <v>169</v>
      </c>
      <c r="J634" s="46" t="s">
        <v>244</v>
      </c>
      <c r="K634" s="46" t="s">
        <v>68</v>
      </c>
      <c r="L634" s="46"/>
      <c r="M634" s="46"/>
      <c r="N634" s="46"/>
      <c r="O634" s="46"/>
      <c r="P634" s="46">
        <v>1</v>
      </c>
      <c r="Q634" s="46">
        <v>1</v>
      </c>
      <c r="R634" s="46"/>
      <c r="S634" s="46"/>
      <c r="T634" s="46"/>
      <c r="U634" s="46"/>
      <c r="V634" s="46"/>
      <c r="W634" s="46"/>
      <c r="X634" s="46"/>
      <c r="Y634" s="46"/>
      <c r="Z634" s="46"/>
      <c r="AA634" s="61"/>
      <c r="AB634" s="62"/>
      <c r="AC634" s="63"/>
      <c r="AD634" s="62"/>
      <c r="AE634" s="62">
        <f t="shared" si="75"/>
        <v>0</v>
      </c>
      <c r="AF634" s="64" t="s">
        <v>2154</v>
      </c>
      <c r="AG634" s="49">
        <v>0.3</v>
      </c>
    </row>
    <row r="635" spans="1:33" ht="34.5" customHeight="1" x14ac:dyDescent="0.3">
      <c r="A635" s="46">
        <v>1006</v>
      </c>
      <c r="B635" s="46" t="s">
        <v>2155</v>
      </c>
      <c r="C635" s="46" t="s">
        <v>40</v>
      </c>
      <c r="D635" s="60">
        <v>2025</v>
      </c>
      <c r="E635" s="60"/>
      <c r="F635" s="46" t="s">
        <v>225</v>
      </c>
      <c r="G635" s="46" t="s">
        <v>3</v>
      </c>
      <c r="H635" s="46"/>
      <c r="I635" s="46" t="s">
        <v>157</v>
      </c>
      <c r="J635" s="46"/>
      <c r="K635" s="46" t="s">
        <v>68</v>
      </c>
      <c r="L635" s="46"/>
      <c r="M635" s="46"/>
      <c r="N635" s="46"/>
      <c r="O635" s="46"/>
      <c r="P635" s="46"/>
      <c r="Q635" s="46"/>
      <c r="R635" s="46"/>
      <c r="S635" s="46"/>
      <c r="T635" s="46"/>
      <c r="U635" s="46"/>
      <c r="V635" s="46"/>
      <c r="W635" s="46"/>
      <c r="X635" s="46"/>
      <c r="Y635" s="46"/>
      <c r="Z635" s="46" t="s">
        <v>2156</v>
      </c>
      <c r="AA635" s="61">
        <v>839</v>
      </c>
      <c r="AB635" s="62">
        <f>IF(OR(G635="ALK",G635="PEM",G635="SOEC",G635="Other Electrolysis"),
AA635/VLOOKUP(G635,ElectrolysisConvF,3,FALSE),
AC635*10^6/(H2dens*HoursInYear))</f>
        <v>182391.30434782608</v>
      </c>
      <c r="AC635" s="63">
        <f>AB635*H2dens*HoursInYear/10^6</f>
        <v>142.19955652173911</v>
      </c>
      <c r="AD635" s="62"/>
      <c r="AE635" s="62">
        <f t="shared" si="75"/>
        <v>182391.30434782608</v>
      </c>
      <c r="AF635" s="64" t="s">
        <v>2157</v>
      </c>
      <c r="AG635" s="49">
        <v>0.56999999999999995</v>
      </c>
    </row>
    <row r="636" spans="1:33" ht="34.5" customHeight="1" x14ac:dyDescent="0.3">
      <c r="A636" s="46">
        <v>1007</v>
      </c>
      <c r="B636" s="46" t="s">
        <v>2158</v>
      </c>
      <c r="C636" s="46" t="s">
        <v>105</v>
      </c>
      <c r="D636" s="60">
        <v>2024</v>
      </c>
      <c r="E636" s="60"/>
      <c r="F636" s="46" t="s">
        <v>225</v>
      </c>
      <c r="G636" s="46" t="s">
        <v>1</v>
      </c>
      <c r="H636" s="46"/>
      <c r="I636" s="46" t="s">
        <v>169</v>
      </c>
      <c r="J636" s="46" t="s">
        <v>244</v>
      </c>
      <c r="K636" s="46" t="s">
        <v>68</v>
      </c>
      <c r="L636" s="46"/>
      <c r="M636" s="46"/>
      <c r="N636" s="46"/>
      <c r="O636" s="46"/>
      <c r="P636" s="46"/>
      <c r="Q636" s="46"/>
      <c r="R636" s="46">
        <v>1</v>
      </c>
      <c r="S636" s="46"/>
      <c r="T636" s="46"/>
      <c r="U636" s="46"/>
      <c r="V636" s="46"/>
      <c r="W636" s="46"/>
      <c r="X636" s="46"/>
      <c r="Y636" s="46"/>
      <c r="Z636" s="46" t="s">
        <v>1161</v>
      </c>
      <c r="AA636" s="61">
        <v>25</v>
      </c>
      <c r="AB636" s="62">
        <f>IF(OR(G636="ALK",G636="PEM",G636="SOEC",G636="Other Electrolysis"),
AA636/VLOOKUP(G636,ElectrolysisConvF,3,FALSE),
AC636*10^6/(H2dens*HoursInYear))</f>
        <v>4807.6923076923076</v>
      </c>
      <c r="AC636" s="63">
        <f>AB636*H2dens*HoursInYear/10^6</f>
        <v>3.7482692307692305</v>
      </c>
      <c r="AD636" s="62"/>
      <c r="AE636" s="62">
        <f t="shared" si="75"/>
        <v>4807.6923076923076</v>
      </c>
      <c r="AF636" s="64" t="s">
        <v>2159</v>
      </c>
      <c r="AG636" s="49">
        <v>0.3</v>
      </c>
    </row>
    <row r="637" spans="1:33" ht="34.5" customHeight="1" x14ac:dyDescent="0.3">
      <c r="A637" s="46">
        <v>1008</v>
      </c>
      <c r="B637" s="46" t="s">
        <v>2160</v>
      </c>
      <c r="C637" s="46" t="s">
        <v>99</v>
      </c>
      <c r="D637" s="60"/>
      <c r="E637" s="60"/>
      <c r="F637" s="46" t="s">
        <v>225</v>
      </c>
      <c r="G637" s="46" t="s">
        <v>159</v>
      </c>
      <c r="H637" s="46" t="s">
        <v>592</v>
      </c>
      <c r="I637" s="46" t="s">
        <v>169</v>
      </c>
      <c r="J637" s="46" t="s">
        <v>246</v>
      </c>
      <c r="K637" s="46" t="s">
        <v>68</v>
      </c>
      <c r="L637" s="46"/>
      <c r="M637" s="46"/>
      <c r="N637" s="46"/>
      <c r="O637" s="46"/>
      <c r="P637" s="46"/>
      <c r="Q637" s="46"/>
      <c r="R637" s="46"/>
      <c r="S637" s="46"/>
      <c r="T637" s="46"/>
      <c r="U637" s="46"/>
      <c r="V637" s="46"/>
      <c r="W637" s="46"/>
      <c r="X637" s="46"/>
      <c r="Y637" s="46"/>
      <c r="Z637" s="46"/>
      <c r="AA637" s="61"/>
      <c r="AB637" s="62"/>
      <c r="AC637" s="63"/>
      <c r="AD637" s="62"/>
      <c r="AE637" s="62">
        <f t="shared" si="75"/>
        <v>0</v>
      </c>
      <c r="AF637" s="64" t="s">
        <v>2161</v>
      </c>
      <c r="AG637" s="49">
        <v>0.55000000000000004</v>
      </c>
    </row>
    <row r="638" spans="1:33" ht="34.5" customHeight="1" x14ac:dyDescent="0.3">
      <c r="A638" s="46">
        <v>1009</v>
      </c>
      <c r="B638" s="46" t="s">
        <v>2162</v>
      </c>
      <c r="C638" s="46" t="s">
        <v>37</v>
      </c>
      <c r="D638" s="60"/>
      <c r="E638" s="60"/>
      <c r="F638" s="46" t="s">
        <v>675</v>
      </c>
      <c r="G638" s="46" t="s">
        <v>159</v>
      </c>
      <c r="H638" s="46" t="s">
        <v>592</v>
      </c>
      <c r="I638" s="46" t="s">
        <v>169</v>
      </c>
      <c r="J638" s="46" t="s">
        <v>248</v>
      </c>
      <c r="K638" s="46" t="s">
        <v>68</v>
      </c>
      <c r="L638" s="46"/>
      <c r="M638" s="46"/>
      <c r="N638" s="46"/>
      <c r="O638" s="46"/>
      <c r="P638" s="46"/>
      <c r="Q638" s="46"/>
      <c r="R638" s="46"/>
      <c r="S638" s="46">
        <v>1</v>
      </c>
      <c r="T638" s="46"/>
      <c r="U638" s="46"/>
      <c r="V638" s="46"/>
      <c r="W638" s="46"/>
      <c r="X638" s="46"/>
      <c r="Y638" s="46"/>
      <c r="Z638" s="46"/>
      <c r="AA638" s="61"/>
      <c r="AB638" s="62"/>
      <c r="AC638" s="63"/>
      <c r="AD638" s="62"/>
      <c r="AE638" s="62">
        <f t="shared" si="75"/>
        <v>0</v>
      </c>
      <c r="AF638" s="64" t="s">
        <v>2163</v>
      </c>
      <c r="AG638" s="49">
        <v>0.5</v>
      </c>
    </row>
    <row r="639" spans="1:33" ht="34.5" customHeight="1" x14ac:dyDescent="0.3">
      <c r="A639" s="46">
        <v>1011</v>
      </c>
      <c r="B639" s="46" t="s">
        <v>2164</v>
      </c>
      <c r="C639" s="46" t="s">
        <v>203</v>
      </c>
      <c r="D639" s="60">
        <v>2024</v>
      </c>
      <c r="E639" s="60"/>
      <c r="F639" s="46" t="s">
        <v>225</v>
      </c>
      <c r="G639" s="46" t="s">
        <v>1</v>
      </c>
      <c r="H639" s="46"/>
      <c r="I639" s="46" t="s">
        <v>169</v>
      </c>
      <c r="J639" s="46" t="s">
        <v>245</v>
      </c>
      <c r="K639" s="46" t="s">
        <v>68</v>
      </c>
      <c r="L639" s="46"/>
      <c r="M639" s="46"/>
      <c r="N639" s="46">
        <v>1</v>
      </c>
      <c r="O639" s="46"/>
      <c r="P639" s="46">
        <v>1</v>
      </c>
      <c r="Q639" s="46">
        <v>1</v>
      </c>
      <c r="R639" s="46"/>
      <c r="S639" s="46"/>
      <c r="T639" s="46"/>
      <c r="U639" s="46"/>
      <c r="V639" s="46"/>
      <c r="W639" s="46"/>
      <c r="X639" s="46"/>
      <c r="Y639" s="46"/>
      <c r="Z639" s="46" t="s">
        <v>2165</v>
      </c>
      <c r="AA639" s="61">
        <v>20</v>
      </c>
      <c r="AB639" s="62">
        <f>IF(OR(G639="ALK",G639="PEM",G639="SOEC",G639="Other Electrolysis"),
AA639/VLOOKUP(G639,ElectrolysisConvF,3,FALSE),
AC639*10^6/(H2dens*HoursInYear))</f>
        <v>3846.1538461538462</v>
      </c>
      <c r="AC639" s="63">
        <f>AB639*H2dens*HoursInYear/10^6</f>
        <v>2.9986153846153845</v>
      </c>
      <c r="AD639" s="62"/>
      <c r="AE639" s="62">
        <f>IF(AND(G639&lt;&gt;"NG w CCUS",G639&lt;&gt;"Oil w CCUS",G639&lt;&gt;"Coal w CCUS"),AB639,AD639*10^3/(HoursInYear*IF(G639="NG w CCUS",0.9105,1.9075)))</f>
        <v>3846.1538461538462</v>
      </c>
      <c r="AF639" s="64" t="s">
        <v>2166</v>
      </c>
      <c r="AG639" s="49">
        <v>0.4</v>
      </c>
    </row>
    <row r="640" spans="1:33" ht="34.5" customHeight="1" x14ac:dyDescent="0.3">
      <c r="A640" s="46">
        <v>1012</v>
      </c>
      <c r="B640" s="46" t="s">
        <v>2167</v>
      </c>
      <c r="C640" s="46" t="s">
        <v>41</v>
      </c>
      <c r="D640" s="60">
        <v>2023</v>
      </c>
      <c r="E640" s="60"/>
      <c r="F640" s="46" t="s">
        <v>226</v>
      </c>
      <c r="G640" s="46" t="s">
        <v>1</v>
      </c>
      <c r="H640" s="46"/>
      <c r="I640" s="46" t="s">
        <v>169</v>
      </c>
      <c r="J640" s="46" t="s">
        <v>69</v>
      </c>
      <c r="K640" s="46" t="s">
        <v>68</v>
      </c>
      <c r="L640" s="46"/>
      <c r="M640" s="46"/>
      <c r="N640" s="46"/>
      <c r="O640" s="46"/>
      <c r="P640" s="46"/>
      <c r="Q640" s="46">
        <v>1</v>
      </c>
      <c r="R640" s="46"/>
      <c r="S640" s="46"/>
      <c r="T640" s="46"/>
      <c r="U640" s="46"/>
      <c r="V640" s="46"/>
      <c r="W640" s="46"/>
      <c r="X640" s="46"/>
      <c r="Y640" s="46"/>
      <c r="Z640" s="46" t="s">
        <v>2168</v>
      </c>
      <c r="AA640" s="61">
        <f>IF(OR(G640="ALK",G640="PEM",G640="SOEC",G640="Other Electrolysis"),
AB640*VLOOKUP(G640,ElectrolysisConvF,3,FALSE),
"")</f>
        <v>6.8164794007490626</v>
      </c>
      <c r="AB640" s="62">
        <f>AC640/(H2dens*HoursInYear/10^6)</f>
        <v>1310.8614232209736</v>
      </c>
      <c r="AC640" s="63">
        <f>2.8*365/1000</f>
        <v>1.0219999999999998</v>
      </c>
      <c r="AD640" s="62"/>
      <c r="AE640" s="62">
        <f>AB640</f>
        <v>1310.8614232209736</v>
      </c>
      <c r="AF640" s="64" t="s">
        <v>2169</v>
      </c>
      <c r="AG640" s="49">
        <v>0.5</v>
      </c>
    </row>
    <row r="641" spans="1:33" ht="34.5" customHeight="1" x14ac:dyDescent="0.3">
      <c r="A641" s="46">
        <v>1013</v>
      </c>
      <c r="B641" s="46" t="s">
        <v>2170</v>
      </c>
      <c r="C641" s="46" t="s">
        <v>41</v>
      </c>
      <c r="D641" s="60"/>
      <c r="E641" s="60"/>
      <c r="F641" s="46" t="s">
        <v>591</v>
      </c>
      <c r="G641" s="46" t="s">
        <v>159</v>
      </c>
      <c r="H641" s="46" t="s">
        <v>592</v>
      </c>
      <c r="I641" s="46" t="s">
        <v>157</v>
      </c>
      <c r="J641" s="46"/>
      <c r="K641" s="46" t="s">
        <v>68</v>
      </c>
      <c r="L641" s="46"/>
      <c r="M641" s="46"/>
      <c r="N641" s="46"/>
      <c r="O641" s="46"/>
      <c r="P641" s="46"/>
      <c r="Q641" s="46"/>
      <c r="R641" s="46"/>
      <c r="S641" s="46"/>
      <c r="T641" s="46"/>
      <c r="U641" s="46"/>
      <c r="V641" s="46"/>
      <c r="W641" s="46"/>
      <c r="X641" s="46"/>
      <c r="Y641" s="46"/>
      <c r="Z641" s="46"/>
      <c r="AA641" s="61"/>
      <c r="AB641" s="62"/>
      <c r="AC641" s="63"/>
      <c r="AD641" s="62"/>
      <c r="AE641" s="62">
        <f>IF(AND(G641&lt;&gt;"NG w CCUS",G641&lt;&gt;"Oil w CCUS",G641&lt;&gt;"Coal w CCUS"),AB641,AD641*10^3/(HoursInYear*IF(G641="NG w CCUS",0.9105,1.9075)))</f>
        <v>0</v>
      </c>
      <c r="AF641" s="64" t="s">
        <v>1812</v>
      </c>
      <c r="AG641" s="49">
        <v>0.56999999999999995</v>
      </c>
    </row>
    <row r="642" spans="1:33" ht="34.5" customHeight="1" x14ac:dyDescent="0.3">
      <c r="A642" s="46">
        <v>1015</v>
      </c>
      <c r="B642" s="46" t="s">
        <v>2171</v>
      </c>
      <c r="C642" s="46" t="s">
        <v>41</v>
      </c>
      <c r="D642" s="60">
        <v>2026</v>
      </c>
      <c r="E642" s="60"/>
      <c r="F642" s="46" t="s">
        <v>591</v>
      </c>
      <c r="G642" s="75" t="s">
        <v>159</v>
      </c>
      <c r="H642" s="75" t="s">
        <v>592</v>
      </c>
      <c r="I642" s="46" t="s">
        <v>169</v>
      </c>
      <c r="J642" s="46" t="s">
        <v>245</v>
      </c>
      <c r="K642" s="46" t="s">
        <v>68</v>
      </c>
      <c r="L642" s="46"/>
      <c r="M642" s="46"/>
      <c r="N642" s="46"/>
      <c r="O642" s="46"/>
      <c r="P642" s="46"/>
      <c r="Q642" s="46">
        <v>1</v>
      </c>
      <c r="R642" s="46"/>
      <c r="S642" s="46"/>
      <c r="T642" s="46"/>
      <c r="U642" s="46">
        <v>1</v>
      </c>
      <c r="V642" s="46"/>
      <c r="W642" s="46"/>
      <c r="X642" s="46"/>
      <c r="Y642" s="46"/>
      <c r="Z642" s="46"/>
      <c r="AA642" s="61"/>
      <c r="AB642" s="62"/>
      <c r="AC642" s="63"/>
      <c r="AD642" s="62"/>
      <c r="AE642" s="62">
        <f t="shared" ref="AE642:AE650" si="76">IF(AND(G642&lt;&gt;"NG w CCUS",G642&lt;&gt;"Oil w CCUS",G642&lt;&gt;"Coal w CCUS"),AB642,AD642*10^3/(HoursInYear*IF(G642="NG w CCUS",0.9105,1.9075)))</f>
        <v>0</v>
      </c>
      <c r="AF642" s="64" t="s">
        <v>1812</v>
      </c>
      <c r="AG642" s="49">
        <v>0.4</v>
      </c>
    </row>
    <row r="643" spans="1:33" ht="34.5" customHeight="1" x14ac:dyDescent="0.3">
      <c r="A643" s="46">
        <v>1016</v>
      </c>
      <c r="B643" s="46" t="s">
        <v>2172</v>
      </c>
      <c r="C643" s="46" t="s">
        <v>41</v>
      </c>
      <c r="D643" s="60">
        <v>2024</v>
      </c>
      <c r="E643" s="60"/>
      <c r="F643" s="46" t="s">
        <v>591</v>
      </c>
      <c r="G643" s="75" t="s">
        <v>159</v>
      </c>
      <c r="H643" s="75" t="s">
        <v>592</v>
      </c>
      <c r="I643" s="46" t="s">
        <v>169</v>
      </c>
      <c r="J643" s="46" t="s">
        <v>248</v>
      </c>
      <c r="K643" s="46" t="s">
        <v>68</v>
      </c>
      <c r="L643" s="46"/>
      <c r="M643" s="46"/>
      <c r="N643" s="46"/>
      <c r="O643" s="46"/>
      <c r="P643" s="46"/>
      <c r="Q643" s="46"/>
      <c r="R643" s="46"/>
      <c r="S643" s="46"/>
      <c r="T643" s="46"/>
      <c r="U643" s="46"/>
      <c r="V643" s="46"/>
      <c r="W643" s="46"/>
      <c r="X643" s="46"/>
      <c r="Y643" s="46"/>
      <c r="Z643" s="46"/>
      <c r="AA643" s="61"/>
      <c r="AB643" s="62"/>
      <c r="AC643" s="63"/>
      <c r="AD643" s="62"/>
      <c r="AE643" s="62">
        <f t="shared" si="76"/>
        <v>0</v>
      </c>
      <c r="AF643" s="64" t="s">
        <v>1812</v>
      </c>
      <c r="AG643" s="49">
        <v>0.5</v>
      </c>
    </row>
    <row r="644" spans="1:33" ht="34.5" customHeight="1" x14ac:dyDescent="0.3">
      <c r="A644" s="46">
        <v>1017</v>
      </c>
      <c r="B644" s="46" t="s">
        <v>2173</v>
      </c>
      <c r="C644" s="46" t="s">
        <v>41</v>
      </c>
      <c r="D644" s="60">
        <v>2023</v>
      </c>
      <c r="E644" s="60"/>
      <c r="F644" s="46" t="s">
        <v>285</v>
      </c>
      <c r="G644" s="46" t="s">
        <v>159</v>
      </c>
      <c r="H644" s="46" t="s">
        <v>592</v>
      </c>
      <c r="I644" s="46" t="s">
        <v>288</v>
      </c>
      <c r="J644" s="46" t="str">
        <f>IF(I644&lt;&gt;"Dedicated renewable","N/A",)</f>
        <v>N/A</v>
      </c>
      <c r="K644" s="46" t="s">
        <v>68</v>
      </c>
      <c r="L644" s="46"/>
      <c r="M644" s="46"/>
      <c r="N644" s="46"/>
      <c r="O644" s="46"/>
      <c r="P644" s="46"/>
      <c r="Q644" s="46"/>
      <c r="R644" s="46"/>
      <c r="S644" s="46"/>
      <c r="T644" s="46"/>
      <c r="U644" s="46"/>
      <c r="V644" s="46"/>
      <c r="W644" s="46"/>
      <c r="X644" s="46"/>
      <c r="Y644" s="46"/>
      <c r="Z644" s="46" t="s">
        <v>2174</v>
      </c>
      <c r="AA644" s="61">
        <f>IF(OR(G644="ALK",G644="PEM",G644="SOEC",G644="Other Electrolysis"),
AB644*VLOOKUP(G644,ElectrolysisConvF,3,FALSE),
"")</f>
        <v>0.22499999999999998</v>
      </c>
      <c r="AB644" s="62">
        <v>50</v>
      </c>
      <c r="AC644" s="63">
        <f t="shared" ref="AC644:AC649" si="77">AB644*H2dens*HoursInYear/10^6</f>
        <v>3.8982000000000003E-2</v>
      </c>
      <c r="AD644" s="62"/>
      <c r="AE644" s="62">
        <f t="shared" si="76"/>
        <v>50</v>
      </c>
      <c r="AF644" s="64" t="s">
        <v>2175</v>
      </c>
      <c r="AG644" s="49">
        <v>0.8</v>
      </c>
    </row>
    <row r="645" spans="1:33" ht="34.5" customHeight="1" x14ac:dyDescent="0.3">
      <c r="A645" s="46">
        <v>1018</v>
      </c>
      <c r="B645" s="46" t="s">
        <v>2176</v>
      </c>
      <c r="C645" s="46" t="s">
        <v>2177</v>
      </c>
      <c r="D645" s="60"/>
      <c r="E645" s="60"/>
      <c r="F645" s="46" t="s">
        <v>591</v>
      </c>
      <c r="G645" s="46" t="s">
        <v>159</v>
      </c>
      <c r="H645" s="46" t="s">
        <v>592</v>
      </c>
      <c r="I645" s="46" t="s">
        <v>169</v>
      </c>
      <c r="J645" s="46" t="s">
        <v>244</v>
      </c>
      <c r="K645" s="46" t="s">
        <v>68</v>
      </c>
      <c r="L645" s="46"/>
      <c r="M645" s="46"/>
      <c r="N645" s="46"/>
      <c r="O645" s="46"/>
      <c r="P645" s="46"/>
      <c r="Q645" s="46"/>
      <c r="R645" s="46"/>
      <c r="S645" s="46"/>
      <c r="T645" s="46"/>
      <c r="U645" s="46"/>
      <c r="V645" s="46"/>
      <c r="W645" s="46"/>
      <c r="X645" s="46"/>
      <c r="Y645" s="46"/>
      <c r="Z645" s="46" t="s">
        <v>1274</v>
      </c>
      <c r="AA645" s="61">
        <v>50</v>
      </c>
      <c r="AB645" s="62">
        <f>IF(OR(G645="ALK",G645="PEM",G645="SOEC",G645="Other Electrolysis"),
AA645/VLOOKUP(G645,ElectrolysisConvF,3,FALSE),
AC645*10^6/(H2dens*HoursInYear))</f>
        <v>11111.111111111111</v>
      </c>
      <c r="AC645" s="63">
        <f t="shared" si="77"/>
        <v>8.6626666666666665</v>
      </c>
      <c r="AD645" s="62"/>
      <c r="AE645" s="62">
        <f t="shared" si="76"/>
        <v>11111.111111111111</v>
      </c>
      <c r="AF645" s="64" t="s">
        <v>2178</v>
      </c>
      <c r="AG645" s="49">
        <v>0.3</v>
      </c>
    </row>
    <row r="646" spans="1:33" ht="34.5" customHeight="1" x14ac:dyDescent="0.3">
      <c r="A646" s="46">
        <v>1019</v>
      </c>
      <c r="B646" s="46" t="s">
        <v>2179</v>
      </c>
      <c r="C646" s="46" t="s">
        <v>2177</v>
      </c>
      <c r="D646" s="60"/>
      <c r="E646" s="60"/>
      <c r="F646" s="46" t="s">
        <v>591</v>
      </c>
      <c r="G646" s="46" t="s">
        <v>159</v>
      </c>
      <c r="H646" s="46" t="s">
        <v>592</v>
      </c>
      <c r="I646" s="46" t="s">
        <v>169</v>
      </c>
      <c r="J646" s="46" t="s">
        <v>244</v>
      </c>
      <c r="K646" s="46" t="s">
        <v>68</v>
      </c>
      <c r="L646" s="46"/>
      <c r="M646" s="46"/>
      <c r="N646" s="46"/>
      <c r="O646" s="46"/>
      <c r="P646" s="46"/>
      <c r="Q646" s="46"/>
      <c r="R646" s="46"/>
      <c r="S646" s="46"/>
      <c r="T646" s="46"/>
      <c r="U646" s="46"/>
      <c r="V646" s="46"/>
      <c r="W646" s="46"/>
      <c r="X646" s="46"/>
      <c r="Y646" s="46"/>
      <c r="Z646" s="46" t="s">
        <v>1274</v>
      </c>
      <c r="AA646" s="61">
        <v>50</v>
      </c>
      <c r="AB646" s="62">
        <f>IF(OR(G646="ALK",G646="PEM",G646="SOEC",G646="Other Electrolysis"),
AA646/VLOOKUP(G646,ElectrolysisConvF,3,FALSE),
AC646*10^6/(H2dens*HoursInYear))</f>
        <v>11111.111111111111</v>
      </c>
      <c r="AC646" s="63">
        <f t="shared" si="77"/>
        <v>8.6626666666666665</v>
      </c>
      <c r="AD646" s="62"/>
      <c r="AE646" s="62">
        <f t="shared" si="76"/>
        <v>11111.111111111111</v>
      </c>
      <c r="AF646" s="64" t="s">
        <v>2178</v>
      </c>
      <c r="AG646" s="49">
        <v>0.3</v>
      </c>
    </row>
    <row r="647" spans="1:33" ht="34.5" customHeight="1" x14ac:dyDescent="0.3">
      <c r="A647" s="46">
        <v>1020</v>
      </c>
      <c r="B647" s="46" t="s">
        <v>2180</v>
      </c>
      <c r="C647" s="46" t="s">
        <v>2177</v>
      </c>
      <c r="D647" s="60"/>
      <c r="E647" s="60"/>
      <c r="F647" s="46" t="s">
        <v>591</v>
      </c>
      <c r="G647" s="46" t="s">
        <v>3</v>
      </c>
      <c r="H647" s="46"/>
      <c r="I647" s="46" t="s">
        <v>169</v>
      </c>
      <c r="J647" s="46" t="s">
        <v>245</v>
      </c>
      <c r="K647" s="46" t="s">
        <v>68</v>
      </c>
      <c r="L647" s="46"/>
      <c r="M647" s="46"/>
      <c r="N647" s="46"/>
      <c r="O647" s="46"/>
      <c r="P647" s="46"/>
      <c r="Q647" s="46"/>
      <c r="R647" s="46"/>
      <c r="S647" s="46"/>
      <c r="T647" s="46"/>
      <c r="U647" s="46"/>
      <c r="V647" s="46"/>
      <c r="W647" s="46"/>
      <c r="X647" s="46"/>
      <c r="Y647" s="46"/>
      <c r="Z647" s="46" t="s">
        <v>1168</v>
      </c>
      <c r="AA647" s="61">
        <v>10</v>
      </c>
      <c r="AB647" s="62">
        <f>IF(OR(G647="ALK",G647="PEM",G647="SOEC",G647="Other Electrolysis"),
AA647/VLOOKUP(G647,ElectrolysisConvF,3,FALSE),
AC647*10^6/(H2dens*HoursInYear))</f>
        <v>2173.913043478261</v>
      </c>
      <c r="AC647" s="63">
        <f t="shared" si="77"/>
        <v>1.6948695652173913</v>
      </c>
      <c r="AD647" s="62"/>
      <c r="AE647" s="62">
        <f t="shared" si="76"/>
        <v>2173.913043478261</v>
      </c>
      <c r="AF647" s="64" t="s">
        <v>2181</v>
      </c>
      <c r="AG647" s="49">
        <v>0.4</v>
      </c>
    </row>
    <row r="648" spans="1:33" ht="34.5" customHeight="1" x14ac:dyDescent="0.3">
      <c r="A648" s="46">
        <v>1021</v>
      </c>
      <c r="B648" s="46" t="s">
        <v>2182</v>
      </c>
      <c r="C648" s="46" t="s">
        <v>41</v>
      </c>
      <c r="D648" s="60">
        <v>2025</v>
      </c>
      <c r="E648" s="60"/>
      <c r="F648" s="46" t="s">
        <v>675</v>
      </c>
      <c r="G648" s="46" t="s">
        <v>159</v>
      </c>
      <c r="H648" s="46" t="s">
        <v>592</v>
      </c>
      <c r="I648" s="46" t="s">
        <v>169</v>
      </c>
      <c r="J648" s="46" t="s">
        <v>244</v>
      </c>
      <c r="K648" s="46" t="s">
        <v>68</v>
      </c>
      <c r="L648" s="46"/>
      <c r="M648" s="46"/>
      <c r="N648" s="46"/>
      <c r="O648" s="46"/>
      <c r="P648" s="46"/>
      <c r="Q648" s="46"/>
      <c r="R648" s="46"/>
      <c r="S648" s="46"/>
      <c r="T648" s="46"/>
      <c r="U648" s="46"/>
      <c r="V648" s="46"/>
      <c r="W648" s="46"/>
      <c r="X648" s="46"/>
      <c r="Y648" s="46"/>
      <c r="Z648" s="46" t="s">
        <v>1274</v>
      </c>
      <c r="AA648" s="61">
        <v>40</v>
      </c>
      <c r="AB648" s="62">
        <f>IF(OR(G648="ALK",G648="PEM",G648="SOEC",G648="Other Electrolysis"),
AA648/VLOOKUP(G648,ElectrolysisConvF,3,FALSE),
AC648*10^6/(H2dens*HoursInYear))</f>
        <v>8888.8888888888887</v>
      </c>
      <c r="AC648" s="63">
        <f t="shared" si="77"/>
        <v>6.930133333333333</v>
      </c>
      <c r="AD648" s="62"/>
      <c r="AE648" s="62">
        <f t="shared" si="76"/>
        <v>8888.8888888888887</v>
      </c>
      <c r="AF648" s="64" t="s">
        <v>2070</v>
      </c>
      <c r="AG648" s="49">
        <v>0.3</v>
      </c>
    </row>
    <row r="649" spans="1:33" ht="34.5" customHeight="1" x14ac:dyDescent="0.3">
      <c r="A649" s="46">
        <v>1022</v>
      </c>
      <c r="B649" s="46" t="s">
        <v>2183</v>
      </c>
      <c r="C649" s="46" t="s">
        <v>44</v>
      </c>
      <c r="D649" s="60">
        <v>2023</v>
      </c>
      <c r="E649" s="60"/>
      <c r="F649" s="46" t="s">
        <v>675</v>
      </c>
      <c r="G649" s="75" t="s">
        <v>1</v>
      </c>
      <c r="H649" s="75"/>
      <c r="I649" s="75" t="s">
        <v>169</v>
      </c>
      <c r="J649" s="46" t="s">
        <v>248</v>
      </c>
      <c r="K649" s="46" t="s">
        <v>68</v>
      </c>
      <c r="L649" s="46"/>
      <c r="M649" s="46"/>
      <c r="N649" s="46"/>
      <c r="O649" s="46"/>
      <c r="P649" s="46">
        <v>1</v>
      </c>
      <c r="Q649" s="46"/>
      <c r="R649" s="46"/>
      <c r="S649" s="46"/>
      <c r="T649" s="46"/>
      <c r="U649" s="46"/>
      <c r="V649" s="46"/>
      <c r="W649" s="46"/>
      <c r="X649" s="46"/>
      <c r="Y649" s="46"/>
      <c r="Z649" s="46" t="s">
        <v>1198</v>
      </c>
      <c r="AA649" s="61">
        <v>2</v>
      </c>
      <c r="AB649" s="62">
        <f>IF(OR(G649="ALK",G649="PEM",G649="SOEC",G649="Other Electrolysis"),
AA649/VLOOKUP(G649,ElectrolysisConvF,3,FALSE),
AC649*10^6/(H2dens*HoursInYear))</f>
        <v>384.61538461538464</v>
      </c>
      <c r="AC649" s="63">
        <f t="shared" si="77"/>
        <v>0.29986153846153851</v>
      </c>
      <c r="AD649" s="62"/>
      <c r="AE649" s="62">
        <f t="shared" si="76"/>
        <v>384.61538461538464</v>
      </c>
      <c r="AF649" s="64" t="s">
        <v>2184</v>
      </c>
      <c r="AG649" s="49">
        <v>0.5</v>
      </c>
    </row>
    <row r="650" spans="1:33" ht="34.5" customHeight="1" x14ac:dyDescent="0.3">
      <c r="A650" s="46">
        <v>1023</v>
      </c>
      <c r="B650" s="46" t="s">
        <v>2185</v>
      </c>
      <c r="C650" s="46" t="s">
        <v>44</v>
      </c>
      <c r="D650" s="60">
        <v>2025</v>
      </c>
      <c r="E650" s="60"/>
      <c r="F650" s="46" t="s">
        <v>675</v>
      </c>
      <c r="G650" s="46" t="s">
        <v>159</v>
      </c>
      <c r="H650" s="46" t="s">
        <v>2186</v>
      </c>
      <c r="I650" s="46" t="s">
        <v>169</v>
      </c>
      <c r="J650" s="46" t="s">
        <v>248</v>
      </c>
      <c r="K650" s="46" t="s">
        <v>68</v>
      </c>
      <c r="L650" s="46"/>
      <c r="M650" s="46"/>
      <c r="N650" s="46"/>
      <c r="O650" s="46"/>
      <c r="P650" s="46"/>
      <c r="Q650" s="46">
        <v>1</v>
      </c>
      <c r="R650" s="46">
        <v>1</v>
      </c>
      <c r="S650" s="46">
        <v>1</v>
      </c>
      <c r="T650" s="46"/>
      <c r="U650" s="46"/>
      <c r="V650" s="46"/>
      <c r="W650" s="46"/>
      <c r="X650" s="46"/>
      <c r="Y650" s="46"/>
      <c r="Z650" s="46" t="s">
        <v>2187</v>
      </c>
      <c r="AA650" s="61">
        <f>IF(OR(G650="ALK",G650="PEM",G650="SOEC",G650="Other Electrolysis"),
AB650*VLOOKUP(G650,ElectrolysisConvF,3,FALSE),
"")</f>
        <v>21.067415730337078</v>
      </c>
      <c r="AB650" s="62">
        <f>AC650/(H2dens*HoursInYear/10^6)</f>
        <v>4681.6479400749067</v>
      </c>
      <c r="AC650" s="63">
        <f>10*365/1000</f>
        <v>3.65</v>
      </c>
      <c r="AD650" s="62"/>
      <c r="AE650" s="62">
        <f t="shared" si="76"/>
        <v>4681.6479400749067</v>
      </c>
      <c r="AF650" s="64" t="s">
        <v>2188</v>
      </c>
      <c r="AG650" s="49">
        <v>0.5</v>
      </c>
    </row>
    <row r="651" spans="1:33" ht="34.5" customHeight="1" x14ac:dyDescent="0.3">
      <c r="A651" s="46">
        <v>1026</v>
      </c>
      <c r="B651" s="46" t="s">
        <v>2189</v>
      </c>
      <c r="C651" s="46" t="s">
        <v>311</v>
      </c>
      <c r="D651" s="60"/>
      <c r="E651" s="60"/>
      <c r="F651" s="46" t="s">
        <v>591</v>
      </c>
      <c r="G651" s="46" t="s">
        <v>159</v>
      </c>
      <c r="H651" s="46" t="s">
        <v>592</v>
      </c>
      <c r="I651" s="46" t="s">
        <v>169</v>
      </c>
      <c r="J651" s="46" t="s">
        <v>69</v>
      </c>
      <c r="K651" s="46" t="s">
        <v>68</v>
      </c>
      <c r="L651" s="46"/>
      <c r="M651" s="46"/>
      <c r="N651" s="46"/>
      <c r="O651" s="46"/>
      <c r="P651" s="46"/>
      <c r="Q651" s="46"/>
      <c r="R651" s="46"/>
      <c r="S651" s="46"/>
      <c r="T651" s="46"/>
      <c r="U651" s="46"/>
      <c r="V651" s="46"/>
      <c r="W651" s="46"/>
      <c r="X651" s="46"/>
      <c r="Y651" s="46"/>
      <c r="Z651" s="46"/>
      <c r="AA651" s="61"/>
      <c r="AB651" s="62"/>
      <c r="AC651" s="63"/>
      <c r="AD651" s="62"/>
      <c r="AE651" s="62"/>
      <c r="AF651" s="64" t="s">
        <v>2190</v>
      </c>
      <c r="AG651" s="49">
        <v>0.5</v>
      </c>
    </row>
    <row r="652" spans="1:33" ht="34.5" customHeight="1" x14ac:dyDescent="0.3">
      <c r="A652" s="46">
        <v>1027</v>
      </c>
      <c r="B652" s="46" t="s">
        <v>2191</v>
      </c>
      <c r="C652" s="46" t="s">
        <v>65</v>
      </c>
      <c r="D652" s="60">
        <v>2024</v>
      </c>
      <c r="E652" s="60"/>
      <c r="F652" s="46" t="s">
        <v>675</v>
      </c>
      <c r="G652" s="46" t="s">
        <v>1</v>
      </c>
      <c r="H652" s="46"/>
      <c r="I652" s="46" t="s">
        <v>169</v>
      </c>
      <c r="J652" s="46" t="s">
        <v>248</v>
      </c>
      <c r="K652" s="46" t="s">
        <v>68</v>
      </c>
      <c r="L652" s="46"/>
      <c r="M652" s="46"/>
      <c r="N652" s="46"/>
      <c r="O652" s="46"/>
      <c r="P652" s="46"/>
      <c r="Q652" s="46">
        <v>1</v>
      </c>
      <c r="R652" s="46"/>
      <c r="S652" s="46"/>
      <c r="T652" s="46"/>
      <c r="U652" s="46"/>
      <c r="V652" s="46"/>
      <c r="W652" s="46"/>
      <c r="X652" s="46"/>
      <c r="Y652" s="46"/>
      <c r="Z652" s="46" t="s">
        <v>676</v>
      </c>
      <c r="AA652" s="61">
        <v>2.5</v>
      </c>
      <c r="AB652" s="62">
        <f>IF(OR(G652="ALK",G652="PEM",G652="SOEC",G652="Other Electrolysis"),
AA652/VLOOKUP(G652,ElectrolysisConvF,3,FALSE),
AC652*10^6/(H2dens*HoursInYear))</f>
        <v>480.76923076923077</v>
      </c>
      <c r="AC652" s="63">
        <f>AB652*H2dens*HoursInYear/10^6</f>
        <v>0.37482692307692306</v>
      </c>
      <c r="AD652" s="62"/>
      <c r="AE652" s="62">
        <f t="shared" ref="AE652:AE657" si="78">IF(AND(G652&lt;&gt;"NG w CCUS",G652&lt;&gt;"Oil w CCUS",G652&lt;&gt;"Coal w CCUS"),AB652,AD652*10^3/(HoursInYear*IF(G652="NG w CCUS",0.9105,1.9075)))</f>
        <v>480.76923076923077</v>
      </c>
      <c r="AF652" s="64" t="s">
        <v>2192</v>
      </c>
      <c r="AG652" s="49">
        <v>0.5</v>
      </c>
    </row>
    <row r="653" spans="1:33" ht="34.5" customHeight="1" x14ac:dyDescent="0.3">
      <c r="A653" s="46">
        <v>1028</v>
      </c>
      <c r="B653" s="46" t="s">
        <v>2193</v>
      </c>
      <c r="C653" s="46" t="s">
        <v>63</v>
      </c>
      <c r="D653" s="60">
        <v>2025</v>
      </c>
      <c r="E653" s="60"/>
      <c r="F653" s="46" t="s">
        <v>225</v>
      </c>
      <c r="G653" s="46" t="s">
        <v>3</v>
      </c>
      <c r="H653" s="46"/>
      <c r="I653" s="46" t="s">
        <v>169</v>
      </c>
      <c r="J653" s="46" t="s">
        <v>245</v>
      </c>
      <c r="K653" s="46" t="s">
        <v>140</v>
      </c>
      <c r="L653" s="46"/>
      <c r="M653" s="46"/>
      <c r="N653" s="46">
        <v>1</v>
      </c>
      <c r="O653" s="46"/>
      <c r="P653" s="46"/>
      <c r="Q653" s="46"/>
      <c r="R653" s="46"/>
      <c r="S653" s="46"/>
      <c r="T653" s="46"/>
      <c r="U653" s="46"/>
      <c r="V653" s="46"/>
      <c r="W653" s="46"/>
      <c r="X653" s="46"/>
      <c r="Y653" s="46"/>
      <c r="Z653" s="46" t="s">
        <v>2194</v>
      </c>
      <c r="AA653" s="61">
        <v>25</v>
      </c>
      <c r="AB653" s="62">
        <f>IF(OR(G653="ALK",G653="PEM",G653="SOEC",G653="Other Electrolysis"),
AA653/VLOOKUP(G653,ElectrolysisConvF,3,FALSE),
AC653*10^6/(H2dens*HoursInYear))</f>
        <v>5434.782608695652</v>
      </c>
      <c r="AC653" s="63">
        <f>AB653*H2dens*HoursInYear/10^6</f>
        <v>4.2371739130434776</v>
      </c>
      <c r="AD653" s="62"/>
      <c r="AE653" s="62">
        <f t="shared" si="78"/>
        <v>5434.782608695652</v>
      </c>
      <c r="AF653" s="64" t="s">
        <v>2195</v>
      </c>
      <c r="AG653" s="49">
        <v>0.4</v>
      </c>
    </row>
    <row r="654" spans="1:33" ht="34.5" customHeight="1" x14ac:dyDescent="0.3">
      <c r="A654" s="46">
        <v>1029</v>
      </c>
      <c r="B654" s="46" t="s">
        <v>2196</v>
      </c>
      <c r="C654" s="46" t="s">
        <v>59</v>
      </c>
      <c r="D654" s="60">
        <v>2023</v>
      </c>
      <c r="E654" s="60"/>
      <c r="F654" s="46" t="s">
        <v>675</v>
      </c>
      <c r="G654" s="46" t="s">
        <v>159</v>
      </c>
      <c r="H654" s="46" t="s">
        <v>592</v>
      </c>
      <c r="I654" s="46" t="s">
        <v>169</v>
      </c>
      <c r="J654" s="46" t="s">
        <v>247</v>
      </c>
      <c r="K654" s="46" t="s">
        <v>68</v>
      </c>
      <c r="L654" s="46"/>
      <c r="M654" s="46"/>
      <c r="N654" s="46"/>
      <c r="O654" s="46"/>
      <c r="P654" s="46"/>
      <c r="Q654" s="46">
        <v>1</v>
      </c>
      <c r="R654" s="46"/>
      <c r="S654" s="46"/>
      <c r="T654" s="46"/>
      <c r="U654" s="46"/>
      <c r="V654" s="46"/>
      <c r="W654" s="46"/>
      <c r="X654" s="46"/>
      <c r="Y654" s="46"/>
      <c r="Z654" s="46" t="s">
        <v>676</v>
      </c>
      <c r="AA654" s="61">
        <v>2.5</v>
      </c>
      <c r="AB654" s="62">
        <f>IF(OR(G654="ALK",G654="PEM",G654="SOEC",G654="Other Electrolysis"),
AA654/VLOOKUP(G654,ElectrolysisConvF,3,FALSE),
AC654*10^6/(H2dens*HoursInYear))</f>
        <v>555.55555555555554</v>
      </c>
      <c r="AC654" s="63">
        <f>AB654*H2dens*HoursInYear/10^6</f>
        <v>0.43313333333333331</v>
      </c>
      <c r="AD654" s="62"/>
      <c r="AE654" s="62">
        <f t="shared" si="78"/>
        <v>555.55555555555554</v>
      </c>
      <c r="AF654" s="64" t="s">
        <v>2197</v>
      </c>
      <c r="AG654" s="49">
        <v>0.8</v>
      </c>
    </row>
    <row r="655" spans="1:33" ht="34.5" customHeight="1" x14ac:dyDescent="0.3">
      <c r="A655" s="46">
        <v>1030</v>
      </c>
      <c r="B655" s="46" t="s">
        <v>2198</v>
      </c>
      <c r="C655" s="46" t="s">
        <v>242</v>
      </c>
      <c r="D655" s="60">
        <v>2021</v>
      </c>
      <c r="E655" s="60"/>
      <c r="F655" s="46" t="s">
        <v>226</v>
      </c>
      <c r="G655" s="46" t="s">
        <v>159</v>
      </c>
      <c r="H655" s="46" t="s">
        <v>592</v>
      </c>
      <c r="I655" s="46" t="s">
        <v>169</v>
      </c>
      <c r="J655" s="46" t="s">
        <v>244</v>
      </c>
      <c r="K655" s="46" t="s">
        <v>68</v>
      </c>
      <c r="L655" s="46"/>
      <c r="M655" s="46"/>
      <c r="N655" s="46"/>
      <c r="O655" s="46"/>
      <c r="P655" s="46">
        <v>1</v>
      </c>
      <c r="Q655" s="46"/>
      <c r="R655" s="46"/>
      <c r="S655" s="46"/>
      <c r="T655" s="46"/>
      <c r="U655" s="46"/>
      <c r="V655" s="46"/>
      <c r="W655" s="46"/>
      <c r="X655" s="46"/>
      <c r="Y655" s="46"/>
      <c r="Z655" s="46" t="s">
        <v>788</v>
      </c>
      <c r="AA655" s="61">
        <v>0.15</v>
      </c>
      <c r="AB655" s="62">
        <f>IF(OR(G655="ALK",G655="PEM",G655="SOEC",G655="Other Electrolysis"),
AA655/VLOOKUP(G655,ElectrolysisConvF,3,FALSE),
AC655*10^6/(H2dens*HoursInYear))</f>
        <v>33.333333333333336</v>
      </c>
      <c r="AC655" s="63">
        <f>AB655*H2dens*HoursInYear/10^6</f>
        <v>2.5988000000000001E-2</v>
      </c>
      <c r="AD655" s="62"/>
      <c r="AE655" s="62">
        <f t="shared" si="78"/>
        <v>33.333333333333336</v>
      </c>
      <c r="AF655" s="64" t="s">
        <v>2199</v>
      </c>
      <c r="AG655" s="49">
        <v>0.3</v>
      </c>
    </row>
    <row r="656" spans="1:33" ht="34.5" customHeight="1" x14ac:dyDescent="0.3">
      <c r="A656" s="46">
        <v>1032</v>
      </c>
      <c r="B656" s="46" t="s">
        <v>2200</v>
      </c>
      <c r="C656" s="46" t="s">
        <v>309</v>
      </c>
      <c r="D656" s="60"/>
      <c r="E656" s="60"/>
      <c r="F656" s="46" t="s">
        <v>591</v>
      </c>
      <c r="G656" s="46" t="s">
        <v>159</v>
      </c>
      <c r="H656" s="46" t="s">
        <v>592</v>
      </c>
      <c r="I656" s="46" t="s">
        <v>166</v>
      </c>
      <c r="J656" s="46" t="str">
        <f>IF(I656&lt;&gt;"Dedicated renewable","N/A",)</f>
        <v>N/A</v>
      </c>
      <c r="K656" s="46" t="s">
        <v>68</v>
      </c>
      <c r="L656" s="46"/>
      <c r="M656" s="46"/>
      <c r="N656" s="46"/>
      <c r="O656" s="46"/>
      <c r="P656" s="46"/>
      <c r="Q656" s="46"/>
      <c r="R656" s="46"/>
      <c r="S656" s="46"/>
      <c r="T656" s="46"/>
      <c r="U656" s="46"/>
      <c r="V656" s="46"/>
      <c r="W656" s="46"/>
      <c r="X656" s="46"/>
      <c r="Y656" s="46"/>
      <c r="Z656" s="46"/>
      <c r="AA656" s="61"/>
      <c r="AB656" s="62"/>
      <c r="AC656" s="63"/>
      <c r="AD656" s="62"/>
      <c r="AE656" s="62">
        <f t="shared" si="78"/>
        <v>0</v>
      </c>
      <c r="AF656" s="64" t="s">
        <v>2201</v>
      </c>
      <c r="AG656" s="49">
        <v>0.56999999999999995</v>
      </c>
    </row>
    <row r="657" spans="1:33" ht="34.5" customHeight="1" x14ac:dyDescent="0.3">
      <c r="A657" s="46">
        <v>1033</v>
      </c>
      <c r="B657" s="46" t="s">
        <v>2202</v>
      </c>
      <c r="C657" s="46" t="s">
        <v>309</v>
      </c>
      <c r="D657" s="60">
        <v>2023</v>
      </c>
      <c r="E657" s="60"/>
      <c r="F657" s="46" t="s">
        <v>225</v>
      </c>
      <c r="G657" s="46" t="s">
        <v>159</v>
      </c>
      <c r="H657" s="46" t="s">
        <v>592</v>
      </c>
      <c r="I657" s="46" t="s">
        <v>169</v>
      </c>
      <c r="J657" s="46" t="s">
        <v>69</v>
      </c>
      <c r="K657" s="46" t="s">
        <v>72</v>
      </c>
      <c r="L657" s="46"/>
      <c r="M657" s="46"/>
      <c r="N657" s="46"/>
      <c r="O657" s="46"/>
      <c r="P657" s="46"/>
      <c r="Q657" s="46"/>
      <c r="R657" s="46"/>
      <c r="S657" s="46"/>
      <c r="T657" s="46"/>
      <c r="U657" s="46"/>
      <c r="V657" s="46"/>
      <c r="W657" s="46"/>
      <c r="X657" s="46"/>
      <c r="Y657" s="46"/>
      <c r="Z657" s="46" t="s">
        <v>2203</v>
      </c>
      <c r="AA657" s="61">
        <f>IF(OR(G657="ALK",G657="PEM",G657="SOEC",G657="Other Electrolysis"),
AB657*VLOOKUP(G657,ElectrolysisConvF,3,FALSE),
"")</f>
        <v>0.44999999999999996</v>
      </c>
      <c r="AB657" s="62">
        <v>100</v>
      </c>
      <c r="AC657" s="63">
        <f t="shared" ref="AC657:AC662" si="79">AB657*H2dens*HoursInYear/10^6</f>
        <v>7.7964000000000006E-2</v>
      </c>
      <c r="AD657" s="62"/>
      <c r="AE657" s="62">
        <f t="shared" si="78"/>
        <v>100</v>
      </c>
      <c r="AF657" s="64" t="s">
        <v>2204</v>
      </c>
      <c r="AG657" s="49">
        <v>0.5</v>
      </c>
    </row>
    <row r="658" spans="1:33" ht="34.5" customHeight="1" x14ac:dyDescent="0.3">
      <c r="A658" s="46">
        <v>1034</v>
      </c>
      <c r="B658" s="46" t="s">
        <v>2205</v>
      </c>
      <c r="C658" s="46" t="s">
        <v>203</v>
      </c>
      <c r="D658" s="60"/>
      <c r="E658" s="60"/>
      <c r="F658" s="46" t="s">
        <v>591</v>
      </c>
      <c r="G658" s="46" t="s">
        <v>159</v>
      </c>
      <c r="H658" s="46" t="s">
        <v>592</v>
      </c>
      <c r="I658" s="46" t="s">
        <v>157</v>
      </c>
      <c r="J658" s="46"/>
      <c r="K658" s="46" t="s">
        <v>68</v>
      </c>
      <c r="L658" s="46">
        <v>1</v>
      </c>
      <c r="M658" s="46"/>
      <c r="N658" s="46"/>
      <c r="O658" s="46"/>
      <c r="P658" s="46"/>
      <c r="Q658" s="46"/>
      <c r="R658" s="46"/>
      <c r="S658" s="46"/>
      <c r="T658" s="46"/>
      <c r="U658" s="46"/>
      <c r="V658" s="46"/>
      <c r="W658" s="46">
        <v>1</v>
      </c>
      <c r="X658" s="46"/>
      <c r="Y658" s="46"/>
      <c r="Z658" s="46" t="s">
        <v>1654</v>
      </c>
      <c r="AA658" s="61">
        <v>400</v>
      </c>
      <c r="AB658" s="62">
        <f>AA658/0.0045</f>
        <v>88888.888888888891</v>
      </c>
      <c r="AC658" s="63">
        <f t="shared" si="79"/>
        <v>69.301333333333332</v>
      </c>
      <c r="AD658" s="62"/>
      <c r="AE658" s="62">
        <f>AB658</f>
        <v>88888.888888888891</v>
      </c>
      <c r="AF658" s="64" t="s">
        <v>2206</v>
      </c>
      <c r="AG658" s="49">
        <v>0.56999999999999995</v>
      </c>
    </row>
    <row r="659" spans="1:33" ht="34.5" customHeight="1" x14ac:dyDescent="0.3">
      <c r="A659" s="46">
        <v>1035</v>
      </c>
      <c r="B659" s="46" t="s">
        <v>2207</v>
      </c>
      <c r="C659" s="46" t="s">
        <v>203</v>
      </c>
      <c r="D659" s="60">
        <v>2024</v>
      </c>
      <c r="E659" s="60"/>
      <c r="F659" s="46" t="s">
        <v>225</v>
      </c>
      <c r="G659" s="46" t="s">
        <v>159</v>
      </c>
      <c r="H659" s="46" t="s">
        <v>592</v>
      </c>
      <c r="I659" s="46" t="s">
        <v>169</v>
      </c>
      <c r="J659" s="46" t="s">
        <v>248</v>
      </c>
      <c r="K659" s="46" t="s">
        <v>68</v>
      </c>
      <c r="L659" s="46"/>
      <c r="M659" s="46"/>
      <c r="N659" s="46"/>
      <c r="O659" s="46"/>
      <c r="P659" s="46"/>
      <c r="Q659" s="46">
        <v>1</v>
      </c>
      <c r="R659" s="46"/>
      <c r="S659" s="46"/>
      <c r="T659" s="46"/>
      <c r="U659" s="46"/>
      <c r="V659" s="46"/>
      <c r="W659" s="46"/>
      <c r="X659" s="46"/>
      <c r="Y659" s="46"/>
      <c r="Z659" s="46" t="s">
        <v>1339</v>
      </c>
      <c r="AA659" s="61">
        <v>40</v>
      </c>
      <c r="AB659" s="62">
        <f>IF(OR(G659="ALK",G659="PEM",G659="SOEC",G659="Other Electrolysis"),
AA659/VLOOKUP(G659,ElectrolysisConvF,3,FALSE),
AC659*10^6/(H2dens*HoursInYear))</f>
        <v>8888.8888888888887</v>
      </c>
      <c r="AC659" s="63">
        <f t="shared" si="79"/>
        <v>6.930133333333333</v>
      </c>
      <c r="AD659" s="62"/>
      <c r="AE659" s="62">
        <f t="shared" ref="AE659:AE672" si="80">IF(AND(G659&lt;&gt;"NG w CCUS",G659&lt;&gt;"Oil w CCUS",G659&lt;&gt;"Coal w CCUS"),AB659,AD659*10^3/(HoursInYear*IF(G659="NG w CCUS",0.9105,1.9075)))</f>
        <v>8888.8888888888887</v>
      </c>
      <c r="AF659" s="64" t="s">
        <v>2208</v>
      </c>
      <c r="AG659" s="49">
        <v>0.5</v>
      </c>
    </row>
    <row r="660" spans="1:33" ht="34.5" customHeight="1" x14ac:dyDescent="0.3">
      <c r="A660" s="46">
        <v>1036</v>
      </c>
      <c r="B660" s="46" t="s">
        <v>2209</v>
      </c>
      <c r="C660" s="46" t="s">
        <v>203</v>
      </c>
      <c r="D660" s="60"/>
      <c r="E660" s="60"/>
      <c r="F660" s="46" t="s">
        <v>225</v>
      </c>
      <c r="G660" s="46" t="s">
        <v>159</v>
      </c>
      <c r="H660" s="46" t="s">
        <v>592</v>
      </c>
      <c r="I660" s="46" t="s">
        <v>169</v>
      </c>
      <c r="J660" s="46" t="s">
        <v>248</v>
      </c>
      <c r="K660" s="46" t="s">
        <v>68</v>
      </c>
      <c r="L660" s="46"/>
      <c r="M660" s="46"/>
      <c r="N660" s="46"/>
      <c r="O660" s="46"/>
      <c r="P660" s="46">
        <v>1</v>
      </c>
      <c r="Q660" s="46"/>
      <c r="R660" s="46"/>
      <c r="S660" s="46"/>
      <c r="T660" s="46"/>
      <c r="U660" s="46"/>
      <c r="V660" s="46"/>
      <c r="W660" s="46"/>
      <c r="X660" s="46"/>
      <c r="Y660" s="46"/>
      <c r="Z660" s="46" t="s">
        <v>1161</v>
      </c>
      <c r="AA660" s="61">
        <v>25</v>
      </c>
      <c r="AB660" s="62">
        <f>IF(OR(G660="ALK",G660="PEM",G660="SOEC",G660="Other Electrolysis"),
AA660/VLOOKUP(G660,ElectrolysisConvF,3,FALSE),
AC660*10^6/(H2dens*HoursInYear))</f>
        <v>5555.5555555555557</v>
      </c>
      <c r="AC660" s="63">
        <f t="shared" si="79"/>
        <v>4.3313333333333333</v>
      </c>
      <c r="AD660" s="62"/>
      <c r="AE660" s="62">
        <f t="shared" si="80"/>
        <v>5555.5555555555557</v>
      </c>
      <c r="AF660" s="64" t="s">
        <v>2208</v>
      </c>
      <c r="AG660" s="49">
        <v>0.5</v>
      </c>
    </row>
    <row r="661" spans="1:33" ht="34.5" customHeight="1" x14ac:dyDescent="0.3">
      <c r="A661" s="46">
        <v>1037</v>
      </c>
      <c r="B661" s="46" t="s">
        <v>2210</v>
      </c>
      <c r="C661" s="46" t="s">
        <v>203</v>
      </c>
      <c r="D661" s="60"/>
      <c r="E661" s="60"/>
      <c r="F661" s="46" t="s">
        <v>225</v>
      </c>
      <c r="G661" s="46" t="s">
        <v>159</v>
      </c>
      <c r="H661" s="46" t="s">
        <v>592</v>
      </c>
      <c r="I661" s="46" t="s">
        <v>169</v>
      </c>
      <c r="J661" s="46" t="s">
        <v>248</v>
      </c>
      <c r="K661" s="46" t="s">
        <v>68</v>
      </c>
      <c r="L661" s="46"/>
      <c r="M661" s="46"/>
      <c r="N661" s="46"/>
      <c r="O661" s="46"/>
      <c r="P661" s="46"/>
      <c r="Q661" s="46">
        <v>1</v>
      </c>
      <c r="R661" s="46"/>
      <c r="S661" s="46">
        <v>1</v>
      </c>
      <c r="T661" s="46"/>
      <c r="U661" s="46"/>
      <c r="V661" s="46"/>
      <c r="W661" s="46"/>
      <c r="X661" s="46"/>
      <c r="Y661" s="46"/>
      <c r="Z661" s="46" t="s">
        <v>1198</v>
      </c>
      <c r="AA661" s="61">
        <v>2</v>
      </c>
      <c r="AB661" s="62">
        <f>IF(OR(G661="ALK",G661="PEM",G661="SOEC",G661="Other Electrolysis"),
AA661/VLOOKUP(G661,ElectrolysisConvF,3,FALSE),
AC661*10^6/(H2dens*HoursInYear))</f>
        <v>444.44444444444446</v>
      </c>
      <c r="AC661" s="63">
        <f t="shared" si="79"/>
        <v>0.34650666666666669</v>
      </c>
      <c r="AD661" s="62"/>
      <c r="AE661" s="62">
        <f t="shared" si="80"/>
        <v>444.44444444444446</v>
      </c>
      <c r="AF661" s="64" t="s">
        <v>2208</v>
      </c>
      <c r="AG661" s="49">
        <v>0.5</v>
      </c>
    </row>
    <row r="662" spans="1:33" ht="34.5" customHeight="1" x14ac:dyDescent="0.3">
      <c r="A662" s="46">
        <v>1038</v>
      </c>
      <c r="B662" s="46" t="s">
        <v>2211</v>
      </c>
      <c r="C662" s="46" t="s">
        <v>203</v>
      </c>
      <c r="D662" s="60"/>
      <c r="E662" s="60"/>
      <c r="F662" s="46" t="s">
        <v>225</v>
      </c>
      <c r="G662" s="46" t="s">
        <v>159</v>
      </c>
      <c r="H662" s="46" t="s">
        <v>592</v>
      </c>
      <c r="I662" s="46" t="s">
        <v>169</v>
      </c>
      <c r="J662" s="46" t="s">
        <v>248</v>
      </c>
      <c r="K662" s="46" t="s">
        <v>140</v>
      </c>
      <c r="L662" s="46"/>
      <c r="M662" s="46"/>
      <c r="N662" s="46">
        <v>1</v>
      </c>
      <c r="O662" s="46"/>
      <c r="P662" s="46"/>
      <c r="Q662" s="46"/>
      <c r="R662" s="46"/>
      <c r="S662" s="46"/>
      <c r="T662" s="46"/>
      <c r="U662" s="46"/>
      <c r="V662" s="46"/>
      <c r="W662" s="46"/>
      <c r="X662" s="46"/>
      <c r="Y662" s="46"/>
      <c r="Z662" s="46" t="s">
        <v>981</v>
      </c>
      <c r="AA662" s="61">
        <v>20</v>
      </c>
      <c r="AB662" s="62">
        <f>IF(OR(G662="ALK",G662="PEM",G662="SOEC",G662="Other Electrolysis"),
AA662/VLOOKUP(G662,ElectrolysisConvF,3,FALSE),
AC662*10^6/(H2dens*HoursInYear))</f>
        <v>4444.4444444444443</v>
      </c>
      <c r="AC662" s="63">
        <f t="shared" si="79"/>
        <v>3.4650666666666665</v>
      </c>
      <c r="AD662" s="62"/>
      <c r="AE662" s="62">
        <f t="shared" si="80"/>
        <v>4444.4444444444443</v>
      </c>
      <c r="AF662" s="64" t="s">
        <v>2208</v>
      </c>
      <c r="AG662" s="49">
        <v>0.5</v>
      </c>
    </row>
    <row r="663" spans="1:33" ht="34.5" customHeight="1" x14ac:dyDescent="0.3">
      <c r="A663" s="46">
        <v>1039</v>
      </c>
      <c r="B663" s="46" t="s">
        <v>2212</v>
      </c>
      <c r="C663" s="46" t="s">
        <v>203</v>
      </c>
      <c r="D663" s="60"/>
      <c r="E663" s="60"/>
      <c r="F663" s="46" t="s">
        <v>225</v>
      </c>
      <c r="G663" s="46" t="s">
        <v>159</v>
      </c>
      <c r="H663" s="46" t="s">
        <v>592</v>
      </c>
      <c r="I663" s="46" t="s">
        <v>169</v>
      </c>
      <c r="J663" s="46" t="s">
        <v>248</v>
      </c>
      <c r="K663" s="46" t="s">
        <v>68</v>
      </c>
      <c r="L663" s="46"/>
      <c r="M663" s="46"/>
      <c r="N663" s="46"/>
      <c r="O663" s="46"/>
      <c r="P663" s="46"/>
      <c r="Q663" s="46">
        <v>1</v>
      </c>
      <c r="R663" s="46">
        <v>1</v>
      </c>
      <c r="S663" s="46"/>
      <c r="T663" s="46"/>
      <c r="U663" s="46">
        <v>1</v>
      </c>
      <c r="V663" s="46"/>
      <c r="W663" s="46"/>
      <c r="X663" s="46"/>
      <c r="Y663" s="46"/>
      <c r="Z663" s="46"/>
      <c r="AA663" s="61"/>
      <c r="AB663" s="62"/>
      <c r="AC663" s="63"/>
      <c r="AD663" s="62"/>
      <c r="AE663" s="62">
        <f t="shared" si="80"/>
        <v>0</v>
      </c>
      <c r="AF663" s="64" t="s">
        <v>2208</v>
      </c>
      <c r="AG663" s="49">
        <v>0.5</v>
      </c>
    </row>
    <row r="664" spans="1:33" ht="34.5" customHeight="1" x14ac:dyDescent="0.3">
      <c r="A664" s="46">
        <v>1041</v>
      </c>
      <c r="B664" s="46" t="s">
        <v>2213</v>
      </c>
      <c r="C664" s="46" t="s">
        <v>242</v>
      </c>
      <c r="D664" s="60"/>
      <c r="E664" s="60"/>
      <c r="F664" s="46" t="s">
        <v>591</v>
      </c>
      <c r="G664" s="46" t="s">
        <v>159</v>
      </c>
      <c r="H664" s="46" t="s">
        <v>592</v>
      </c>
      <c r="I664" s="46" t="s">
        <v>169</v>
      </c>
      <c r="J664" s="46" t="s">
        <v>69</v>
      </c>
      <c r="K664" s="46" t="s">
        <v>72</v>
      </c>
      <c r="L664" s="46"/>
      <c r="M664" s="46"/>
      <c r="N664" s="46"/>
      <c r="O664" s="46"/>
      <c r="P664" s="46"/>
      <c r="Q664" s="46"/>
      <c r="R664" s="46"/>
      <c r="S664" s="46"/>
      <c r="T664" s="46"/>
      <c r="U664" s="46"/>
      <c r="V664" s="46"/>
      <c r="W664" s="46"/>
      <c r="X664" s="46">
        <v>1</v>
      </c>
      <c r="Y664" s="46"/>
      <c r="Z664" s="46"/>
      <c r="AA664" s="61"/>
      <c r="AB664" s="62"/>
      <c r="AC664" s="63"/>
      <c r="AD664" s="62"/>
      <c r="AE664" s="62">
        <f t="shared" si="80"/>
        <v>0</v>
      </c>
      <c r="AF664" s="64" t="s">
        <v>2214</v>
      </c>
      <c r="AG664" s="49">
        <v>0.5</v>
      </c>
    </row>
    <row r="665" spans="1:33" ht="34.5" customHeight="1" x14ac:dyDescent="0.3">
      <c r="A665" s="46">
        <v>1042</v>
      </c>
      <c r="B665" s="46" t="s">
        <v>2215</v>
      </c>
      <c r="C665" s="46" t="s">
        <v>242</v>
      </c>
      <c r="D665" s="60">
        <v>2000</v>
      </c>
      <c r="E665" s="60"/>
      <c r="F665" s="46" t="s">
        <v>226</v>
      </c>
      <c r="G665" s="46" t="s">
        <v>159</v>
      </c>
      <c r="H665" s="46" t="s">
        <v>592</v>
      </c>
      <c r="I665" s="46" t="s">
        <v>157</v>
      </c>
      <c r="J665" s="46"/>
      <c r="K665" s="46" t="s">
        <v>68</v>
      </c>
      <c r="L665" s="46"/>
      <c r="M665" s="46"/>
      <c r="N665" s="46"/>
      <c r="O665" s="46"/>
      <c r="P665" s="46"/>
      <c r="Q665" s="46"/>
      <c r="R665" s="46"/>
      <c r="S665" s="46"/>
      <c r="T665" s="46"/>
      <c r="U665" s="46"/>
      <c r="V665" s="46"/>
      <c r="W665" s="46"/>
      <c r="X665" s="46"/>
      <c r="Y665" s="46"/>
      <c r="Z665" s="46" t="s">
        <v>1014</v>
      </c>
      <c r="AA665" s="61">
        <v>0.1</v>
      </c>
      <c r="AB665" s="62">
        <f t="shared" ref="AB665:AB670" si="81">IF(OR(G665="ALK",G665="PEM",G665="SOEC",G665="Other Electrolysis"),
AA665/VLOOKUP(G665,ElectrolysisConvF,3,FALSE),
AC665*10^6/(H2dens*HoursInYear))</f>
        <v>22.222222222222225</v>
      </c>
      <c r="AC665" s="63">
        <f t="shared" ref="AC665:AC670" si="82">AB665*H2dens*HoursInYear/10^6</f>
        <v>1.7325333333333335E-2</v>
      </c>
      <c r="AD665" s="62"/>
      <c r="AE665" s="62">
        <f t="shared" si="80"/>
        <v>22.222222222222225</v>
      </c>
      <c r="AF665" s="64"/>
      <c r="AG665" s="49">
        <v>0.56999999999999995</v>
      </c>
    </row>
    <row r="666" spans="1:33" ht="34.5" customHeight="1" x14ac:dyDescent="0.3">
      <c r="A666" s="46">
        <v>1043</v>
      </c>
      <c r="B666" s="46" t="s">
        <v>2216</v>
      </c>
      <c r="C666" s="46" t="s">
        <v>242</v>
      </c>
      <c r="D666" s="60">
        <v>2000</v>
      </c>
      <c r="E666" s="60"/>
      <c r="F666" s="46" t="s">
        <v>226</v>
      </c>
      <c r="G666" s="46" t="s">
        <v>159</v>
      </c>
      <c r="H666" s="46" t="s">
        <v>592</v>
      </c>
      <c r="I666" s="46" t="s">
        <v>157</v>
      </c>
      <c r="J666" s="46"/>
      <c r="K666" s="46" t="s">
        <v>68</v>
      </c>
      <c r="L666" s="46"/>
      <c r="M666" s="46"/>
      <c r="N666" s="46"/>
      <c r="O666" s="46"/>
      <c r="P666" s="46"/>
      <c r="Q666" s="46"/>
      <c r="R666" s="46"/>
      <c r="S666" s="46"/>
      <c r="T666" s="46"/>
      <c r="U666" s="46"/>
      <c r="V666" s="46"/>
      <c r="W666" s="46"/>
      <c r="X666" s="46"/>
      <c r="Y666" s="46"/>
      <c r="Z666" s="46" t="s">
        <v>2217</v>
      </c>
      <c r="AA666" s="61">
        <v>0.35</v>
      </c>
      <c r="AB666" s="62">
        <f t="shared" si="81"/>
        <v>77.777777777777786</v>
      </c>
      <c r="AC666" s="63">
        <f t="shared" si="82"/>
        <v>6.0638666666666674E-2</v>
      </c>
      <c r="AD666" s="62"/>
      <c r="AE666" s="62">
        <f t="shared" si="80"/>
        <v>77.777777777777786</v>
      </c>
      <c r="AF666" s="64"/>
      <c r="AG666" s="49">
        <v>0.56999999999999995</v>
      </c>
    </row>
    <row r="667" spans="1:33" ht="34.5" customHeight="1" x14ac:dyDescent="0.3">
      <c r="A667" s="46">
        <v>1045</v>
      </c>
      <c r="B667" s="46" t="s">
        <v>2218</v>
      </c>
      <c r="C667" s="46" t="s">
        <v>46</v>
      </c>
      <c r="D667" s="60">
        <v>2024</v>
      </c>
      <c r="E667" s="60"/>
      <c r="F667" s="46" t="s">
        <v>225</v>
      </c>
      <c r="G667" s="46" t="s">
        <v>159</v>
      </c>
      <c r="H667" s="46" t="s">
        <v>592</v>
      </c>
      <c r="I667" s="46" t="s">
        <v>169</v>
      </c>
      <c r="J667" s="46" t="s">
        <v>246</v>
      </c>
      <c r="K667" s="46" t="s">
        <v>68</v>
      </c>
      <c r="L667" s="46"/>
      <c r="M667" s="46"/>
      <c r="N667" s="46"/>
      <c r="O667" s="46"/>
      <c r="P667" s="46"/>
      <c r="Q667" s="46"/>
      <c r="R667" s="46"/>
      <c r="S667" s="46"/>
      <c r="T667" s="46"/>
      <c r="U667" s="46"/>
      <c r="V667" s="46"/>
      <c r="W667" s="46"/>
      <c r="X667" s="46"/>
      <c r="Y667" s="46"/>
      <c r="Z667" s="46" t="s">
        <v>1198</v>
      </c>
      <c r="AA667" s="61">
        <v>2</v>
      </c>
      <c r="AB667" s="62">
        <f t="shared" si="81"/>
        <v>444.44444444444446</v>
      </c>
      <c r="AC667" s="63">
        <f t="shared" si="82"/>
        <v>0.34650666666666669</v>
      </c>
      <c r="AD667" s="62"/>
      <c r="AE667" s="62">
        <f t="shared" si="80"/>
        <v>444.44444444444446</v>
      </c>
      <c r="AF667" s="64" t="s">
        <v>2219</v>
      </c>
      <c r="AG667" s="49">
        <v>0.55000000000000004</v>
      </c>
    </row>
    <row r="668" spans="1:33" ht="34.5" customHeight="1" x14ac:dyDescent="0.3">
      <c r="A668" s="46">
        <v>1046</v>
      </c>
      <c r="B668" s="46" t="s">
        <v>2220</v>
      </c>
      <c r="C668" s="46" t="s">
        <v>46</v>
      </c>
      <c r="D668" s="60">
        <v>2026</v>
      </c>
      <c r="E668" s="60"/>
      <c r="F668" s="46" t="s">
        <v>225</v>
      </c>
      <c r="G668" s="46" t="s">
        <v>159</v>
      </c>
      <c r="H668" s="46" t="s">
        <v>592</v>
      </c>
      <c r="I668" s="46" t="s">
        <v>169</v>
      </c>
      <c r="J668" s="46" t="s">
        <v>246</v>
      </c>
      <c r="K668" s="46" t="s">
        <v>68</v>
      </c>
      <c r="L668" s="46"/>
      <c r="M668" s="46"/>
      <c r="N668" s="46"/>
      <c r="O668" s="46"/>
      <c r="P668" s="46"/>
      <c r="Q668" s="46"/>
      <c r="R668" s="46"/>
      <c r="S668" s="46"/>
      <c r="T668" s="46"/>
      <c r="U668" s="46"/>
      <c r="V668" s="46"/>
      <c r="W668" s="46"/>
      <c r="X668" s="46"/>
      <c r="Y668" s="46"/>
      <c r="Z668" s="46" t="s">
        <v>1168</v>
      </c>
      <c r="AA668" s="61">
        <v>10</v>
      </c>
      <c r="AB668" s="62">
        <f t="shared" si="81"/>
        <v>2222.2222222222222</v>
      </c>
      <c r="AC668" s="63">
        <f t="shared" si="82"/>
        <v>1.7325333333333333</v>
      </c>
      <c r="AD668" s="62"/>
      <c r="AE668" s="62">
        <f t="shared" si="80"/>
        <v>2222.2222222222222</v>
      </c>
      <c r="AF668" s="64" t="s">
        <v>2219</v>
      </c>
      <c r="AG668" s="49">
        <v>0.55000000000000004</v>
      </c>
    </row>
    <row r="669" spans="1:33" ht="34.5" customHeight="1" x14ac:dyDescent="0.3">
      <c r="A669" s="46">
        <v>1047</v>
      </c>
      <c r="B669" s="46" t="s">
        <v>2221</v>
      </c>
      <c r="C669" s="46" t="s">
        <v>46</v>
      </c>
      <c r="D669" s="60"/>
      <c r="E669" s="60"/>
      <c r="F669" s="46" t="s">
        <v>157</v>
      </c>
      <c r="G669" s="46" t="s">
        <v>159</v>
      </c>
      <c r="H669" s="46" t="s">
        <v>592</v>
      </c>
      <c r="I669" s="46" t="s">
        <v>169</v>
      </c>
      <c r="J669" s="46" t="s">
        <v>248</v>
      </c>
      <c r="K669" s="46" t="s">
        <v>68</v>
      </c>
      <c r="L669" s="46"/>
      <c r="M669" s="46"/>
      <c r="N669" s="46"/>
      <c r="O669" s="46"/>
      <c r="P669" s="46"/>
      <c r="Q669" s="46"/>
      <c r="R669" s="46"/>
      <c r="S669" s="46">
        <v>1</v>
      </c>
      <c r="T669" s="46"/>
      <c r="U669" s="46"/>
      <c r="V669" s="46"/>
      <c r="W669" s="46"/>
      <c r="X669" s="46"/>
      <c r="Y669" s="46"/>
      <c r="Z669" s="46" t="s">
        <v>911</v>
      </c>
      <c r="AA669" s="61">
        <v>1.25</v>
      </c>
      <c r="AB669" s="62">
        <f t="shared" si="81"/>
        <v>277.77777777777777</v>
      </c>
      <c r="AC669" s="63">
        <f t="shared" si="82"/>
        <v>0.21656666666666666</v>
      </c>
      <c r="AD669" s="62"/>
      <c r="AE669" s="62">
        <f t="shared" si="80"/>
        <v>277.77777777777777</v>
      </c>
      <c r="AF669" s="64" t="s">
        <v>2222</v>
      </c>
      <c r="AG669" s="49">
        <v>0.5</v>
      </c>
    </row>
    <row r="670" spans="1:33" ht="34.5" customHeight="1" x14ac:dyDescent="0.3">
      <c r="A670" s="46">
        <v>1048</v>
      </c>
      <c r="B670" s="46" t="s">
        <v>2223</v>
      </c>
      <c r="C670" s="46" t="s">
        <v>46</v>
      </c>
      <c r="D670" s="60">
        <v>2025</v>
      </c>
      <c r="E670" s="60"/>
      <c r="F670" s="46" t="s">
        <v>225</v>
      </c>
      <c r="G670" s="46" t="s">
        <v>159</v>
      </c>
      <c r="H670" s="46" t="s">
        <v>592</v>
      </c>
      <c r="I670" s="46" t="s">
        <v>169</v>
      </c>
      <c r="J670" s="46" t="s">
        <v>246</v>
      </c>
      <c r="K670" s="46" t="s">
        <v>68</v>
      </c>
      <c r="L670" s="46"/>
      <c r="M670" s="46"/>
      <c r="N670" s="46"/>
      <c r="O670" s="46"/>
      <c r="P670" s="46"/>
      <c r="Q670" s="46"/>
      <c r="R670" s="46"/>
      <c r="S670" s="46"/>
      <c r="T670" s="46"/>
      <c r="U670" s="46"/>
      <c r="V670" s="46"/>
      <c r="W670" s="46"/>
      <c r="X670" s="46"/>
      <c r="Y670" s="46"/>
      <c r="Z670" s="46" t="s">
        <v>1177</v>
      </c>
      <c r="AA670" s="61">
        <v>100</v>
      </c>
      <c r="AB670" s="62">
        <f t="shared" si="81"/>
        <v>22222.222222222223</v>
      </c>
      <c r="AC670" s="63">
        <f t="shared" si="82"/>
        <v>17.325333333333333</v>
      </c>
      <c r="AD670" s="62"/>
      <c r="AE670" s="62">
        <f t="shared" si="80"/>
        <v>22222.222222222223</v>
      </c>
      <c r="AF670" s="64" t="s">
        <v>2224</v>
      </c>
      <c r="AG670" s="49">
        <v>0.55000000000000004</v>
      </c>
    </row>
    <row r="671" spans="1:33" ht="34.5" customHeight="1" x14ac:dyDescent="0.3">
      <c r="A671" s="46">
        <v>1049</v>
      </c>
      <c r="B671" s="46" t="s">
        <v>2225</v>
      </c>
      <c r="C671" s="46" t="s">
        <v>50</v>
      </c>
      <c r="D671" s="60">
        <v>2032</v>
      </c>
      <c r="E671" s="60"/>
      <c r="F671" s="46" t="s">
        <v>591</v>
      </c>
      <c r="G671" s="46" t="s">
        <v>159</v>
      </c>
      <c r="H671" s="46" t="s">
        <v>592</v>
      </c>
      <c r="I671" s="46" t="s">
        <v>169</v>
      </c>
      <c r="J671" s="46" t="s">
        <v>246</v>
      </c>
      <c r="K671" s="46" t="s">
        <v>68</v>
      </c>
      <c r="L671" s="46"/>
      <c r="M671" s="46"/>
      <c r="N671" s="46"/>
      <c r="O671" s="46"/>
      <c r="P671" s="46"/>
      <c r="Q671" s="46"/>
      <c r="R671" s="46"/>
      <c r="S671" s="46"/>
      <c r="T671" s="46"/>
      <c r="U671" s="46"/>
      <c r="V671" s="46"/>
      <c r="W671" s="46"/>
      <c r="X671" s="46"/>
      <c r="Y671" s="46"/>
      <c r="Z671" s="46" t="s">
        <v>2226</v>
      </c>
      <c r="AA671" s="61">
        <f>IF(OR(G671="ALK",G671="PEM",G671="SOEC",G671="Other Electrolysis"),
AB671*VLOOKUP(G671,ElectrolysisConvF,3,FALSE),
"")</f>
        <v>1897.9653811114486</v>
      </c>
      <c r="AB671" s="62">
        <f>AC671/(H2dens*HoursInYear/10^6)</f>
        <v>421770.08469143306</v>
      </c>
      <c r="AC671" s="63">
        <f>30*365/33.3</f>
        <v>328.82882882882888</v>
      </c>
      <c r="AD671" s="62"/>
      <c r="AE671" s="62">
        <f t="shared" si="80"/>
        <v>421770.08469143306</v>
      </c>
      <c r="AF671" s="64" t="s">
        <v>2227</v>
      </c>
      <c r="AG671" s="49">
        <v>0.55000000000000004</v>
      </c>
    </row>
    <row r="672" spans="1:33" ht="34.5" customHeight="1" x14ac:dyDescent="0.3">
      <c r="A672" s="46">
        <v>1050</v>
      </c>
      <c r="B672" s="46" t="s">
        <v>2228</v>
      </c>
      <c r="C672" s="46" t="s">
        <v>319</v>
      </c>
      <c r="D672" s="60">
        <v>2024</v>
      </c>
      <c r="E672" s="60"/>
      <c r="F672" s="46" t="s">
        <v>225</v>
      </c>
      <c r="G672" s="46" t="s">
        <v>159</v>
      </c>
      <c r="H672" s="46" t="s">
        <v>592</v>
      </c>
      <c r="I672" s="46" t="s">
        <v>169</v>
      </c>
      <c r="J672" s="46" t="s">
        <v>69</v>
      </c>
      <c r="K672" s="46" t="s">
        <v>68</v>
      </c>
      <c r="L672" s="46"/>
      <c r="M672" s="46"/>
      <c r="N672" s="46"/>
      <c r="O672" s="46"/>
      <c r="P672" s="46"/>
      <c r="Q672" s="46"/>
      <c r="R672" s="46"/>
      <c r="S672" s="46">
        <v>1</v>
      </c>
      <c r="T672" s="46"/>
      <c r="U672" s="46"/>
      <c r="V672" s="46"/>
      <c r="W672" s="46"/>
      <c r="X672" s="46"/>
      <c r="Y672" s="46"/>
      <c r="Z672" s="46" t="s">
        <v>668</v>
      </c>
      <c r="AA672" s="61">
        <v>78</v>
      </c>
      <c r="AB672" s="62">
        <f>IF(OR(G672="ALK",G672="PEM",G672="SOEC",G672="Other Electrolysis"),
AA672/VLOOKUP(G672,ElectrolysisConvF,3,FALSE),
AC672*10^6/(H2dens*HoursInYear))</f>
        <v>17333.333333333336</v>
      </c>
      <c r="AC672" s="63">
        <f>AB672*H2dens*HoursInYear/10^6</f>
        <v>13.51376</v>
      </c>
      <c r="AD672" s="62"/>
      <c r="AE672" s="62">
        <f t="shared" si="80"/>
        <v>17333.333333333336</v>
      </c>
      <c r="AF672" s="64" t="s">
        <v>2227</v>
      </c>
      <c r="AG672" s="49">
        <v>0.5</v>
      </c>
    </row>
    <row r="673" spans="1:33" ht="34.5" customHeight="1" x14ac:dyDescent="0.3">
      <c r="A673" s="46">
        <v>1051</v>
      </c>
      <c r="B673" s="46" t="s">
        <v>2229</v>
      </c>
      <c r="C673" s="46" t="s">
        <v>203</v>
      </c>
      <c r="D673" s="60">
        <v>2024</v>
      </c>
      <c r="E673" s="60"/>
      <c r="F673" s="46" t="s">
        <v>225</v>
      </c>
      <c r="G673" s="46" t="s">
        <v>3</v>
      </c>
      <c r="H673" s="46"/>
      <c r="I673" s="46" t="s">
        <v>169</v>
      </c>
      <c r="J673" s="46" t="s">
        <v>248</v>
      </c>
      <c r="K673" s="46" t="s">
        <v>72</v>
      </c>
      <c r="L673" s="46"/>
      <c r="M673" s="46"/>
      <c r="N673" s="46"/>
      <c r="O673" s="46"/>
      <c r="P673" s="46"/>
      <c r="Q673" s="46"/>
      <c r="R673" s="46"/>
      <c r="S673" s="46"/>
      <c r="T673" s="46"/>
      <c r="U673" s="46"/>
      <c r="V673" s="46"/>
      <c r="W673" s="46"/>
      <c r="X673" s="46"/>
      <c r="Y673" s="46"/>
      <c r="Z673" s="46" t="s">
        <v>2230</v>
      </c>
      <c r="AA673" s="61">
        <f>AB673*0.0046</f>
        <v>139.69025204980264</v>
      </c>
      <c r="AB673" s="62">
        <f>AC673/(0.089*24*365/10^6)</f>
        <v>30367.44609778318</v>
      </c>
      <c r="AC673" s="63">
        <f>1.08*365/33.3/H2ProjectDB4578610[[#This Row],[Column33]]</f>
        <v>23.675675675675681</v>
      </c>
      <c r="AD673" s="62"/>
      <c r="AE673" s="62">
        <f>AB673</f>
        <v>30367.44609778318</v>
      </c>
      <c r="AF673" s="64" t="s">
        <v>2231</v>
      </c>
      <c r="AG673" s="49">
        <v>0.5</v>
      </c>
    </row>
    <row r="674" spans="1:33" ht="34.5" customHeight="1" x14ac:dyDescent="0.3">
      <c r="A674" s="46">
        <v>1052</v>
      </c>
      <c r="B674" s="46" t="s">
        <v>2232</v>
      </c>
      <c r="C674" s="46" t="s">
        <v>203</v>
      </c>
      <c r="D674" s="60">
        <v>2028</v>
      </c>
      <c r="E674" s="60"/>
      <c r="F674" s="46" t="s">
        <v>225</v>
      </c>
      <c r="G674" s="46" t="s">
        <v>3</v>
      </c>
      <c r="H674" s="46"/>
      <c r="I674" s="46" t="s">
        <v>169</v>
      </c>
      <c r="J674" s="46" t="s">
        <v>248</v>
      </c>
      <c r="K674" s="46" t="s">
        <v>72</v>
      </c>
      <c r="L674" s="46"/>
      <c r="M674" s="46"/>
      <c r="N674" s="46"/>
      <c r="O674" s="46"/>
      <c r="P674" s="46"/>
      <c r="Q674" s="46"/>
      <c r="R674" s="46"/>
      <c r="S674" s="46"/>
      <c r="T674" s="46"/>
      <c r="U674" s="46"/>
      <c r="V674" s="46"/>
      <c r="W674" s="46"/>
      <c r="X674" s="46"/>
      <c r="Y674" s="46"/>
      <c r="Z674" s="46" t="s">
        <v>2233</v>
      </c>
      <c r="AA674" s="61">
        <f>AB674*0.0046</f>
        <v>232.81708674967101</v>
      </c>
      <c r="AB674" s="62">
        <f>AC674/(0.089*24*365/10^6)</f>
        <v>50612.410162971959</v>
      </c>
      <c r="AC674" s="63">
        <f>1.8*365/33.3/H2ProjectDB4578610[[#This Row],[Column33]]</f>
        <v>39.45945945945946</v>
      </c>
      <c r="AD674" s="62"/>
      <c r="AE674" s="62">
        <f>AB674</f>
        <v>50612.410162971959</v>
      </c>
      <c r="AF674" s="64" t="s">
        <v>2231</v>
      </c>
      <c r="AG674" s="49">
        <v>0.5</v>
      </c>
    </row>
    <row r="675" spans="1:33" ht="34.5" customHeight="1" x14ac:dyDescent="0.3">
      <c r="A675" s="53">
        <v>1053</v>
      </c>
      <c r="B675" s="53" t="s">
        <v>2234</v>
      </c>
      <c r="C675" s="58" t="s">
        <v>2235</v>
      </c>
      <c r="D675" s="54">
        <v>2027</v>
      </c>
      <c r="E675" s="54"/>
      <c r="F675" s="53" t="s">
        <v>591</v>
      </c>
      <c r="G675" s="53" t="s">
        <v>159</v>
      </c>
      <c r="H675" s="53" t="s">
        <v>592</v>
      </c>
      <c r="I675" s="53" t="s">
        <v>157</v>
      </c>
      <c r="J675" s="53"/>
      <c r="K675" s="53" t="s">
        <v>68</v>
      </c>
      <c r="L675" s="53"/>
      <c r="M675" s="53"/>
      <c r="N675" s="53"/>
      <c r="O675" s="53"/>
      <c r="P675" s="53"/>
      <c r="Q675" s="53"/>
      <c r="R675" s="53"/>
      <c r="S675" s="53"/>
      <c r="T675" s="53"/>
      <c r="U675" s="53"/>
      <c r="V675" s="53"/>
      <c r="W675" s="53"/>
      <c r="X675" s="53"/>
      <c r="Y675" s="53"/>
      <c r="Z675" s="53" t="s">
        <v>1664</v>
      </c>
      <c r="AA675" s="55"/>
      <c r="AB675" s="56">
        <f>IF(OR(G675="ALK",G675="PEM",G675="SOEC",G675="Other Electrolysis"),
AA675/VLOOKUP(G675,ElectrolysisConvF,3,FALSE),
AC675*10^6/(H2dens*HoursInYear))</f>
        <v>0</v>
      </c>
      <c r="AC675" s="57">
        <f>AB675*H2dens*HoursInYear/10^6</f>
        <v>0</v>
      </c>
      <c r="AD675" s="56"/>
      <c r="AE675" s="56">
        <f>IF(AND(G675&lt;&gt;"NG w CCUS",G675&lt;&gt;"Oil w CCUS",G675&lt;&gt;"Coal w CCUS"),AB675,AD675*10^3/(HoursInYear*IF(G675="NG w CCUS",0.9105,1.9075)))</f>
        <v>0</v>
      </c>
      <c r="AF675" s="58" t="s">
        <v>2227</v>
      </c>
      <c r="AG675" s="49">
        <v>0.56999999999999995</v>
      </c>
    </row>
    <row r="676" spans="1:33" ht="34.5" customHeight="1" x14ac:dyDescent="0.3">
      <c r="A676" s="53">
        <v>1054</v>
      </c>
      <c r="B676" s="53" t="s">
        <v>2236</v>
      </c>
      <c r="C676" s="58" t="s">
        <v>2235</v>
      </c>
      <c r="D676" s="54">
        <v>2031</v>
      </c>
      <c r="E676" s="54"/>
      <c r="F676" s="53" t="s">
        <v>591</v>
      </c>
      <c r="G676" s="53" t="s">
        <v>159</v>
      </c>
      <c r="H676" s="53" t="s">
        <v>592</v>
      </c>
      <c r="I676" s="53" t="s">
        <v>157</v>
      </c>
      <c r="J676" s="53"/>
      <c r="K676" s="53" t="s">
        <v>68</v>
      </c>
      <c r="L676" s="53"/>
      <c r="M676" s="53"/>
      <c r="N676" s="53"/>
      <c r="O676" s="53"/>
      <c r="P676" s="53"/>
      <c r="Q676" s="53"/>
      <c r="R676" s="53"/>
      <c r="S676" s="53"/>
      <c r="T676" s="53"/>
      <c r="U676" s="53"/>
      <c r="V676" s="53"/>
      <c r="W676" s="53"/>
      <c r="X676" s="53"/>
      <c r="Y676" s="53"/>
      <c r="Z676" s="53" t="s">
        <v>672</v>
      </c>
      <c r="AA676" s="55"/>
      <c r="AB676" s="56">
        <f>IF(OR(G676="ALK",G676="PEM",G676="SOEC",G676="Other Electrolysis"),
AA676/VLOOKUP(G676,ElectrolysisConvF,3,FALSE),
AC676*10^6/(H2dens*HoursInYear))</f>
        <v>0</v>
      </c>
      <c r="AC676" s="57">
        <f>AB676*H2dens*HoursInYear/10^6</f>
        <v>0</v>
      </c>
      <c r="AD676" s="56"/>
      <c r="AE676" s="56">
        <f>IF(AND(G676&lt;&gt;"NG w CCUS",G676&lt;&gt;"Oil w CCUS",G676&lt;&gt;"Coal w CCUS"),AB676,AD676*10^3/(HoursInYear*IF(G676="NG w CCUS",0.9105,1.9075)))</f>
        <v>0</v>
      </c>
      <c r="AF676" s="58" t="s">
        <v>2227</v>
      </c>
      <c r="AG676" s="49">
        <v>0.56999999999999995</v>
      </c>
    </row>
    <row r="677" spans="1:33" ht="34.5" customHeight="1" x14ac:dyDescent="0.3">
      <c r="A677" s="46">
        <v>1056</v>
      </c>
      <c r="B677" s="46" t="s">
        <v>2237</v>
      </c>
      <c r="C677" s="46" t="s">
        <v>34</v>
      </c>
      <c r="D677" s="60">
        <v>2024</v>
      </c>
      <c r="E677" s="60"/>
      <c r="F677" s="46" t="s">
        <v>591</v>
      </c>
      <c r="G677" s="46" t="s">
        <v>159</v>
      </c>
      <c r="H677" s="46" t="s">
        <v>592</v>
      </c>
      <c r="I677" s="46" t="s">
        <v>166</v>
      </c>
      <c r="J677" s="46"/>
      <c r="K677" s="46" t="s">
        <v>68</v>
      </c>
      <c r="L677" s="46"/>
      <c r="M677" s="46"/>
      <c r="N677" s="46"/>
      <c r="O677" s="46"/>
      <c r="P677" s="46"/>
      <c r="Q677" s="46"/>
      <c r="R677" s="46"/>
      <c r="S677" s="46">
        <v>1</v>
      </c>
      <c r="T677" s="46"/>
      <c r="U677" s="46"/>
      <c r="V677" s="46"/>
      <c r="W677" s="46"/>
      <c r="X677" s="46"/>
      <c r="Y677" s="46"/>
      <c r="Z677" s="46"/>
      <c r="AA677" s="61"/>
      <c r="AB677" s="62"/>
      <c r="AC677" s="63"/>
      <c r="AD677" s="62"/>
      <c r="AE677" s="62"/>
      <c r="AF677" s="64" t="s">
        <v>2227</v>
      </c>
      <c r="AG677" s="49">
        <v>0.56999999999999995</v>
      </c>
    </row>
    <row r="678" spans="1:33" ht="34.5" customHeight="1" x14ac:dyDescent="0.3">
      <c r="A678" s="46">
        <v>1057</v>
      </c>
      <c r="B678" s="46" t="s">
        <v>2238</v>
      </c>
      <c r="C678" s="46" t="s">
        <v>45</v>
      </c>
      <c r="D678" s="60">
        <v>2024</v>
      </c>
      <c r="E678" s="60"/>
      <c r="F678" s="46" t="s">
        <v>225</v>
      </c>
      <c r="G678" s="46" t="s">
        <v>159</v>
      </c>
      <c r="H678" s="46" t="s">
        <v>592</v>
      </c>
      <c r="I678" s="46" t="s">
        <v>169</v>
      </c>
      <c r="J678" s="46" t="s">
        <v>69</v>
      </c>
      <c r="K678" s="46" t="s">
        <v>72</v>
      </c>
      <c r="L678" s="46"/>
      <c r="M678" s="46"/>
      <c r="N678" s="46"/>
      <c r="O678" s="46"/>
      <c r="P678" s="46"/>
      <c r="Q678" s="46"/>
      <c r="R678" s="46"/>
      <c r="S678" s="46"/>
      <c r="T678" s="46"/>
      <c r="U678" s="46"/>
      <c r="V678" s="46"/>
      <c r="W678" s="46"/>
      <c r="X678" s="46">
        <v>1</v>
      </c>
      <c r="Y678" s="46"/>
      <c r="Z678" s="46" t="s">
        <v>2239</v>
      </c>
      <c r="AA678" s="61">
        <v>23</v>
      </c>
      <c r="AB678" s="62">
        <f>IF(OR(G678="ALK",G678="PEM",G678="SOEC",G678="Other Electrolysis"),
AA678/VLOOKUP(G678,ElectrolysisConvF,3,FALSE),
AC678*10^6/(H2dens*HoursInYear))</f>
        <v>5111.1111111111113</v>
      </c>
      <c r="AC678" s="63">
        <f>AB678*H2dens*HoursInYear/10^6</f>
        <v>3.9848266666666663</v>
      </c>
      <c r="AD678" s="62"/>
      <c r="AE678" s="62">
        <f t="shared" ref="AE678:AE684" si="83">IF(AND(G678&lt;&gt;"NG w CCUS",G678&lt;&gt;"Oil w CCUS",G678&lt;&gt;"Coal w CCUS"),AB678,AD678*10^3/(HoursInYear*IF(G678="NG w CCUS",0.9105,1.9075)))</f>
        <v>5111.1111111111113</v>
      </c>
      <c r="AF678" s="64" t="s">
        <v>2240</v>
      </c>
      <c r="AG678" s="49">
        <v>0.5</v>
      </c>
    </row>
    <row r="679" spans="1:33" ht="34.5" customHeight="1" x14ac:dyDescent="0.3">
      <c r="A679" s="46">
        <v>1058</v>
      </c>
      <c r="B679" s="46" t="s">
        <v>2241</v>
      </c>
      <c r="C679" s="46" t="s">
        <v>45</v>
      </c>
      <c r="D679" s="60">
        <v>2026</v>
      </c>
      <c r="E679" s="60"/>
      <c r="F679" s="46" t="s">
        <v>591</v>
      </c>
      <c r="G679" s="46" t="s">
        <v>159</v>
      </c>
      <c r="H679" s="46" t="s">
        <v>592</v>
      </c>
      <c r="I679" s="46" t="s">
        <v>166</v>
      </c>
      <c r="J679" s="46"/>
      <c r="K679" s="46" t="s">
        <v>72</v>
      </c>
      <c r="L679" s="46"/>
      <c r="M679" s="46"/>
      <c r="N679" s="46"/>
      <c r="O679" s="46"/>
      <c r="P679" s="46"/>
      <c r="Q679" s="46"/>
      <c r="R679" s="46"/>
      <c r="S679" s="46"/>
      <c r="T679" s="46"/>
      <c r="U679" s="46"/>
      <c r="V679" s="46"/>
      <c r="W679" s="46"/>
      <c r="X679" s="46">
        <v>1</v>
      </c>
      <c r="Y679" s="46"/>
      <c r="Z679" s="46" t="s">
        <v>2242</v>
      </c>
      <c r="AA679" s="61">
        <v>90</v>
      </c>
      <c r="AB679" s="62">
        <f>IF(OR(G679="ALK",G679="PEM",G679="SOEC",G679="Other Electrolysis"),
AA679/VLOOKUP(G679,ElectrolysisConvF,3,FALSE),
AC679*10^6/(H2dens*HoursInYear))</f>
        <v>20000</v>
      </c>
      <c r="AC679" s="63">
        <f>AB679*H2dens*HoursInYear/10^6</f>
        <v>15.5928</v>
      </c>
      <c r="AD679" s="62"/>
      <c r="AE679" s="62">
        <f t="shared" si="83"/>
        <v>20000</v>
      </c>
      <c r="AF679" s="64" t="s">
        <v>2243</v>
      </c>
      <c r="AG679" s="49">
        <v>0.56999999999999995</v>
      </c>
    </row>
    <row r="680" spans="1:33" ht="34.5" customHeight="1" x14ac:dyDescent="0.3">
      <c r="A680" s="46">
        <v>1059</v>
      </c>
      <c r="B680" s="46" t="s">
        <v>2244</v>
      </c>
      <c r="C680" s="46" t="s">
        <v>102</v>
      </c>
      <c r="D680" s="60">
        <v>2024</v>
      </c>
      <c r="E680" s="60"/>
      <c r="F680" s="46" t="s">
        <v>285</v>
      </c>
      <c r="G680" s="46" t="s">
        <v>159</v>
      </c>
      <c r="H680" s="46" t="s">
        <v>592</v>
      </c>
      <c r="I680" s="46" t="s">
        <v>157</v>
      </c>
      <c r="J680" s="46"/>
      <c r="K680" s="46" t="s">
        <v>68</v>
      </c>
      <c r="L680" s="46"/>
      <c r="M680" s="46"/>
      <c r="N680" s="46"/>
      <c r="O680" s="46"/>
      <c r="P680" s="46"/>
      <c r="Q680" s="46"/>
      <c r="R680" s="46"/>
      <c r="S680" s="46">
        <v>1</v>
      </c>
      <c r="T680" s="46"/>
      <c r="U680" s="46"/>
      <c r="V680" s="46"/>
      <c r="W680" s="46"/>
      <c r="X680" s="46"/>
      <c r="Y680" s="46"/>
      <c r="Z680" s="46" t="s">
        <v>1327</v>
      </c>
      <c r="AA680" s="61">
        <v>1</v>
      </c>
      <c r="AB680" s="62">
        <f>IF(OR(G680="ALK",G680="PEM",G680="SOEC",G680="Other Electrolysis"),
AA680/VLOOKUP(G680,ElectrolysisConvF,3,FALSE),
AC680*10^6/(H2dens*HoursInYear))</f>
        <v>222.22222222222223</v>
      </c>
      <c r="AC680" s="63">
        <f>AB680*H2dens*HoursInYear/10^6</f>
        <v>0.17325333333333334</v>
      </c>
      <c r="AD680" s="62"/>
      <c r="AE680" s="62">
        <f t="shared" si="83"/>
        <v>222.22222222222223</v>
      </c>
      <c r="AF680" s="64" t="s">
        <v>2245</v>
      </c>
      <c r="AG680" s="49">
        <v>0.56999999999999995</v>
      </c>
    </row>
    <row r="681" spans="1:33" ht="34.5" customHeight="1" x14ac:dyDescent="0.3">
      <c r="A681" s="46">
        <v>1060</v>
      </c>
      <c r="B681" s="46" t="s">
        <v>2246</v>
      </c>
      <c r="C681" s="46" t="s">
        <v>326</v>
      </c>
      <c r="D681" s="60">
        <v>2030</v>
      </c>
      <c r="E681" s="60"/>
      <c r="F681" s="46" t="s">
        <v>591</v>
      </c>
      <c r="G681" s="46" t="s">
        <v>159</v>
      </c>
      <c r="H681" s="46" t="s">
        <v>592</v>
      </c>
      <c r="I681" s="46" t="s">
        <v>166</v>
      </c>
      <c r="J681" s="46" t="str">
        <f>IF(I681&lt;&gt;"Dedicated renewable","N/A",)</f>
        <v>N/A</v>
      </c>
      <c r="K681" s="46" t="s">
        <v>68</v>
      </c>
      <c r="L681" s="46"/>
      <c r="M681" s="46"/>
      <c r="N681" s="46"/>
      <c r="O681" s="46"/>
      <c r="P681" s="46"/>
      <c r="Q681" s="46"/>
      <c r="R681" s="46"/>
      <c r="S681" s="46"/>
      <c r="T681" s="46"/>
      <c r="U681" s="46"/>
      <c r="V681" s="46"/>
      <c r="W681" s="46"/>
      <c r="X681" s="46"/>
      <c r="Y681" s="46"/>
      <c r="Z681" s="46"/>
      <c r="AA681" s="61"/>
      <c r="AB681" s="62"/>
      <c r="AC681" s="63"/>
      <c r="AD681" s="62"/>
      <c r="AE681" s="62">
        <f t="shared" si="83"/>
        <v>0</v>
      </c>
      <c r="AF681" s="64" t="s">
        <v>2227</v>
      </c>
      <c r="AG681" s="49">
        <v>0.56999999999999995</v>
      </c>
    </row>
    <row r="682" spans="1:33" ht="34.5" customHeight="1" x14ac:dyDescent="0.3">
      <c r="A682" s="46">
        <v>1061</v>
      </c>
      <c r="B682" s="46" t="s">
        <v>2247</v>
      </c>
      <c r="C682" s="46" t="s">
        <v>319</v>
      </c>
      <c r="D682" s="60">
        <v>2025</v>
      </c>
      <c r="E682" s="60"/>
      <c r="F682" s="46" t="s">
        <v>225</v>
      </c>
      <c r="G682" s="46" t="s">
        <v>159</v>
      </c>
      <c r="H682" s="46" t="s">
        <v>592</v>
      </c>
      <c r="I682" s="46" t="s">
        <v>169</v>
      </c>
      <c r="J682" s="46" t="s">
        <v>69</v>
      </c>
      <c r="K682" s="46" t="s">
        <v>68</v>
      </c>
      <c r="L682" s="46"/>
      <c r="M682" s="46"/>
      <c r="N682" s="46"/>
      <c r="O682" s="46"/>
      <c r="P682" s="46"/>
      <c r="Q682" s="46"/>
      <c r="R682" s="46"/>
      <c r="S682" s="46">
        <v>1</v>
      </c>
      <c r="T682" s="46"/>
      <c r="U682" s="46"/>
      <c r="V682" s="46"/>
      <c r="W682" s="46"/>
      <c r="X682" s="46"/>
      <c r="Y682" s="46"/>
      <c r="Z682" s="46" t="s">
        <v>2248</v>
      </c>
      <c r="AA682" s="61">
        <v>84</v>
      </c>
      <c r="AB682" s="62">
        <f>IF(OR(G682="ALK",G682="PEM",G682="SOEC",G682="Other Electrolysis"),
AA682/VLOOKUP(G682,ElectrolysisConvF,3,FALSE),
AC682*10^6/(H2dens*HoursInYear))</f>
        <v>18666.666666666668</v>
      </c>
      <c r="AC682" s="63">
        <f>AB682*H2dens*HoursInYear/10^6</f>
        <v>14.553280000000001</v>
      </c>
      <c r="AD682" s="62"/>
      <c r="AE682" s="62">
        <f t="shared" si="83"/>
        <v>18666.666666666668</v>
      </c>
      <c r="AF682" s="64" t="s">
        <v>2227</v>
      </c>
      <c r="AG682" s="49">
        <v>0.5</v>
      </c>
    </row>
    <row r="683" spans="1:33" ht="34.5" customHeight="1" x14ac:dyDescent="0.3">
      <c r="A683" s="46">
        <v>1062</v>
      </c>
      <c r="B683" s="46" t="s">
        <v>2249</v>
      </c>
      <c r="C683" s="46" t="s">
        <v>319</v>
      </c>
      <c r="D683" s="60">
        <v>2035</v>
      </c>
      <c r="E683" s="60"/>
      <c r="F683" s="46" t="s">
        <v>591</v>
      </c>
      <c r="G683" s="46" t="s">
        <v>159</v>
      </c>
      <c r="H683" s="46" t="s">
        <v>592</v>
      </c>
      <c r="I683" s="46" t="s">
        <v>169</v>
      </c>
      <c r="J683" s="46" t="s">
        <v>69</v>
      </c>
      <c r="K683" s="46" t="s">
        <v>68</v>
      </c>
      <c r="L683" s="46"/>
      <c r="M683" s="46"/>
      <c r="N683" s="46"/>
      <c r="O683" s="46"/>
      <c r="P683" s="46"/>
      <c r="Q683" s="46"/>
      <c r="R683" s="46"/>
      <c r="S683" s="46">
        <v>1</v>
      </c>
      <c r="T683" s="46"/>
      <c r="U683" s="46"/>
      <c r="V683" s="46"/>
      <c r="W683" s="46"/>
      <c r="X683" s="46"/>
      <c r="Y683" s="46"/>
      <c r="Z683" s="46" t="s">
        <v>2250</v>
      </c>
      <c r="AA683" s="61">
        <v>248</v>
      </c>
      <c r="AB683" s="62">
        <f>IF(OR(G683="ALK",G683="PEM",G683="SOEC",G683="Other Electrolysis"),
AA683/VLOOKUP(G683,ElectrolysisConvF,3,FALSE),
AC683*10^6/(H2dens*HoursInYear))</f>
        <v>55111.111111111117</v>
      </c>
      <c r="AC683" s="63">
        <f>AB683*H2dens*HoursInYear/10^6</f>
        <v>42.96682666666667</v>
      </c>
      <c r="AD683" s="62"/>
      <c r="AE683" s="62">
        <f t="shared" si="83"/>
        <v>55111.111111111117</v>
      </c>
      <c r="AF683" s="64" t="s">
        <v>2227</v>
      </c>
      <c r="AG683" s="49">
        <v>0.5</v>
      </c>
    </row>
    <row r="684" spans="1:33" ht="34.5" customHeight="1" x14ac:dyDescent="0.3">
      <c r="A684" s="46">
        <v>1063</v>
      </c>
      <c r="B684" s="46" t="s">
        <v>2251</v>
      </c>
      <c r="C684" s="46" t="s">
        <v>203</v>
      </c>
      <c r="D684" s="60"/>
      <c r="E684" s="60"/>
      <c r="F684" s="46" t="s">
        <v>675</v>
      </c>
      <c r="G684" s="46" t="s">
        <v>1</v>
      </c>
      <c r="H684" s="46"/>
      <c r="I684" s="46" t="s">
        <v>169</v>
      </c>
      <c r="J684" s="46" t="s">
        <v>248</v>
      </c>
      <c r="K684" s="46" t="s">
        <v>68</v>
      </c>
      <c r="L684" s="46"/>
      <c r="M684" s="46"/>
      <c r="N684" s="46"/>
      <c r="O684" s="46"/>
      <c r="P684" s="46"/>
      <c r="Q684" s="46">
        <v>1</v>
      </c>
      <c r="R684" s="46"/>
      <c r="S684" s="46"/>
      <c r="T684" s="46"/>
      <c r="U684" s="46"/>
      <c r="V684" s="46"/>
      <c r="W684" s="46"/>
      <c r="X684" s="46"/>
      <c r="Y684" s="46"/>
      <c r="Z684" s="46" t="s">
        <v>2252</v>
      </c>
      <c r="AA684" s="61">
        <f>IF(OR(G684="ALK",G684="PEM",G684="SOEC",G684="Other Electrolysis"),
AB684*VLOOKUP(G684,ElectrolysisConvF,3,FALSE),
"")</f>
        <v>2.9346878046277767</v>
      </c>
      <c r="AB684" s="62">
        <f>AC684/(H2dens*HoursInYear/10^6)</f>
        <v>564.36303935149556</v>
      </c>
      <c r="AC684" s="63">
        <v>0.44</v>
      </c>
      <c r="AD684" s="62"/>
      <c r="AE684" s="62">
        <f t="shared" si="83"/>
        <v>564.36303935149556</v>
      </c>
      <c r="AF684" s="64" t="s">
        <v>2253</v>
      </c>
      <c r="AG684" s="49">
        <v>0.5</v>
      </c>
    </row>
    <row r="685" spans="1:33" ht="34.5" customHeight="1" x14ac:dyDescent="0.3">
      <c r="A685" s="46">
        <v>1064</v>
      </c>
      <c r="B685" s="46" t="s">
        <v>2254</v>
      </c>
      <c r="C685" s="46" t="s">
        <v>34</v>
      </c>
      <c r="D685" s="60">
        <v>2023</v>
      </c>
      <c r="E685" s="60"/>
      <c r="F685" s="46" t="s">
        <v>226</v>
      </c>
      <c r="G685" s="46" t="s">
        <v>159</v>
      </c>
      <c r="H685" s="46" t="s">
        <v>592</v>
      </c>
      <c r="I685" s="46" t="s">
        <v>169</v>
      </c>
      <c r="J685" s="46" t="s">
        <v>246</v>
      </c>
      <c r="K685" s="46" t="s">
        <v>68</v>
      </c>
      <c r="L685" s="46"/>
      <c r="M685" s="46"/>
      <c r="N685" s="46"/>
      <c r="O685" s="46"/>
      <c r="P685" s="46"/>
      <c r="Q685" s="46">
        <v>1</v>
      </c>
      <c r="R685" s="46"/>
      <c r="S685" s="46"/>
      <c r="T685" s="46"/>
      <c r="U685" s="46"/>
      <c r="V685" s="46"/>
      <c r="W685" s="46"/>
      <c r="X685" s="46"/>
      <c r="Y685" s="46"/>
      <c r="Z685" s="46" t="s">
        <v>828</v>
      </c>
      <c r="AA685" s="61">
        <v>1.5</v>
      </c>
      <c r="AB685" s="62">
        <f>IF(OR(G685="ALK",G685="PEM",G685="SOEC",G685="Other Electrolysis"),
AA685/VLOOKUP(G685,ElectrolysisConvF,3,FALSE),
AC685*10^6/(H2dens*HoursInYear))</f>
        <v>333.33333333333337</v>
      </c>
      <c r="AC685" s="63">
        <f>AB685*H2dens*HoursInYear/10^6</f>
        <v>0.25988</v>
      </c>
      <c r="AD685" s="62"/>
      <c r="AE685" s="62">
        <f>AB685</f>
        <v>333.33333333333337</v>
      </c>
      <c r="AF685" s="64" t="s">
        <v>2255</v>
      </c>
      <c r="AG685" s="49">
        <v>0.55000000000000004</v>
      </c>
    </row>
    <row r="686" spans="1:33" ht="34.5" customHeight="1" x14ac:dyDescent="0.3">
      <c r="A686" s="46">
        <v>1065</v>
      </c>
      <c r="B686" s="46" t="s">
        <v>2256</v>
      </c>
      <c r="C686" s="46" t="s">
        <v>34</v>
      </c>
      <c r="D686" s="60">
        <v>2024</v>
      </c>
      <c r="E686" s="60"/>
      <c r="F686" s="46" t="s">
        <v>675</v>
      </c>
      <c r="G686" s="46" t="s">
        <v>159</v>
      </c>
      <c r="H686" s="46" t="s">
        <v>592</v>
      </c>
      <c r="I686" s="46" t="s">
        <v>169</v>
      </c>
      <c r="J686" s="46" t="s">
        <v>69</v>
      </c>
      <c r="K686" s="46" t="s">
        <v>68</v>
      </c>
      <c r="L686" s="46"/>
      <c r="M686" s="46"/>
      <c r="N686" s="46"/>
      <c r="O686" s="46"/>
      <c r="P686" s="46"/>
      <c r="Q686" s="46">
        <v>1</v>
      </c>
      <c r="R686" s="46"/>
      <c r="S686" s="46"/>
      <c r="T686" s="46"/>
      <c r="U686" s="46"/>
      <c r="V686" s="46"/>
      <c r="W686" s="46"/>
      <c r="X686" s="46"/>
      <c r="Y686" s="46"/>
      <c r="Z686" s="46" t="s">
        <v>765</v>
      </c>
      <c r="AA686" s="61">
        <v>0.5</v>
      </c>
      <c r="AB686" s="62">
        <f>IF(OR(G686="ALK",G686="PEM",G686="SOEC",G686="Other Electrolysis"),
AA686/VLOOKUP(G686,ElectrolysisConvF,3,FALSE),
AC686*10^6/(H2dens*HoursInYear))</f>
        <v>111.11111111111111</v>
      </c>
      <c r="AC686" s="63">
        <f>AB686*H2dens*HoursInYear/10^6</f>
        <v>8.6626666666666671E-2</v>
      </c>
      <c r="AD686" s="62"/>
      <c r="AE686" s="62">
        <f>AB686</f>
        <v>111.11111111111111</v>
      </c>
      <c r="AF686" s="64" t="s">
        <v>1652</v>
      </c>
      <c r="AG686" s="49">
        <v>0.5</v>
      </c>
    </row>
    <row r="687" spans="1:33" ht="34.5" customHeight="1" x14ac:dyDescent="0.3">
      <c r="A687" s="53">
        <v>1066</v>
      </c>
      <c r="B687" s="53" t="s">
        <v>2257</v>
      </c>
      <c r="C687" s="53" t="s">
        <v>34</v>
      </c>
      <c r="D687" s="54">
        <v>2027</v>
      </c>
      <c r="E687" s="54"/>
      <c r="F687" s="53"/>
      <c r="G687" s="53" t="s">
        <v>159</v>
      </c>
      <c r="H687" s="53" t="s">
        <v>592</v>
      </c>
      <c r="I687" s="53" t="s">
        <v>169</v>
      </c>
      <c r="J687" s="53" t="s">
        <v>248</v>
      </c>
      <c r="K687" s="53"/>
      <c r="L687" s="53"/>
      <c r="M687" s="53"/>
      <c r="N687" s="53"/>
      <c r="O687" s="53"/>
      <c r="P687" s="53"/>
      <c r="Q687" s="53">
        <v>1</v>
      </c>
      <c r="R687" s="53"/>
      <c r="S687" s="53"/>
      <c r="T687" s="53"/>
      <c r="U687" s="53"/>
      <c r="V687" s="53"/>
      <c r="W687" s="53"/>
      <c r="X687" s="53"/>
      <c r="Y687" s="53"/>
      <c r="Z687" s="53" t="s">
        <v>1350</v>
      </c>
      <c r="AA687" s="55"/>
      <c r="AB687" s="56">
        <f>IF(OR(G687="ALK",G687="PEM",G687="SOEC",G687="Other Electrolysis"),
AA687/VLOOKUP(G687,ElectrolysisConvF,3,FALSE),
AC687*10^6/(H2dens*HoursInYear))</f>
        <v>0</v>
      </c>
      <c r="AC687" s="57">
        <f>AB687*H2dens*HoursInYear/10^6</f>
        <v>0</v>
      </c>
      <c r="AD687" s="56"/>
      <c r="AE687" s="56">
        <f t="shared" ref="AE687:AE692" si="84">IF(AND(G687&lt;&gt;"NG w CCUS",G687&lt;&gt;"Oil w CCUS",G687&lt;&gt;"Coal w CCUS"),AB687,AD687*10^3/(HoursInYear*IF(G687="NG w CCUS",0.9105,1.9075)))</f>
        <v>0</v>
      </c>
      <c r="AF687" s="58"/>
      <c r="AG687" s="49">
        <v>0.5</v>
      </c>
    </row>
    <row r="688" spans="1:33" ht="34.5" customHeight="1" x14ac:dyDescent="0.3">
      <c r="A688" s="46">
        <v>1067</v>
      </c>
      <c r="B688" s="46" t="s">
        <v>2258</v>
      </c>
      <c r="C688" s="46" t="s">
        <v>40</v>
      </c>
      <c r="D688" s="60"/>
      <c r="E688" s="60"/>
      <c r="F688" s="46" t="s">
        <v>225</v>
      </c>
      <c r="G688" s="46" t="s">
        <v>159</v>
      </c>
      <c r="H688" s="46" t="s">
        <v>592</v>
      </c>
      <c r="I688" s="46" t="s">
        <v>157</v>
      </c>
      <c r="J688" s="46"/>
      <c r="K688" s="46" t="s">
        <v>68</v>
      </c>
      <c r="L688" s="46"/>
      <c r="M688" s="46"/>
      <c r="N688" s="46"/>
      <c r="O688" s="46"/>
      <c r="P688" s="46"/>
      <c r="Q688" s="46"/>
      <c r="R688" s="46"/>
      <c r="S688" s="46">
        <v>1</v>
      </c>
      <c r="T688" s="46"/>
      <c r="U688" s="46"/>
      <c r="V688" s="46"/>
      <c r="W688" s="46"/>
      <c r="X688" s="46"/>
      <c r="Y688" s="46"/>
      <c r="Z688" s="46" t="s">
        <v>1274</v>
      </c>
      <c r="AA688" s="61">
        <v>50</v>
      </c>
      <c r="AB688" s="62">
        <f>IF(OR(G688="ALK",G688="PEM",G688="SOEC",G688="Other Electrolysis"),
AA688/VLOOKUP(G688,ElectrolysisConvF,3,FALSE),
AC688*10^6/(H2dens*HoursInYear))</f>
        <v>11111.111111111111</v>
      </c>
      <c r="AC688" s="63">
        <f>AB688*H2dens*HoursInYear/10^6</f>
        <v>8.6626666666666665</v>
      </c>
      <c r="AD688" s="62"/>
      <c r="AE688" s="62">
        <f t="shared" si="84"/>
        <v>11111.111111111111</v>
      </c>
      <c r="AF688" s="64" t="s">
        <v>2259</v>
      </c>
      <c r="AG688" s="49">
        <v>0.56999999999999995</v>
      </c>
    </row>
    <row r="689" spans="1:33" ht="34.5" customHeight="1" x14ac:dyDescent="0.3">
      <c r="A689" s="46">
        <v>1068</v>
      </c>
      <c r="B689" s="46" t="s">
        <v>2260</v>
      </c>
      <c r="C689" s="46" t="s">
        <v>64</v>
      </c>
      <c r="D689" s="60">
        <v>2025</v>
      </c>
      <c r="E689" s="60"/>
      <c r="F689" s="46" t="s">
        <v>591</v>
      </c>
      <c r="G689" s="46" t="s">
        <v>159</v>
      </c>
      <c r="H689" s="46" t="s">
        <v>592</v>
      </c>
      <c r="I689" s="46" t="s">
        <v>169</v>
      </c>
      <c r="J689" s="46" t="s">
        <v>248</v>
      </c>
      <c r="K689" s="46" t="s">
        <v>141</v>
      </c>
      <c r="L689" s="46"/>
      <c r="M689" s="46">
        <v>1</v>
      </c>
      <c r="N689" s="46"/>
      <c r="O689" s="46"/>
      <c r="P689" s="46"/>
      <c r="Q689" s="46"/>
      <c r="R689" s="46"/>
      <c r="S689" s="46"/>
      <c r="T689" s="46"/>
      <c r="U689" s="46"/>
      <c r="V689" s="46"/>
      <c r="W689" s="46"/>
      <c r="X689" s="46"/>
      <c r="Y689" s="46"/>
      <c r="Z689" s="46" t="s">
        <v>2261</v>
      </c>
      <c r="AA689" s="61">
        <f>IF(OR(G689="ALK",G689="PEM",G689="SOEC",G689="Other Electrolysis"),
AB689*VLOOKUP(G689,ElectrolysisConvF,3,FALSE),
"")</f>
        <v>2738.7640449438204</v>
      </c>
      <c r="AB689" s="62">
        <f>AC689/(H2dens*HoursInYear/10^6)</f>
        <v>608614.23220973788</v>
      </c>
      <c r="AC689" s="63">
        <f>0.65*365/H2ProjectDB4578610[[#This Row],[Column33]]</f>
        <v>474.5</v>
      </c>
      <c r="AD689" s="62"/>
      <c r="AE689" s="62">
        <f t="shared" si="84"/>
        <v>608614.23220973788</v>
      </c>
      <c r="AF689" s="64" t="s">
        <v>2262</v>
      </c>
      <c r="AG689" s="49">
        <v>0.5</v>
      </c>
    </row>
    <row r="690" spans="1:33" ht="34.5" customHeight="1" x14ac:dyDescent="0.3">
      <c r="A690" s="46">
        <v>1069</v>
      </c>
      <c r="B690" s="46" t="s">
        <v>2263</v>
      </c>
      <c r="C690" s="46" t="s">
        <v>203</v>
      </c>
      <c r="D690" s="60">
        <v>2025</v>
      </c>
      <c r="E690" s="60"/>
      <c r="F690" s="46" t="s">
        <v>675</v>
      </c>
      <c r="G690" s="46" t="s">
        <v>1</v>
      </c>
      <c r="H690" s="75"/>
      <c r="I690" s="46" t="s">
        <v>169</v>
      </c>
      <c r="J690" s="46" t="s">
        <v>69</v>
      </c>
      <c r="K690" s="46" t="s">
        <v>68</v>
      </c>
      <c r="L690" s="46"/>
      <c r="M690" s="46"/>
      <c r="N690" s="46"/>
      <c r="O690" s="46"/>
      <c r="P690" s="46"/>
      <c r="Q690" s="46">
        <v>1</v>
      </c>
      <c r="R690" s="46"/>
      <c r="S690" s="46"/>
      <c r="T690" s="46"/>
      <c r="U690" s="46"/>
      <c r="V690" s="46"/>
      <c r="W690" s="46"/>
      <c r="X690" s="46"/>
      <c r="Y690" s="46"/>
      <c r="Z690" s="46" t="s">
        <v>2264</v>
      </c>
      <c r="AA690" s="61">
        <f>IF(OR(G690="ALK",G690="PEM",G690="SOEC",G690="Other Electrolysis"),
AB690*VLOOKUP(G690,ElectrolysisConvF,3,FALSE),
"")</f>
        <v>2.8726591760299622</v>
      </c>
      <c r="AB690" s="62">
        <f>AC690/(H2dens*HoursInYear/10^6)</f>
        <v>552.43445692883893</v>
      </c>
      <c r="AC690" s="63">
        <f>1.18*365/1000</f>
        <v>0.43069999999999997</v>
      </c>
      <c r="AD690" s="62"/>
      <c r="AE690" s="62">
        <f t="shared" si="84"/>
        <v>552.43445692883893</v>
      </c>
      <c r="AF690" s="64" t="s">
        <v>2265</v>
      </c>
      <c r="AG690" s="49">
        <v>0.5</v>
      </c>
    </row>
    <row r="691" spans="1:33" ht="34.5" customHeight="1" x14ac:dyDescent="0.3">
      <c r="A691" s="46">
        <v>1070</v>
      </c>
      <c r="B691" s="46" t="s">
        <v>2266</v>
      </c>
      <c r="C691" s="46" t="s">
        <v>203</v>
      </c>
      <c r="D691" s="60">
        <v>2024</v>
      </c>
      <c r="E691" s="60"/>
      <c r="F691" s="46" t="s">
        <v>591</v>
      </c>
      <c r="G691" s="46" t="s">
        <v>1</v>
      </c>
      <c r="H691" s="46"/>
      <c r="I691" s="46" t="s">
        <v>166</v>
      </c>
      <c r="J691" s="46" t="str">
        <f>IF(I691&lt;&gt;"Dedicated renewable","N/A",)</f>
        <v>N/A</v>
      </c>
      <c r="K691" s="46" t="s">
        <v>68</v>
      </c>
      <c r="L691" s="46"/>
      <c r="M691" s="46"/>
      <c r="N691" s="46"/>
      <c r="O691" s="46">
        <v>1</v>
      </c>
      <c r="P691" s="46"/>
      <c r="Q691" s="46">
        <v>1</v>
      </c>
      <c r="R691" s="46"/>
      <c r="S691" s="46"/>
      <c r="T691" s="46"/>
      <c r="U691" s="46"/>
      <c r="V691" s="46"/>
      <c r="W691" s="46"/>
      <c r="X691" s="46"/>
      <c r="Y691" s="46"/>
      <c r="Z691" s="46" t="s">
        <v>2267</v>
      </c>
      <c r="AA691" s="61">
        <f>IF(OR(G691="ALK",G691="PEM",G691="SOEC",G691="Other Electrolysis"),
AB691*VLOOKUP(G691,ElectrolysisConvF,3,FALSE),
"")</f>
        <v>5.3033707865168536</v>
      </c>
      <c r="AB691" s="62">
        <f>AC691/(H2dens*HoursInYear/10^6)</f>
        <v>1019.8789974070872</v>
      </c>
      <c r="AC691" s="63">
        <f>3*365/1000-AC1235</f>
        <v>0.79513846153846146</v>
      </c>
      <c r="AD691" s="62"/>
      <c r="AE691" s="62">
        <f t="shared" si="84"/>
        <v>1019.8789974070872</v>
      </c>
      <c r="AF691" s="64" t="s">
        <v>2268</v>
      </c>
      <c r="AG691" s="49">
        <v>0.56999999999999995</v>
      </c>
    </row>
    <row r="692" spans="1:33" ht="34.5" customHeight="1" x14ac:dyDescent="0.3">
      <c r="A692" s="46">
        <v>1071</v>
      </c>
      <c r="B692" s="46" t="s">
        <v>2269</v>
      </c>
      <c r="C692" s="46" t="s">
        <v>203</v>
      </c>
      <c r="D692" s="60">
        <v>2026</v>
      </c>
      <c r="E692" s="60"/>
      <c r="F692" s="46" t="s">
        <v>225</v>
      </c>
      <c r="G692" s="46" t="s">
        <v>1</v>
      </c>
      <c r="H692" s="46"/>
      <c r="I692" s="46" t="s">
        <v>169</v>
      </c>
      <c r="J692" s="46" t="s">
        <v>69</v>
      </c>
      <c r="K692" s="46" t="s">
        <v>68</v>
      </c>
      <c r="L692" s="46">
        <v>1</v>
      </c>
      <c r="M692" s="46">
        <v>1</v>
      </c>
      <c r="N692" s="46"/>
      <c r="O692" s="46"/>
      <c r="P692" s="46">
        <v>1</v>
      </c>
      <c r="Q692" s="46">
        <v>1</v>
      </c>
      <c r="R692" s="46"/>
      <c r="S692" s="46"/>
      <c r="T692" s="46"/>
      <c r="U692" s="46"/>
      <c r="V692" s="46"/>
      <c r="W692" s="46"/>
      <c r="X692" s="46"/>
      <c r="Y692" s="46"/>
      <c r="Z692" s="46" t="s">
        <v>2270</v>
      </c>
      <c r="AA692" s="61">
        <f>IF(OR(G692="ALK",G692="PEM",G692="SOEC",G692="Other Electrolysis"),
AB692*VLOOKUP(G692,ElectrolysisConvF,3,FALSE),
"")</f>
        <v>48.68913857677903</v>
      </c>
      <c r="AB692" s="62">
        <f>AC692/(H2dens*HoursInYear/10^6)</f>
        <v>9363.2958801498135</v>
      </c>
      <c r="AC692" s="63">
        <f>10*365/1000/H2ProjectDB4578610[[#This Row],[Column33]]</f>
        <v>7.3</v>
      </c>
      <c r="AD692" s="62"/>
      <c r="AE692" s="62">
        <f t="shared" si="84"/>
        <v>9363.2958801498135</v>
      </c>
      <c r="AF692" s="64"/>
      <c r="AG692" s="49">
        <v>0.5</v>
      </c>
    </row>
    <row r="693" spans="1:33" ht="34.5" customHeight="1" x14ac:dyDescent="0.3">
      <c r="A693" s="46">
        <v>1072</v>
      </c>
      <c r="B693" s="46" t="s">
        <v>2271</v>
      </c>
      <c r="C693" s="46" t="s">
        <v>64</v>
      </c>
      <c r="D693" s="60">
        <v>2025</v>
      </c>
      <c r="E693" s="60"/>
      <c r="F693" s="46" t="s">
        <v>225</v>
      </c>
      <c r="G693" s="46" t="s">
        <v>1</v>
      </c>
      <c r="H693" s="46"/>
      <c r="I693" s="46" t="s">
        <v>169</v>
      </c>
      <c r="J693" s="46" t="s">
        <v>248</v>
      </c>
      <c r="K693" s="46" t="s">
        <v>168</v>
      </c>
      <c r="L693" s="46"/>
      <c r="M693" s="46"/>
      <c r="N693" s="46"/>
      <c r="O693" s="46"/>
      <c r="P693" s="46"/>
      <c r="Q693" s="46"/>
      <c r="R693" s="46"/>
      <c r="S693" s="46"/>
      <c r="T693" s="46"/>
      <c r="U693" s="46"/>
      <c r="V693" s="46"/>
      <c r="W693" s="46"/>
      <c r="X693" s="46"/>
      <c r="Y693" s="46"/>
      <c r="Z693" s="46" t="s">
        <v>2272</v>
      </c>
      <c r="AA693" s="61">
        <f>IF(OR(G693="ALK",G693="PEM",G693="SOEC",G693="Other Electrolysis"),
AB693*VLOOKUP(G693,ElectrolysisConvF,3,FALSE),
"")</f>
        <v>412.69047252578122</v>
      </c>
      <c r="AB693" s="62">
        <f>AC693/(H2dens*HoursInYear/10^6)</f>
        <v>79363.552408804084</v>
      </c>
      <c r="AC693" s="63">
        <f>75*0.803*0.045/0.73/0.12/H2ProjectDB4578610[[#This Row],[Column33]]</f>
        <v>61.875000000000007</v>
      </c>
      <c r="AD693" s="62"/>
      <c r="AE693" s="62">
        <f>AB693</f>
        <v>79363.552408804084</v>
      </c>
      <c r="AF693" s="64" t="s">
        <v>2273</v>
      </c>
      <c r="AG693" s="49">
        <v>0.5</v>
      </c>
    </row>
    <row r="694" spans="1:33" ht="34.5" customHeight="1" x14ac:dyDescent="0.3">
      <c r="A694" s="46">
        <v>1073</v>
      </c>
      <c r="B694" s="46" t="s">
        <v>2274</v>
      </c>
      <c r="C694" s="46" t="s">
        <v>64</v>
      </c>
      <c r="D694" s="60"/>
      <c r="E694" s="60"/>
      <c r="F694" s="46" t="s">
        <v>591</v>
      </c>
      <c r="G694" s="46" t="s">
        <v>159</v>
      </c>
      <c r="H694" s="46" t="s">
        <v>592</v>
      </c>
      <c r="I694" s="46" t="s">
        <v>169</v>
      </c>
      <c r="J694" s="46" t="s">
        <v>248</v>
      </c>
      <c r="K694" s="46" t="s">
        <v>168</v>
      </c>
      <c r="L694" s="46"/>
      <c r="M694" s="46"/>
      <c r="N694" s="46"/>
      <c r="O694" s="46"/>
      <c r="P694" s="46"/>
      <c r="Q694" s="46"/>
      <c r="R694" s="46"/>
      <c r="S694" s="46"/>
      <c r="T694" s="46"/>
      <c r="U694" s="46"/>
      <c r="V694" s="46"/>
      <c r="W694" s="46"/>
      <c r="X694" s="46"/>
      <c r="Y694" s="46"/>
      <c r="Z694" s="46" t="s">
        <v>2275</v>
      </c>
      <c r="AA694" s="61">
        <v>2000</v>
      </c>
      <c r="AB694" s="62">
        <f>IF(OR(G694="ALK",G694="PEM",G694="SOEC",G694="Other Electrolysis"),
AA694/VLOOKUP(G694,ElectrolysisConvF,3,FALSE),
AC694*10^6/(H2dens*HoursInYear))</f>
        <v>444444.4444444445</v>
      </c>
      <c r="AC694" s="63">
        <f>AB694*H2dens*HoursInYear/10^6</f>
        <v>346.50666666666666</v>
      </c>
      <c r="AD694" s="62"/>
      <c r="AE694" s="62">
        <f>AB694</f>
        <v>444444.4444444445</v>
      </c>
      <c r="AF694" s="64" t="s">
        <v>2276</v>
      </c>
      <c r="AG694" s="49">
        <v>0.5</v>
      </c>
    </row>
    <row r="695" spans="1:33" ht="34.5" customHeight="1" x14ac:dyDescent="0.3">
      <c r="A695" s="46">
        <v>1074</v>
      </c>
      <c r="B695" s="46" t="s">
        <v>2277</v>
      </c>
      <c r="C695" s="46" t="s">
        <v>39</v>
      </c>
      <c r="D695" s="60">
        <v>2023</v>
      </c>
      <c r="E695" s="60"/>
      <c r="F695" s="46" t="s">
        <v>675</v>
      </c>
      <c r="G695" s="46" t="s">
        <v>3</v>
      </c>
      <c r="H695" s="46"/>
      <c r="I695" s="46" t="s">
        <v>157</v>
      </c>
      <c r="J695" s="46"/>
      <c r="K695" s="46" t="s">
        <v>68</v>
      </c>
      <c r="L695" s="46"/>
      <c r="M695" s="46"/>
      <c r="N695" s="46"/>
      <c r="O695" s="46"/>
      <c r="P695" s="46"/>
      <c r="Q695" s="46">
        <v>1</v>
      </c>
      <c r="R695" s="46"/>
      <c r="S695" s="46"/>
      <c r="T695" s="46"/>
      <c r="U695" s="46"/>
      <c r="V695" s="46"/>
      <c r="W695" s="46"/>
      <c r="X695" s="46"/>
      <c r="Y695" s="46"/>
      <c r="Z695" s="46" t="s">
        <v>2278</v>
      </c>
      <c r="AA695" s="61">
        <f>IF(OR(G695="ALK",G695="PEM",G695="SOEC",G695="Other Electrolysis"),
AB695*VLOOKUP(G695,ElectrolysisConvF,3,FALSE),
"")</f>
        <v>0.19382022471910113</v>
      </c>
      <c r="AB695" s="62">
        <f>AC695/(0.089*24*365/10^6)</f>
        <v>42.134831460674157</v>
      </c>
      <c r="AC695" s="63">
        <f>0.09*365/1000</f>
        <v>3.2850000000000004E-2</v>
      </c>
      <c r="AD695" s="62"/>
      <c r="AE695" s="62">
        <f>IF(AND(G695&lt;&gt;"NG w CCUS",G695&lt;&gt;"Oil w CCUS",G695&lt;&gt;"Coal w CCUS"),AB695,AD695*10^3/(HoursInYear*IF(G695="NG w CCUS",0.9105,1.9075)))</f>
        <v>42.134831460674157</v>
      </c>
      <c r="AF695" s="64" t="s">
        <v>2279</v>
      </c>
      <c r="AG695" s="49">
        <v>0.56999999999999995</v>
      </c>
    </row>
    <row r="696" spans="1:33" ht="34.5" customHeight="1" x14ac:dyDescent="0.3">
      <c r="A696" s="46">
        <v>1076</v>
      </c>
      <c r="B696" s="46" t="s">
        <v>2280</v>
      </c>
      <c r="C696" s="46" t="s">
        <v>100</v>
      </c>
      <c r="D696" s="60">
        <v>2023</v>
      </c>
      <c r="E696" s="60"/>
      <c r="F696" s="46" t="s">
        <v>675</v>
      </c>
      <c r="G696" s="46" t="s">
        <v>159</v>
      </c>
      <c r="H696" s="46" t="s">
        <v>592</v>
      </c>
      <c r="I696" s="46" t="s">
        <v>169</v>
      </c>
      <c r="J696" s="46" t="s">
        <v>248</v>
      </c>
      <c r="K696" s="46" t="s">
        <v>68</v>
      </c>
      <c r="L696" s="46">
        <v>1</v>
      </c>
      <c r="M696" s="46"/>
      <c r="N696" s="46"/>
      <c r="O696" s="46"/>
      <c r="P696" s="46"/>
      <c r="Q696" s="46"/>
      <c r="R696" s="46"/>
      <c r="S696" s="46"/>
      <c r="T696" s="46"/>
      <c r="U696" s="46"/>
      <c r="V696" s="46">
        <v>1</v>
      </c>
      <c r="W696" s="46"/>
      <c r="X696" s="46"/>
      <c r="Y696" s="46"/>
      <c r="Z696" s="46" t="s">
        <v>2281</v>
      </c>
      <c r="AA696" s="76">
        <f>AB696*0.0045</f>
        <v>0.21067415730337075</v>
      </c>
      <c r="AB696" s="62">
        <f>AC696/(0.089*24*365/10^6)</f>
        <v>46.81647940074906</v>
      </c>
      <c r="AC696" s="63">
        <f>100*365/1000000</f>
        <v>3.6499999999999998E-2</v>
      </c>
      <c r="AD696" s="62"/>
      <c r="AE696" s="62">
        <f>IF(AND(G696&lt;&gt;"NG w CCUS",G696&lt;&gt;"Oil w CCUS",G696&lt;&gt;"Coal w CCUS"),AB696,AD696*10^3/(HoursInYear*IF(G696="NG w CCUS",0.9105,1.9075)))</f>
        <v>46.81647940074906</v>
      </c>
      <c r="AF696" s="64" t="s">
        <v>2282</v>
      </c>
      <c r="AG696" s="49">
        <v>0.5</v>
      </c>
    </row>
    <row r="697" spans="1:33" ht="34.5" customHeight="1" x14ac:dyDescent="0.3">
      <c r="A697" s="46">
        <v>1077</v>
      </c>
      <c r="B697" s="46" t="s">
        <v>2283</v>
      </c>
      <c r="C697" s="46" t="s">
        <v>36</v>
      </c>
      <c r="D697" s="60">
        <v>2024</v>
      </c>
      <c r="E697" s="60"/>
      <c r="F697" s="46" t="s">
        <v>675</v>
      </c>
      <c r="G697" s="46" t="s">
        <v>3</v>
      </c>
      <c r="H697" s="46"/>
      <c r="I697" s="46" t="s">
        <v>169</v>
      </c>
      <c r="J697" s="46" t="s">
        <v>69</v>
      </c>
      <c r="K697" s="46" t="s">
        <v>68</v>
      </c>
      <c r="L697" s="46"/>
      <c r="M697" s="46"/>
      <c r="N697" s="46"/>
      <c r="O697" s="46"/>
      <c r="P697" s="46"/>
      <c r="Q697" s="46"/>
      <c r="R697" s="46"/>
      <c r="S697" s="46"/>
      <c r="T697" s="46"/>
      <c r="U697" s="46"/>
      <c r="V697" s="46"/>
      <c r="W697" s="46"/>
      <c r="X697" s="46">
        <v>1</v>
      </c>
      <c r="Y697" s="46"/>
      <c r="Z697" s="46" t="s">
        <v>981</v>
      </c>
      <c r="AA697" s="61">
        <v>20</v>
      </c>
      <c r="AB697" s="62">
        <f>IF(OR(G697="ALK",G697="PEM",G697="SOEC",G697="Other Electrolysis"),
AA697/VLOOKUP(G697,ElectrolysisConvF,3,FALSE),
AC697*10^6/(H2dens*HoursInYear))</f>
        <v>4347.826086956522</v>
      </c>
      <c r="AC697" s="63">
        <f>AB697*H2dens*HoursInYear/10^6</f>
        <v>3.3897391304347826</v>
      </c>
      <c r="AD697" s="62"/>
      <c r="AE697" s="62">
        <f>IF(AND(G697&lt;&gt;"NG w CCUS",G697&lt;&gt;"Oil w CCUS",G697&lt;&gt;"Coal w CCUS"),AB697,AD697*10^3/(HoursInYear*IF(G697="NG w CCUS",0.9105,1.9075)))</f>
        <v>4347.826086956522</v>
      </c>
      <c r="AF697" s="64" t="s">
        <v>2284</v>
      </c>
      <c r="AG697" s="49">
        <v>0.5</v>
      </c>
    </row>
    <row r="698" spans="1:33" ht="34.5" customHeight="1" x14ac:dyDescent="0.3">
      <c r="A698" s="46">
        <v>1078</v>
      </c>
      <c r="B698" s="46" t="s">
        <v>2285</v>
      </c>
      <c r="C698" s="46" t="s">
        <v>321</v>
      </c>
      <c r="D698" s="60">
        <v>2024</v>
      </c>
      <c r="E698" s="60"/>
      <c r="F698" s="46" t="s">
        <v>675</v>
      </c>
      <c r="G698" s="46" t="s">
        <v>3</v>
      </c>
      <c r="H698" s="46"/>
      <c r="I698" s="46" t="s">
        <v>169</v>
      </c>
      <c r="J698" s="46" t="s">
        <v>69</v>
      </c>
      <c r="K698" s="46" t="s">
        <v>68</v>
      </c>
      <c r="L698" s="46"/>
      <c r="M698" s="46">
        <v>1</v>
      </c>
      <c r="N698" s="46"/>
      <c r="O698" s="46"/>
      <c r="P698" s="46"/>
      <c r="Q698" s="46"/>
      <c r="R698" s="46"/>
      <c r="S698" s="46"/>
      <c r="T698" s="46"/>
      <c r="U698" s="46"/>
      <c r="V698" s="46"/>
      <c r="W698" s="46"/>
      <c r="X698" s="46"/>
      <c r="Y698" s="46"/>
      <c r="Z698" s="46" t="s">
        <v>2286</v>
      </c>
      <c r="AA698" s="61">
        <v>0.9</v>
      </c>
      <c r="AB698" s="62">
        <f>IF(OR(G698="ALK",G698="PEM",G698="SOEC",G698="Other Electrolysis"),
AA698/VLOOKUP(G698,ElectrolysisConvF,3,FALSE),
AC698*10^6/(H2dens*HoursInYear))</f>
        <v>195.6521739130435</v>
      </c>
      <c r="AC698" s="63">
        <f>AB698*H2dens*HoursInYear/10^6</f>
        <v>0.15253826086956521</v>
      </c>
      <c r="AD698" s="62"/>
      <c r="AE698" s="62">
        <f>IF(AND(G698&lt;&gt;"NG w CCUS",G698&lt;&gt;"Oil w CCUS",G698&lt;&gt;"Coal w CCUS"),AB698,AD698*10^3/(HoursInYear*IF(G698="NG w CCUS",0.9105,1.9075)))</f>
        <v>195.6521739130435</v>
      </c>
      <c r="AF698" s="64" t="s">
        <v>2287</v>
      </c>
      <c r="AG698" s="49">
        <v>0.5</v>
      </c>
    </row>
    <row r="699" spans="1:33" ht="34.5" customHeight="1" x14ac:dyDescent="0.3">
      <c r="A699" s="46">
        <v>1079</v>
      </c>
      <c r="B699" s="46" t="s">
        <v>2288</v>
      </c>
      <c r="C699" s="46" t="s">
        <v>40</v>
      </c>
      <c r="D699" s="60">
        <v>2024</v>
      </c>
      <c r="E699" s="60"/>
      <c r="F699" s="46" t="s">
        <v>675</v>
      </c>
      <c r="G699" s="46" t="s">
        <v>163</v>
      </c>
      <c r="H699" s="46" t="s">
        <v>2289</v>
      </c>
      <c r="I699" s="46"/>
      <c r="J699" s="46"/>
      <c r="K699" s="46" t="s">
        <v>68</v>
      </c>
      <c r="L699" s="46"/>
      <c r="M699" s="46"/>
      <c r="N699" s="46"/>
      <c r="O699" s="46"/>
      <c r="P699" s="46"/>
      <c r="Q699" s="46"/>
      <c r="R699" s="46"/>
      <c r="S699" s="46"/>
      <c r="T699" s="46"/>
      <c r="U699" s="46"/>
      <c r="V699" s="46"/>
      <c r="W699" s="46"/>
      <c r="X699" s="46"/>
      <c r="Y699" s="46"/>
      <c r="Z699" s="46" t="s">
        <v>1716</v>
      </c>
      <c r="AA699" s="61" t="str">
        <f>IF(OR(G699="ALK",G699="PEM",G699="SOEC",G699="Other Electrolysis"),
AB699*VLOOKUP(G699,ElectrolysisConvF,3,FALSE),
"")</f>
        <v/>
      </c>
      <c r="AB699" s="62">
        <f>IF(OR(G699="ALK",G699="PEM",G699="SOEC",G699="Other Electrolysis"),
AA699/VLOOKUP(G699,ElectrolysisConvF,3,FALSE),
AC699*10^6/(H2dens*HoursInYear))</f>
        <v>6413.2163562669948</v>
      </c>
      <c r="AC699" s="63">
        <v>5</v>
      </c>
      <c r="AD699" s="62"/>
      <c r="AE699" s="62">
        <f>IF(AND(G699&lt;&gt;"NG w CCUS",G699&lt;&gt;"Oil w CCUS",G699&lt;&gt;"Coal w CCUS"),AB699,AD699*10^3/(HoursInYear*IF(G699="NG w CCUS",0.9105,1.9075)))</f>
        <v>6413.2163562669948</v>
      </c>
      <c r="AF699" s="64" t="s">
        <v>2290</v>
      </c>
      <c r="AG699" s="49">
        <v>0.9</v>
      </c>
    </row>
    <row r="700" spans="1:33" ht="34.5" customHeight="1" x14ac:dyDescent="0.3">
      <c r="A700" s="46">
        <v>1081</v>
      </c>
      <c r="B700" s="46" t="s">
        <v>2291</v>
      </c>
      <c r="C700" s="46" t="s">
        <v>45</v>
      </c>
      <c r="D700" s="60">
        <v>2016</v>
      </c>
      <c r="E700" s="60"/>
      <c r="F700" s="46" t="s">
        <v>226</v>
      </c>
      <c r="G700" s="46" t="s">
        <v>161</v>
      </c>
      <c r="H700" s="46" t="s">
        <v>1489</v>
      </c>
      <c r="I700" s="46"/>
      <c r="J700" s="46"/>
      <c r="K700" s="46" t="s">
        <v>68</v>
      </c>
      <c r="L700" s="46"/>
      <c r="M700" s="46"/>
      <c r="N700" s="46"/>
      <c r="O700" s="46"/>
      <c r="P700" s="46"/>
      <c r="Q700" s="46"/>
      <c r="R700" s="46"/>
      <c r="S700" s="46"/>
      <c r="T700" s="46"/>
      <c r="U700" s="46"/>
      <c r="V700" s="46"/>
      <c r="W700" s="46"/>
      <c r="X700" s="46"/>
      <c r="Y700" s="46"/>
      <c r="Z700" s="46" t="s">
        <v>2292</v>
      </c>
      <c r="AA700" s="61" t="str">
        <f>IF(OR(G700="ALK",G700="PEM",G700="SOEC",G700="Other Electrolysis"),
AB700*VLOOKUP(G700,ElectrolysisConvF,3,FALSE),
"")</f>
        <v/>
      </c>
      <c r="AB700" s="62">
        <v>1500</v>
      </c>
      <c r="AC700" s="63">
        <f t="shared" ref="AC700:AC705" si="85">AB700*H2dens*HoursInYear/10^6</f>
        <v>1.1694599999999999</v>
      </c>
      <c r="AD700" s="62"/>
      <c r="AE700" s="62">
        <f t="shared" ref="AE700:AE710" si="86">IF(AND(G700&lt;&gt;"NG w CCUS",G700&lt;&gt;"Oil w CCUS",G700&lt;&gt;"Coal w CCUS"),AB700,AD700*10^3/(HoursInYear*IF(G700="NG w CCUS",0.9105,1.9075)))</f>
        <v>0</v>
      </c>
      <c r="AF700" s="64"/>
      <c r="AG700" s="49">
        <v>0.9</v>
      </c>
    </row>
    <row r="701" spans="1:33" ht="34.5" customHeight="1" x14ac:dyDescent="0.3">
      <c r="A701" s="46">
        <v>1082</v>
      </c>
      <c r="B701" s="46" t="s">
        <v>2293</v>
      </c>
      <c r="C701" s="46" t="s">
        <v>36</v>
      </c>
      <c r="D701" s="60">
        <v>2014</v>
      </c>
      <c r="E701" s="60"/>
      <c r="F701" s="46" t="s">
        <v>226</v>
      </c>
      <c r="G701" s="46" t="s">
        <v>3</v>
      </c>
      <c r="H701" s="46"/>
      <c r="I701" s="46" t="s">
        <v>707</v>
      </c>
      <c r="J701" s="46"/>
      <c r="K701" s="46" t="s">
        <v>68</v>
      </c>
      <c r="L701" s="46"/>
      <c r="M701" s="46"/>
      <c r="N701" s="46"/>
      <c r="O701" s="46"/>
      <c r="P701" s="46"/>
      <c r="Q701" s="46"/>
      <c r="R701" s="46"/>
      <c r="S701" s="46"/>
      <c r="T701" s="46"/>
      <c r="U701" s="46"/>
      <c r="V701" s="46"/>
      <c r="W701" s="46"/>
      <c r="X701" s="46"/>
      <c r="Y701" s="46"/>
      <c r="Z701" s="46" t="s">
        <v>2294</v>
      </c>
      <c r="AA701" s="61">
        <v>9</v>
      </c>
      <c r="AB701" s="62">
        <f>IF(OR(G701="ALK",G701="PEM",G701="SOEC",G701="Other Electrolysis"),
AA701/VLOOKUP(G701,ElectrolysisConvF,3,FALSE),
AC701*10^6/(H2dens*HoursInYear))</f>
        <v>1956.5217391304348</v>
      </c>
      <c r="AC701" s="63">
        <f t="shared" si="85"/>
        <v>1.5253826086956521</v>
      </c>
      <c r="AD701" s="62"/>
      <c r="AE701" s="62">
        <f t="shared" si="86"/>
        <v>1956.5217391304348</v>
      </c>
      <c r="AF701" s="64" t="s">
        <v>2295</v>
      </c>
      <c r="AG701" s="49">
        <v>0.56999999999999995</v>
      </c>
    </row>
    <row r="702" spans="1:33" ht="34.5" customHeight="1" x14ac:dyDescent="0.3">
      <c r="A702" s="46">
        <v>1083</v>
      </c>
      <c r="B702" s="46" t="s">
        <v>2296</v>
      </c>
      <c r="C702" s="46" t="s">
        <v>39</v>
      </c>
      <c r="D702" s="60">
        <v>2030</v>
      </c>
      <c r="E702" s="60"/>
      <c r="F702" s="46" t="s">
        <v>225</v>
      </c>
      <c r="G702" s="46" t="s">
        <v>159</v>
      </c>
      <c r="H702" s="46" t="s">
        <v>592</v>
      </c>
      <c r="I702" s="46" t="s">
        <v>169</v>
      </c>
      <c r="J702" s="46" t="s">
        <v>248</v>
      </c>
      <c r="K702" s="46" t="s">
        <v>68</v>
      </c>
      <c r="L702" s="46"/>
      <c r="M702" s="46"/>
      <c r="N702" s="46"/>
      <c r="O702" s="46"/>
      <c r="P702" s="46"/>
      <c r="Q702" s="46"/>
      <c r="R702" s="46"/>
      <c r="S702" s="46"/>
      <c r="T702" s="46"/>
      <c r="U702" s="46"/>
      <c r="V702" s="46"/>
      <c r="W702" s="46"/>
      <c r="X702" s="46"/>
      <c r="Y702" s="46"/>
      <c r="Z702" s="46" t="s">
        <v>2297</v>
      </c>
      <c r="AA702" s="61">
        <v>8000</v>
      </c>
      <c r="AB702" s="62">
        <f>IF(OR(G702="ALK",G702="PEM",G702="SOEC",G702="Other Electrolysis"),
AA702/VLOOKUP(G702,ElectrolysisConvF,3,FALSE),
AC702*10^6/(H2dens*HoursInYear))</f>
        <v>1777777.777777778</v>
      </c>
      <c r="AC702" s="63">
        <f t="shared" si="85"/>
        <v>1386.0266666666666</v>
      </c>
      <c r="AD702" s="62"/>
      <c r="AE702" s="62">
        <f t="shared" si="86"/>
        <v>1777777.777777778</v>
      </c>
      <c r="AF702" s="64" t="s">
        <v>2298</v>
      </c>
      <c r="AG702" s="49">
        <v>0.5</v>
      </c>
    </row>
    <row r="703" spans="1:33" ht="34.5" customHeight="1" x14ac:dyDescent="0.3">
      <c r="A703" s="46">
        <v>1084</v>
      </c>
      <c r="B703" s="46" t="s">
        <v>2299</v>
      </c>
      <c r="C703" s="46" t="s">
        <v>41</v>
      </c>
      <c r="D703" s="60"/>
      <c r="E703" s="60"/>
      <c r="F703" s="46" t="s">
        <v>591</v>
      </c>
      <c r="G703" s="46" t="s">
        <v>159</v>
      </c>
      <c r="H703" s="46" t="s">
        <v>592</v>
      </c>
      <c r="I703" s="46" t="s">
        <v>169</v>
      </c>
      <c r="J703" s="46" t="s">
        <v>248</v>
      </c>
      <c r="K703" s="46" t="s">
        <v>68</v>
      </c>
      <c r="L703" s="46"/>
      <c r="M703" s="46"/>
      <c r="N703" s="46"/>
      <c r="O703" s="46"/>
      <c r="P703" s="46"/>
      <c r="Q703" s="46"/>
      <c r="R703" s="46"/>
      <c r="S703" s="46"/>
      <c r="T703" s="46"/>
      <c r="U703" s="46"/>
      <c r="V703" s="46"/>
      <c r="W703" s="46"/>
      <c r="X703" s="46"/>
      <c r="Y703" s="46"/>
      <c r="Z703" s="46" t="s">
        <v>1320</v>
      </c>
      <c r="AA703" s="61">
        <v>2000</v>
      </c>
      <c r="AB703" s="62">
        <f>IF(OR(G703="ALK",G703="PEM",G703="SOEC",G703="Other Electrolysis"),
AA703/VLOOKUP(G703,ElectrolysisConvF,3,FALSE),
AC703*10^6/(H2dens*HoursInYear))</f>
        <v>444444.4444444445</v>
      </c>
      <c r="AC703" s="63">
        <f t="shared" si="85"/>
        <v>346.50666666666666</v>
      </c>
      <c r="AD703" s="62"/>
      <c r="AE703" s="62">
        <f t="shared" si="86"/>
        <v>444444.4444444445</v>
      </c>
      <c r="AF703" s="64" t="s">
        <v>2300</v>
      </c>
      <c r="AG703" s="49">
        <v>0.5</v>
      </c>
    </row>
    <row r="704" spans="1:33" ht="34.5" customHeight="1" x14ac:dyDescent="0.3">
      <c r="A704" s="46">
        <v>1085</v>
      </c>
      <c r="B704" s="46" t="s">
        <v>2301</v>
      </c>
      <c r="C704" s="46" t="s">
        <v>64</v>
      </c>
      <c r="D704" s="60">
        <v>2026</v>
      </c>
      <c r="E704" s="60"/>
      <c r="F704" s="46" t="s">
        <v>225</v>
      </c>
      <c r="G704" s="46" t="s">
        <v>159</v>
      </c>
      <c r="H704" s="46" t="s">
        <v>592</v>
      </c>
      <c r="I704" s="46" t="s">
        <v>169</v>
      </c>
      <c r="J704" s="46" t="s">
        <v>245</v>
      </c>
      <c r="K704" s="46" t="s">
        <v>141</v>
      </c>
      <c r="L704" s="46"/>
      <c r="M704" s="46">
        <v>1</v>
      </c>
      <c r="N704" s="46"/>
      <c r="O704" s="46"/>
      <c r="P704" s="46"/>
      <c r="Q704" s="46"/>
      <c r="R704" s="46"/>
      <c r="S704" s="46"/>
      <c r="T704" s="46"/>
      <c r="U704" s="46"/>
      <c r="V704" s="46"/>
      <c r="W704" s="46"/>
      <c r="X704" s="46"/>
      <c r="Y704" s="46"/>
      <c r="Z704" s="46" t="s">
        <v>2302</v>
      </c>
      <c r="AA704" s="61">
        <v>1300</v>
      </c>
      <c r="AB704" s="62">
        <f>IF(OR(G704="ALK",G704="PEM",G704="SOEC",G704="Other Electrolysis"),
AA704/VLOOKUP(G704,ElectrolysisConvF,3,FALSE),
AC704*10^6/(H2dens*HoursInYear))</f>
        <v>288888.88888888893</v>
      </c>
      <c r="AC704" s="63">
        <f t="shared" si="85"/>
        <v>225.22933333333333</v>
      </c>
      <c r="AD704" s="62"/>
      <c r="AE704" s="62">
        <f t="shared" si="86"/>
        <v>288888.88888888893</v>
      </c>
      <c r="AF704" s="64" t="s">
        <v>2303</v>
      </c>
      <c r="AG704" s="49">
        <v>0.4</v>
      </c>
    </row>
    <row r="705" spans="1:33" ht="34.5" customHeight="1" x14ac:dyDescent="0.3">
      <c r="A705" s="46">
        <v>1086</v>
      </c>
      <c r="B705" s="46" t="s">
        <v>2304</v>
      </c>
      <c r="C705" s="46" t="s">
        <v>203</v>
      </c>
      <c r="D705" s="60">
        <v>2026</v>
      </c>
      <c r="E705" s="60"/>
      <c r="F705" s="46" t="s">
        <v>225</v>
      </c>
      <c r="G705" s="46" t="s">
        <v>159</v>
      </c>
      <c r="H705" s="46" t="s">
        <v>592</v>
      </c>
      <c r="I705" s="46" t="s">
        <v>166</v>
      </c>
      <c r="J705" s="46"/>
      <c r="K705" s="46" t="s">
        <v>68</v>
      </c>
      <c r="L705" s="46"/>
      <c r="M705" s="46"/>
      <c r="N705" s="46"/>
      <c r="O705" s="46"/>
      <c r="P705" s="46"/>
      <c r="Q705" s="46"/>
      <c r="R705" s="46"/>
      <c r="S705" s="46"/>
      <c r="T705" s="46"/>
      <c r="U705" s="46"/>
      <c r="V705" s="46"/>
      <c r="W705" s="46"/>
      <c r="X705" s="46"/>
      <c r="Y705" s="46"/>
      <c r="Z705" s="46" t="s">
        <v>1257</v>
      </c>
      <c r="AA705" s="61">
        <v>100</v>
      </c>
      <c r="AB705" s="62">
        <f>IF(OR(G705="ALK",G705="PEM",G705="SOEC",G705="Other Electrolysis"),
AA705/VLOOKUP(G705,ElectrolysisConvF,3,FALSE),
AC705*10^6/(H2dens*HoursInYear))</f>
        <v>22222.222222222223</v>
      </c>
      <c r="AC705" s="63">
        <f t="shared" si="85"/>
        <v>17.325333333333333</v>
      </c>
      <c r="AD705" s="62"/>
      <c r="AE705" s="62">
        <f t="shared" si="86"/>
        <v>22222.222222222223</v>
      </c>
      <c r="AF705" s="64" t="s">
        <v>2305</v>
      </c>
      <c r="AG705" s="49">
        <v>0.56999999999999995</v>
      </c>
    </row>
    <row r="706" spans="1:33" ht="34.5" customHeight="1" x14ac:dyDescent="0.3">
      <c r="A706" s="46">
        <v>1087</v>
      </c>
      <c r="B706" s="46" t="s">
        <v>2306</v>
      </c>
      <c r="C706" s="46" t="s">
        <v>45</v>
      </c>
      <c r="D706" s="60"/>
      <c r="E706" s="60"/>
      <c r="F706" s="46" t="s">
        <v>591</v>
      </c>
      <c r="G706" s="46" t="s">
        <v>159</v>
      </c>
      <c r="H706" s="46" t="s">
        <v>592</v>
      </c>
      <c r="I706" s="46" t="s">
        <v>169</v>
      </c>
      <c r="J706" s="46" t="s">
        <v>69</v>
      </c>
      <c r="K706" s="46" t="s">
        <v>72</v>
      </c>
      <c r="L706" s="46"/>
      <c r="M706" s="46"/>
      <c r="N706" s="46"/>
      <c r="O706" s="46"/>
      <c r="P706" s="46"/>
      <c r="Q706" s="46"/>
      <c r="R706" s="46"/>
      <c r="S706" s="46"/>
      <c r="T706" s="46"/>
      <c r="U706" s="46"/>
      <c r="V706" s="46"/>
      <c r="W706" s="46"/>
      <c r="X706" s="46">
        <v>1</v>
      </c>
      <c r="Y706" s="46"/>
      <c r="Z706" s="46"/>
      <c r="AA706" s="61"/>
      <c r="AB706" s="62"/>
      <c r="AC706" s="63"/>
      <c r="AD706" s="62"/>
      <c r="AE706" s="62">
        <f t="shared" si="86"/>
        <v>0</v>
      </c>
      <c r="AF706" s="64" t="s">
        <v>2307</v>
      </c>
      <c r="AG706" s="49">
        <v>0.5</v>
      </c>
    </row>
    <row r="707" spans="1:33" ht="34.5" customHeight="1" x14ac:dyDescent="0.3">
      <c r="A707" s="46">
        <v>1088</v>
      </c>
      <c r="B707" s="46" t="s">
        <v>2308</v>
      </c>
      <c r="C707" s="46" t="s">
        <v>35</v>
      </c>
      <c r="D707" s="60">
        <v>2026</v>
      </c>
      <c r="E707" s="60"/>
      <c r="F707" s="46" t="s">
        <v>225</v>
      </c>
      <c r="G707" s="46" t="s">
        <v>159</v>
      </c>
      <c r="H707" s="46" t="s">
        <v>592</v>
      </c>
      <c r="I707" s="46" t="s">
        <v>169</v>
      </c>
      <c r="J707" s="46" t="s">
        <v>247</v>
      </c>
      <c r="K707" s="46" t="s">
        <v>68</v>
      </c>
      <c r="L707" s="46"/>
      <c r="M707" s="46"/>
      <c r="N707" s="46"/>
      <c r="O707" s="46"/>
      <c r="P707" s="46"/>
      <c r="Q707" s="46"/>
      <c r="R707" s="46"/>
      <c r="S707" s="46"/>
      <c r="T707" s="46"/>
      <c r="U707" s="46"/>
      <c r="V707" s="46"/>
      <c r="W707" s="46"/>
      <c r="X707" s="46"/>
      <c r="Y707" s="46"/>
      <c r="Z707" s="46" t="s">
        <v>1168</v>
      </c>
      <c r="AA707" s="61">
        <v>10</v>
      </c>
      <c r="AB707" s="62">
        <f>IF(OR(G707="ALK",G707="PEM",G707="SOEC",G707="Other Electrolysis"),
AA707/VLOOKUP(G707,ElectrolysisConvF,3,FALSE),
AC707*10^6/(H2dens*HoursInYear))</f>
        <v>2222.2222222222222</v>
      </c>
      <c r="AC707" s="63">
        <f>AB707*H2dens*HoursInYear/10^6</f>
        <v>1.7325333333333333</v>
      </c>
      <c r="AD707" s="62"/>
      <c r="AE707" s="62">
        <f t="shared" si="86"/>
        <v>2222.2222222222222</v>
      </c>
      <c r="AF707" s="64" t="s">
        <v>2309</v>
      </c>
      <c r="AG707" s="49">
        <v>0.8</v>
      </c>
    </row>
    <row r="708" spans="1:33" ht="34.5" customHeight="1" x14ac:dyDescent="0.3">
      <c r="A708" s="46">
        <v>1089</v>
      </c>
      <c r="B708" s="46" t="s">
        <v>2310</v>
      </c>
      <c r="C708" s="46" t="s">
        <v>35</v>
      </c>
      <c r="D708" s="60"/>
      <c r="E708" s="60"/>
      <c r="F708" s="46" t="s">
        <v>591</v>
      </c>
      <c r="G708" s="46" t="s">
        <v>159</v>
      </c>
      <c r="H708" s="46" t="s">
        <v>592</v>
      </c>
      <c r="I708" s="46" t="s">
        <v>169</v>
      </c>
      <c r="J708" s="46" t="s">
        <v>247</v>
      </c>
      <c r="K708" s="46" t="s">
        <v>68</v>
      </c>
      <c r="L708" s="46"/>
      <c r="M708" s="46"/>
      <c r="N708" s="46"/>
      <c r="O708" s="46"/>
      <c r="P708" s="46"/>
      <c r="Q708" s="46"/>
      <c r="R708" s="46"/>
      <c r="S708" s="46"/>
      <c r="T708" s="46"/>
      <c r="U708" s="46"/>
      <c r="V708" s="46"/>
      <c r="W708" s="46"/>
      <c r="X708" s="46"/>
      <c r="Y708" s="46"/>
      <c r="Z708" s="46" t="s">
        <v>1664</v>
      </c>
      <c r="AA708" s="61">
        <v>290</v>
      </c>
      <c r="AB708" s="62">
        <f>IF(OR(G708="ALK",G708="PEM",G708="SOEC",G708="Other Electrolysis"),
AA708/VLOOKUP(G708,ElectrolysisConvF,3,FALSE),
AC708*10^6/(H2dens*HoursInYear))</f>
        <v>64444.444444444453</v>
      </c>
      <c r="AC708" s="63">
        <f>AB708*H2dens*HoursInYear/10^6</f>
        <v>50.243466666666663</v>
      </c>
      <c r="AD708" s="62"/>
      <c r="AE708" s="62">
        <f t="shared" si="86"/>
        <v>64444.444444444453</v>
      </c>
      <c r="AF708" s="64" t="s">
        <v>2309</v>
      </c>
      <c r="AG708" s="49">
        <v>0.8</v>
      </c>
    </row>
    <row r="709" spans="1:33" ht="34.5" customHeight="1" x14ac:dyDescent="0.3">
      <c r="A709" s="46">
        <v>1090</v>
      </c>
      <c r="B709" s="46" t="s">
        <v>2311</v>
      </c>
      <c r="C709" s="46" t="s">
        <v>321</v>
      </c>
      <c r="D709" s="60">
        <v>2026</v>
      </c>
      <c r="E709" s="60"/>
      <c r="F709" s="46" t="s">
        <v>225</v>
      </c>
      <c r="G709" s="46" t="s">
        <v>159</v>
      </c>
      <c r="H709" s="46" t="s">
        <v>592</v>
      </c>
      <c r="I709" s="46" t="s">
        <v>169</v>
      </c>
      <c r="J709" s="46" t="s">
        <v>244</v>
      </c>
      <c r="K709" s="46" t="s">
        <v>68</v>
      </c>
      <c r="L709" s="46">
        <v>1</v>
      </c>
      <c r="M709" s="46"/>
      <c r="N709" s="46"/>
      <c r="O709" s="46"/>
      <c r="P709" s="46"/>
      <c r="Q709" s="46"/>
      <c r="R709" s="46"/>
      <c r="S709" s="46"/>
      <c r="T709" s="46"/>
      <c r="U709" s="46"/>
      <c r="V709" s="46"/>
      <c r="W709" s="46"/>
      <c r="X709" s="46"/>
      <c r="Y709" s="46"/>
      <c r="Z709" s="46" t="s">
        <v>1161</v>
      </c>
      <c r="AA709" s="61">
        <v>25</v>
      </c>
      <c r="AB709" s="62">
        <f>IF(OR(G709="ALK",G709="PEM",G709="SOEC",G709="Other Electrolysis"),
AA709/VLOOKUP(G709,ElectrolysisConvF,3,FALSE),
AC709*10^6/(H2dens*HoursInYear))</f>
        <v>5555.5555555555557</v>
      </c>
      <c r="AC709" s="63">
        <f>AB709*H2dens*HoursInYear/10^6</f>
        <v>4.3313333333333333</v>
      </c>
      <c r="AD709" s="62"/>
      <c r="AE709" s="62">
        <f t="shared" si="86"/>
        <v>5555.5555555555557</v>
      </c>
      <c r="AF709" s="64" t="s">
        <v>2312</v>
      </c>
      <c r="AG709" s="49">
        <v>0.3</v>
      </c>
    </row>
    <row r="710" spans="1:33" ht="34.5" customHeight="1" x14ac:dyDescent="0.3">
      <c r="A710" s="46">
        <v>1091</v>
      </c>
      <c r="B710" s="46" t="s">
        <v>2313</v>
      </c>
      <c r="C710" s="46" t="s">
        <v>203</v>
      </c>
      <c r="D710" s="60">
        <v>2023</v>
      </c>
      <c r="E710" s="60"/>
      <c r="F710" s="46" t="s">
        <v>675</v>
      </c>
      <c r="G710" s="46" t="s">
        <v>1</v>
      </c>
      <c r="H710" s="46"/>
      <c r="I710" s="46" t="s">
        <v>157</v>
      </c>
      <c r="J710" s="46"/>
      <c r="K710" s="46" t="s">
        <v>68</v>
      </c>
      <c r="L710" s="46"/>
      <c r="M710" s="46"/>
      <c r="N710" s="46"/>
      <c r="O710" s="46"/>
      <c r="P710" s="46"/>
      <c r="Q710" s="46"/>
      <c r="R710" s="46"/>
      <c r="S710" s="46"/>
      <c r="T710" s="46"/>
      <c r="U710" s="46"/>
      <c r="V710" s="46"/>
      <c r="W710" s="46"/>
      <c r="X710" s="46"/>
      <c r="Y710" s="46"/>
      <c r="Z710" s="46" t="s">
        <v>1327</v>
      </c>
      <c r="AA710" s="61">
        <v>1</v>
      </c>
      <c r="AB710" s="62">
        <f>IF(OR(G710="ALK",G710="PEM",G710="SOEC",G710="Other Electrolysis"),
AA710/VLOOKUP(G710,ElectrolysisConvF,3,FALSE),
AC710*10^6/(H2dens*HoursInYear))</f>
        <v>192.30769230769232</v>
      </c>
      <c r="AC710" s="63">
        <f>AB710*H2dens*HoursInYear/10^6</f>
        <v>0.14993076923076926</v>
      </c>
      <c r="AD710" s="62"/>
      <c r="AE710" s="62">
        <f t="shared" si="86"/>
        <v>192.30769230769232</v>
      </c>
      <c r="AF710" s="64" t="s">
        <v>2314</v>
      </c>
      <c r="AG710" s="49">
        <v>0.56999999999999995</v>
      </c>
    </row>
    <row r="711" spans="1:33" ht="34.5" customHeight="1" x14ac:dyDescent="0.3">
      <c r="A711" s="46">
        <v>1093</v>
      </c>
      <c r="B711" s="46" t="s">
        <v>2315</v>
      </c>
      <c r="C711" s="46" t="s">
        <v>321</v>
      </c>
      <c r="D711" s="60"/>
      <c r="E711" s="60"/>
      <c r="F711" s="46" t="s">
        <v>225</v>
      </c>
      <c r="G711" s="46" t="s">
        <v>159</v>
      </c>
      <c r="H711" s="46" t="s">
        <v>592</v>
      </c>
      <c r="I711" s="46" t="s">
        <v>169</v>
      </c>
      <c r="J711" s="46" t="s">
        <v>69</v>
      </c>
      <c r="K711" s="46" t="s">
        <v>68</v>
      </c>
      <c r="L711" s="46"/>
      <c r="M711" s="46"/>
      <c r="N711" s="46"/>
      <c r="O711" s="46"/>
      <c r="P711" s="46">
        <v>1</v>
      </c>
      <c r="Q711" s="46">
        <v>1</v>
      </c>
      <c r="R711" s="46">
        <v>1</v>
      </c>
      <c r="S711" s="46"/>
      <c r="T711" s="46"/>
      <c r="U711" s="46"/>
      <c r="V711" s="46"/>
      <c r="W711" s="46"/>
      <c r="X711" s="46"/>
      <c r="Y711" s="46"/>
      <c r="Z711" s="46" t="s">
        <v>2316</v>
      </c>
      <c r="AA711" s="61">
        <f>IF(OR(G711="ALK",G711="PEM",G711="SOEC",G711="Other Electrolysis"),
AB711*VLOOKUP(G711,ElectrolysisConvF,3,FALSE),
"")</f>
        <v>5.7718947206402955</v>
      </c>
      <c r="AB711" s="62">
        <f>AC711/(H2dens*HoursInYear/10^6)</f>
        <v>1282.643271253399</v>
      </c>
      <c r="AC711" s="63">
        <v>1</v>
      </c>
      <c r="AD711" s="62"/>
      <c r="AE711" s="62">
        <f>IF(AND(G711&lt;&gt;"NG w CCUS",G711&lt;&gt;"Oil w CCUS",G711&lt;&gt;"Coal w CCUS"),AB711,AD711*10^3/(HoursInYear*IF(G711="NG w CCUS",0.9105,1.9075)))</f>
        <v>1282.643271253399</v>
      </c>
      <c r="AF711" s="64" t="s">
        <v>2317</v>
      </c>
      <c r="AG711" s="49">
        <v>0.5</v>
      </c>
    </row>
    <row r="712" spans="1:33" ht="34.5" customHeight="1" x14ac:dyDescent="0.3">
      <c r="A712" s="46">
        <v>1094</v>
      </c>
      <c r="B712" s="46" t="s">
        <v>2318</v>
      </c>
      <c r="C712" s="46" t="s">
        <v>321</v>
      </c>
      <c r="D712" s="60"/>
      <c r="E712" s="60"/>
      <c r="F712" s="46" t="s">
        <v>591</v>
      </c>
      <c r="G712" s="46" t="s">
        <v>159</v>
      </c>
      <c r="H712" s="46" t="s">
        <v>592</v>
      </c>
      <c r="I712" s="46" t="s">
        <v>169</v>
      </c>
      <c r="J712" s="46" t="s">
        <v>69</v>
      </c>
      <c r="K712" s="46" t="s">
        <v>68</v>
      </c>
      <c r="L712" s="46"/>
      <c r="M712" s="46"/>
      <c r="N712" s="46"/>
      <c r="O712" s="46"/>
      <c r="P712" s="46">
        <v>1</v>
      </c>
      <c r="Q712" s="46">
        <v>1</v>
      </c>
      <c r="R712" s="46">
        <v>1</v>
      </c>
      <c r="S712" s="46"/>
      <c r="T712" s="46"/>
      <c r="U712" s="46"/>
      <c r="V712" s="46"/>
      <c r="W712" s="46"/>
      <c r="X712" s="46"/>
      <c r="Y712" s="46"/>
      <c r="Z712" s="46"/>
      <c r="AA712" s="61"/>
      <c r="AB712" s="62"/>
      <c r="AC712" s="63"/>
      <c r="AD712" s="62"/>
      <c r="AE712" s="62">
        <f>IF(AND(G712&lt;&gt;"NG w CCUS",G712&lt;&gt;"Oil w CCUS",G712&lt;&gt;"Coal w CCUS"),AB712,AD712*10^3/(HoursInYear*IF(G712="NG w CCUS",0.9105,1.9075)))</f>
        <v>0</v>
      </c>
      <c r="AF712" s="64" t="s">
        <v>2317</v>
      </c>
      <c r="AG712" s="49">
        <v>0.5</v>
      </c>
    </row>
    <row r="713" spans="1:33" ht="34.5" customHeight="1" x14ac:dyDescent="0.3">
      <c r="A713" s="46">
        <v>1095</v>
      </c>
      <c r="B713" s="46" t="s">
        <v>2319</v>
      </c>
      <c r="C713" s="46" t="s">
        <v>37</v>
      </c>
      <c r="D713" s="60">
        <v>2028</v>
      </c>
      <c r="E713" s="60"/>
      <c r="F713" s="46" t="s">
        <v>591</v>
      </c>
      <c r="G713" s="46" t="s">
        <v>161</v>
      </c>
      <c r="H713" s="46" t="s">
        <v>1951</v>
      </c>
      <c r="I713" s="46"/>
      <c r="J713" s="46"/>
      <c r="K713" s="46" t="s">
        <v>68</v>
      </c>
      <c r="L713" s="46">
        <v>1</v>
      </c>
      <c r="M713" s="46"/>
      <c r="N713" s="46"/>
      <c r="O713" s="46"/>
      <c r="P713" s="46"/>
      <c r="Q713" s="46"/>
      <c r="R713" s="46">
        <v>1</v>
      </c>
      <c r="S713" s="46"/>
      <c r="T713" s="46"/>
      <c r="U713" s="46"/>
      <c r="V713" s="46"/>
      <c r="W713" s="46"/>
      <c r="X713" s="46"/>
      <c r="Y713" s="46"/>
      <c r="Z713" s="46" t="s">
        <v>2320</v>
      </c>
      <c r="AA713" s="61" t="str">
        <f>IF(OR(G713="ALK",G713="PEM",G713="SOEC",G713="Other Electrolysis"),
AB713*VLOOKUP(G713,ElectrolysisConvF,3,FALSE),
"")</f>
        <v/>
      </c>
      <c r="AB713" s="62">
        <f>IF(OR(G713="ALK",G713="PEM",G713="SOEC",G713="Other Electrolysis"),
AA713/VLOOKUP(G713,ElectrolysisConvF,3,FALSE),
AC713*10^6/(H2dens*HoursInYear))</f>
        <v>384792.98137601971</v>
      </c>
      <c r="AC713" s="63">
        <v>300</v>
      </c>
      <c r="AD713" s="62">
        <v>2000000</v>
      </c>
      <c r="AE713" s="62">
        <f>IF(AND(G713&lt;&gt;"NG w CCUS",G713&lt;&gt;"Oil w CCUS",G713&lt;&gt;"Coal w CCUS"),AB713,AD713*10^3/(HoursInYear*IF(G713="NG w CCUS",0.9105,1.9075)))</f>
        <v>250752.88553883036</v>
      </c>
      <c r="AF713" s="64" t="s">
        <v>2321</v>
      </c>
      <c r="AG713" s="49">
        <v>0.9</v>
      </c>
    </row>
    <row r="714" spans="1:33" ht="34.5" customHeight="1" x14ac:dyDescent="0.3">
      <c r="A714" s="46">
        <v>1096</v>
      </c>
      <c r="B714" s="46" t="s">
        <v>2322</v>
      </c>
      <c r="C714" s="46" t="s">
        <v>78</v>
      </c>
      <c r="D714" s="60">
        <v>2024</v>
      </c>
      <c r="E714" s="60"/>
      <c r="F714" s="46" t="s">
        <v>225</v>
      </c>
      <c r="G714" s="46" t="s">
        <v>159</v>
      </c>
      <c r="H714" s="46" t="s">
        <v>592</v>
      </c>
      <c r="I714" s="46" t="s">
        <v>169</v>
      </c>
      <c r="J714" s="46" t="s">
        <v>246</v>
      </c>
      <c r="K714" s="46" t="s">
        <v>68</v>
      </c>
      <c r="L714" s="46"/>
      <c r="M714" s="46"/>
      <c r="N714" s="46"/>
      <c r="O714" s="46"/>
      <c r="P714" s="46"/>
      <c r="Q714" s="46">
        <v>1</v>
      </c>
      <c r="R714" s="46"/>
      <c r="S714" s="46"/>
      <c r="T714" s="46"/>
      <c r="U714" s="46"/>
      <c r="V714" s="46"/>
      <c r="W714" s="46"/>
      <c r="X714" s="46"/>
      <c r="Y714" s="46"/>
      <c r="Z714" s="46" t="s">
        <v>1257</v>
      </c>
      <c r="AA714" s="61">
        <v>100</v>
      </c>
      <c r="AB714" s="62">
        <f>IF(OR(G714="ALK",G714="PEM",G714="SOEC",G714="Other Electrolysis"),
AA714/VLOOKUP(G714,ElectrolysisConvF,3,FALSE),
AC714*10^6/(H2dens*HoursInYear))</f>
        <v>22222.222222222223</v>
      </c>
      <c r="AC714" s="63">
        <f>AB714*H2dens*HoursInYear/10^6</f>
        <v>17.325333333333333</v>
      </c>
      <c r="AD714" s="62"/>
      <c r="AE714" s="62">
        <f>IF(AND(G714&lt;&gt;"NG w CCUS",G714&lt;&gt;"Oil w CCUS",G714&lt;&gt;"Coal w CCUS"),AB714,AD714*10^3/(HoursInYear*IF(G714="NG w CCUS",0.9105,1.9075)))</f>
        <v>22222.222222222223</v>
      </c>
      <c r="AF714" s="64" t="s">
        <v>2323</v>
      </c>
      <c r="AG714" s="49">
        <v>0.55000000000000004</v>
      </c>
    </row>
    <row r="715" spans="1:33" ht="34.5" customHeight="1" x14ac:dyDescent="0.3">
      <c r="A715" s="46">
        <v>1097</v>
      </c>
      <c r="B715" s="46" t="s">
        <v>2324</v>
      </c>
      <c r="C715" s="46" t="s">
        <v>39</v>
      </c>
      <c r="D715" s="60"/>
      <c r="E715" s="60"/>
      <c r="F715" s="46" t="s">
        <v>225</v>
      </c>
      <c r="G715" s="46" t="s">
        <v>153</v>
      </c>
      <c r="H715" s="46" t="s">
        <v>1715</v>
      </c>
      <c r="I715" s="46"/>
      <c r="J715" s="46"/>
      <c r="K715" s="46" t="s">
        <v>68</v>
      </c>
      <c r="L715" s="46"/>
      <c r="M715" s="46"/>
      <c r="N715" s="46"/>
      <c r="O715" s="46"/>
      <c r="P715" s="46">
        <v>1</v>
      </c>
      <c r="Q715" s="46">
        <v>1</v>
      </c>
      <c r="R715" s="46"/>
      <c r="S715" s="46"/>
      <c r="T715" s="46"/>
      <c r="U715" s="46"/>
      <c r="V715" s="46"/>
      <c r="W715" s="46"/>
      <c r="X715" s="46"/>
      <c r="Y715" s="46"/>
      <c r="Z715" s="46" t="s">
        <v>2325</v>
      </c>
      <c r="AA715" s="61" t="str">
        <f>IF(OR(G715="ALK",G715="PEM",G715="SOEC",G715="Other Electrolysis"),
AB715*VLOOKUP(G715,ElectrolysisConvF,3,FALSE),
"")</f>
        <v/>
      </c>
      <c r="AB715" s="62">
        <f>IF(OR(G715="ALK",G715="PEM",G715="SOEC",G715="Other Electrolysis"),
AA715/VLOOKUP(G715,ElectrolysisConvF,3,FALSE),
AC715*10^6/(H2dens*HoursInYear))</f>
        <v>1872659.1760299625</v>
      </c>
      <c r="AC715" s="63">
        <f>400*365/100</f>
        <v>1460</v>
      </c>
      <c r="AD715" s="62"/>
      <c r="AE715" s="62">
        <f>AB715</f>
        <v>1872659.1760299625</v>
      </c>
      <c r="AF715" s="64" t="s">
        <v>2326</v>
      </c>
      <c r="AG715" s="49">
        <v>0.9</v>
      </c>
    </row>
    <row r="716" spans="1:33" ht="34.5" customHeight="1" x14ac:dyDescent="0.3">
      <c r="A716" s="46">
        <v>1098</v>
      </c>
      <c r="B716" s="46" t="s">
        <v>2327</v>
      </c>
      <c r="C716" s="46" t="s">
        <v>39</v>
      </c>
      <c r="D716" s="60"/>
      <c r="E716" s="60"/>
      <c r="F716" s="46" t="s">
        <v>591</v>
      </c>
      <c r="G716" s="46" t="s">
        <v>153</v>
      </c>
      <c r="H716" s="46" t="s">
        <v>1715</v>
      </c>
      <c r="I716" s="46"/>
      <c r="J716" s="46"/>
      <c r="K716" s="46" t="s">
        <v>68</v>
      </c>
      <c r="L716" s="46"/>
      <c r="M716" s="46"/>
      <c r="N716" s="46"/>
      <c r="O716" s="46"/>
      <c r="P716" s="46"/>
      <c r="Q716" s="46">
        <v>1</v>
      </c>
      <c r="R716" s="46"/>
      <c r="S716" s="46"/>
      <c r="T716" s="46"/>
      <c r="U716" s="46"/>
      <c r="V716" s="46"/>
      <c r="W716" s="46"/>
      <c r="X716" s="46"/>
      <c r="Y716" s="46"/>
      <c r="Z716" s="46"/>
      <c r="AA716" s="61"/>
      <c r="AB716" s="62"/>
      <c r="AC716" s="63"/>
      <c r="AD716" s="62"/>
      <c r="AE716" s="62">
        <f>IF(AND(G716&lt;&gt;"NG w CCUS",G716&lt;&gt;"Oil w CCUS",G716&lt;&gt;"Coal w CCUS"),AB716,AD716*10^3/(HoursInYear*IF(G716="NG w CCUS",0.9105,1.9075)))</f>
        <v>0</v>
      </c>
      <c r="AF716" s="64" t="s">
        <v>2328</v>
      </c>
      <c r="AG716" s="49">
        <v>0.9</v>
      </c>
    </row>
    <row r="717" spans="1:33" ht="34.5" customHeight="1" x14ac:dyDescent="0.3">
      <c r="A717" s="46">
        <v>1099</v>
      </c>
      <c r="B717" s="46" t="s">
        <v>2329</v>
      </c>
      <c r="C717" s="46" t="s">
        <v>39</v>
      </c>
      <c r="D717" s="60"/>
      <c r="E717" s="60"/>
      <c r="F717" s="46" t="s">
        <v>591</v>
      </c>
      <c r="G717" s="46" t="s">
        <v>153</v>
      </c>
      <c r="H717" s="46" t="s">
        <v>1715</v>
      </c>
      <c r="I717" s="46"/>
      <c r="J717" s="46"/>
      <c r="K717" s="46" t="s">
        <v>68</v>
      </c>
      <c r="L717" s="46"/>
      <c r="M717" s="46"/>
      <c r="N717" s="46"/>
      <c r="O717" s="46"/>
      <c r="P717" s="46"/>
      <c r="Q717" s="46">
        <v>1</v>
      </c>
      <c r="R717" s="46"/>
      <c r="S717" s="46"/>
      <c r="T717" s="46"/>
      <c r="U717" s="46"/>
      <c r="V717" s="46"/>
      <c r="W717" s="46"/>
      <c r="X717" s="46"/>
      <c r="Y717" s="46"/>
      <c r="Z717" s="46"/>
      <c r="AA717" s="61"/>
      <c r="AB717" s="62"/>
      <c r="AC717" s="63"/>
      <c r="AD717" s="62"/>
      <c r="AE717" s="62">
        <f>IF(AND(G717&lt;&gt;"NG w CCUS",G717&lt;&gt;"Oil w CCUS",G717&lt;&gt;"Coal w CCUS"),AB717,AD717*10^3/(HoursInYear*IF(G717="NG w CCUS",0.9105,1.9075)))</f>
        <v>0</v>
      </c>
      <c r="AF717" s="64" t="s">
        <v>2328</v>
      </c>
      <c r="AG717" s="49">
        <v>0.9</v>
      </c>
    </row>
    <row r="718" spans="1:33" ht="34.5" customHeight="1" x14ac:dyDescent="0.3">
      <c r="A718" s="46">
        <v>1100</v>
      </c>
      <c r="B718" s="46" t="s">
        <v>2330</v>
      </c>
      <c r="C718" s="46" t="s">
        <v>40</v>
      </c>
      <c r="D718" s="60">
        <v>2023</v>
      </c>
      <c r="E718" s="60"/>
      <c r="F718" s="46" t="s">
        <v>675</v>
      </c>
      <c r="G718" s="46" t="s">
        <v>161</v>
      </c>
      <c r="H718" s="46" t="s">
        <v>1951</v>
      </c>
      <c r="I718" s="46"/>
      <c r="J718" s="46"/>
      <c r="K718" s="46" t="s">
        <v>68</v>
      </c>
      <c r="L718" s="46"/>
      <c r="M718" s="46"/>
      <c r="N718" s="46"/>
      <c r="O718" s="46"/>
      <c r="P718" s="46"/>
      <c r="Q718" s="46"/>
      <c r="R718" s="46"/>
      <c r="S718" s="46"/>
      <c r="T718" s="46"/>
      <c r="U718" s="46"/>
      <c r="V718" s="46"/>
      <c r="W718" s="46"/>
      <c r="X718" s="46"/>
      <c r="Y718" s="46"/>
      <c r="Z718" s="46" t="s">
        <v>2331</v>
      </c>
      <c r="AA718" s="61" t="str">
        <f>IF(OR(G718="ALK",G718="PEM",G718="SOEC",G718="Other Electrolysis"),
AB718*VLOOKUP(G718,ElectrolysisConvF,3,FALSE),
"")</f>
        <v/>
      </c>
      <c r="AB718" s="62">
        <f>IF(OR(G718="ALK",G718="PEM",G718="SOEC",G718="Other Electrolysis"),
AA718/VLOOKUP(G718,ElectrolysisConvF,3,FALSE),
AC718*10^6/(H2dens*HoursInYear))</f>
        <v>448.92514493868964</v>
      </c>
      <c r="AC718" s="63">
        <v>0.35</v>
      </c>
      <c r="AD718" s="62"/>
      <c r="AE718" s="62">
        <f>IF(AND(G718&lt;&gt;"NG w CCUS",G718&lt;&gt;"Oil w CCUS",G718&lt;&gt;"Coal w CCUS"),AB718,AD718*10^3/(HoursInYear*IF(G718="NG w CCUS",0.9105,1.9075)))</f>
        <v>0</v>
      </c>
      <c r="AF718" s="64" t="s">
        <v>2332</v>
      </c>
      <c r="AG718" s="49">
        <v>0.9</v>
      </c>
    </row>
    <row r="719" spans="1:33" ht="34.5" customHeight="1" x14ac:dyDescent="0.3">
      <c r="A719" s="46">
        <v>1102</v>
      </c>
      <c r="B719" s="46" t="s">
        <v>2333</v>
      </c>
      <c r="C719" s="46" t="s">
        <v>45</v>
      </c>
      <c r="D719" s="60">
        <v>2024</v>
      </c>
      <c r="E719" s="60"/>
      <c r="F719" s="46" t="s">
        <v>225</v>
      </c>
      <c r="G719" s="46" t="s">
        <v>3</v>
      </c>
      <c r="H719" s="46"/>
      <c r="I719" s="46" t="s">
        <v>169</v>
      </c>
      <c r="J719" s="46" t="s">
        <v>245</v>
      </c>
      <c r="K719" s="46" t="s">
        <v>68</v>
      </c>
      <c r="L719" s="46"/>
      <c r="M719" s="46"/>
      <c r="N719" s="46"/>
      <c r="O719" s="46"/>
      <c r="P719" s="46"/>
      <c r="Q719" s="46">
        <v>1</v>
      </c>
      <c r="R719" s="46"/>
      <c r="S719" s="46"/>
      <c r="T719" s="46"/>
      <c r="U719" s="46"/>
      <c r="V719" s="46"/>
      <c r="W719" s="46"/>
      <c r="X719" s="46"/>
      <c r="Y719" s="46"/>
      <c r="Z719" s="46" t="s">
        <v>1828</v>
      </c>
      <c r="AA719" s="61">
        <v>4</v>
      </c>
      <c r="AB719" s="62">
        <f t="shared" ref="AB719:AB725" si="87">IF(OR(G719="ALK",G719="PEM",G719="SOEC",G719="Other Electrolysis"),
AA719/VLOOKUP(G719,ElectrolysisConvF,3,FALSE),
AC719*10^6/(H2dens*HoursInYear))</f>
        <v>869.56521739130437</v>
      </c>
      <c r="AC719" s="63">
        <f t="shared" ref="AC719:AC725" si="88">AB719*H2dens*HoursInYear/10^6</f>
        <v>0.67794782608695647</v>
      </c>
      <c r="AD719" s="62"/>
      <c r="AE719" s="62">
        <f t="shared" ref="AE719:AE725" si="89">IF(AND(G719&lt;&gt;"NG w CCUS",G719&lt;&gt;"Oil w CCUS",G719&lt;&gt;"Coal w CCUS"),AB719,AD719*10^3/(HoursInYear*IF(G719="NG w CCUS",0.9105,1.9075)))</f>
        <v>869.56521739130437</v>
      </c>
      <c r="AF719" s="64"/>
      <c r="AG719" s="49">
        <v>0.4</v>
      </c>
    </row>
    <row r="720" spans="1:33" ht="34.5" customHeight="1" x14ac:dyDescent="0.3">
      <c r="A720" s="46">
        <v>1103</v>
      </c>
      <c r="B720" s="46" t="s">
        <v>2334</v>
      </c>
      <c r="C720" s="46" t="s">
        <v>45</v>
      </c>
      <c r="D720" s="60">
        <v>2024</v>
      </c>
      <c r="E720" s="60"/>
      <c r="F720" s="46" t="s">
        <v>225</v>
      </c>
      <c r="G720" s="46" t="s">
        <v>3</v>
      </c>
      <c r="H720" s="46"/>
      <c r="I720" s="46" t="s">
        <v>169</v>
      </c>
      <c r="J720" s="46" t="s">
        <v>247</v>
      </c>
      <c r="K720" s="46" t="s">
        <v>68</v>
      </c>
      <c r="L720" s="46"/>
      <c r="M720" s="46"/>
      <c r="N720" s="46"/>
      <c r="O720" s="46"/>
      <c r="P720" s="46"/>
      <c r="Q720" s="46">
        <v>1</v>
      </c>
      <c r="R720" s="46"/>
      <c r="S720" s="46"/>
      <c r="T720" s="46"/>
      <c r="U720" s="46"/>
      <c r="V720" s="46"/>
      <c r="W720" s="46"/>
      <c r="X720" s="46"/>
      <c r="Y720" s="46"/>
      <c r="Z720" s="46" t="s">
        <v>1198</v>
      </c>
      <c r="AA720" s="61">
        <v>2</v>
      </c>
      <c r="AB720" s="62">
        <f t="shared" si="87"/>
        <v>434.78260869565219</v>
      </c>
      <c r="AC720" s="63">
        <f t="shared" si="88"/>
        <v>0.33897391304347824</v>
      </c>
      <c r="AD720" s="62"/>
      <c r="AE720" s="62">
        <f t="shared" si="89"/>
        <v>434.78260869565219</v>
      </c>
      <c r="AF720" s="64"/>
      <c r="AG720" s="49">
        <v>0.8</v>
      </c>
    </row>
    <row r="721" spans="1:33" ht="34.5" customHeight="1" x14ac:dyDescent="0.3">
      <c r="A721" s="46">
        <v>1104</v>
      </c>
      <c r="B721" s="46" t="s">
        <v>2335</v>
      </c>
      <c r="C721" s="46" t="s">
        <v>45</v>
      </c>
      <c r="D721" s="60">
        <v>2024</v>
      </c>
      <c r="E721" s="60"/>
      <c r="F721" s="46" t="s">
        <v>225</v>
      </c>
      <c r="G721" s="46" t="s">
        <v>159</v>
      </c>
      <c r="H721" s="46" t="s">
        <v>592</v>
      </c>
      <c r="I721" s="46" t="s">
        <v>169</v>
      </c>
      <c r="J721" s="46" t="s">
        <v>244</v>
      </c>
      <c r="K721" s="46" t="s">
        <v>68</v>
      </c>
      <c r="L721" s="46"/>
      <c r="M721" s="46"/>
      <c r="N721" s="46"/>
      <c r="O721" s="46">
        <v>1</v>
      </c>
      <c r="P721" s="46"/>
      <c r="Q721" s="46"/>
      <c r="R721" s="46"/>
      <c r="S721" s="46"/>
      <c r="T721" s="46"/>
      <c r="U721" s="46"/>
      <c r="V721" s="46"/>
      <c r="W721" s="46"/>
      <c r="X721" s="46"/>
      <c r="Y721" s="46"/>
      <c r="Z721" s="46" t="s">
        <v>665</v>
      </c>
      <c r="AA721" s="61">
        <v>7</v>
      </c>
      <c r="AB721" s="62">
        <f t="shared" si="87"/>
        <v>1555.5555555555557</v>
      </c>
      <c r="AC721" s="63">
        <f t="shared" si="88"/>
        <v>1.2127733333333335</v>
      </c>
      <c r="AD721" s="62"/>
      <c r="AE721" s="62">
        <f t="shared" si="89"/>
        <v>1555.5555555555557</v>
      </c>
      <c r="AF721" s="64"/>
      <c r="AG721" s="49">
        <v>0.3</v>
      </c>
    </row>
    <row r="722" spans="1:33" ht="34.5" customHeight="1" x14ac:dyDescent="0.3">
      <c r="A722" s="46">
        <v>1105</v>
      </c>
      <c r="B722" s="46" t="s">
        <v>2336</v>
      </c>
      <c r="C722" s="46" t="s">
        <v>45</v>
      </c>
      <c r="D722" s="60">
        <v>2024</v>
      </c>
      <c r="E722" s="60"/>
      <c r="F722" s="46" t="s">
        <v>591</v>
      </c>
      <c r="G722" s="46" t="s">
        <v>159</v>
      </c>
      <c r="H722" s="46" t="s">
        <v>592</v>
      </c>
      <c r="I722" s="46" t="s">
        <v>169</v>
      </c>
      <c r="J722" s="46" t="s">
        <v>244</v>
      </c>
      <c r="K722" s="46" t="s">
        <v>68</v>
      </c>
      <c r="L722" s="46"/>
      <c r="M722" s="46"/>
      <c r="N722" s="46"/>
      <c r="O722" s="46"/>
      <c r="P722" s="46">
        <v>1</v>
      </c>
      <c r="Q722" s="46"/>
      <c r="R722" s="46"/>
      <c r="S722" s="46"/>
      <c r="T722" s="46"/>
      <c r="U722" s="46"/>
      <c r="V722" s="46"/>
      <c r="W722" s="46"/>
      <c r="X722" s="46"/>
      <c r="Y722" s="46"/>
      <c r="Z722" s="46" t="s">
        <v>1198</v>
      </c>
      <c r="AA722" s="61">
        <v>2</v>
      </c>
      <c r="AB722" s="62">
        <f t="shared" si="87"/>
        <v>444.44444444444446</v>
      </c>
      <c r="AC722" s="63">
        <f t="shared" si="88"/>
        <v>0.34650666666666669</v>
      </c>
      <c r="AD722" s="62"/>
      <c r="AE722" s="62">
        <f t="shared" si="89"/>
        <v>444.44444444444446</v>
      </c>
      <c r="AF722" s="64"/>
      <c r="AG722" s="49">
        <v>0.3</v>
      </c>
    </row>
    <row r="723" spans="1:33" ht="34.5" customHeight="1" x14ac:dyDescent="0.3">
      <c r="A723" s="46">
        <v>1106</v>
      </c>
      <c r="B723" s="46" t="s">
        <v>2337</v>
      </c>
      <c r="C723" s="46" t="s">
        <v>45</v>
      </c>
      <c r="D723" s="60">
        <v>2024</v>
      </c>
      <c r="E723" s="60"/>
      <c r="F723" s="46" t="s">
        <v>591</v>
      </c>
      <c r="G723" s="46" t="s">
        <v>159</v>
      </c>
      <c r="H723" s="46" t="s">
        <v>592</v>
      </c>
      <c r="I723" s="46" t="s">
        <v>169</v>
      </c>
      <c r="J723" s="46" t="s">
        <v>244</v>
      </c>
      <c r="K723" s="46" t="s">
        <v>68</v>
      </c>
      <c r="L723" s="46"/>
      <c r="M723" s="46"/>
      <c r="N723" s="46"/>
      <c r="O723" s="46"/>
      <c r="P723" s="46">
        <v>1</v>
      </c>
      <c r="Q723" s="46"/>
      <c r="R723" s="46"/>
      <c r="S723" s="46"/>
      <c r="T723" s="46"/>
      <c r="U723" s="46"/>
      <c r="V723" s="46"/>
      <c r="W723" s="46"/>
      <c r="X723" s="46"/>
      <c r="Y723" s="46"/>
      <c r="Z723" s="46" t="s">
        <v>1168</v>
      </c>
      <c r="AA723" s="61">
        <v>10</v>
      </c>
      <c r="AB723" s="62">
        <f t="shared" si="87"/>
        <v>2222.2222222222222</v>
      </c>
      <c r="AC723" s="63">
        <f t="shared" si="88"/>
        <v>1.7325333333333333</v>
      </c>
      <c r="AD723" s="62"/>
      <c r="AE723" s="62">
        <f t="shared" si="89"/>
        <v>2222.2222222222222</v>
      </c>
      <c r="AF723" s="64"/>
      <c r="AG723" s="49">
        <v>0.3</v>
      </c>
    </row>
    <row r="724" spans="1:33" ht="34.5" customHeight="1" x14ac:dyDescent="0.3">
      <c r="A724" s="46">
        <v>1107</v>
      </c>
      <c r="B724" s="46" t="s">
        <v>2338</v>
      </c>
      <c r="C724" s="46" t="s">
        <v>45</v>
      </c>
      <c r="D724" s="60">
        <v>2024</v>
      </c>
      <c r="E724" s="60"/>
      <c r="F724" s="46" t="s">
        <v>591</v>
      </c>
      <c r="G724" s="46" t="s">
        <v>159</v>
      </c>
      <c r="H724" s="46" t="s">
        <v>592</v>
      </c>
      <c r="I724" s="46" t="s">
        <v>169</v>
      </c>
      <c r="J724" s="46" t="s">
        <v>244</v>
      </c>
      <c r="K724" s="46" t="s">
        <v>68</v>
      </c>
      <c r="L724" s="46"/>
      <c r="M724" s="46"/>
      <c r="N724" s="46"/>
      <c r="O724" s="46"/>
      <c r="P724" s="46"/>
      <c r="Q724" s="46">
        <v>1</v>
      </c>
      <c r="R724" s="46"/>
      <c r="S724" s="46"/>
      <c r="T724" s="46"/>
      <c r="U724" s="46"/>
      <c r="V724" s="46"/>
      <c r="W724" s="46"/>
      <c r="X724" s="46"/>
      <c r="Y724" s="46"/>
      <c r="Z724" s="46" t="s">
        <v>1198</v>
      </c>
      <c r="AA724" s="61">
        <v>2</v>
      </c>
      <c r="AB724" s="62">
        <f t="shared" si="87"/>
        <v>444.44444444444446</v>
      </c>
      <c r="AC724" s="63">
        <f t="shared" si="88"/>
        <v>0.34650666666666669</v>
      </c>
      <c r="AD724" s="62"/>
      <c r="AE724" s="62">
        <f t="shared" si="89"/>
        <v>444.44444444444446</v>
      </c>
      <c r="AF724" s="64"/>
      <c r="AG724" s="49">
        <v>0.3</v>
      </c>
    </row>
    <row r="725" spans="1:33" ht="34.5" customHeight="1" x14ac:dyDescent="0.3">
      <c r="A725" s="46">
        <v>1108</v>
      </c>
      <c r="B725" s="46" t="s">
        <v>2339</v>
      </c>
      <c r="C725" s="46" t="s">
        <v>40</v>
      </c>
      <c r="D725" s="60">
        <v>2024</v>
      </c>
      <c r="E725" s="60"/>
      <c r="F725" s="46" t="s">
        <v>225</v>
      </c>
      <c r="G725" s="46" t="s">
        <v>3</v>
      </c>
      <c r="H725" s="46"/>
      <c r="I725" s="46" t="s">
        <v>169</v>
      </c>
      <c r="J725" s="46" t="s">
        <v>244</v>
      </c>
      <c r="K725" s="46" t="s">
        <v>68</v>
      </c>
      <c r="L725" s="46"/>
      <c r="M725" s="46"/>
      <c r="N725" s="46"/>
      <c r="O725" s="46"/>
      <c r="P725" s="46"/>
      <c r="Q725" s="46"/>
      <c r="R725" s="46"/>
      <c r="S725" s="46"/>
      <c r="T725" s="46"/>
      <c r="U725" s="46"/>
      <c r="V725" s="46">
        <v>1</v>
      </c>
      <c r="W725" s="46"/>
      <c r="X725" s="46"/>
      <c r="Y725" s="46"/>
      <c r="Z725" s="46" t="s">
        <v>981</v>
      </c>
      <c r="AA725" s="61">
        <v>20</v>
      </c>
      <c r="AB725" s="62">
        <f t="shared" si="87"/>
        <v>4347.826086956522</v>
      </c>
      <c r="AC725" s="63">
        <f t="shared" si="88"/>
        <v>3.3897391304347826</v>
      </c>
      <c r="AD725" s="62"/>
      <c r="AE725" s="62">
        <f t="shared" si="89"/>
        <v>4347.826086956522</v>
      </c>
      <c r="AF725" s="64"/>
      <c r="AG725" s="49">
        <v>0.3</v>
      </c>
    </row>
    <row r="726" spans="1:33" ht="34.5" customHeight="1" x14ac:dyDescent="0.3">
      <c r="A726" s="46">
        <v>1109</v>
      </c>
      <c r="B726" s="46" t="s">
        <v>2340</v>
      </c>
      <c r="C726" s="46" t="s">
        <v>74</v>
      </c>
      <c r="D726" s="60">
        <v>2028</v>
      </c>
      <c r="E726" s="60"/>
      <c r="F726" s="46" t="s">
        <v>225</v>
      </c>
      <c r="G726" s="46" t="s">
        <v>159</v>
      </c>
      <c r="H726" s="46" t="s">
        <v>592</v>
      </c>
      <c r="I726" s="46" t="s">
        <v>169</v>
      </c>
      <c r="J726" s="46" t="s">
        <v>248</v>
      </c>
      <c r="K726" s="46" t="s">
        <v>141</v>
      </c>
      <c r="L726" s="46"/>
      <c r="M726" s="46"/>
      <c r="N726" s="46"/>
      <c r="O726" s="46"/>
      <c r="P726" s="46"/>
      <c r="Q726" s="46"/>
      <c r="R726" s="46"/>
      <c r="S726" s="46"/>
      <c r="T726" s="46"/>
      <c r="U726" s="46"/>
      <c r="V726" s="46"/>
      <c r="W726" s="46"/>
      <c r="X726" s="46"/>
      <c r="Y726" s="46"/>
      <c r="Z726" s="46" t="s">
        <v>2341</v>
      </c>
      <c r="AA726" s="62">
        <f>IF(OR(G726="ALK",G726="PEM",G726="SOEC",G726="Other Electrolysis"),
AB726*VLOOKUP(G726,ElectrolysisConvF,3,FALSE),
"")</f>
        <v>1731.5684161920885</v>
      </c>
      <c r="AB726" s="62">
        <f>AC726*10^6/(H2dens*HoursInYear)</f>
        <v>384792.98137601971</v>
      </c>
      <c r="AC726" s="63">
        <f>150/H2ProjectDB4578610[[#This Row],[Column33]]</f>
        <v>300</v>
      </c>
      <c r="AD726" s="62"/>
      <c r="AE726" s="62">
        <f>AB726</f>
        <v>384792.98137601971</v>
      </c>
      <c r="AF726" s="64" t="s">
        <v>2342</v>
      </c>
      <c r="AG726" s="49">
        <v>0.5</v>
      </c>
    </row>
    <row r="727" spans="1:33" ht="34.5" customHeight="1" x14ac:dyDescent="0.3">
      <c r="A727" s="46">
        <v>1110</v>
      </c>
      <c r="B727" s="46" t="s">
        <v>2343</v>
      </c>
      <c r="C727" s="46" t="s">
        <v>40</v>
      </c>
      <c r="D727" s="60">
        <v>2024</v>
      </c>
      <c r="E727" s="60"/>
      <c r="F727" s="46" t="s">
        <v>675</v>
      </c>
      <c r="G727" s="46" t="s">
        <v>1</v>
      </c>
      <c r="H727" s="46"/>
      <c r="I727" s="46" t="s">
        <v>169</v>
      </c>
      <c r="J727" s="46" t="s">
        <v>245</v>
      </c>
      <c r="K727" s="46" t="s">
        <v>68</v>
      </c>
      <c r="L727" s="46"/>
      <c r="M727" s="46"/>
      <c r="N727" s="46"/>
      <c r="O727" s="46"/>
      <c r="P727" s="46"/>
      <c r="Q727" s="46"/>
      <c r="R727" s="46"/>
      <c r="S727" s="46"/>
      <c r="T727" s="46"/>
      <c r="U727" s="46"/>
      <c r="V727" s="46"/>
      <c r="W727" s="46"/>
      <c r="X727" s="46"/>
      <c r="Y727" s="46"/>
      <c r="Z727" s="46" t="s">
        <v>2344</v>
      </c>
      <c r="AA727" s="61">
        <f>IF(OR(G727="ALK",G727="PEM",G727="SOEC",G727="Other Electrolysis"),
AB727*VLOOKUP(G727,ElectrolysisConvF,3,FALSE),
"")</f>
        <v>273.87640449438203</v>
      </c>
      <c r="AB727" s="62">
        <f>AC727/(H2dens*HoursInYear/10^6)</f>
        <v>52668.539325842699</v>
      </c>
      <c r="AC727" s="63">
        <f>45*365/1000/H2ProjectDB4578610[[#This Row],[Column33]]</f>
        <v>41.0625</v>
      </c>
      <c r="AD727" s="62"/>
      <c r="AE727" s="62">
        <f>IF(AND(G727&lt;&gt;"NG w CCUS",G727&lt;&gt;"Oil w CCUS",G727&lt;&gt;"Coal w CCUS"),AB727,AD727*10^3/(HoursInYear*IF(G727="NG w CCUS",0.9105,1.9075)))</f>
        <v>52668.539325842699</v>
      </c>
      <c r="AF727" s="64" t="s">
        <v>2345</v>
      </c>
      <c r="AG727" s="49">
        <v>0.4</v>
      </c>
    </row>
    <row r="728" spans="1:33" ht="34.5" customHeight="1" x14ac:dyDescent="0.3">
      <c r="A728" s="53">
        <v>1113</v>
      </c>
      <c r="B728" s="53" t="s">
        <v>2346</v>
      </c>
      <c r="C728" s="53" t="s">
        <v>40</v>
      </c>
      <c r="D728" s="54"/>
      <c r="E728" s="54"/>
      <c r="F728" s="53" t="s">
        <v>225</v>
      </c>
      <c r="G728" s="53" t="s">
        <v>159</v>
      </c>
      <c r="H728" s="53" t="s">
        <v>592</v>
      </c>
      <c r="I728" s="53" t="s">
        <v>169</v>
      </c>
      <c r="J728" s="53" t="s">
        <v>248</v>
      </c>
      <c r="K728" s="53" t="s">
        <v>68</v>
      </c>
      <c r="L728" s="53"/>
      <c r="M728" s="53"/>
      <c r="N728" s="53"/>
      <c r="O728" s="53"/>
      <c r="P728" s="53"/>
      <c r="Q728" s="53"/>
      <c r="R728" s="53"/>
      <c r="S728" s="53"/>
      <c r="T728" s="53"/>
      <c r="U728" s="53"/>
      <c r="V728" s="53"/>
      <c r="W728" s="53"/>
      <c r="X728" s="53"/>
      <c r="Y728" s="53"/>
      <c r="Z728" s="53"/>
      <c r="AA728" s="55"/>
      <c r="AB728" s="56"/>
      <c r="AC728" s="57"/>
      <c r="AD728" s="56"/>
      <c r="AE728" s="56">
        <f t="shared" ref="AE728:AE742" si="90">IF(AND(G728&lt;&gt;"NG w CCUS",G728&lt;&gt;"Oil w CCUS",G728&lt;&gt;"Coal w CCUS"),AB728,AD728*10^3/(HoursInYear*IF(G728="NG w CCUS",0.9105,1.9075)))</f>
        <v>0</v>
      </c>
      <c r="AF728" s="58" t="s">
        <v>2347</v>
      </c>
      <c r="AG728" s="49">
        <v>0.5</v>
      </c>
    </row>
    <row r="729" spans="1:33" ht="34.5" customHeight="1" x14ac:dyDescent="0.3">
      <c r="A729" s="46">
        <v>1114</v>
      </c>
      <c r="B729" s="46" t="s">
        <v>2348</v>
      </c>
      <c r="C729" s="46" t="s">
        <v>50</v>
      </c>
      <c r="D729" s="60">
        <v>2024</v>
      </c>
      <c r="E729" s="60"/>
      <c r="F729" s="46" t="s">
        <v>225</v>
      </c>
      <c r="G729" s="46" t="s">
        <v>159</v>
      </c>
      <c r="H729" s="46" t="s">
        <v>592</v>
      </c>
      <c r="I729" s="46" t="s">
        <v>169</v>
      </c>
      <c r="J729" s="46" t="s">
        <v>248</v>
      </c>
      <c r="K729" s="46" t="s">
        <v>68</v>
      </c>
      <c r="L729" s="46"/>
      <c r="M729" s="46"/>
      <c r="N729" s="46"/>
      <c r="O729" s="46"/>
      <c r="P729" s="46">
        <v>1</v>
      </c>
      <c r="Q729" s="46">
        <v>1</v>
      </c>
      <c r="R729" s="46"/>
      <c r="S729" s="46"/>
      <c r="T729" s="46"/>
      <c r="U729" s="46"/>
      <c r="V729" s="46"/>
      <c r="W729" s="46"/>
      <c r="X729" s="46"/>
      <c r="Y729" s="46"/>
      <c r="Z729" s="46" t="s">
        <v>1168</v>
      </c>
      <c r="AA729" s="61">
        <v>10</v>
      </c>
      <c r="AB729" s="62">
        <f>IF(OR(G729="ALK",G729="PEM",G729="SOEC",G729="Other Electrolysis"),
AA729/VLOOKUP(G729,ElectrolysisConvF,3,FALSE),
AC729*10^6/(H2dens*HoursInYear))</f>
        <v>2222.2222222222222</v>
      </c>
      <c r="AC729" s="63">
        <f>AB729*H2dens*HoursInYear/10^6</f>
        <v>1.7325333333333333</v>
      </c>
      <c r="AD729" s="62"/>
      <c r="AE729" s="62">
        <f t="shared" si="90"/>
        <v>2222.2222222222222</v>
      </c>
      <c r="AF729" s="64" t="s">
        <v>2349</v>
      </c>
      <c r="AG729" s="49">
        <v>0.5</v>
      </c>
    </row>
    <row r="730" spans="1:33" ht="34.5" customHeight="1" x14ac:dyDescent="0.3">
      <c r="A730" s="46">
        <v>1115</v>
      </c>
      <c r="B730" s="46" t="s">
        <v>2350</v>
      </c>
      <c r="C730" s="46" t="s">
        <v>50</v>
      </c>
      <c r="D730" s="60">
        <v>2027</v>
      </c>
      <c r="E730" s="60"/>
      <c r="F730" s="46" t="s">
        <v>225</v>
      </c>
      <c r="G730" s="46" t="s">
        <v>159</v>
      </c>
      <c r="H730" s="46" t="s">
        <v>592</v>
      </c>
      <c r="I730" s="46" t="s">
        <v>169</v>
      </c>
      <c r="J730" s="46" t="s">
        <v>248</v>
      </c>
      <c r="K730" s="46" t="s">
        <v>68</v>
      </c>
      <c r="L730" s="46"/>
      <c r="M730" s="46"/>
      <c r="N730" s="46"/>
      <c r="O730" s="46"/>
      <c r="P730" s="46">
        <v>1</v>
      </c>
      <c r="Q730" s="46">
        <v>1</v>
      </c>
      <c r="R730" s="46"/>
      <c r="S730" s="46"/>
      <c r="T730" s="46"/>
      <c r="U730" s="46"/>
      <c r="V730" s="46"/>
      <c r="W730" s="46"/>
      <c r="X730" s="46"/>
      <c r="Y730" s="46"/>
      <c r="Z730" s="46" t="s">
        <v>1257</v>
      </c>
      <c r="AA730" s="61">
        <v>100</v>
      </c>
      <c r="AB730" s="62">
        <f>IF(OR(G730="ALK",G730="PEM",G730="SOEC",G730="Other Electrolysis"),
AA730/VLOOKUP(G730,ElectrolysisConvF,3,FALSE),
AC730*10^6/(H2dens*HoursInYear))</f>
        <v>22222.222222222223</v>
      </c>
      <c r="AC730" s="63">
        <f>AB730*H2dens*HoursInYear/10^6</f>
        <v>17.325333333333333</v>
      </c>
      <c r="AD730" s="62"/>
      <c r="AE730" s="62">
        <f t="shared" si="90"/>
        <v>22222.222222222223</v>
      </c>
      <c r="AF730" s="64" t="s">
        <v>2349</v>
      </c>
      <c r="AG730" s="49">
        <v>0.5</v>
      </c>
    </row>
    <row r="731" spans="1:33" ht="34.5" customHeight="1" x14ac:dyDescent="0.3">
      <c r="A731" s="46">
        <v>1116</v>
      </c>
      <c r="B731" s="46" t="s">
        <v>2351</v>
      </c>
      <c r="C731" s="46" t="s">
        <v>50</v>
      </c>
      <c r="D731" s="60">
        <v>2026</v>
      </c>
      <c r="E731" s="60"/>
      <c r="F731" s="46" t="s">
        <v>225</v>
      </c>
      <c r="G731" s="46" t="s">
        <v>159</v>
      </c>
      <c r="H731" s="46" t="s">
        <v>592</v>
      </c>
      <c r="I731" s="46" t="s">
        <v>169</v>
      </c>
      <c r="J731" s="46" t="s">
        <v>69</v>
      </c>
      <c r="K731" s="46" t="s">
        <v>68</v>
      </c>
      <c r="L731" s="46"/>
      <c r="M731" s="46"/>
      <c r="N731" s="46"/>
      <c r="O731" s="46"/>
      <c r="P731" s="46">
        <v>1</v>
      </c>
      <c r="Q731" s="46">
        <v>1</v>
      </c>
      <c r="R731" s="46"/>
      <c r="S731" s="46"/>
      <c r="T731" s="46"/>
      <c r="U731" s="46"/>
      <c r="V731" s="46"/>
      <c r="W731" s="46"/>
      <c r="X731" s="46"/>
      <c r="Y731" s="46"/>
      <c r="Z731" s="46" t="s">
        <v>1691</v>
      </c>
      <c r="AA731" s="61">
        <v>200</v>
      </c>
      <c r="AB731" s="62">
        <f>IF(OR(G731="ALK",G731="PEM",G731="SOEC",G731="Other Electrolysis"),
AA731/VLOOKUP(G731,ElectrolysisConvF,3,FALSE),
AC731*10^6/(H2dens*HoursInYear))</f>
        <v>44444.444444444445</v>
      </c>
      <c r="AC731" s="63">
        <f>AB731*H2dens*HoursInYear/10^6</f>
        <v>34.650666666666666</v>
      </c>
      <c r="AD731" s="62"/>
      <c r="AE731" s="62">
        <f t="shared" si="90"/>
        <v>44444.444444444445</v>
      </c>
      <c r="AF731" s="64" t="s">
        <v>2352</v>
      </c>
      <c r="AG731" s="49">
        <v>0.5</v>
      </c>
    </row>
    <row r="732" spans="1:33" ht="34.5" customHeight="1" x14ac:dyDescent="0.3">
      <c r="A732" s="46">
        <v>1117</v>
      </c>
      <c r="B732" s="46" t="s">
        <v>2353</v>
      </c>
      <c r="C732" s="46" t="s">
        <v>39</v>
      </c>
      <c r="D732" s="60">
        <v>2028</v>
      </c>
      <c r="E732" s="60"/>
      <c r="F732" s="46" t="s">
        <v>225</v>
      </c>
      <c r="G732" s="46" t="s">
        <v>159</v>
      </c>
      <c r="H732" s="46" t="s">
        <v>592</v>
      </c>
      <c r="I732" s="46" t="s">
        <v>169</v>
      </c>
      <c r="J732" s="46" t="s">
        <v>244</v>
      </c>
      <c r="K732" s="46" t="s">
        <v>68</v>
      </c>
      <c r="L732" s="46"/>
      <c r="M732" s="46"/>
      <c r="N732" s="46"/>
      <c r="O732" s="46"/>
      <c r="P732" s="46">
        <v>1</v>
      </c>
      <c r="Q732" s="46"/>
      <c r="R732" s="46"/>
      <c r="S732" s="46"/>
      <c r="T732" s="46"/>
      <c r="U732" s="46"/>
      <c r="V732" s="46"/>
      <c r="W732" s="46"/>
      <c r="X732" s="46"/>
      <c r="Y732" s="46"/>
      <c r="Z732" s="46" t="s">
        <v>2354</v>
      </c>
      <c r="AA732" s="61">
        <f>IF(OR(G732="ALK",G732="PEM",G732="SOEC",G732="Other Electrolysis"),
AB732*VLOOKUP(G732,ElectrolysisConvF,3,FALSE),
"")</f>
        <v>1404.4943820224719</v>
      </c>
      <c r="AB732" s="62">
        <f>AC732*10^6/(H2dens*HoursInYear)</f>
        <v>312109.86267166043</v>
      </c>
      <c r="AC732" s="63">
        <f>200*0.365/H2ProjectDB4578610[[#This Row],[Column33]]</f>
        <v>243.33333333333334</v>
      </c>
      <c r="AD732" s="62"/>
      <c r="AE732" s="62">
        <f t="shared" si="90"/>
        <v>312109.86267166043</v>
      </c>
      <c r="AF732" s="64" t="s">
        <v>2355</v>
      </c>
      <c r="AG732" s="49">
        <v>0.3</v>
      </c>
    </row>
    <row r="733" spans="1:33" ht="34.5" customHeight="1" x14ac:dyDescent="0.3">
      <c r="A733" s="46">
        <v>1118</v>
      </c>
      <c r="B733" s="46" t="s">
        <v>2356</v>
      </c>
      <c r="C733" s="46" t="s">
        <v>50</v>
      </c>
      <c r="D733" s="60">
        <v>2026</v>
      </c>
      <c r="E733" s="60"/>
      <c r="F733" s="46" t="s">
        <v>225</v>
      </c>
      <c r="G733" s="46" t="s">
        <v>159</v>
      </c>
      <c r="H733" s="46" t="s">
        <v>592</v>
      </c>
      <c r="I733" s="46" t="s">
        <v>169</v>
      </c>
      <c r="J733" s="46" t="s">
        <v>69</v>
      </c>
      <c r="K733" s="46" t="s">
        <v>68</v>
      </c>
      <c r="L733" s="46">
        <v>1</v>
      </c>
      <c r="M733" s="46"/>
      <c r="N733" s="46"/>
      <c r="O733" s="46"/>
      <c r="P733" s="46"/>
      <c r="Q733" s="46"/>
      <c r="R733" s="46"/>
      <c r="S733" s="46"/>
      <c r="T733" s="46"/>
      <c r="U733" s="46"/>
      <c r="V733" s="46"/>
      <c r="W733" s="46"/>
      <c r="X733" s="46"/>
      <c r="Y733" s="46"/>
      <c r="Z733" s="46" t="s">
        <v>1347</v>
      </c>
      <c r="AA733" s="61">
        <v>150</v>
      </c>
      <c r="AB733" s="62">
        <f>IF(OR(G733="ALK",G733="PEM",G733="SOEC",G733="Other Electrolysis"),
AA733/VLOOKUP(G733,ElectrolysisConvF,3,FALSE),
AC733*10^6/(H2dens*HoursInYear))</f>
        <v>33333.333333333336</v>
      </c>
      <c r="AC733" s="63">
        <f>AB733*H2dens*HoursInYear/10^6</f>
        <v>25.988</v>
      </c>
      <c r="AD733" s="62"/>
      <c r="AE733" s="62">
        <f t="shared" si="90"/>
        <v>33333.333333333336</v>
      </c>
      <c r="AF733" s="64" t="s">
        <v>2357</v>
      </c>
      <c r="AG733" s="49">
        <v>0.5</v>
      </c>
    </row>
    <row r="734" spans="1:33" ht="34.5" customHeight="1" x14ac:dyDescent="0.3">
      <c r="A734" s="46">
        <v>1119</v>
      </c>
      <c r="B734" s="46" t="s">
        <v>2358</v>
      </c>
      <c r="C734" s="46" t="s">
        <v>50</v>
      </c>
      <c r="D734" s="60">
        <v>2025</v>
      </c>
      <c r="E734" s="60"/>
      <c r="F734" s="46" t="s">
        <v>225</v>
      </c>
      <c r="G734" s="46" t="s">
        <v>163</v>
      </c>
      <c r="H734" s="46"/>
      <c r="I734" s="46"/>
      <c r="J734" s="46"/>
      <c r="K734" s="46" t="s">
        <v>68</v>
      </c>
      <c r="L734" s="46"/>
      <c r="M734" s="46"/>
      <c r="N734" s="46"/>
      <c r="O734" s="46"/>
      <c r="P734" s="46"/>
      <c r="Q734" s="46"/>
      <c r="R734" s="46"/>
      <c r="S734" s="46"/>
      <c r="T734" s="46"/>
      <c r="U734" s="46"/>
      <c r="V734" s="46"/>
      <c r="W734" s="46"/>
      <c r="X734" s="46"/>
      <c r="Y734" s="46"/>
      <c r="Z734" s="46" t="s">
        <v>2359</v>
      </c>
      <c r="AA734" s="61"/>
      <c r="AB734" s="62">
        <f>IF(OR(G734="ALK",G734="PEM",G734="SOEC",G734="Other Electrolysis"),
AA734/VLOOKUP(G734,ElectrolysisConvF,3,FALSE),
AC734*10^6/(H2dens*HoursInYear))</f>
        <v>69262.736647683545</v>
      </c>
      <c r="AC734" s="63">
        <v>54</v>
      </c>
      <c r="AD734" s="62"/>
      <c r="AE734" s="62">
        <f t="shared" si="90"/>
        <v>69262.736647683545</v>
      </c>
      <c r="AF734" s="64" t="s">
        <v>2357</v>
      </c>
      <c r="AG734" s="49">
        <v>0.9</v>
      </c>
    </row>
    <row r="735" spans="1:33" ht="34.5" customHeight="1" x14ac:dyDescent="0.3">
      <c r="A735" s="46">
        <v>1120</v>
      </c>
      <c r="B735" s="46" t="s">
        <v>2360</v>
      </c>
      <c r="C735" s="46" t="s">
        <v>50</v>
      </c>
      <c r="D735" s="60">
        <v>2025</v>
      </c>
      <c r="E735" s="60"/>
      <c r="F735" s="46" t="s">
        <v>225</v>
      </c>
      <c r="G735" s="46" t="s">
        <v>163</v>
      </c>
      <c r="H735" s="46"/>
      <c r="I735" s="46"/>
      <c r="J735" s="46"/>
      <c r="K735" s="46" t="s">
        <v>68</v>
      </c>
      <c r="L735" s="46"/>
      <c r="M735" s="46"/>
      <c r="N735" s="46"/>
      <c r="O735" s="46"/>
      <c r="P735" s="46"/>
      <c r="Q735" s="46"/>
      <c r="R735" s="46"/>
      <c r="S735" s="46"/>
      <c r="T735" s="46"/>
      <c r="U735" s="46"/>
      <c r="V735" s="46"/>
      <c r="W735" s="46"/>
      <c r="X735" s="46"/>
      <c r="Y735" s="46"/>
      <c r="Z735" s="46" t="s">
        <v>2361</v>
      </c>
      <c r="AA735" s="61" t="str">
        <f>IF(OR(G735="ALK",G735="PEM",G735="SOEC",G735="Other Electrolysis"),
AB735*VLOOKUP(G735,ElectrolysisConvF,3,FALSE),
"")</f>
        <v/>
      </c>
      <c r="AB735" s="62">
        <f>IF(OR(G735="ALK",G735="PEM",G735="SOEC",G735="Other Electrolysis"),
AA735/VLOOKUP(G735,ElectrolysisConvF,3,FALSE),
AC735*10^6/(H2dens*HoursInYear))</f>
        <v>16853.932584269663</v>
      </c>
      <c r="AC735" s="63">
        <f>50*3.6*HoursInYear/120/1000</f>
        <v>13.14</v>
      </c>
      <c r="AD735" s="62"/>
      <c r="AE735" s="62">
        <f t="shared" si="90"/>
        <v>16853.932584269663</v>
      </c>
      <c r="AF735" s="64" t="s">
        <v>2349</v>
      </c>
      <c r="AG735" s="49">
        <v>0.9</v>
      </c>
    </row>
    <row r="736" spans="1:33" ht="34.5" customHeight="1" x14ac:dyDescent="0.3">
      <c r="A736" s="46">
        <v>1121</v>
      </c>
      <c r="B736" s="46" t="s">
        <v>2362</v>
      </c>
      <c r="C736" s="46" t="s">
        <v>50</v>
      </c>
      <c r="D736" s="60">
        <v>2023</v>
      </c>
      <c r="E736" s="60"/>
      <c r="F736" s="46" t="s">
        <v>675</v>
      </c>
      <c r="G736" s="46" t="s">
        <v>159</v>
      </c>
      <c r="H736" s="46" t="s">
        <v>592</v>
      </c>
      <c r="I736" s="46" t="s">
        <v>169</v>
      </c>
      <c r="J736" s="46" t="s">
        <v>245</v>
      </c>
      <c r="K736" s="46" t="s">
        <v>68</v>
      </c>
      <c r="L736" s="46"/>
      <c r="M736" s="46"/>
      <c r="N736" s="46"/>
      <c r="O736" s="46"/>
      <c r="P736" s="46"/>
      <c r="Q736" s="46"/>
      <c r="R736" s="46"/>
      <c r="S736" s="46"/>
      <c r="T736" s="46"/>
      <c r="U736" s="46"/>
      <c r="V736" s="46"/>
      <c r="W736" s="46"/>
      <c r="X736" s="46"/>
      <c r="Y736" s="46"/>
      <c r="Z736" s="46" t="s">
        <v>2363</v>
      </c>
      <c r="AA736" s="61">
        <v>2.2999999999999998</v>
      </c>
      <c r="AB736" s="62">
        <f>IF(OR(G736="ALK",G736="PEM",G736="SOEC",G736="Other Electrolysis"),
AA736/VLOOKUP(G736,ElectrolysisConvF,3,FALSE),
AC736*10^6/(H2dens*HoursInYear))</f>
        <v>511.11111111111109</v>
      </c>
      <c r="AC736" s="63">
        <f>AB736*H2dens*HoursInYear/10^6</f>
        <v>0.39848266666666665</v>
      </c>
      <c r="AD736" s="62"/>
      <c r="AE736" s="62">
        <f t="shared" si="90"/>
        <v>511.11111111111109</v>
      </c>
      <c r="AF736" s="64" t="s">
        <v>2349</v>
      </c>
      <c r="AG736" s="49">
        <v>0.4</v>
      </c>
    </row>
    <row r="737" spans="1:33" ht="34.5" customHeight="1" x14ac:dyDescent="0.3">
      <c r="A737" s="46">
        <v>1122</v>
      </c>
      <c r="B737" s="46" t="s">
        <v>2364</v>
      </c>
      <c r="C737" s="46" t="s">
        <v>50</v>
      </c>
      <c r="D737" s="60">
        <v>2027</v>
      </c>
      <c r="E737" s="60"/>
      <c r="F737" s="46" t="s">
        <v>225</v>
      </c>
      <c r="G737" s="46" t="s">
        <v>161</v>
      </c>
      <c r="H737" s="46" t="s">
        <v>2365</v>
      </c>
      <c r="I737" s="46"/>
      <c r="J737" s="46"/>
      <c r="K737" s="46" t="s">
        <v>68</v>
      </c>
      <c r="L737" s="46"/>
      <c r="M737" s="46"/>
      <c r="N737" s="46"/>
      <c r="O737" s="46"/>
      <c r="P737" s="46"/>
      <c r="Q737" s="46"/>
      <c r="R737" s="46"/>
      <c r="S737" s="46"/>
      <c r="T737" s="46"/>
      <c r="U737" s="46"/>
      <c r="V737" s="46"/>
      <c r="W737" s="46"/>
      <c r="X737" s="46"/>
      <c r="Y737" s="46"/>
      <c r="Z737" s="46" t="s">
        <v>2366</v>
      </c>
      <c r="AA737" s="61" t="str">
        <f>IF(OR(G737="ALK",G737="PEM",G737="SOEC",G737="Other Electrolysis"),
AB737*VLOOKUP(G737,ElectrolysisConvF,3,FALSE),
"")</f>
        <v/>
      </c>
      <c r="AB737" s="62">
        <f>IF(OR(G737="ALK",G737="PEM",G737="SOEC",G737="Other Electrolysis"),
AA737/VLOOKUP(G737,ElectrolysisConvF,3,FALSE),
AC737*10^6/(H2dens*HoursInYear))</f>
        <v>256.52865425067978</v>
      </c>
      <c r="AC737" s="63">
        <v>0.2</v>
      </c>
      <c r="AD737" s="62"/>
      <c r="AE737" s="62">
        <f t="shared" si="90"/>
        <v>0</v>
      </c>
      <c r="AF737" s="64" t="s">
        <v>2349</v>
      </c>
      <c r="AG737" s="49">
        <v>0.9</v>
      </c>
    </row>
    <row r="738" spans="1:33" ht="34.5" customHeight="1" x14ac:dyDescent="0.3">
      <c r="A738" s="46">
        <v>1123</v>
      </c>
      <c r="B738" s="46" t="s">
        <v>2367</v>
      </c>
      <c r="C738" s="46" t="s">
        <v>41</v>
      </c>
      <c r="D738" s="60">
        <v>2024</v>
      </c>
      <c r="E738" s="60"/>
      <c r="F738" s="46" t="s">
        <v>675</v>
      </c>
      <c r="G738" s="46" t="s">
        <v>159</v>
      </c>
      <c r="H738" s="46" t="s">
        <v>592</v>
      </c>
      <c r="I738" s="46" t="s">
        <v>169</v>
      </c>
      <c r="J738" s="46" t="s">
        <v>248</v>
      </c>
      <c r="K738" s="46" t="s">
        <v>68</v>
      </c>
      <c r="L738" s="46"/>
      <c r="M738" s="46"/>
      <c r="N738" s="46"/>
      <c r="O738" s="46"/>
      <c r="P738" s="46">
        <v>1</v>
      </c>
      <c r="Q738" s="46"/>
      <c r="R738" s="46"/>
      <c r="S738" s="46"/>
      <c r="T738" s="46"/>
      <c r="U738" s="46"/>
      <c r="V738" s="46"/>
      <c r="W738" s="46"/>
      <c r="X738" s="46"/>
      <c r="Y738" s="46"/>
      <c r="Z738" s="46" t="s">
        <v>2368</v>
      </c>
      <c r="AA738" s="61">
        <f>IF(OR(G738="ALK",G738="PEM",G738="SOEC",G738="Other Electrolysis"),
AB738*VLOOKUP(G738,ElectrolysisConvF,3,FALSE),
"")</f>
        <v>346.31368323841775</v>
      </c>
      <c r="AB738" s="62">
        <f>AC738/(H2dens*HoursInYear/10^6)</f>
        <v>76958.596275203949</v>
      </c>
      <c r="AC738" s="63">
        <f>30/H2ProjectDB4578610[[#This Row],[Column33]]</f>
        <v>60</v>
      </c>
      <c r="AD738" s="62"/>
      <c r="AE738" s="62">
        <f t="shared" si="90"/>
        <v>76958.596275203949</v>
      </c>
      <c r="AF738" s="64" t="s">
        <v>2369</v>
      </c>
      <c r="AG738" s="49">
        <v>0.5</v>
      </c>
    </row>
    <row r="739" spans="1:33" ht="34.5" customHeight="1" x14ac:dyDescent="0.3">
      <c r="A739" s="46">
        <v>1124</v>
      </c>
      <c r="B739" s="46" t="s">
        <v>2370</v>
      </c>
      <c r="C739" s="46" t="s">
        <v>41</v>
      </c>
      <c r="D739" s="60">
        <v>2023</v>
      </c>
      <c r="E739" s="60"/>
      <c r="F739" s="46" t="s">
        <v>226</v>
      </c>
      <c r="G739" s="46" t="s">
        <v>3</v>
      </c>
      <c r="H739" s="46"/>
      <c r="I739" s="46" t="s">
        <v>169</v>
      </c>
      <c r="J739" s="46" t="s">
        <v>244</v>
      </c>
      <c r="K739" s="46" t="s">
        <v>68</v>
      </c>
      <c r="L739" s="46">
        <v>1</v>
      </c>
      <c r="M739" s="46"/>
      <c r="N739" s="46"/>
      <c r="O739" s="46"/>
      <c r="P739" s="46"/>
      <c r="Q739" s="46"/>
      <c r="R739" s="46"/>
      <c r="S739" s="46"/>
      <c r="T739" s="46"/>
      <c r="U739" s="46"/>
      <c r="V739" s="46"/>
      <c r="W739" s="46"/>
      <c r="X739" s="46"/>
      <c r="Y739" s="46"/>
      <c r="Z739" s="46" t="s">
        <v>2371</v>
      </c>
      <c r="AA739" s="61">
        <v>260</v>
      </c>
      <c r="AB739" s="62">
        <f>IF(OR(G739="ALK",G739="PEM",G739="SOEC",G739="Other Electrolysis"),
AA739/VLOOKUP(G739,ElectrolysisConvF,3,FALSE),
AC739*10^6/(H2dens*HoursInYear))</f>
        <v>56521.739130434784</v>
      </c>
      <c r="AC739" s="63">
        <f>AB739*H2dens*HoursInYear/10^6</f>
        <v>44.066608695652178</v>
      </c>
      <c r="AD739" s="62"/>
      <c r="AE739" s="62">
        <f t="shared" si="90"/>
        <v>56521.739130434784</v>
      </c>
      <c r="AF739" s="64" t="s">
        <v>2372</v>
      </c>
      <c r="AG739" s="49">
        <v>0.3</v>
      </c>
    </row>
    <row r="740" spans="1:33" ht="34.5" customHeight="1" x14ac:dyDescent="0.3">
      <c r="A740" s="46">
        <v>1125</v>
      </c>
      <c r="B740" s="46" t="s">
        <v>2373</v>
      </c>
      <c r="C740" s="46" t="s">
        <v>40</v>
      </c>
      <c r="D740" s="60"/>
      <c r="E740" s="60"/>
      <c r="F740" s="46" t="s">
        <v>591</v>
      </c>
      <c r="G740" s="46" t="s">
        <v>161</v>
      </c>
      <c r="H740" s="46" t="s">
        <v>1951</v>
      </c>
      <c r="I740" s="46" t="str">
        <f>IF(AND(G740&lt;&gt;"ALK",G740&lt;&gt;"PEM",G740&lt;&gt;"SOEC",G740&lt;&gt;"Other electrolysis"),"N/A","")</f>
        <v>N/A</v>
      </c>
      <c r="J740" s="46" t="str">
        <f>IF(I740&lt;&gt;"Dedicated renewable","N/A",)</f>
        <v>N/A</v>
      </c>
      <c r="K740" s="46" t="s">
        <v>68</v>
      </c>
      <c r="L740" s="46">
        <v>1</v>
      </c>
      <c r="M740" s="46"/>
      <c r="N740" s="46"/>
      <c r="O740" s="46"/>
      <c r="P740" s="46"/>
      <c r="Q740" s="46"/>
      <c r="R740" s="46"/>
      <c r="S740" s="46"/>
      <c r="T740" s="46"/>
      <c r="U740" s="46"/>
      <c r="V740" s="46"/>
      <c r="W740" s="46"/>
      <c r="X740" s="46"/>
      <c r="Y740" s="46"/>
      <c r="Z740" s="46"/>
      <c r="AA740" s="61"/>
      <c r="AB740" s="62"/>
      <c r="AC740" s="63"/>
      <c r="AD740" s="62"/>
      <c r="AE740" s="62">
        <f t="shared" si="90"/>
        <v>0</v>
      </c>
      <c r="AF740" s="64" t="s">
        <v>2374</v>
      </c>
      <c r="AG740" s="49">
        <v>0.9</v>
      </c>
    </row>
    <row r="741" spans="1:33" ht="34.5" customHeight="1" x14ac:dyDescent="0.3">
      <c r="A741" s="46">
        <v>1126</v>
      </c>
      <c r="B741" s="46" t="s">
        <v>2375</v>
      </c>
      <c r="C741" s="46" t="s">
        <v>49</v>
      </c>
      <c r="D741" s="60">
        <v>2024</v>
      </c>
      <c r="E741" s="60"/>
      <c r="F741" s="46" t="s">
        <v>225</v>
      </c>
      <c r="G741" s="46" t="s">
        <v>3</v>
      </c>
      <c r="H741" s="46"/>
      <c r="I741" s="46" t="s">
        <v>157</v>
      </c>
      <c r="J741" s="46"/>
      <c r="K741" s="46" t="s">
        <v>68</v>
      </c>
      <c r="L741" s="46"/>
      <c r="M741" s="46"/>
      <c r="N741" s="46"/>
      <c r="O741" s="46"/>
      <c r="P741" s="46"/>
      <c r="Q741" s="46"/>
      <c r="R741" s="46"/>
      <c r="S741" s="46"/>
      <c r="T741" s="46"/>
      <c r="U741" s="46"/>
      <c r="V741" s="46"/>
      <c r="W741" s="46"/>
      <c r="X741" s="46"/>
      <c r="Y741" s="46"/>
      <c r="Z741" s="46" t="s">
        <v>1257</v>
      </c>
      <c r="AA741" s="61">
        <v>100</v>
      </c>
      <c r="AB741" s="62">
        <f>IF(OR(G741="ALK",G741="PEM",G741="SOEC",G741="Other Electrolysis"),
AA741/VLOOKUP(G741,ElectrolysisConvF,3,FALSE),
AC741*10^6/(H2dens*HoursInYear))</f>
        <v>21739.130434782608</v>
      </c>
      <c r="AC741" s="63">
        <f>AB741*H2dens*HoursInYear/10^6</f>
        <v>16.94869565217391</v>
      </c>
      <c r="AD741" s="62"/>
      <c r="AE741" s="62">
        <f t="shared" si="90"/>
        <v>21739.130434782608</v>
      </c>
      <c r="AF741" s="64" t="s">
        <v>2376</v>
      </c>
      <c r="AG741" s="49">
        <v>0.56999999999999995</v>
      </c>
    </row>
    <row r="742" spans="1:33" ht="34.5" customHeight="1" x14ac:dyDescent="0.3">
      <c r="A742" s="46">
        <v>1127</v>
      </c>
      <c r="B742" s="46" t="s">
        <v>2377</v>
      </c>
      <c r="C742" s="46" t="s">
        <v>313</v>
      </c>
      <c r="D742" s="60">
        <v>2024</v>
      </c>
      <c r="E742" s="60"/>
      <c r="F742" s="46" t="s">
        <v>225</v>
      </c>
      <c r="G742" s="46" t="s">
        <v>159</v>
      </c>
      <c r="H742" s="46" t="s">
        <v>592</v>
      </c>
      <c r="I742" s="46" t="s">
        <v>166</v>
      </c>
      <c r="J742" s="46"/>
      <c r="K742" s="46" t="s">
        <v>68</v>
      </c>
      <c r="L742" s="46">
        <v>1</v>
      </c>
      <c r="M742" s="46"/>
      <c r="N742" s="46"/>
      <c r="O742" s="46"/>
      <c r="P742" s="46">
        <v>1</v>
      </c>
      <c r="Q742" s="46">
        <v>1</v>
      </c>
      <c r="R742" s="46"/>
      <c r="S742" s="46"/>
      <c r="T742" s="46"/>
      <c r="U742" s="46"/>
      <c r="V742" s="46"/>
      <c r="W742" s="46"/>
      <c r="X742" s="46"/>
      <c r="Y742" s="46"/>
      <c r="Z742" s="46" t="s">
        <v>1274</v>
      </c>
      <c r="AA742" s="61">
        <v>50</v>
      </c>
      <c r="AB742" s="62">
        <f>IF(OR(G742="ALK",G742="PEM",G742="SOEC",G742="Other Electrolysis"),
AA742/VLOOKUP(G742,ElectrolysisConvF,3,FALSE),
AC742*10^6/(H2dens*HoursInYear))</f>
        <v>11111.111111111111</v>
      </c>
      <c r="AC742" s="63">
        <f>AB742*H2dens*HoursInYear/10^6</f>
        <v>8.6626666666666665</v>
      </c>
      <c r="AD742" s="62"/>
      <c r="AE742" s="62">
        <f t="shared" si="90"/>
        <v>11111.111111111111</v>
      </c>
      <c r="AF742" s="64" t="s">
        <v>2378</v>
      </c>
      <c r="AG742" s="49">
        <v>0.56999999999999995</v>
      </c>
    </row>
    <row r="743" spans="1:33" ht="34.5" customHeight="1" x14ac:dyDescent="0.3">
      <c r="A743" s="46">
        <v>1128</v>
      </c>
      <c r="B743" s="46" t="s">
        <v>2379</v>
      </c>
      <c r="C743" s="46" t="s">
        <v>49</v>
      </c>
      <c r="D743" s="60">
        <v>2024</v>
      </c>
      <c r="E743" s="60"/>
      <c r="F743" s="46" t="s">
        <v>675</v>
      </c>
      <c r="G743" s="46" t="s">
        <v>159</v>
      </c>
      <c r="H743" s="46" t="s">
        <v>592</v>
      </c>
      <c r="I743" s="46" t="s">
        <v>169</v>
      </c>
      <c r="J743" s="46" t="s">
        <v>248</v>
      </c>
      <c r="K743" s="46" t="s">
        <v>140</v>
      </c>
      <c r="L743" s="46"/>
      <c r="M743" s="46"/>
      <c r="N743" s="46">
        <v>1</v>
      </c>
      <c r="O743" s="46"/>
      <c r="P743" s="46"/>
      <c r="Q743" s="46"/>
      <c r="R743" s="46"/>
      <c r="S743" s="46"/>
      <c r="T743" s="46"/>
      <c r="U743" s="46"/>
      <c r="V743" s="46"/>
      <c r="W743" s="46"/>
      <c r="X743" s="46"/>
      <c r="Y743" s="46"/>
      <c r="Z743" s="46" t="s">
        <v>1228</v>
      </c>
      <c r="AA743" s="61">
        <f>24-6</f>
        <v>18</v>
      </c>
      <c r="AB743" s="62">
        <f>AA743/0.0045</f>
        <v>4000.0000000000005</v>
      </c>
      <c r="AC743" s="63">
        <f>AB743*H2dens*HoursInYear/10^6</f>
        <v>3.11856</v>
      </c>
      <c r="AD743" s="62"/>
      <c r="AE743" s="62">
        <f>AB743</f>
        <v>4000.0000000000005</v>
      </c>
      <c r="AF743" s="64" t="s">
        <v>1851</v>
      </c>
      <c r="AG743" s="49">
        <v>0.5</v>
      </c>
    </row>
    <row r="744" spans="1:33" ht="34.5" customHeight="1" x14ac:dyDescent="0.3">
      <c r="A744" s="46">
        <v>1129</v>
      </c>
      <c r="B744" s="46" t="s">
        <v>2380</v>
      </c>
      <c r="C744" s="46" t="s">
        <v>47</v>
      </c>
      <c r="D744" s="60">
        <v>2024</v>
      </c>
      <c r="E744" s="60"/>
      <c r="F744" s="46" t="s">
        <v>225</v>
      </c>
      <c r="G744" s="46" t="s">
        <v>159</v>
      </c>
      <c r="H744" s="46" t="s">
        <v>592</v>
      </c>
      <c r="I744" s="46" t="s">
        <v>169</v>
      </c>
      <c r="J744" s="46" t="s">
        <v>244</v>
      </c>
      <c r="K744" s="46" t="s">
        <v>141</v>
      </c>
      <c r="L744" s="46"/>
      <c r="M744" s="46">
        <v>1</v>
      </c>
      <c r="N744" s="46"/>
      <c r="O744" s="46"/>
      <c r="P744" s="46"/>
      <c r="Q744" s="46"/>
      <c r="R744" s="46"/>
      <c r="S744" s="46"/>
      <c r="T744" s="46"/>
      <c r="U744" s="46"/>
      <c r="V744" s="46"/>
      <c r="W744" s="46"/>
      <c r="X744" s="46"/>
      <c r="Y744" s="46"/>
      <c r="Z744" s="46" t="s">
        <v>2381</v>
      </c>
      <c r="AA744" s="61">
        <f>IF(OR(G744="ALK",G744="PEM",G744="SOEC",G744="Other Electrolysis"),
AB744*VLOOKUP(G744,ElectrolysisConvF,3,FALSE),
"")</f>
        <v>121.2582924504264</v>
      </c>
      <c r="AB744" s="62">
        <f>AC744/(H2dens*HoursInYear/10^6)</f>
        <v>26946.287211205869</v>
      </c>
      <c r="AC744" s="63">
        <f>35*3/17/0.98/H2ProjectDB4578610[[#This Row],[Column33]]</f>
        <v>21.008403361344541</v>
      </c>
      <c r="AD744" s="62"/>
      <c r="AE744" s="62">
        <f>IF(AND(G744&lt;&gt;"NG w CCUS",G744&lt;&gt;"Oil w CCUS",G744&lt;&gt;"Coal w CCUS"),AB744,AD744*10^3/(HoursInYear*IF(G744="NG w CCUS",0.9105,1.9075)))</f>
        <v>26946.287211205869</v>
      </c>
      <c r="AF744" s="64" t="s">
        <v>2382</v>
      </c>
      <c r="AG744" s="49">
        <v>0.3</v>
      </c>
    </row>
    <row r="745" spans="1:33" ht="34.5" customHeight="1" x14ac:dyDescent="0.3">
      <c r="A745" s="46">
        <v>1130</v>
      </c>
      <c r="B745" s="46" t="s">
        <v>2383</v>
      </c>
      <c r="C745" s="46" t="s">
        <v>49</v>
      </c>
      <c r="D745" s="60">
        <v>2030</v>
      </c>
      <c r="E745" s="60"/>
      <c r="F745" s="46" t="s">
        <v>225</v>
      </c>
      <c r="G745" s="46" t="s">
        <v>159</v>
      </c>
      <c r="H745" s="46" t="s">
        <v>592</v>
      </c>
      <c r="I745" s="46" t="s">
        <v>169</v>
      </c>
      <c r="J745" s="46" t="s">
        <v>248</v>
      </c>
      <c r="K745" s="46" t="s">
        <v>68</v>
      </c>
      <c r="L745" s="46">
        <v>1</v>
      </c>
      <c r="M745" s="46"/>
      <c r="N745" s="46"/>
      <c r="O745" s="46"/>
      <c r="P745" s="46"/>
      <c r="Q745" s="46">
        <v>1</v>
      </c>
      <c r="R745" s="46"/>
      <c r="S745" s="46"/>
      <c r="T745" s="46"/>
      <c r="U745" s="46"/>
      <c r="V745" s="46"/>
      <c r="W745" s="46"/>
      <c r="X745" s="46"/>
      <c r="Y745" s="46"/>
      <c r="Z745" s="46" t="s">
        <v>2384</v>
      </c>
      <c r="AA745" s="61">
        <v>700</v>
      </c>
      <c r="AB745" s="62">
        <f>AA745/0.0045</f>
        <v>155555.55555555556</v>
      </c>
      <c r="AC745" s="63">
        <f>AB745*H2dens*HoursInYear/10^6</f>
        <v>121.27733333333335</v>
      </c>
      <c r="AD745" s="62"/>
      <c r="AE745" s="62">
        <f>AB745</f>
        <v>155555.55555555556</v>
      </c>
      <c r="AF745" s="64" t="s">
        <v>982</v>
      </c>
      <c r="AG745" s="49">
        <v>0.5</v>
      </c>
    </row>
    <row r="746" spans="1:33" ht="34.5" customHeight="1" x14ac:dyDescent="0.3">
      <c r="A746" s="46">
        <v>1134</v>
      </c>
      <c r="B746" s="46" t="s">
        <v>2385</v>
      </c>
      <c r="C746" s="46" t="s">
        <v>53</v>
      </c>
      <c r="D746" s="60">
        <v>2024</v>
      </c>
      <c r="E746" s="60"/>
      <c r="F746" s="46" t="s">
        <v>675</v>
      </c>
      <c r="G746" s="46" t="s">
        <v>159</v>
      </c>
      <c r="H746" s="46" t="s">
        <v>592</v>
      </c>
      <c r="I746" s="46" t="s">
        <v>169</v>
      </c>
      <c r="J746" s="46" t="s">
        <v>248</v>
      </c>
      <c r="K746" s="46" t="s">
        <v>168</v>
      </c>
      <c r="L746" s="46"/>
      <c r="M746" s="46">
        <v>1</v>
      </c>
      <c r="N746" s="46"/>
      <c r="O746" s="46"/>
      <c r="P746" s="46"/>
      <c r="Q746" s="46">
        <v>1</v>
      </c>
      <c r="R746" s="46"/>
      <c r="S746" s="46"/>
      <c r="T746" s="46"/>
      <c r="U746" s="46"/>
      <c r="V746" s="46"/>
      <c r="W746" s="46"/>
      <c r="X746" s="46"/>
      <c r="Y746" s="46"/>
      <c r="Z746" s="46" t="s">
        <v>2386</v>
      </c>
      <c r="AA746" s="61">
        <f>IF(OR(G746="ALK",G746="PEM",G746="SOEC",G746="Other Electrolysis"),
AB746*VLOOKUP(G746,ElectrolysisConvF,3,FALSE),
"")</f>
        <v>4.2134831460674151</v>
      </c>
      <c r="AB746" s="62">
        <f>AC746/(H2dens*HoursInYear/10^6)</f>
        <v>936.32958801498125</v>
      </c>
      <c r="AC746" s="63">
        <f>2*365/1000</f>
        <v>0.73</v>
      </c>
      <c r="AD746" s="62"/>
      <c r="AE746" s="62">
        <f>IF(AND(G746&lt;&gt;"NG w CCUS",G746&lt;&gt;"Oil w CCUS",G746&lt;&gt;"Coal w CCUS"),AB746,AD746*10^3/(HoursInYear*IF(G746="NG w CCUS",0.9105,1.9075)))</f>
        <v>936.32958801498125</v>
      </c>
      <c r="AF746" s="64" t="s">
        <v>2387</v>
      </c>
      <c r="AG746" s="49">
        <v>0.5</v>
      </c>
    </row>
    <row r="747" spans="1:33" ht="34.5" customHeight="1" x14ac:dyDescent="0.3">
      <c r="A747" s="46">
        <v>1137</v>
      </c>
      <c r="B747" s="46" t="s">
        <v>2388</v>
      </c>
      <c r="C747" s="46" t="s">
        <v>37</v>
      </c>
      <c r="D747" s="60">
        <v>2009</v>
      </c>
      <c r="E747" s="60"/>
      <c r="F747" s="46" t="s">
        <v>226</v>
      </c>
      <c r="G747" s="46" t="s">
        <v>162</v>
      </c>
      <c r="H747" s="46" t="s">
        <v>1951</v>
      </c>
      <c r="I747" s="46"/>
      <c r="J747" s="46"/>
      <c r="K747" s="46" t="s">
        <v>68</v>
      </c>
      <c r="L747" s="46">
        <v>1</v>
      </c>
      <c r="M747" s="46"/>
      <c r="N747" s="46"/>
      <c r="O747" s="46"/>
      <c r="P747" s="46"/>
      <c r="Q747" s="46"/>
      <c r="R747" s="46"/>
      <c r="S747" s="46"/>
      <c r="T747" s="46"/>
      <c r="U747" s="46"/>
      <c r="V747" s="46"/>
      <c r="W747" s="46"/>
      <c r="X747" s="46"/>
      <c r="Y747" s="46"/>
      <c r="Z747" s="46" t="s">
        <v>2389</v>
      </c>
      <c r="AA747" s="61"/>
      <c r="AB747" s="62"/>
      <c r="AC747" s="63"/>
      <c r="AD747" s="62">
        <v>438000</v>
      </c>
      <c r="AE747" s="62">
        <f>IF(AND(G747&lt;&gt;"NG w CCUS",G747&lt;&gt;"Oil w CCUS",G747&lt;&gt;"Coal w CCUS"),AB747,AD747*10^3/(HoursInYear*IF(G747="NG w CCUS",0.9105,1.9075)))</f>
        <v>26212.319790301441</v>
      </c>
      <c r="AF747" s="64" t="s">
        <v>2390</v>
      </c>
      <c r="AG747" s="49">
        <v>0.9</v>
      </c>
    </row>
    <row r="748" spans="1:33" ht="34.5" customHeight="1" x14ac:dyDescent="0.3">
      <c r="A748" s="46">
        <v>1139</v>
      </c>
      <c r="B748" s="46" t="s">
        <v>2391</v>
      </c>
      <c r="C748" s="46" t="s">
        <v>78</v>
      </c>
      <c r="D748" s="60">
        <v>2025</v>
      </c>
      <c r="E748" s="60"/>
      <c r="F748" s="46" t="s">
        <v>225</v>
      </c>
      <c r="G748" s="46" t="s">
        <v>161</v>
      </c>
      <c r="H748" s="46" t="s">
        <v>2365</v>
      </c>
      <c r="I748" s="46"/>
      <c r="J748" s="46"/>
      <c r="K748" s="46" t="s">
        <v>68</v>
      </c>
      <c r="L748" s="46"/>
      <c r="M748" s="46"/>
      <c r="N748" s="46"/>
      <c r="O748" s="46"/>
      <c r="P748" s="46"/>
      <c r="Q748" s="46"/>
      <c r="R748" s="46">
        <v>1</v>
      </c>
      <c r="S748" s="46"/>
      <c r="T748" s="46"/>
      <c r="U748" s="46"/>
      <c r="V748" s="46"/>
      <c r="W748" s="46"/>
      <c r="X748" s="46"/>
      <c r="Y748" s="46"/>
      <c r="Z748" s="46" t="s">
        <v>2392</v>
      </c>
      <c r="AA748" s="61"/>
      <c r="AB748" s="62">
        <f>AC748/(H2dens*HoursInYear/10^6)</f>
        <v>128264.32712533991</v>
      </c>
      <c r="AC748" s="63">
        <v>100</v>
      </c>
      <c r="AD748" s="62"/>
      <c r="AE748" s="62">
        <f t="shared" ref="AE748:AE758" si="91">IF(AND(G748&lt;&gt;"NG w CCUS",G748&lt;&gt;"Oil w CCUS",G748&lt;&gt;"Coal w CCUS"),AB748,AD748*10^3/(HoursInYear*IF(G748="NG w CCUS",0.9105,1.9075)))</f>
        <v>0</v>
      </c>
      <c r="AF748" s="64" t="s">
        <v>2393</v>
      </c>
      <c r="AG748" s="49">
        <v>0.9</v>
      </c>
    </row>
    <row r="749" spans="1:33" ht="34.5" customHeight="1" x14ac:dyDescent="0.3">
      <c r="A749" s="46">
        <v>1140</v>
      </c>
      <c r="B749" s="46" t="s">
        <v>2394</v>
      </c>
      <c r="C749" s="46" t="s">
        <v>321</v>
      </c>
      <c r="D749" s="60"/>
      <c r="E749" s="60"/>
      <c r="F749" s="46" t="s">
        <v>591</v>
      </c>
      <c r="G749" s="46" t="s">
        <v>159</v>
      </c>
      <c r="H749" s="46" t="s">
        <v>592</v>
      </c>
      <c r="I749" s="46" t="s">
        <v>169</v>
      </c>
      <c r="J749" s="46" t="s">
        <v>248</v>
      </c>
      <c r="K749" s="46" t="s">
        <v>167</v>
      </c>
      <c r="L749" s="46"/>
      <c r="M749" s="46"/>
      <c r="N749" s="46"/>
      <c r="O749" s="46"/>
      <c r="P749" s="46"/>
      <c r="Q749" s="46"/>
      <c r="R749" s="46"/>
      <c r="S749" s="46"/>
      <c r="T749" s="46"/>
      <c r="U749" s="46"/>
      <c r="V749" s="46"/>
      <c r="W749" s="46">
        <v>1</v>
      </c>
      <c r="X749" s="46"/>
      <c r="Y749" s="46"/>
      <c r="Z749" s="46"/>
      <c r="AA749" s="61"/>
      <c r="AB749" s="62"/>
      <c r="AC749" s="63"/>
      <c r="AD749" s="62"/>
      <c r="AE749" s="62">
        <f t="shared" si="91"/>
        <v>0</v>
      </c>
      <c r="AF749" s="64" t="s">
        <v>2395</v>
      </c>
      <c r="AG749" s="49">
        <v>0.5</v>
      </c>
    </row>
    <row r="750" spans="1:33" ht="34.5" customHeight="1" x14ac:dyDescent="0.3">
      <c r="A750" s="46">
        <v>1141</v>
      </c>
      <c r="B750" s="46" t="s">
        <v>2396</v>
      </c>
      <c r="C750" s="46" t="s">
        <v>40</v>
      </c>
      <c r="D750" s="60">
        <v>2023</v>
      </c>
      <c r="E750" s="60"/>
      <c r="F750" s="46" t="s">
        <v>675</v>
      </c>
      <c r="G750" s="46" t="s">
        <v>1</v>
      </c>
      <c r="H750" s="46"/>
      <c r="I750" s="46" t="s">
        <v>169</v>
      </c>
      <c r="J750" s="46" t="s">
        <v>244</v>
      </c>
      <c r="K750" s="46" t="s">
        <v>68</v>
      </c>
      <c r="L750" s="46"/>
      <c r="M750" s="46"/>
      <c r="N750" s="46"/>
      <c r="O750" s="46"/>
      <c r="P750" s="46"/>
      <c r="Q750" s="46">
        <v>1</v>
      </c>
      <c r="R750" s="46"/>
      <c r="S750" s="46"/>
      <c r="T750" s="46"/>
      <c r="U750" s="46"/>
      <c r="V750" s="46"/>
      <c r="W750" s="46"/>
      <c r="X750" s="46"/>
      <c r="Y750" s="46"/>
      <c r="Z750" s="46" t="s">
        <v>2397</v>
      </c>
      <c r="AA750" s="61">
        <v>7.5</v>
      </c>
      <c r="AB750" s="62">
        <f>IF(OR(G750="ALK",G750="PEM",G750="SOEC",G750="Other Electrolysis"),
AA750/VLOOKUP(G750,ElectrolysisConvF,3,FALSE),
AC750*10^6/(H2dens*HoursInYear))</f>
        <v>1442.3076923076924</v>
      </c>
      <c r="AC750" s="63">
        <f>AB750*H2dens*HoursInYear/10^6</f>
        <v>1.1244807692307692</v>
      </c>
      <c r="AD750" s="62"/>
      <c r="AE750" s="62">
        <f t="shared" si="91"/>
        <v>1442.3076923076924</v>
      </c>
      <c r="AF750" s="64" t="s">
        <v>2398</v>
      </c>
      <c r="AG750" s="49">
        <v>0.3</v>
      </c>
    </row>
    <row r="751" spans="1:33" ht="34.5" customHeight="1" x14ac:dyDescent="0.3">
      <c r="A751" s="46">
        <v>1142</v>
      </c>
      <c r="B751" s="46" t="s">
        <v>2399</v>
      </c>
      <c r="C751" s="46" t="s">
        <v>47</v>
      </c>
      <c r="D751" s="60"/>
      <c r="E751" s="60"/>
      <c r="F751" s="46" t="s">
        <v>591</v>
      </c>
      <c r="G751" s="46" t="s">
        <v>163</v>
      </c>
      <c r="H751" s="46" t="s">
        <v>2289</v>
      </c>
      <c r="I751" s="46"/>
      <c r="J751" s="46"/>
      <c r="K751" s="46" t="s">
        <v>68</v>
      </c>
      <c r="L751" s="46"/>
      <c r="M751" s="46"/>
      <c r="N751" s="46"/>
      <c r="O751" s="46"/>
      <c r="P751" s="46"/>
      <c r="Q751" s="46">
        <v>1</v>
      </c>
      <c r="R751" s="46"/>
      <c r="S751" s="46"/>
      <c r="T751" s="46"/>
      <c r="U751" s="46"/>
      <c r="V751" s="46"/>
      <c r="W751" s="46"/>
      <c r="X751" s="46"/>
      <c r="Y751" s="46"/>
      <c r="Z751" s="46"/>
      <c r="AA751" s="61"/>
      <c r="AB751" s="62"/>
      <c r="AC751" s="63"/>
      <c r="AD751" s="62"/>
      <c r="AE751" s="62">
        <f t="shared" si="91"/>
        <v>0</v>
      </c>
      <c r="AF751" s="64" t="s">
        <v>2400</v>
      </c>
      <c r="AG751" s="49">
        <v>0.9</v>
      </c>
    </row>
    <row r="752" spans="1:33" ht="34.5" customHeight="1" x14ac:dyDescent="0.3">
      <c r="A752" s="46">
        <v>1143</v>
      </c>
      <c r="B752" s="46" t="s">
        <v>2401</v>
      </c>
      <c r="C752" s="46" t="s">
        <v>132</v>
      </c>
      <c r="D752" s="60">
        <v>1965</v>
      </c>
      <c r="E752" s="60"/>
      <c r="F752" s="46" t="s">
        <v>226</v>
      </c>
      <c r="G752" s="46" t="s">
        <v>3</v>
      </c>
      <c r="H752" s="46"/>
      <c r="I752" s="46" t="s">
        <v>169</v>
      </c>
      <c r="J752" s="46" t="s">
        <v>247</v>
      </c>
      <c r="K752" s="46" t="s">
        <v>141</v>
      </c>
      <c r="L752" s="46"/>
      <c r="M752" s="46">
        <v>1</v>
      </c>
      <c r="N752" s="46"/>
      <c r="O752" s="46"/>
      <c r="P752" s="46"/>
      <c r="Q752" s="46"/>
      <c r="R752" s="46"/>
      <c r="S752" s="46"/>
      <c r="T752" s="46"/>
      <c r="U752" s="46"/>
      <c r="V752" s="46"/>
      <c r="W752" s="46"/>
      <c r="X752" s="46"/>
      <c r="Y752" s="46"/>
      <c r="Z752" s="46" t="s">
        <v>7225</v>
      </c>
      <c r="AA752" s="61">
        <v>25</v>
      </c>
      <c r="AB752" s="62">
        <f>IF(OR(G752="ALK",G752="PEM",G752="SOEC",G752="Other Electrolysis"),
AA752/VLOOKUP(G752,ElectrolysisConvF,3,FALSE),
AC752*10^6/(H2dens*HoursInYear))</f>
        <v>5434.782608695652</v>
      </c>
      <c r="AC752" s="63">
        <f>AB752*H2dens*HoursInYear/10^6</f>
        <v>4.2371739130434776</v>
      </c>
      <c r="AD752" s="62"/>
      <c r="AE752" s="62">
        <f t="shared" si="91"/>
        <v>5434.782608695652</v>
      </c>
      <c r="AF752" s="64" t="s">
        <v>2402</v>
      </c>
      <c r="AG752" s="49">
        <v>0.8</v>
      </c>
    </row>
    <row r="753" spans="1:33" ht="34.5" customHeight="1" x14ac:dyDescent="0.3">
      <c r="A753" s="46">
        <v>1144</v>
      </c>
      <c r="B753" s="46" t="s">
        <v>2403</v>
      </c>
      <c r="C753" s="46" t="s">
        <v>105</v>
      </c>
      <c r="D753" s="60"/>
      <c r="E753" s="60"/>
      <c r="F753" s="46" t="s">
        <v>591</v>
      </c>
      <c r="G753" s="46" t="s">
        <v>161</v>
      </c>
      <c r="H753" s="46" t="s">
        <v>1951</v>
      </c>
      <c r="I753" s="46"/>
      <c r="J753" s="46"/>
      <c r="K753" s="46" t="s">
        <v>68</v>
      </c>
      <c r="L753" s="46">
        <v>1</v>
      </c>
      <c r="M753" s="46"/>
      <c r="N753" s="46"/>
      <c r="O753" s="46"/>
      <c r="P753" s="46"/>
      <c r="Q753" s="46"/>
      <c r="R753" s="46"/>
      <c r="S753" s="46"/>
      <c r="T753" s="46"/>
      <c r="U753" s="46"/>
      <c r="V753" s="46"/>
      <c r="W753" s="46"/>
      <c r="X753" s="46"/>
      <c r="Y753" s="46"/>
      <c r="Z753" s="46"/>
      <c r="AA753" s="61"/>
      <c r="AB753" s="62"/>
      <c r="AC753" s="63"/>
      <c r="AD753" s="62"/>
      <c r="AE753" s="62">
        <f t="shared" si="91"/>
        <v>0</v>
      </c>
      <c r="AF753" s="64"/>
      <c r="AG753" s="49">
        <v>0.9</v>
      </c>
    </row>
    <row r="754" spans="1:33" ht="34.5" customHeight="1" x14ac:dyDescent="0.3">
      <c r="A754" s="46">
        <v>1145</v>
      </c>
      <c r="B754" s="46" t="s">
        <v>2404</v>
      </c>
      <c r="C754" s="46" t="s">
        <v>34</v>
      </c>
      <c r="D754" s="60">
        <v>2021</v>
      </c>
      <c r="E754" s="60"/>
      <c r="F754" s="46" t="s">
        <v>226</v>
      </c>
      <c r="G754" s="46" t="s">
        <v>159</v>
      </c>
      <c r="H754" s="46" t="s">
        <v>592</v>
      </c>
      <c r="I754" s="46" t="s">
        <v>169</v>
      </c>
      <c r="J754" s="46" t="s">
        <v>244</v>
      </c>
      <c r="K754" s="46" t="s">
        <v>68</v>
      </c>
      <c r="L754" s="46"/>
      <c r="M754" s="46"/>
      <c r="N754" s="46"/>
      <c r="O754" s="46"/>
      <c r="P754" s="46"/>
      <c r="Q754" s="46">
        <v>1</v>
      </c>
      <c r="R754" s="46"/>
      <c r="S754" s="46"/>
      <c r="T754" s="46"/>
      <c r="U754" s="46"/>
      <c r="V754" s="46"/>
      <c r="W754" s="46"/>
      <c r="X754" s="46"/>
      <c r="Y754" s="46"/>
      <c r="Z754" s="46" t="s">
        <v>2405</v>
      </c>
      <c r="AA754" s="61">
        <v>0.43</v>
      </c>
      <c r="AB754" s="62">
        <f t="shared" ref="AB754:AB768" si="92">IF(OR(G754="ALK",G754="PEM",G754="SOEC",G754="Other Electrolysis"),
AA754/VLOOKUP(G754,ElectrolysisConvF,3,FALSE),
AC754*10^6/(H2dens*HoursInYear))</f>
        <v>95.555555555555557</v>
      </c>
      <c r="AC754" s="63">
        <f t="shared" ref="AC754:AC768" si="93">AB754*H2dens*HoursInYear/10^6</f>
        <v>7.4498933333333323E-2</v>
      </c>
      <c r="AD754" s="62"/>
      <c r="AE754" s="62">
        <f t="shared" si="91"/>
        <v>95.555555555555557</v>
      </c>
      <c r="AF754" s="64" t="s">
        <v>2406</v>
      </c>
      <c r="AG754" s="49">
        <v>0.3</v>
      </c>
    </row>
    <row r="755" spans="1:33" ht="34.5" customHeight="1" x14ac:dyDescent="0.3">
      <c r="A755" s="46">
        <v>1146</v>
      </c>
      <c r="B755" s="46" t="s">
        <v>2407</v>
      </c>
      <c r="C755" s="46" t="s">
        <v>203</v>
      </c>
      <c r="D755" s="60"/>
      <c r="E755" s="60"/>
      <c r="F755" s="46" t="s">
        <v>591</v>
      </c>
      <c r="G755" s="46" t="s">
        <v>159</v>
      </c>
      <c r="H755" s="46" t="s">
        <v>592</v>
      </c>
      <c r="I755" s="46" t="s">
        <v>166</v>
      </c>
      <c r="J755" s="46"/>
      <c r="K755" s="46" t="s">
        <v>68</v>
      </c>
      <c r="L755" s="46"/>
      <c r="M755" s="46"/>
      <c r="N755" s="46"/>
      <c r="O755" s="46"/>
      <c r="P755" s="46"/>
      <c r="Q755" s="46"/>
      <c r="R755" s="46"/>
      <c r="S755" s="46"/>
      <c r="T755" s="46"/>
      <c r="U755" s="46"/>
      <c r="V755" s="46"/>
      <c r="W755" s="46"/>
      <c r="X755" s="46"/>
      <c r="Y755" s="46"/>
      <c r="Z755" s="46" t="s">
        <v>1292</v>
      </c>
      <c r="AA755" s="61">
        <v>900</v>
      </c>
      <c r="AB755" s="62">
        <f t="shared" si="92"/>
        <v>200000.00000000003</v>
      </c>
      <c r="AC755" s="63">
        <f t="shared" si="93"/>
        <v>155.928</v>
      </c>
      <c r="AD755" s="62"/>
      <c r="AE755" s="62">
        <f t="shared" si="91"/>
        <v>200000.00000000003</v>
      </c>
      <c r="AF755" s="64" t="s">
        <v>2408</v>
      </c>
      <c r="AG755" s="49">
        <v>0.56999999999999995</v>
      </c>
    </row>
    <row r="756" spans="1:33" ht="34.5" customHeight="1" x14ac:dyDescent="0.3">
      <c r="A756" s="46">
        <v>1147</v>
      </c>
      <c r="B756" s="46" t="s">
        <v>2409</v>
      </c>
      <c r="C756" s="46" t="s">
        <v>203</v>
      </c>
      <c r="D756" s="60">
        <v>2025</v>
      </c>
      <c r="E756" s="60"/>
      <c r="F756" s="46" t="s">
        <v>225</v>
      </c>
      <c r="G756" s="46" t="s">
        <v>1</v>
      </c>
      <c r="H756" s="46"/>
      <c r="I756" s="46" t="s">
        <v>169</v>
      </c>
      <c r="J756" s="46" t="s">
        <v>69</v>
      </c>
      <c r="K756" s="46" t="s">
        <v>68</v>
      </c>
      <c r="L756" s="46"/>
      <c r="M756" s="46"/>
      <c r="N756" s="46"/>
      <c r="O756" s="46"/>
      <c r="P756" s="46">
        <v>1</v>
      </c>
      <c r="Q756" s="46"/>
      <c r="R756" s="46"/>
      <c r="S756" s="46"/>
      <c r="T756" s="46"/>
      <c r="U756" s="46"/>
      <c r="V756" s="46"/>
      <c r="W756" s="46"/>
      <c r="X756" s="46"/>
      <c r="Y756" s="46"/>
      <c r="Z756" s="46" t="s">
        <v>2410</v>
      </c>
      <c r="AA756" s="61">
        <v>54</v>
      </c>
      <c r="AB756" s="62">
        <f t="shared" si="92"/>
        <v>10384.615384615385</v>
      </c>
      <c r="AC756" s="63">
        <f t="shared" si="93"/>
        <v>8.0962615384615386</v>
      </c>
      <c r="AD756" s="62"/>
      <c r="AE756" s="62">
        <f t="shared" si="91"/>
        <v>10384.615384615385</v>
      </c>
      <c r="AF756" s="64" t="s">
        <v>2411</v>
      </c>
      <c r="AG756" s="49">
        <v>0.5</v>
      </c>
    </row>
    <row r="757" spans="1:33" ht="34.5" customHeight="1" x14ac:dyDescent="0.3">
      <c r="A757" s="46">
        <v>1148</v>
      </c>
      <c r="B757" s="46" t="s">
        <v>2412</v>
      </c>
      <c r="C757" s="46" t="s">
        <v>40</v>
      </c>
      <c r="D757" s="60">
        <v>2021</v>
      </c>
      <c r="E757" s="60"/>
      <c r="F757" s="46" t="s">
        <v>285</v>
      </c>
      <c r="G757" s="46" t="s">
        <v>1</v>
      </c>
      <c r="H757" s="46"/>
      <c r="I757" s="46" t="s">
        <v>288</v>
      </c>
      <c r="J757" s="46"/>
      <c r="K757" s="46" t="s">
        <v>68</v>
      </c>
      <c r="L757" s="46"/>
      <c r="M757" s="46"/>
      <c r="N757" s="46"/>
      <c r="O757" s="46"/>
      <c r="P757" s="46"/>
      <c r="Q757" s="46"/>
      <c r="R757" s="46"/>
      <c r="S757" s="46"/>
      <c r="T757" s="46"/>
      <c r="U757" s="46"/>
      <c r="V757" s="46"/>
      <c r="W757" s="46"/>
      <c r="X757" s="46"/>
      <c r="Y757" s="46"/>
      <c r="Z757" s="46" t="s">
        <v>1198</v>
      </c>
      <c r="AA757" s="61">
        <v>2</v>
      </c>
      <c r="AB757" s="62">
        <f t="shared" si="92"/>
        <v>384.61538461538464</v>
      </c>
      <c r="AC757" s="63">
        <f t="shared" si="93"/>
        <v>0.29986153846153851</v>
      </c>
      <c r="AD757" s="62"/>
      <c r="AE757" s="62">
        <f t="shared" si="91"/>
        <v>384.61538461538464</v>
      </c>
      <c r="AF757" s="64"/>
      <c r="AG757" s="49">
        <v>0.8</v>
      </c>
    </row>
    <row r="758" spans="1:33" ht="34.5" customHeight="1" x14ac:dyDescent="0.3">
      <c r="A758" s="46">
        <v>1149</v>
      </c>
      <c r="B758" s="46" t="s">
        <v>2413</v>
      </c>
      <c r="C758" s="46" t="s">
        <v>40</v>
      </c>
      <c r="D758" s="60">
        <v>2021</v>
      </c>
      <c r="E758" s="60"/>
      <c r="F758" s="46" t="s">
        <v>285</v>
      </c>
      <c r="G758" s="46" t="s">
        <v>2</v>
      </c>
      <c r="H758" s="46"/>
      <c r="I758" s="46" t="s">
        <v>288</v>
      </c>
      <c r="J758" s="46"/>
      <c r="K758" s="46" t="s">
        <v>68</v>
      </c>
      <c r="L758" s="46"/>
      <c r="M758" s="46"/>
      <c r="N758" s="46"/>
      <c r="O758" s="46"/>
      <c r="P758" s="46"/>
      <c r="Q758" s="46"/>
      <c r="R758" s="46"/>
      <c r="S758" s="46"/>
      <c r="T758" s="46"/>
      <c r="U758" s="46"/>
      <c r="V758" s="46"/>
      <c r="W758" s="46"/>
      <c r="X758" s="46"/>
      <c r="Y758" s="46"/>
      <c r="Z758" s="46" t="s">
        <v>2414</v>
      </c>
      <c r="AA758" s="61">
        <v>0.2</v>
      </c>
      <c r="AB758" s="62">
        <f t="shared" si="92"/>
        <v>52.631578947368425</v>
      </c>
      <c r="AC758" s="63">
        <f t="shared" si="93"/>
        <v>4.1033684210526312E-2</v>
      </c>
      <c r="AD758" s="62"/>
      <c r="AE758" s="62">
        <f t="shared" si="91"/>
        <v>52.631578947368425</v>
      </c>
      <c r="AF758" s="64"/>
      <c r="AG758" s="49">
        <v>0.8</v>
      </c>
    </row>
    <row r="759" spans="1:33" ht="34.5" customHeight="1" x14ac:dyDescent="0.3">
      <c r="A759" s="46">
        <v>1151</v>
      </c>
      <c r="B759" s="46" t="s">
        <v>2415</v>
      </c>
      <c r="C759" s="46" t="s">
        <v>37</v>
      </c>
      <c r="D759" s="60">
        <v>2024</v>
      </c>
      <c r="E759" s="60"/>
      <c r="F759" s="46" t="s">
        <v>225</v>
      </c>
      <c r="G759" s="46" t="s">
        <v>159</v>
      </c>
      <c r="H759" s="46" t="s">
        <v>592</v>
      </c>
      <c r="I759" s="46" t="s">
        <v>288</v>
      </c>
      <c r="J759" s="46"/>
      <c r="K759" s="46" t="s">
        <v>68</v>
      </c>
      <c r="L759" s="46"/>
      <c r="M759" s="46"/>
      <c r="N759" s="46"/>
      <c r="O759" s="46"/>
      <c r="P759" s="46"/>
      <c r="Q759" s="46"/>
      <c r="R759" s="46"/>
      <c r="S759" s="46"/>
      <c r="T759" s="46"/>
      <c r="U759" s="46"/>
      <c r="V759" s="46"/>
      <c r="W759" s="46"/>
      <c r="X759" s="46"/>
      <c r="Y759" s="46"/>
      <c r="Z759" s="46" t="s">
        <v>2416</v>
      </c>
      <c r="AA759" s="61">
        <v>3</v>
      </c>
      <c r="AB759" s="62">
        <f t="shared" si="92"/>
        <v>666.66666666666674</v>
      </c>
      <c r="AC759" s="63">
        <f t="shared" si="93"/>
        <v>0.51976</v>
      </c>
      <c r="AD759" s="62"/>
      <c r="AE759" s="62">
        <f>IF(AND(G759&lt;&gt;"NG w CCUS",G759&lt;&gt;"Oil w CCUS",G759&lt;&gt;"Coal w CCUS"),AB759,AD759*10^3/(HoursInYear*IF(G759="NG w CCUS",0.9105,1.9075)))</f>
        <v>666.66666666666674</v>
      </c>
      <c r="AF759" s="64"/>
      <c r="AG759" s="49">
        <v>0.8</v>
      </c>
    </row>
    <row r="760" spans="1:33" ht="34.5" customHeight="1" x14ac:dyDescent="0.3">
      <c r="A760" s="46">
        <v>1152</v>
      </c>
      <c r="B760" s="46" t="s">
        <v>2417</v>
      </c>
      <c r="C760" s="46" t="s">
        <v>46</v>
      </c>
      <c r="D760" s="60"/>
      <c r="E760" s="60"/>
      <c r="F760" s="46" t="s">
        <v>285</v>
      </c>
      <c r="G760" s="46" t="s">
        <v>2</v>
      </c>
      <c r="H760" s="46"/>
      <c r="I760" s="46" t="s">
        <v>288</v>
      </c>
      <c r="J760" s="46"/>
      <c r="K760" s="46" t="s">
        <v>68</v>
      </c>
      <c r="L760" s="46"/>
      <c r="M760" s="46"/>
      <c r="N760" s="46"/>
      <c r="O760" s="46"/>
      <c r="P760" s="46"/>
      <c r="Q760" s="46"/>
      <c r="R760" s="46"/>
      <c r="S760" s="46"/>
      <c r="T760" s="46"/>
      <c r="U760" s="46"/>
      <c r="V760" s="46"/>
      <c r="W760" s="46"/>
      <c r="X760" s="46"/>
      <c r="Y760" s="46"/>
      <c r="Z760" s="46" t="s">
        <v>1327</v>
      </c>
      <c r="AA760" s="61">
        <v>1</v>
      </c>
      <c r="AB760" s="62">
        <f t="shared" si="92"/>
        <v>263.15789473684208</v>
      </c>
      <c r="AC760" s="63">
        <f t="shared" si="93"/>
        <v>0.20516842105263158</v>
      </c>
      <c r="AD760" s="62"/>
      <c r="AE760" s="62">
        <f>IF(AND(G760&lt;&gt;"NG w CCUS",G760&lt;&gt;"Oil w CCUS",G760&lt;&gt;"Coal w CCUS"),AB760,AD760*10^3/(HoursInYear*IF(G760="NG w CCUS",0.9105,1.9075)))</f>
        <v>263.15789473684208</v>
      </c>
      <c r="AF760" s="64"/>
      <c r="AG760" s="49">
        <v>0.8</v>
      </c>
    </row>
    <row r="761" spans="1:33" ht="34.5" customHeight="1" x14ac:dyDescent="0.3">
      <c r="A761" s="46">
        <v>1155</v>
      </c>
      <c r="B761" s="46" t="s">
        <v>2418</v>
      </c>
      <c r="C761" s="46" t="s">
        <v>84</v>
      </c>
      <c r="D761" s="60">
        <v>2022</v>
      </c>
      <c r="E761" s="60"/>
      <c r="F761" s="46" t="s">
        <v>226</v>
      </c>
      <c r="G761" s="46" t="s">
        <v>1</v>
      </c>
      <c r="H761" s="46"/>
      <c r="I761" s="46" t="s">
        <v>288</v>
      </c>
      <c r="J761" s="46"/>
      <c r="K761" s="46" t="s">
        <v>68</v>
      </c>
      <c r="L761" s="46"/>
      <c r="M761" s="46"/>
      <c r="N761" s="46"/>
      <c r="O761" s="46"/>
      <c r="P761" s="46"/>
      <c r="Q761" s="46"/>
      <c r="R761" s="46"/>
      <c r="S761" s="46"/>
      <c r="T761" s="46"/>
      <c r="U761" s="46"/>
      <c r="V761" s="46"/>
      <c r="W761" s="46"/>
      <c r="X761" s="46"/>
      <c r="Y761" s="46"/>
      <c r="Z761" s="46" t="s">
        <v>1327</v>
      </c>
      <c r="AA761" s="61">
        <v>1</v>
      </c>
      <c r="AB761" s="62">
        <f t="shared" si="92"/>
        <v>192.30769230769232</v>
      </c>
      <c r="AC761" s="63">
        <f t="shared" si="93"/>
        <v>0.14993076923076926</v>
      </c>
      <c r="AD761" s="62"/>
      <c r="AE761" s="62">
        <f t="shared" ref="AE761:AE784" si="94">IF(AND(G761&lt;&gt;"NG w CCUS",G761&lt;&gt;"Oil w CCUS",G761&lt;&gt;"Coal w CCUS"),AB761,AD761*10^3/(HoursInYear*IF(G761="NG w CCUS",0.9105,1.9075)))</f>
        <v>192.30769230769232</v>
      </c>
      <c r="AF761" s="64" t="s">
        <v>2419</v>
      </c>
      <c r="AG761" s="49">
        <v>0.8</v>
      </c>
    </row>
    <row r="762" spans="1:33" ht="34.5" customHeight="1" x14ac:dyDescent="0.3">
      <c r="A762" s="46">
        <v>1156</v>
      </c>
      <c r="B762" s="46" t="s">
        <v>2420</v>
      </c>
      <c r="C762" s="46" t="s">
        <v>203</v>
      </c>
      <c r="D762" s="60">
        <v>2023</v>
      </c>
      <c r="E762" s="60"/>
      <c r="F762" s="46" t="s">
        <v>675</v>
      </c>
      <c r="G762" s="46" t="s">
        <v>159</v>
      </c>
      <c r="H762" s="46" t="s">
        <v>592</v>
      </c>
      <c r="I762" s="46" t="s">
        <v>169</v>
      </c>
      <c r="J762" s="46" t="s">
        <v>245</v>
      </c>
      <c r="K762" s="46" t="s">
        <v>140</v>
      </c>
      <c r="L762" s="46"/>
      <c r="M762" s="46"/>
      <c r="N762" s="46"/>
      <c r="O762" s="46"/>
      <c r="P762" s="46"/>
      <c r="Q762" s="46"/>
      <c r="R762" s="46"/>
      <c r="S762" s="46"/>
      <c r="T762" s="46"/>
      <c r="U762" s="46"/>
      <c r="V762" s="46"/>
      <c r="W762" s="46">
        <v>1</v>
      </c>
      <c r="X762" s="46"/>
      <c r="Y762" s="46"/>
      <c r="Z762" s="46" t="s">
        <v>1198</v>
      </c>
      <c r="AA762" s="61">
        <v>2</v>
      </c>
      <c r="AB762" s="62">
        <f t="shared" si="92"/>
        <v>444.44444444444446</v>
      </c>
      <c r="AC762" s="63">
        <f t="shared" si="93"/>
        <v>0.34650666666666669</v>
      </c>
      <c r="AD762" s="62"/>
      <c r="AE762" s="62">
        <f t="shared" si="94"/>
        <v>444.44444444444446</v>
      </c>
      <c r="AF762" s="64" t="s">
        <v>2421</v>
      </c>
      <c r="AG762" s="49">
        <v>0.4</v>
      </c>
    </row>
    <row r="763" spans="1:33" ht="34.5" customHeight="1" x14ac:dyDescent="0.3">
      <c r="A763" s="46">
        <v>1157</v>
      </c>
      <c r="B763" s="46" t="s">
        <v>2422</v>
      </c>
      <c r="C763" s="46" t="s">
        <v>203</v>
      </c>
      <c r="D763" s="60"/>
      <c r="E763" s="60"/>
      <c r="F763" s="46" t="s">
        <v>591</v>
      </c>
      <c r="G763" s="46" t="s">
        <v>159</v>
      </c>
      <c r="H763" s="46" t="s">
        <v>592</v>
      </c>
      <c r="I763" s="46" t="s">
        <v>169</v>
      </c>
      <c r="J763" s="46" t="s">
        <v>245</v>
      </c>
      <c r="K763" s="46" t="s">
        <v>140</v>
      </c>
      <c r="L763" s="46"/>
      <c r="M763" s="46"/>
      <c r="N763" s="46"/>
      <c r="O763" s="46"/>
      <c r="P763" s="46"/>
      <c r="Q763" s="46"/>
      <c r="R763" s="46"/>
      <c r="S763" s="46"/>
      <c r="T763" s="46"/>
      <c r="U763" s="46"/>
      <c r="V763" s="46"/>
      <c r="W763" s="46">
        <v>1</v>
      </c>
      <c r="X763" s="46"/>
      <c r="Y763" s="46"/>
      <c r="Z763" s="46" t="s">
        <v>1168</v>
      </c>
      <c r="AA763" s="61">
        <v>8</v>
      </c>
      <c r="AB763" s="62">
        <f t="shared" si="92"/>
        <v>1777.7777777777778</v>
      </c>
      <c r="AC763" s="63">
        <f t="shared" si="93"/>
        <v>1.3860266666666667</v>
      </c>
      <c r="AD763" s="62"/>
      <c r="AE763" s="62">
        <f t="shared" si="94"/>
        <v>1777.7777777777778</v>
      </c>
      <c r="AF763" s="64" t="s">
        <v>2421</v>
      </c>
      <c r="AG763" s="49">
        <v>0.4</v>
      </c>
    </row>
    <row r="764" spans="1:33" ht="34.5" customHeight="1" x14ac:dyDescent="0.3">
      <c r="A764" s="46">
        <v>1158</v>
      </c>
      <c r="B764" s="46" t="s">
        <v>2423</v>
      </c>
      <c r="C764" s="46" t="s">
        <v>203</v>
      </c>
      <c r="D764" s="60">
        <v>2021</v>
      </c>
      <c r="E764" s="60"/>
      <c r="F764" s="46" t="s">
        <v>226</v>
      </c>
      <c r="G764" s="46" t="s">
        <v>2</v>
      </c>
      <c r="H764" s="46"/>
      <c r="I764" s="46" t="s">
        <v>169</v>
      </c>
      <c r="J764" s="46" t="s">
        <v>245</v>
      </c>
      <c r="K764" s="46" t="s">
        <v>140</v>
      </c>
      <c r="L764" s="46"/>
      <c r="M764" s="46"/>
      <c r="N764" s="46">
        <v>1</v>
      </c>
      <c r="O764" s="46"/>
      <c r="P764" s="46"/>
      <c r="Q764" s="46"/>
      <c r="R764" s="46"/>
      <c r="S764" s="46"/>
      <c r="T764" s="46"/>
      <c r="U764" s="46"/>
      <c r="V764" s="46"/>
      <c r="W764" s="46"/>
      <c r="X764" s="46"/>
      <c r="Y764" s="46"/>
      <c r="Z764" s="46" t="s">
        <v>1327</v>
      </c>
      <c r="AA764" s="61">
        <v>1</v>
      </c>
      <c r="AB764" s="62">
        <f t="shared" si="92"/>
        <v>263.15789473684208</v>
      </c>
      <c r="AC764" s="63">
        <f t="shared" si="93"/>
        <v>0.20516842105263158</v>
      </c>
      <c r="AD764" s="62"/>
      <c r="AE764" s="62">
        <f t="shared" si="94"/>
        <v>263.15789473684208</v>
      </c>
      <c r="AF764" s="64" t="s">
        <v>2421</v>
      </c>
      <c r="AG764" s="49">
        <v>0.4</v>
      </c>
    </row>
    <row r="765" spans="1:33" ht="34.5" customHeight="1" x14ac:dyDescent="0.3">
      <c r="A765" s="46">
        <v>1159</v>
      </c>
      <c r="B765" s="46" t="s">
        <v>2423</v>
      </c>
      <c r="C765" s="46" t="s">
        <v>203</v>
      </c>
      <c r="D765" s="60"/>
      <c r="E765" s="60"/>
      <c r="F765" s="46" t="s">
        <v>591</v>
      </c>
      <c r="G765" s="46" t="s">
        <v>159</v>
      </c>
      <c r="H765" s="46" t="s">
        <v>592</v>
      </c>
      <c r="I765" s="46" t="s">
        <v>169</v>
      </c>
      <c r="J765" s="46" t="s">
        <v>245</v>
      </c>
      <c r="K765" s="46" t="s">
        <v>167</v>
      </c>
      <c r="L765" s="46"/>
      <c r="M765" s="46"/>
      <c r="N765" s="46"/>
      <c r="O765" s="46"/>
      <c r="P765" s="46"/>
      <c r="Q765" s="46"/>
      <c r="R765" s="46"/>
      <c r="S765" s="46"/>
      <c r="T765" s="46"/>
      <c r="U765" s="46"/>
      <c r="V765" s="46"/>
      <c r="W765" s="46">
        <v>1</v>
      </c>
      <c r="X765" s="46"/>
      <c r="Y765" s="46"/>
      <c r="Z765" s="46" t="s">
        <v>1396</v>
      </c>
      <c r="AA765" s="61">
        <v>4</v>
      </c>
      <c r="AB765" s="62">
        <f t="shared" si="92"/>
        <v>888.88888888888891</v>
      </c>
      <c r="AC765" s="63">
        <f t="shared" si="93"/>
        <v>0.69301333333333337</v>
      </c>
      <c r="AD765" s="62"/>
      <c r="AE765" s="62">
        <f t="shared" si="94"/>
        <v>888.88888888888891</v>
      </c>
      <c r="AF765" s="64" t="s">
        <v>2421</v>
      </c>
      <c r="AG765" s="49">
        <v>0.4</v>
      </c>
    </row>
    <row r="766" spans="1:33" ht="34.5" customHeight="1" x14ac:dyDescent="0.3">
      <c r="A766" s="46">
        <v>1160</v>
      </c>
      <c r="B766" s="46" t="s">
        <v>2424</v>
      </c>
      <c r="C766" s="46" t="s">
        <v>203</v>
      </c>
      <c r="D766" s="60">
        <v>2023</v>
      </c>
      <c r="E766" s="60"/>
      <c r="F766" s="46" t="s">
        <v>675</v>
      </c>
      <c r="G766" s="46" t="s">
        <v>159</v>
      </c>
      <c r="H766" s="46" t="s">
        <v>592</v>
      </c>
      <c r="I766" s="46" t="s">
        <v>157</v>
      </c>
      <c r="J766" s="46"/>
      <c r="K766" s="46" t="s">
        <v>68</v>
      </c>
      <c r="L766" s="46"/>
      <c r="M766" s="46"/>
      <c r="N766" s="46"/>
      <c r="O766" s="46"/>
      <c r="P766" s="46"/>
      <c r="Q766" s="46">
        <v>1</v>
      </c>
      <c r="R766" s="46"/>
      <c r="S766" s="46"/>
      <c r="T766" s="46"/>
      <c r="U766" s="46"/>
      <c r="V766" s="46"/>
      <c r="W766" s="46"/>
      <c r="X766" s="46"/>
      <c r="Y766" s="46"/>
      <c r="Z766" s="46" t="s">
        <v>1168</v>
      </c>
      <c r="AA766" s="61">
        <v>10</v>
      </c>
      <c r="AB766" s="62">
        <f t="shared" si="92"/>
        <v>2222.2222222222222</v>
      </c>
      <c r="AC766" s="63">
        <f t="shared" si="93"/>
        <v>1.7325333333333333</v>
      </c>
      <c r="AD766" s="62"/>
      <c r="AE766" s="62">
        <f t="shared" si="94"/>
        <v>2222.2222222222222</v>
      </c>
      <c r="AF766" s="64" t="s">
        <v>2425</v>
      </c>
      <c r="AG766" s="49">
        <v>0.56999999999999995</v>
      </c>
    </row>
    <row r="767" spans="1:33" ht="34.5" customHeight="1" x14ac:dyDescent="0.3">
      <c r="A767" s="46">
        <v>1161</v>
      </c>
      <c r="B767" s="46" t="s">
        <v>2426</v>
      </c>
      <c r="C767" s="46" t="s">
        <v>65</v>
      </c>
      <c r="D767" s="60">
        <v>2030</v>
      </c>
      <c r="E767" s="60"/>
      <c r="F767" s="46" t="s">
        <v>225</v>
      </c>
      <c r="G767" s="46" t="s">
        <v>159</v>
      </c>
      <c r="H767" s="46" t="s">
        <v>592</v>
      </c>
      <c r="I767" s="46" t="s">
        <v>169</v>
      </c>
      <c r="J767" s="46" t="s">
        <v>246</v>
      </c>
      <c r="K767" s="46" t="s">
        <v>68</v>
      </c>
      <c r="L767" s="46"/>
      <c r="M767" s="46"/>
      <c r="N767" s="46"/>
      <c r="O767" s="46"/>
      <c r="P767" s="46"/>
      <c r="Q767" s="46">
        <v>1</v>
      </c>
      <c r="R767" s="46"/>
      <c r="S767" s="46"/>
      <c r="T767" s="46"/>
      <c r="U767" s="46"/>
      <c r="V767" s="46"/>
      <c r="W767" s="46"/>
      <c r="X767" s="46"/>
      <c r="Y767" s="46"/>
      <c r="Z767" s="46" t="s">
        <v>1257</v>
      </c>
      <c r="AA767" s="61">
        <v>100</v>
      </c>
      <c r="AB767" s="62">
        <f t="shared" si="92"/>
        <v>22222.222222222223</v>
      </c>
      <c r="AC767" s="63">
        <f t="shared" si="93"/>
        <v>17.325333333333333</v>
      </c>
      <c r="AD767" s="62"/>
      <c r="AE767" s="62">
        <f t="shared" si="94"/>
        <v>22222.222222222223</v>
      </c>
      <c r="AF767" s="64" t="s">
        <v>2427</v>
      </c>
      <c r="AG767" s="49">
        <v>0.55000000000000004</v>
      </c>
    </row>
    <row r="768" spans="1:33" ht="34.5" customHeight="1" x14ac:dyDescent="0.3">
      <c r="A768" s="46">
        <v>1162</v>
      </c>
      <c r="B768" s="46" t="s">
        <v>2426</v>
      </c>
      <c r="C768" s="46" t="s">
        <v>65</v>
      </c>
      <c r="D768" s="60">
        <v>2030</v>
      </c>
      <c r="E768" s="60"/>
      <c r="F768" s="46" t="s">
        <v>225</v>
      </c>
      <c r="G768" s="46" t="s">
        <v>159</v>
      </c>
      <c r="H768" s="46" t="s">
        <v>592</v>
      </c>
      <c r="I768" s="46" t="s">
        <v>169</v>
      </c>
      <c r="J768" s="46" t="s">
        <v>245</v>
      </c>
      <c r="K768" s="46" t="s">
        <v>68</v>
      </c>
      <c r="L768" s="46"/>
      <c r="M768" s="46"/>
      <c r="N768" s="46"/>
      <c r="O768" s="46"/>
      <c r="P768" s="46"/>
      <c r="Q768" s="46">
        <v>1</v>
      </c>
      <c r="R768" s="46"/>
      <c r="S768" s="46"/>
      <c r="T768" s="46"/>
      <c r="U768" s="46"/>
      <c r="V768" s="46"/>
      <c r="W768" s="46"/>
      <c r="X768" s="46"/>
      <c r="Y768" s="46"/>
      <c r="Z768" s="46" t="s">
        <v>1168</v>
      </c>
      <c r="AA768" s="61">
        <v>10</v>
      </c>
      <c r="AB768" s="62">
        <f t="shared" si="92"/>
        <v>2222.2222222222222</v>
      </c>
      <c r="AC768" s="63">
        <f t="shared" si="93"/>
        <v>1.7325333333333333</v>
      </c>
      <c r="AD768" s="62"/>
      <c r="AE768" s="62">
        <f t="shared" si="94"/>
        <v>2222.2222222222222</v>
      </c>
      <c r="AF768" s="64" t="s">
        <v>2427</v>
      </c>
      <c r="AG768" s="49">
        <v>0.4</v>
      </c>
    </row>
    <row r="769" spans="1:33" ht="34.5" customHeight="1" x14ac:dyDescent="0.3">
      <c r="A769" s="46">
        <v>1163</v>
      </c>
      <c r="B769" s="46" t="s">
        <v>2426</v>
      </c>
      <c r="C769" s="46" t="s">
        <v>65</v>
      </c>
      <c r="D769" s="60">
        <v>2030</v>
      </c>
      <c r="E769" s="60"/>
      <c r="F769" s="46" t="s">
        <v>225</v>
      </c>
      <c r="G769" s="46" t="s">
        <v>163</v>
      </c>
      <c r="H769" s="46" t="s">
        <v>2289</v>
      </c>
      <c r="I769" s="46"/>
      <c r="J769" s="46"/>
      <c r="K769" s="46" t="s">
        <v>68</v>
      </c>
      <c r="L769" s="46"/>
      <c r="M769" s="46"/>
      <c r="N769" s="46"/>
      <c r="O769" s="46"/>
      <c r="P769" s="46"/>
      <c r="Q769" s="46">
        <v>1</v>
      </c>
      <c r="R769" s="46"/>
      <c r="S769" s="46"/>
      <c r="T769" s="46"/>
      <c r="U769" s="46"/>
      <c r="V769" s="46"/>
      <c r="W769" s="46"/>
      <c r="X769" s="46"/>
      <c r="Y769" s="46"/>
      <c r="Z769" s="46" t="s">
        <v>2428</v>
      </c>
      <c r="AA769" s="61"/>
      <c r="AB769" s="62">
        <f>AC769/(H2dens*HoursInYear/10^6)</f>
        <v>19239.649068800987</v>
      </c>
      <c r="AC769" s="63">
        <v>15</v>
      </c>
      <c r="AD769" s="62"/>
      <c r="AE769" s="62">
        <f t="shared" si="94"/>
        <v>19239.649068800987</v>
      </c>
      <c r="AF769" s="64" t="s">
        <v>2427</v>
      </c>
      <c r="AG769" s="49">
        <v>0.9</v>
      </c>
    </row>
    <row r="770" spans="1:33" ht="34.5" customHeight="1" x14ac:dyDescent="0.3">
      <c r="A770" s="46">
        <v>1164</v>
      </c>
      <c r="B770" s="46" t="s">
        <v>2429</v>
      </c>
      <c r="C770" s="46" t="s">
        <v>309</v>
      </c>
      <c r="D770" s="60">
        <v>2030</v>
      </c>
      <c r="E770" s="60"/>
      <c r="F770" s="46" t="s">
        <v>225</v>
      </c>
      <c r="G770" s="46" t="s">
        <v>159</v>
      </c>
      <c r="H770" s="46" t="s">
        <v>592</v>
      </c>
      <c r="I770" s="46" t="s">
        <v>169</v>
      </c>
      <c r="J770" s="46" t="s">
        <v>245</v>
      </c>
      <c r="K770" s="46" t="s">
        <v>68</v>
      </c>
      <c r="L770" s="46"/>
      <c r="M770" s="46"/>
      <c r="N770" s="46"/>
      <c r="O770" s="46"/>
      <c r="P770" s="46"/>
      <c r="Q770" s="46">
        <v>1</v>
      </c>
      <c r="R770" s="46"/>
      <c r="S770" s="46"/>
      <c r="T770" s="46"/>
      <c r="U770" s="46"/>
      <c r="V770" s="46"/>
      <c r="W770" s="46"/>
      <c r="X770" s="46"/>
      <c r="Y770" s="46"/>
      <c r="Z770" s="46" t="s">
        <v>679</v>
      </c>
      <c r="AA770" s="61">
        <v>26</v>
      </c>
      <c r="AB770" s="62">
        <f t="shared" ref="AB770:AB780" si="95">IF(OR(G770="ALK",G770="PEM",G770="SOEC",G770="Other Electrolysis"),
AA770/VLOOKUP(G770,ElectrolysisConvF,3,FALSE),
AC770*10^6/(H2dens*HoursInYear))</f>
        <v>5777.7777777777783</v>
      </c>
      <c r="AC770" s="63">
        <f t="shared" ref="AC770:AC780" si="96">AB770*H2dens*HoursInYear/10^6</f>
        <v>4.5045866666666674</v>
      </c>
      <c r="AD770" s="62"/>
      <c r="AE770" s="62">
        <f t="shared" si="94"/>
        <v>5777.7777777777783</v>
      </c>
      <c r="AF770" s="64" t="s">
        <v>2427</v>
      </c>
      <c r="AG770" s="49">
        <v>0.4</v>
      </c>
    </row>
    <row r="771" spans="1:33" ht="34.5" customHeight="1" x14ac:dyDescent="0.3">
      <c r="A771" s="46">
        <v>1165</v>
      </c>
      <c r="B771" s="46" t="s">
        <v>2430</v>
      </c>
      <c r="C771" s="46" t="s">
        <v>309</v>
      </c>
      <c r="D771" s="60">
        <v>2030</v>
      </c>
      <c r="E771" s="60"/>
      <c r="F771" s="46" t="s">
        <v>225</v>
      </c>
      <c r="G771" s="46" t="s">
        <v>159</v>
      </c>
      <c r="H771" s="46" t="s">
        <v>592</v>
      </c>
      <c r="I771" s="46" t="s">
        <v>169</v>
      </c>
      <c r="J771" s="46" t="s">
        <v>245</v>
      </c>
      <c r="K771" s="46" t="s">
        <v>68</v>
      </c>
      <c r="L771" s="46"/>
      <c r="M771" s="46"/>
      <c r="N771" s="46"/>
      <c r="O771" s="46"/>
      <c r="P771" s="46"/>
      <c r="Q771" s="46">
        <v>1</v>
      </c>
      <c r="R771" s="46"/>
      <c r="S771" s="46"/>
      <c r="T771" s="46"/>
      <c r="U771" s="46"/>
      <c r="V771" s="46"/>
      <c r="W771" s="46"/>
      <c r="X771" s="46"/>
      <c r="Y771" s="46"/>
      <c r="Z771" s="46" t="s">
        <v>2431</v>
      </c>
      <c r="AA771" s="61">
        <v>18</v>
      </c>
      <c r="AB771" s="62">
        <f t="shared" si="95"/>
        <v>4000.0000000000005</v>
      </c>
      <c r="AC771" s="63">
        <f t="shared" si="96"/>
        <v>3.11856</v>
      </c>
      <c r="AD771" s="62"/>
      <c r="AE771" s="62">
        <f t="shared" si="94"/>
        <v>4000.0000000000005</v>
      </c>
      <c r="AF771" s="64" t="s">
        <v>2427</v>
      </c>
      <c r="AG771" s="49">
        <v>0.4</v>
      </c>
    </row>
    <row r="772" spans="1:33" ht="34.5" customHeight="1" x14ac:dyDescent="0.3">
      <c r="A772" s="46">
        <v>1166</v>
      </c>
      <c r="B772" s="46" t="s">
        <v>2432</v>
      </c>
      <c r="C772" s="46" t="s">
        <v>309</v>
      </c>
      <c r="D772" s="60">
        <v>2026</v>
      </c>
      <c r="E772" s="60"/>
      <c r="F772" s="46" t="s">
        <v>225</v>
      </c>
      <c r="G772" s="46" t="s">
        <v>159</v>
      </c>
      <c r="H772" s="46" t="s">
        <v>592</v>
      </c>
      <c r="I772" s="46" t="s">
        <v>169</v>
      </c>
      <c r="J772" s="46" t="s">
        <v>248</v>
      </c>
      <c r="K772" s="46" t="s">
        <v>68</v>
      </c>
      <c r="L772" s="46"/>
      <c r="M772" s="46"/>
      <c r="N772" s="46"/>
      <c r="O772" s="46"/>
      <c r="P772" s="46"/>
      <c r="Q772" s="46">
        <v>1</v>
      </c>
      <c r="R772" s="46"/>
      <c r="S772" s="46"/>
      <c r="T772" s="46"/>
      <c r="U772" s="46"/>
      <c r="V772" s="46"/>
      <c r="W772" s="46"/>
      <c r="X772" s="46"/>
      <c r="Y772" s="46"/>
      <c r="Z772" s="46" t="s">
        <v>1850</v>
      </c>
      <c r="AA772" s="61">
        <v>6</v>
      </c>
      <c r="AB772" s="62">
        <f t="shared" si="95"/>
        <v>1333.3333333333335</v>
      </c>
      <c r="AC772" s="63">
        <f t="shared" si="96"/>
        <v>1.03952</v>
      </c>
      <c r="AD772" s="62"/>
      <c r="AE772" s="62">
        <f t="shared" si="94"/>
        <v>1333.3333333333335</v>
      </c>
      <c r="AF772" s="64" t="s">
        <v>2427</v>
      </c>
      <c r="AG772" s="49">
        <v>0.5</v>
      </c>
    </row>
    <row r="773" spans="1:33" ht="34.5" customHeight="1" x14ac:dyDescent="0.3">
      <c r="A773" s="46">
        <v>1167</v>
      </c>
      <c r="B773" s="46" t="s">
        <v>2426</v>
      </c>
      <c r="C773" s="46" t="s">
        <v>319</v>
      </c>
      <c r="D773" s="60">
        <v>2030</v>
      </c>
      <c r="E773" s="60"/>
      <c r="F773" s="46" t="s">
        <v>225</v>
      </c>
      <c r="G773" s="46" t="s">
        <v>159</v>
      </c>
      <c r="H773" s="46" t="s">
        <v>592</v>
      </c>
      <c r="I773" s="46" t="s">
        <v>169</v>
      </c>
      <c r="J773" s="46" t="s">
        <v>245</v>
      </c>
      <c r="K773" s="46" t="s">
        <v>68</v>
      </c>
      <c r="L773" s="46"/>
      <c r="M773" s="46"/>
      <c r="N773" s="46"/>
      <c r="O773" s="46"/>
      <c r="P773" s="46"/>
      <c r="Q773" s="46">
        <v>1</v>
      </c>
      <c r="R773" s="46"/>
      <c r="S773" s="46"/>
      <c r="T773" s="46"/>
      <c r="U773" s="46"/>
      <c r="V773" s="46"/>
      <c r="W773" s="46"/>
      <c r="X773" s="46"/>
      <c r="Y773" s="46"/>
      <c r="Z773" s="46" t="s">
        <v>1350</v>
      </c>
      <c r="AA773" s="61">
        <v>60</v>
      </c>
      <c r="AB773" s="62">
        <f t="shared" si="95"/>
        <v>13333.333333333334</v>
      </c>
      <c r="AC773" s="63">
        <f t="shared" si="96"/>
        <v>10.395200000000001</v>
      </c>
      <c r="AD773" s="62"/>
      <c r="AE773" s="62">
        <f t="shared" si="94"/>
        <v>13333.333333333334</v>
      </c>
      <c r="AF773" s="64" t="s">
        <v>2427</v>
      </c>
      <c r="AG773" s="49">
        <v>0.4</v>
      </c>
    </row>
    <row r="774" spans="1:33" ht="34.5" customHeight="1" x14ac:dyDescent="0.3">
      <c r="A774" s="46">
        <v>1168</v>
      </c>
      <c r="B774" s="46" t="s">
        <v>2433</v>
      </c>
      <c r="C774" s="46" t="s">
        <v>318</v>
      </c>
      <c r="D774" s="60">
        <v>2024</v>
      </c>
      <c r="E774" s="60"/>
      <c r="F774" s="46" t="s">
        <v>675</v>
      </c>
      <c r="G774" s="46" t="s">
        <v>1</v>
      </c>
      <c r="H774" s="46"/>
      <c r="I774" s="46" t="s">
        <v>169</v>
      </c>
      <c r="J774" s="46" t="s">
        <v>69</v>
      </c>
      <c r="K774" s="46" t="s">
        <v>68</v>
      </c>
      <c r="L774" s="46">
        <v>1</v>
      </c>
      <c r="M774" s="46"/>
      <c r="N774" s="46"/>
      <c r="O774" s="46"/>
      <c r="P774" s="46"/>
      <c r="Q774" s="46"/>
      <c r="R774" s="46"/>
      <c r="S774" s="46"/>
      <c r="T774" s="46"/>
      <c r="U774" s="46"/>
      <c r="V774" s="46"/>
      <c r="W774" s="46"/>
      <c r="X774" s="46"/>
      <c r="Y774" s="46"/>
      <c r="Z774" s="46" t="s">
        <v>1198</v>
      </c>
      <c r="AA774" s="61">
        <v>2</v>
      </c>
      <c r="AB774" s="62">
        <f t="shared" si="95"/>
        <v>384.61538461538464</v>
      </c>
      <c r="AC774" s="63">
        <f t="shared" si="96"/>
        <v>0.29986153846153851</v>
      </c>
      <c r="AD774" s="62"/>
      <c r="AE774" s="62">
        <f t="shared" si="94"/>
        <v>384.61538461538464</v>
      </c>
      <c r="AF774" s="64" t="s">
        <v>2434</v>
      </c>
      <c r="AG774" s="49">
        <v>0.5</v>
      </c>
    </row>
    <row r="775" spans="1:33" ht="34.5" customHeight="1" x14ac:dyDescent="0.3">
      <c r="A775" s="46">
        <v>1169</v>
      </c>
      <c r="B775" s="46" t="s">
        <v>2435</v>
      </c>
      <c r="C775" s="46" t="s">
        <v>318</v>
      </c>
      <c r="D775" s="60">
        <v>2025</v>
      </c>
      <c r="E775" s="60"/>
      <c r="F775" s="46" t="s">
        <v>675</v>
      </c>
      <c r="G775" s="46" t="s">
        <v>1</v>
      </c>
      <c r="H775" s="46"/>
      <c r="I775" s="46" t="s">
        <v>169</v>
      </c>
      <c r="J775" s="46" t="s">
        <v>69</v>
      </c>
      <c r="K775" s="46" t="s">
        <v>68</v>
      </c>
      <c r="L775" s="46">
        <v>1</v>
      </c>
      <c r="M775" s="46"/>
      <c r="N775" s="46"/>
      <c r="O775" s="46"/>
      <c r="P775" s="46"/>
      <c r="Q775" s="46"/>
      <c r="R775" s="46"/>
      <c r="S775" s="46"/>
      <c r="T775" s="46"/>
      <c r="U775" s="46"/>
      <c r="V775" s="46"/>
      <c r="W775" s="46"/>
      <c r="X775" s="46"/>
      <c r="Y775" s="46"/>
      <c r="Z775" s="46" t="s">
        <v>2436</v>
      </c>
      <c r="AA775" s="61">
        <v>100</v>
      </c>
      <c r="AB775" s="62">
        <f t="shared" si="95"/>
        <v>19230.76923076923</v>
      </c>
      <c r="AC775" s="63">
        <f t="shared" si="96"/>
        <v>14.993076923076922</v>
      </c>
      <c r="AD775" s="62"/>
      <c r="AE775" s="62">
        <f t="shared" si="94"/>
        <v>19230.76923076923</v>
      </c>
      <c r="AF775" s="64" t="s">
        <v>2437</v>
      </c>
      <c r="AG775" s="49">
        <v>0.5</v>
      </c>
    </row>
    <row r="776" spans="1:33" ht="34.5" customHeight="1" x14ac:dyDescent="0.3">
      <c r="A776" s="46">
        <v>1170</v>
      </c>
      <c r="B776" s="46" t="s">
        <v>2438</v>
      </c>
      <c r="C776" s="46" t="s">
        <v>90</v>
      </c>
      <c r="D776" s="60"/>
      <c r="E776" s="60"/>
      <c r="F776" s="46" t="s">
        <v>225</v>
      </c>
      <c r="G776" s="46" t="s">
        <v>159</v>
      </c>
      <c r="H776" s="46" t="s">
        <v>592</v>
      </c>
      <c r="I776" s="46" t="s">
        <v>169</v>
      </c>
      <c r="J776" s="46" t="s">
        <v>248</v>
      </c>
      <c r="K776" s="46" t="s">
        <v>141</v>
      </c>
      <c r="L776" s="46"/>
      <c r="M776" s="46">
        <v>1</v>
      </c>
      <c r="N776" s="46"/>
      <c r="O776" s="46">
        <v>1</v>
      </c>
      <c r="P776" s="46"/>
      <c r="Q776" s="46"/>
      <c r="R776" s="46"/>
      <c r="S776" s="46"/>
      <c r="T776" s="46"/>
      <c r="U776" s="46"/>
      <c r="V776" s="46"/>
      <c r="W776" s="46">
        <v>1</v>
      </c>
      <c r="X776" s="46"/>
      <c r="Y776" s="46"/>
      <c r="Z776" s="46" t="s">
        <v>1664</v>
      </c>
      <c r="AA776" s="61">
        <v>300</v>
      </c>
      <c r="AB776" s="62">
        <f t="shared" si="95"/>
        <v>66666.666666666672</v>
      </c>
      <c r="AC776" s="63">
        <f t="shared" si="96"/>
        <v>51.975999999999999</v>
      </c>
      <c r="AD776" s="62"/>
      <c r="AE776" s="62">
        <f t="shared" si="94"/>
        <v>66666.666666666672</v>
      </c>
      <c r="AF776" s="64" t="s">
        <v>2439</v>
      </c>
      <c r="AG776" s="49">
        <v>0.5</v>
      </c>
    </row>
    <row r="777" spans="1:33" ht="34.5" customHeight="1" x14ac:dyDescent="0.3">
      <c r="A777" s="46">
        <v>1171</v>
      </c>
      <c r="B777" s="46" t="s">
        <v>2440</v>
      </c>
      <c r="C777" s="46" t="s">
        <v>64</v>
      </c>
      <c r="D777" s="60">
        <v>2024</v>
      </c>
      <c r="E777" s="60"/>
      <c r="F777" s="46" t="s">
        <v>591</v>
      </c>
      <c r="G777" s="46" t="s">
        <v>159</v>
      </c>
      <c r="H777" s="46" t="s">
        <v>592</v>
      </c>
      <c r="I777" s="46" t="s">
        <v>169</v>
      </c>
      <c r="J777" s="46" t="s">
        <v>244</v>
      </c>
      <c r="K777" s="46" t="s">
        <v>141</v>
      </c>
      <c r="L777" s="46"/>
      <c r="M777" s="46">
        <v>1</v>
      </c>
      <c r="N777" s="46"/>
      <c r="O777" s="46"/>
      <c r="P777" s="46"/>
      <c r="Q777" s="46">
        <v>1</v>
      </c>
      <c r="R777" s="46"/>
      <c r="S777" s="46"/>
      <c r="T777" s="46"/>
      <c r="U777" s="46"/>
      <c r="V777" s="46"/>
      <c r="W777" s="46"/>
      <c r="X777" s="46"/>
      <c r="Y777" s="46"/>
      <c r="Z777" s="46" t="s">
        <v>2441</v>
      </c>
      <c r="AA777" s="61">
        <v>2100</v>
      </c>
      <c r="AB777" s="62">
        <f t="shared" si="95"/>
        <v>466666.66666666669</v>
      </c>
      <c r="AC777" s="63">
        <f t="shared" si="96"/>
        <v>363.83199999999999</v>
      </c>
      <c r="AD777" s="62"/>
      <c r="AE777" s="62">
        <f t="shared" si="94"/>
        <v>466666.66666666669</v>
      </c>
      <c r="AF777" s="64" t="s">
        <v>2442</v>
      </c>
      <c r="AG777" s="49">
        <v>0.3</v>
      </c>
    </row>
    <row r="778" spans="1:33" ht="34.5" customHeight="1" x14ac:dyDescent="0.3">
      <c r="A778" s="46">
        <v>1172</v>
      </c>
      <c r="B778" s="46" t="s">
        <v>2443</v>
      </c>
      <c r="C778" s="46" t="s">
        <v>121</v>
      </c>
      <c r="D778" s="60">
        <v>2022</v>
      </c>
      <c r="E778" s="60"/>
      <c r="F778" s="46" t="s">
        <v>226</v>
      </c>
      <c r="G778" s="46" t="s">
        <v>1</v>
      </c>
      <c r="H778" s="46"/>
      <c r="I778" s="46" t="s">
        <v>169</v>
      </c>
      <c r="J778" s="46" t="s">
        <v>244</v>
      </c>
      <c r="K778" s="46" t="s">
        <v>68</v>
      </c>
      <c r="L778" s="46">
        <v>1</v>
      </c>
      <c r="M778" s="46"/>
      <c r="N778" s="46"/>
      <c r="O778" s="46"/>
      <c r="P778" s="46"/>
      <c r="Q778" s="46"/>
      <c r="R778" s="46"/>
      <c r="S778" s="46"/>
      <c r="T778" s="46"/>
      <c r="U778" s="46"/>
      <c r="V778" s="46"/>
      <c r="W778" s="46"/>
      <c r="X778" s="46"/>
      <c r="Y778" s="46"/>
      <c r="Z778" s="46" t="s">
        <v>2444</v>
      </c>
      <c r="AA778" s="61">
        <v>0.05</v>
      </c>
      <c r="AB778" s="62">
        <f t="shared" si="95"/>
        <v>9.6153846153846168</v>
      </c>
      <c r="AC778" s="63">
        <f t="shared" si="96"/>
        <v>7.4965384615384616E-3</v>
      </c>
      <c r="AD778" s="62"/>
      <c r="AE778" s="62">
        <f t="shared" si="94"/>
        <v>9.6153846153846168</v>
      </c>
      <c r="AF778" s="64" t="s">
        <v>2445</v>
      </c>
      <c r="AG778" s="49">
        <v>0.3</v>
      </c>
    </row>
    <row r="779" spans="1:33" ht="34.5" customHeight="1" x14ac:dyDescent="0.3">
      <c r="A779" s="46">
        <v>1173</v>
      </c>
      <c r="B779" s="46" t="s">
        <v>2446</v>
      </c>
      <c r="C779" s="46" t="s">
        <v>64</v>
      </c>
      <c r="D779" s="60"/>
      <c r="E779" s="60"/>
      <c r="F779" s="46" t="s">
        <v>591</v>
      </c>
      <c r="G779" s="46" t="s">
        <v>159</v>
      </c>
      <c r="H779" s="46" t="s">
        <v>592</v>
      </c>
      <c r="I779" s="46" t="s">
        <v>169</v>
      </c>
      <c r="J779" s="46" t="s">
        <v>244</v>
      </c>
      <c r="K779" s="46" t="s">
        <v>68</v>
      </c>
      <c r="L779" s="46"/>
      <c r="M779" s="46"/>
      <c r="N779" s="46"/>
      <c r="O779" s="46"/>
      <c r="P779" s="46"/>
      <c r="Q779" s="46">
        <v>1</v>
      </c>
      <c r="R779" s="46"/>
      <c r="S779" s="46"/>
      <c r="T779" s="46"/>
      <c r="U779" s="46"/>
      <c r="V779" s="46"/>
      <c r="W779" s="46"/>
      <c r="X779" s="46"/>
      <c r="Y779" s="46"/>
      <c r="Z779" s="46" t="s">
        <v>1396</v>
      </c>
      <c r="AA779" s="61">
        <v>5</v>
      </c>
      <c r="AB779" s="62">
        <f t="shared" si="95"/>
        <v>1111.1111111111111</v>
      </c>
      <c r="AC779" s="63">
        <f t="shared" si="96"/>
        <v>0.86626666666666663</v>
      </c>
      <c r="AD779" s="62"/>
      <c r="AE779" s="62">
        <f t="shared" si="94"/>
        <v>1111.1111111111111</v>
      </c>
      <c r="AF779" s="64" t="s">
        <v>2447</v>
      </c>
      <c r="AG779" s="49">
        <v>0.3</v>
      </c>
    </row>
    <row r="780" spans="1:33" ht="34.5" customHeight="1" x14ac:dyDescent="0.3">
      <c r="A780" s="46">
        <v>1174</v>
      </c>
      <c r="B780" s="46" t="s">
        <v>2448</v>
      </c>
      <c r="C780" s="46" t="s">
        <v>64</v>
      </c>
      <c r="D780" s="60"/>
      <c r="E780" s="60"/>
      <c r="F780" s="46" t="s">
        <v>591</v>
      </c>
      <c r="G780" s="46" t="s">
        <v>159</v>
      </c>
      <c r="H780" s="46" t="s">
        <v>592</v>
      </c>
      <c r="I780" s="46" t="s">
        <v>157</v>
      </c>
      <c r="J780" s="46" t="s">
        <v>248</v>
      </c>
      <c r="K780" s="46" t="s">
        <v>140</v>
      </c>
      <c r="L780" s="46"/>
      <c r="M780" s="46"/>
      <c r="N780" s="46">
        <v>1</v>
      </c>
      <c r="O780" s="46"/>
      <c r="P780" s="46">
        <v>1</v>
      </c>
      <c r="Q780" s="46">
        <v>1</v>
      </c>
      <c r="R780" s="46"/>
      <c r="S780" s="46"/>
      <c r="T780" s="46"/>
      <c r="U780" s="46"/>
      <c r="V780" s="46"/>
      <c r="W780" s="46"/>
      <c r="X780" s="46"/>
      <c r="Y780" s="46"/>
      <c r="Z780" s="46" t="s">
        <v>1847</v>
      </c>
      <c r="AA780" s="61">
        <v>300</v>
      </c>
      <c r="AB780" s="62">
        <f t="shared" si="95"/>
        <v>66666.666666666672</v>
      </c>
      <c r="AC780" s="63">
        <f t="shared" si="96"/>
        <v>51.975999999999999</v>
      </c>
      <c r="AD780" s="62"/>
      <c r="AE780" s="62">
        <f t="shared" si="94"/>
        <v>66666.666666666672</v>
      </c>
      <c r="AF780" s="64"/>
      <c r="AG780" s="49">
        <v>0.56999999999999995</v>
      </c>
    </row>
    <row r="781" spans="1:33" ht="34.5" customHeight="1" x14ac:dyDescent="0.3">
      <c r="A781" s="46">
        <v>1175</v>
      </c>
      <c r="B781" s="46" t="s">
        <v>2449</v>
      </c>
      <c r="C781" s="46" t="s">
        <v>51</v>
      </c>
      <c r="D781" s="60"/>
      <c r="E781" s="60"/>
      <c r="F781" s="46" t="s">
        <v>225</v>
      </c>
      <c r="G781" s="46" t="s">
        <v>159</v>
      </c>
      <c r="H781" s="46" t="s">
        <v>592</v>
      </c>
      <c r="I781" s="46" t="s">
        <v>157</v>
      </c>
      <c r="J781" s="46"/>
      <c r="K781" s="46" t="s">
        <v>68</v>
      </c>
      <c r="L781" s="46"/>
      <c r="M781" s="46"/>
      <c r="N781" s="46"/>
      <c r="O781" s="46"/>
      <c r="P781" s="46"/>
      <c r="Q781" s="46">
        <v>1</v>
      </c>
      <c r="R781" s="46"/>
      <c r="S781" s="46"/>
      <c r="T781" s="46"/>
      <c r="U781" s="46"/>
      <c r="V781" s="46"/>
      <c r="W781" s="46"/>
      <c r="X781" s="46"/>
      <c r="Y781" s="46"/>
      <c r="Z781" s="46" t="s">
        <v>2450</v>
      </c>
      <c r="AA781" s="61">
        <f>IF(OR(G781="ALK",G781="PEM",G781="SOEC",G781="Other Electrolysis"),
AB781*VLOOKUP(G781,ElectrolysisConvF,3,FALSE),
"")</f>
        <v>0.42134831460674149</v>
      </c>
      <c r="AB781" s="62">
        <f>AC781/(H2dens*HoursInYear/10^6)</f>
        <v>93.63295880149812</v>
      </c>
      <c r="AC781" s="63">
        <f>200*365/10^6</f>
        <v>7.2999999999999995E-2</v>
      </c>
      <c r="AD781" s="62"/>
      <c r="AE781" s="62">
        <f t="shared" si="94"/>
        <v>93.63295880149812</v>
      </c>
      <c r="AF781" s="64" t="s">
        <v>2451</v>
      </c>
      <c r="AG781" s="49">
        <v>0.56999999999999995</v>
      </c>
    </row>
    <row r="782" spans="1:33" ht="34.5" customHeight="1" x14ac:dyDescent="0.3">
      <c r="A782" s="46">
        <v>1176</v>
      </c>
      <c r="B782" s="46" t="s">
        <v>2452</v>
      </c>
      <c r="C782" s="46" t="s">
        <v>51</v>
      </c>
      <c r="D782" s="60"/>
      <c r="E782" s="60"/>
      <c r="F782" s="46" t="s">
        <v>591</v>
      </c>
      <c r="G782" s="46" t="s">
        <v>159</v>
      </c>
      <c r="H782" s="46" t="s">
        <v>592</v>
      </c>
      <c r="I782" s="46" t="s">
        <v>157</v>
      </c>
      <c r="J782" s="46"/>
      <c r="K782" s="46" t="s">
        <v>68</v>
      </c>
      <c r="L782" s="46"/>
      <c r="M782" s="46"/>
      <c r="N782" s="46"/>
      <c r="O782" s="46"/>
      <c r="P782" s="46"/>
      <c r="Q782" s="46">
        <v>1</v>
      </c>
      <c r="R782" s="46"/>
      <c r="S782" s="46"/>
      <c r="T782" s="46"/>
      <c r="U782" s="46"/>
      <c r="V782" s="46"/>
      <c r="W782" s="46"/>
      <c r="X782" s="46"/>
      <c r="Y782" s="46"/>
      <c r="Z782" s="46"/>
      <c r="AA782" s="61"/>
      <c r="AB782" s="62"/>
      <c r="AC782" s="63"/>
      <c r="AD782" s="62"/>
      <c r="AE782" s="62">
        <f t="shared" si="94"/>
        <v>0</v>
      </c>
      <c r="AF782" s="64" t="s">
        <v>2453</v>
      </c>
      <c r="AG782" s="49">
        <v>0.56999999999999995</v>
      </c>
    </row>
    <row r="783" spans="1:33" ht="34.5" customHeight="1" x14ac:dyDescent="0.3">
      <c r="A783" s="46">
        <v>1177</v>
      </c>
      <c r="B783" s="46" t="s">
        <v>2454</v>
      </c>
      <c r="C783" s="46" t="s">
        <v>51</v>
      </c>
      <c r="D783" s="60"/>
      <c r="E783" s="60"/>
      <c r="F783" s="46" t="s">
        <v>591</v>
      </c>
      <c r="G783" s="46" t="s">
        <v>159</v>
      </c>
      <c r="H783" s="46" t="s">
        <v>592</v>
      </c>
      <c r="I783" s="46" t="s">
        <v>157</v>
      </c>
      <c r="J783" s="46"/>
      <c r="K783" s="46" t="s">
        <v>68</v>
      </c>
      <c r="L783" s="46"/>
      <c r="M783" s="46"/>
      <c r="N783" s="46"/>
      <c r="O783" s="46"/>
      <c r="P783" s="46"/>
      <c r="Q783" s="46">
        <v>1</v>
      </c>
      <c r="R783" s="46"/>
      <c r="S783" s="46"/>
      <c r="T783" s="46"/>
      <c r="U783" s="46"/>
      <c r="V783" s="46"/>
      <c r="W783" s="46"/>
      <c r="X783" s="46"/>
      <c r="Y783" s="46"/>
      <c r="Z783" s="46"/>
      <c r="AA783" s="61"/>
      <c r="AB783" s="62"/>
      <c r="AC783" s="63"/>
      <c r="AD783" s="62"/>
      <c r="AE783" s="62">
        <f t="shared" si="94"/>
        <v>0</v>
      </c>
      <c r="AF783" s="64" t="s">
        <v>2453</v>
      </c>
      <c r="AG783" s="49">
        <v>0.56999999999999995</v>
      </c>
    </row>
    <row r="784" spans="1:33" ht="34.5" customHeight="1" x14ac:dyDescent="0.3">
      <c r="A784" s="46">
        <v>1178</v>
      </c>
      <c r="B784" s="46" t="s">
        <v>2455</v>
      </c>
      <c r="C784" s="46" t="s">
        <v>47</v>
      </c>
      <c r="D784" s="60">
        <v>2025</v>
      </c>
      <c r="E784" s="60"/>
      <c r="F784" s="46" t="s">
        <v>675</v>
      </c>
      <c r="G784" s="46" t="s">
        <v>161</v>
      </c>
      <c r="H784" s="46" t="s">
        <v>1951</v>
      </c>
      <c r="I784" s="46" t="str">
        <f>IF(AND(G784&lt;&gt;"ALK",G784&lt;&gt;"PEM",G784&lt;&gt;"SOEC",G784&lt;&gt;"Other electrolysis"),"N/A","")</f>
        <v>N/A</v>
      </c>
      <c r="J784" s="46" t="str">
        <f>IF(I784&lt;&gt;"Dedicated renewable","N/A",)</f>
        <v>N/A</v>
      </c>
      <c r="K784" s="46" t="s">
        <v>141</v>
      </c>
      <c r="L784" s="46"/>
      <c r="M784" s="46">
        <v>1</v>
      </c>
      <c r="N784" s="46"/>
      <c r="O784" s="46"/>
      <c r="P784" s="46"/>
      <c r="Q784" s="46"/>
      <c r="R784" s="46"/>
      <c r="S784" s="46"/>
      <c r="T784" s="46"/>
      <c r="U784" s="46"/>
      <c r="V784" s="46"/>
      <c r="W784" s="46"/>
      <c r="X784" s="46"/>
      <c r="Y784" s="46"/>
      <c r="Z784" s="46" t="s">
        <v>2456</v>
      </c>
      <c r="AA784" s="61"/>
      <c r="AB784" s="62">
        <f>AC784/(H2dens*HoursInYear/10^6)</f>
        <v>230968.17609605024</v>
      </c>
      <c r="AC784" s="63">
        <f>1000*3/17/0.98</f>
        <v>180.0720288115246</v>
      </c>
      <c r="AD784" s="62"/>
      <c r="AE784" s="62">
        <f t="shared" si="94"/>
        <v>0</v>
      </c>
      <c r="AF784" s="64" t="s">
        <v>2457</v>
      </c>
      <c r="AG784" s="49">
        <v>0.9</v>
      </c>
    </row>
    <row r="785" spans="1:33" ht="34.5" customHeight="1" x14ac:dyDescent="0.3">
      <c r="A785" s="46">
        <v>1180</v>
      </c>
      <c r="B785" s="46" t="s">
        <v>2458</v>
      </c>
      <c r="C785" s="46" t="s">
        <v>39</v>
      </c>
      <c r="D785" s="60">
        <v>2024</v>
      </c>
      <c r="E785" s="60"/>
      <c r="F785" s="46" t="s">
        <v>225</v>
      </c>
      <c r="G785" s="46" t="s">
        <v>159</v>
      </c>
      <c r="H785" s="46" t="s">
        <v>592</v>
      </c>
      <c r="I785" s="46" t="s">
        <v>169</v>
      </c>
      <c r="J785" s="46" t="s">
        <v>69</v>
      </c>
      <c r="K785" s="46" t="s">
        <v>68</v>
      </c>
      <c r="L785" s="46"/>
      <c r="M785" s="46"/>
      <c r="N785" s="46"/>
      <c r="O785" s="46"/>
      <c r="P785" s="46">
        <v>1</v>
      </c>
      <c r="Q785" s="46"/>
      <c r="R785" s="46"/>
      <c r="S785" s="46"/>
      <c r="T785" s="46"/>
      <c r="U785" s="46"/>
      <c r="V785" s="46"/>
      <c r="W785" s="46"/>
      <c r="X785" s="46"/>
      <c r="Y785" s="46"/>
      <c r="Z785" s="46" t="s">
        <v>1168</v>
      </c>
      <c r="AA785" s="61">
        <v>10</v>
      </c>
      <c r="AB785" s="62">
        <f>IF(OR(G785="ALK",G785="PEM",G785="SOEC",G785="Other Electrolysis"),
AA785/VLOOKUP(G785,ElectrolysisConvF,3,FALSE),
AC785*10^6/(H2dens*HoursInYear))</f>
        <v>2222.2222222222222</v>
      </c>
      <c r="AC785" s="63">
        <f>AB785*H2dens*HoursInYear/10^6</f>
        <v>1.7325333333333333</v>
      </c>
      <c r="AD785" s="62"/>
      <c r="AE785" s="62">
        <f>IF(AND(G785&lt;&gt;"NG w CCUS",G785&lt;&gt;"Oil w CCUS",G785&lt;&gt;"Coal w CCUS"),AB785,AD785*10^3/(HoursInYear*IF(G785="NG w CCUS",0.9105,1.9075)))</f>
        <v>2222.2222222222222</v>
      </c>
      <c r="AF785" s="64" t="s">
        <v>2459</v>
      </c>
      <c r="AG785" s="49">
        <v>0.5</v>
      </c>
    </row>
    <row r="786" spans="1:33" ht="34.5" customHeight="1" x14ac:dyDescent="0.3">
      <c r="A786" s="46">
        <v>1181</v>
      </c>
      <c r="B786" s="46" t="s">
        <v>2460</v>
      </c>
      <c r="C786" s="46" t="s">
        <v>39</v>
      </c>
      <c r="D786" s="60">
        <v>2024</v>
      </c>
      <c r="E786" s="60"/>
      <c r="F786" s="46" t="s">
        <v>225</v>
      </c>
      <c r="G786" s="46" t="s">
        <v>159</v>
      </c>
      <c r="H786" s="46" t="s">
        <v>592</v>
      </c>
      <c r="I786" s="46" t="s">
        <v>169</v>
      </c>
      <c r="J786" s="46" t="s">
        <v>244</v>
      </c>
      <c r="K786" s="46" t="s">
        <v>68</v>
      </c>
      <c r="L786" s="46"/>
      <c r="M786" s="46"/>
      <c r="N786" s="46"/>
      <c r="O786" s="46"/>
      <c r="P786" s="46"/>
      <c r="Q786" s="46">
        <v>1</v>
      </c>
      <c r="R786" s="46"/>
      <c r="S786" s="46"/>
      <c r="T786" s="46"/>
      <c r="U786" s="46"/>
      <c r="V786" s="46"/>
      <c r="W786" s="46"/>
      <c r="X786" s="46"/>
      <c r="Y786" s="46"/>
      <c r="Z786" s="46" t="s">
        <v>1168</v>
      </c>
      <c r="AA786" s="61">
        <v>10</v>
      </c>
      <c r="AB786" s="62">
        <f>IF(OR(G786="ALK",G786="PEM",G786="SOEC",G786="Other Electrolysis"),
AA786/VLOOKUP(G786,ElectrolysisConvF,3,FALSE),
AC786*10^6/(H2dens*HoursInYear))</f>
        <v>2222.2222222222222</v>
      </c>
      <c r="AC786" s="63">
        <f>AB786*H2dens*HoursInYear/10^6</f>
        <v>1.7325333333333333</v>
      </c>
      <c r="AD786" s="62"/>
      <c r="AE786" s="62">
        <f>IF(AND(G786&lt;&gt;"NG w CCUS",G786&lt;&gt;"Oil w CCUS",G786&lt;&gt;"Coal w CCUS"),AB786,AD786*10^3/(HoursInYear*IF(G786="NG w CCUS",0.9105,1.9075)))</f>
        <v>2222.2222222222222</v>
      </c>
      <c r="AF786" s="64" t="s">
        <v>2459</v>
      </c>
      <c r="AG786" s="49">
        <v>0.3</v>
      </c>
    </row>
    <row r="787" spans="1:33" ht="34.5" customHeight="1" x14ac:dyDescent="0.3">
      <c r="A787" s="46">
        <v>1182</v>
      </c>
      <c r="B787" s="46" t="s">
        <v>2461</v>
      </c>
      <c r="C787" s="46" t="s">
        <v>40</v>
      </c>
      <c r="D787" s="60">
        <v>2023</v>
      </c>
      <c r="E787" s="60"/>
      <c r="F787" s="46" t="s">
        <v>675</v>
      </c>
      <c r="G787" s="46" t="s">
        <v>1</v>
      </c>
      <c r="H787" s="46"/>
      <c r="I787" s="46" t="s">
        <v>169</v>
      </c>
      <c r="J787" s="46" t="s">
        <v>248</v>
      </c>
      <c r="K787" s="46" t="s">
        <v>68</v>
      </c>
      <c r="L787" s="46"/>
      <c r="M787" s="46"/>
      <c r="N787" s="46"/>
      <c r="O787" s="46"/>
      <c r="P787" s="46"/>
      <c r="Q787" s="46">
        <v>1</v>
      </c>
      <c r="R787" s="46"/>
      <c r="S787" s="46"/>
      <c r="T787" s="46"/>
      <c r="U787" s="46"/>
      <c r="V787" s="46"/>
      <c r="W787" s="46"/>
      <c r="X787" s="46"/>
      <c r="Y787" s="46"/>
      <c r="Z787" s="46" t="s">
        <v>2462</v>
      </c>
      <c r="AA787" s="61">
        <f>IF(OR(G787="ALK",G787="PEM",G787="SOEC",G787="Other Electrolysis"),
AB787*VLOOKUP(G787,ElectrolysisConvF,3,FALSE),
"")</f>
        <v>73.033707865168537</v>
      </c>
      <c r="AB787" s="62">
        <f>AC787/(H2dens*HoursInYear/10^6)</f>
        <v>14044.943820224718</v>
      </c>
      <c r="AC787" s="63">
        <f>15*365/1000/H2ProjectDB4578610[[#This Row],[Column33]]</f>
        <v>10.95</v>
      </c>
      <c r="AD787" s="62"/>
      <c r="AE787" s="62">
        <f>IF(AND(G787&lt;&gt;"NG w CCUS",G787&lt;&gt;"Oil w CCUS",G787&lt;&gt;"Coal w CCUS"),AB787,AD787*10^3/(HoursInYear*IF(G787="NG w CCUS",0.9105,1.9075)))</f>
        <v>14044.943820224718</v>
      </c>
      <c r="AF787" s="64" t="s">
        <v>2463</v>
      </c>
      <c r="AG787" s="49">
        <v>0.5</v>
      </c>
    </row>
    <row r="788" spans="1:33" ht="34.5" customHeight="1" x14ac:dyDescent="0.3">
      <c r="A788" s="46">
        <v>1183</v>
      </c>
      <c r="B788" s="46" t="s">
        <v>2464</v>
      </c>
      <c r="C788" s="46" t="s">
        <v>318</v>
      </c>
      <c r="D788" s="60"/>
      <c r="E788" s="60"/>
      <c r="F788" s="46" t="s">
        <v>225</v>
      </c>
      <c r="G788" s="46" t="s">
        <v>159</v>
      </c>
      <c r="H788" s="46" t="s">
        <v>592</v>
      </c>
      <c r="I788" s="46" t="s">
        <v>169</v>
      </c>
      <c r="J788" s="46" t="s">
        <v>244</v>
      </c>
      <c r="K788" s="46" t="s">
        <v>68</v>
      </c>
      <c r="L788" s="46"/>
      <c r="M788" s="46"/>
      <c r="N788" s="46"/>
      <c r="O788" s="46"/>
      <c r="P788" s="46"/>
      <c r="Q788" s="46"/>
      <c r="R788" s="46"/>
      <c r="S788" s="46"/>
      <c r="T788" s="46"/>
      <c r="U788" s="46"/>
      <c r="V788" s="46"/>
      <c r="W788" s="46"/>
      <c r="X788" s="46"/>
      <c r="Y788" s="46"/>
      <c r="Z788" s="46" t="s">
        <v>2465</v>
      </c>
      <c r="AA788" s="61">
        <v>0.5</v>
      </c>
      <c r="AB788" s="62">
        <f>IF(OR(G788="ALK",G788="PEM",G788="SOEC",G788="Other Electrolysis"),
AA788/VLOOKUP(G788,ElectrolysisConvF,3,FALSE),
AC788*10^6/(H2dens*HoursInYear))</f>
        <v>111.11111111111111</v>
      </c>
      <c r="AC788" s="63">
        <f>AB788*H2dens*HoursInYear/10^6</f>
        <v>8.6626666666666671E-2</v>
      </c>
      <c r="AD788" s="62"/>
      <c r="AE788" s="62">
        <f>IF(AND(G788&lt;&gt;"NG w CCUS",G788&lt;&gt;"Oil w CCUS",G788&lt;&gt;"Coal w CCUS"),AB788,AD788*10^3/(HoursInYear*IF(G788="NG w CCUS",0.9105,1.9075)))</f>
        <v>111.11111111111111</v>
      </c>
      <c r="AF788" s="64" t="s">
        <v>2466</v>
      </c>
      <c r="AG788" s="49">
        <v>0.3</v>
      </c>
    </row>
    <row r="789" spans="1:33" ht="34.5" customHeight="1" x14ac:dyDescent="0.3">
      <c r="A789" s="46">
        <v>1184</v>
      </c>
      <c r="B789" s="46" t="s">
        <v>2467</v>
      </c>
      <c r="C789" s="46" t="s">
        <v>34</v>
      </c>
      <c r="D789" s="60">
        <v>2023</v>
      </c>
      <c r="E789" s="60"/>
      <c r="F789" s="46" t="s">
        <v>226</v>
      </c>
      <c r="G789" s="46" t="s">
        <v>1</v>
      </c>
      <c r="H789" s="46"/>
      <c r="I789" s="46" t="s">
        <v>169</v>
      </c>
      <c r="J789" s="46" t="s">
        <v>246</v>
      </c>
      <c r="K789" s="46" t="s">
        <v>68</v>
      </c>
      <c r="L789" s="46"/>
      <c r="M789" s="46"/>
      <c r="N789" s="46"/>
      <c r="O789" s="46"/>
      <c r="P789" s="46"/>
      <c r="Q789" s="46"/>
      <c r="R789" s="46"/>
      <c r="S789" s="46"/>
      <c r="T789" s="46"/>
      <c r="U789" s="46"/>
      <c r="V789" s="46"/>
      <c r="W789" s="46"/>
      <c r="X789" s="46"/>
      <c r="Y789" s="46"/>
      <c r="Z789" s="46" t="s">
        <v>2468</v>
      </c>
      <c r="AA789" s="61">
        <v>1</v>
      </c>
      <c r="AB789" s="62">
        <f>IF(OR(G789="ALK",G789="PEM",G789="SOEC",G789="Other Electrolysis"),
AA789/VLOOKUP(G789,ElectrolysisConvF,3,FALSE),
AC789*10^6/(H2dens*HoursInYear))</f>
        <v>192.30769230769232</v>
      </c>
      <c r="AC789" s="63">
        <f>AB789*H2dens*HoursInYear/10^6</f>
        <v>0.14993076923076926</v>
      </c>
      <c r="AD789" s="62"/>
      <c r="AE789" s="62">
        <f>IF(AND(G789&lt;&gt;"NG w CCUS",G789&lt;&gt;"Oil w CCUS",G789&lt;&gt;"Coal w CCUS"),AB789,AD789*10^3/(HoursInYear*IF(G789="NG w CCUS",0.9105,1.9075)))</f>
        <v>192.30769230769232</v>
      </c>
      <c r="AF789" s="64" t="s">
        <v>2469</v>
      </c>
      <c r="AG789" s="49">
        <v>0.55000000000000004</v>
      </c>
    </row>
    <row r="790" spans="1:33" ht="34.5" customHeight="1" x14ac:dyDescent="0.3">
      <c r="A790" s="46">
        <v>1185</v>
      </c>
      <c r="B790" s="46" t="s">
        <v>2470</v>
      </c>
      <c r="C790" s="46" t="s">
        <v>43</v>
      </c>
      <c r="D790" s="60">
        <v>2021</v>
      </c>
      <c r="E790" s="60"/>
      <c r="F790" s="46" t="s">
        <v>226</v>
      </c>
      <c r="G790" s="46" t="s">
        <v>159</v>
      </c>
      <c r="H790" s="46" t="s">
        <v>592</v>
      </c>
      <c r="I790" s="46" t="s">
        <v>169</v>
      </c>
      <c r="J790" s="46" t="s">
        <v>244</v>
      </c>
      <c r="K790" s="46" t="s">
        <v>141</v>
      </c>
      <c r="L790" s="46"/>
      <c r="M790" s="46">
        <v>1</v>
      </c>
      <c r="N790" s="46"/>
      <c r="O790" s="46"/>
      <c r="P790" s="46"/>
      <c r="Q790" s="46"/>
      <c r="R790" s="46"/>
      <c r="S790" s="46"/>
      <c r="T790" s="46"/>
      <c r="U790" s="46"/>
      <c r="V790" s="46"/>
      <c r="W790" s="46"/>
      <c r="X790" s="46"/>
      <c r="Y790" s="46"/>
      <c r="Z790" s="46" t="s">
        <v>2471</v>
      </c>
      <c r="AA790" s="61">
        <v>5</v>
      </c>
      <c r="AB790" s="62">
        <f>IF(OR(G790="ALK",G790="PEM",G790="SOEC",G790="Other Electrolysis"),
AA790/VLOOKUP(G790,ElectrolysisConvF,3,FALSE),
AC790*10^6/(H2dens*HoursInYear))</f>
        <v>1111.1111111111111</v>
      </c>
      <c r="AC790" s="63">
        <f>AB790*H2dens*HoursInYear/10^6</f>
        <v>0.86626666666666663</v>
      </c>
      <c r="AD790" s="62"/>
      <c r="AE790" s="62"/>
      <c r="AF790" s="64" t="s">
        <v>2472</v>
      </c>
      <c r="AG790" s="49">
        <v>0.3</v>
      </c>
    </row>
    <row r="791" spans="1:33" ht="34.5" customHeight="1" x14ac:dyDescent="0.3">
      <c r="A791" s="46">
        <v>1186</v>
      </c>
      <c r="B791" s="46" t="s">
        <v>2473</v>
      </c>
      <c r="C791" s="46" t="s">
        <v>135</v>
      </c>
      <c r="D791" s="60"/>
      <c r="E791" s="60"/>
      <c r="F791" s="46" t="s">
        <v>675</v>
      </c>
      <c r="G791" s="46" t="s">
        <v>159</v>
      </c>
      <c r="H791" s="46" t="s">
        <v>592</v>
      </c>
      <c r="I791" s="46" t="s">
        <v>169</v>
      </c>
      <c r="J791" s="46" t="s">
        <v>69</v>
      </c>
      <c r="K791" s="46" t="s">
        <v>141</v>
      </c>
      <c r="L791" s="46"/>
      <c r="M791" s="46">
        <v>1</v>
      </c>
      <c r="N791" s="46"/>
      <c r="O791" s="46"/>
      <c r="P791" s="46"/>
      <c r="Q791" s="46"/>
      <c r="R791" s="46"/>
      <c r="S791" s="46"/>
      <c r="T791" s="46"/>
      <c r="U791" s="46"/>
      <c r="V791" s="46"/>
      <c r="W791" s="46"/>
      <c r="X791" s="46"/>
      <c r="Y791" s="46"/>
      <c r="Z791" s="46" t="s">
        <v>2474</v>
      </c>
      <c r="AA791" s="61"/>
      <c r="AB791" s="62"/>
      <c r="AC791" s="63"/>
      <c r="AD791" s="62"/>
      <c r="AE791" s="62"/>
      <c r="AF791" s="64" t="s">
        <v>2475</v>
      </c>
      <c r="AG791" s="49">
        <v>0.5</v>
      </c>
    </row>
    <row r="792" spans="1:33" ht="34.5" customHeight="1" x14ac:dyDescent="0.3">
      <c r="A792" s="46">
        <v>1187</v>
      </c>
      <c r="B792" s="46" t="s">
        <v>2476</v>
      </c>
      <c r="C792" s="46" t="s">
        <v>63</v>
      </c>
      <c r="D792" s="60">
        <v>2023</v>
      </c>
      <c r="E792" s="60"/>
      <c r="F792" s="46" t="s">
        <v>226</v>
      </c>
      <c r="G792" s="46" t="s">
        <v>3</v>
      </c>
      <c r="H792" s="46"/>
      <c r="I792" s="46" t="s">
        <v>166</v>
      </c>
      <c r="J792" s="46"/>
      <c r="K792" s="46" t="s">
        <v>68</v>
      </c>
      <c r="L792" s="46"/>
      <c r="M792" s="46"/>
      <c r="N792" s="46"/>
      <c r="O792" s="46">
        <v>1</v>
      </c>
      <c r="P792" s="46"/>
      <c r="Q792" s="46"/>
      <c r="R792" s="46"/>
      <c r="S792" s="46"/>
      <c r="T792" s="46"/>
      <c r="U792" s="46"/>
      <c r="V792" s="46"/>
      <c r="W792" s="46"/>
      <c r="X792" s="46"/>
      <c r="Y792" s="46"/>
      <c r="Z792" s="46" t="s">
        <v>2139</v>
      </c>
      <c r="AA792" s="61">
        <v>17</v>
      </c>
      <c r="AB792" s="62">
        <f t="shared" ref="AB792:AB798" si="97">IF(OR(G792="ALK",G792="PEM",G792="SOEC",G792="Other Electrolysis"),
AA792/VLOOKUP(G792,ElectrolysisConvF,3,FALSE),
AC792*10^6/(H2dens*HoursInYear))</f>
        <v>3695.6521739130435</v>
      </c>
      <c r="AC792" s="63">
        <f t="shared" ref="AC792:AC800" si="98">AB792*H2dens*HoursInYear/10^6</f>
        <v>2.8812782608695655</v>
      </c>
      <c r="AD792" s="62"/>
      <c r="AE792" s="62">
        <f>IF(AND(G792&lt;&gt;"NG w CCUS",G792&lt;&gt;"Oil w CCUS",G792&lt;&gt;"Coal w CCUS"),AB792,AD792*10^3/(HoursInYear*IF(G792="NG w CCUS",0.9105,1.9075)))</f>
        <v>3695.6521739130435</v>
      </c>
      <c r="AF792" s="64" t="s">
        <v>2477</v>
      </c>
      <c r="AG792" s="49">
        <v>0.56999999999999995</v>
      </c>
    </row>
    <row r="793" spans="1:33" ht="34.5" customHeight="1" x14ac:dyDescent="0.3">
      <c r="A793" s="46">
        <v>1188</v>
      </c>
      <c r="B793" s="46" t="s">
        <v>2478</v>
      </c>
      <c r="C793" s="46" t="s">
        <v>343</v>
      </c>
      <c r="D793" s="60">
        <v>2032</v>
      </c>
      <c r="E793" s="60"/>
      <c r="F793" s="46" t="s">
        <v>225</v>
      </c>
      <c r="G793" s="46" t="s">
        <v>159</v>
      </c>
      <c r="H793" s="46" t="s">
        <v>592</v>
      </c>
      <c r="I793" s="46" t="s">
        <v>169</v>
      </c>
      <c r="J793" s="46" t="s">
        <v>248</v>
      </c>
      <c r="K793" s="46" t="s">
        <v>141</v>
      </c>
      <c r="L793" s="46"/>
      <c r="M793" s="46">
        <v>1</v>
      </c>
      <c r="N793" s="46"/>
      <c r="O793" s="46"/>
      <c r="P793" s="46"/>
      <c r="Q793" s="46"/>
      <c r="R793" s="46"/>
      <c r="S793" s="46"/>
      <c r="T793" s="46"/>
      <c r="U793" s="46"/>
      <c r="V793" s="46"/>
      <c r="W793" s="46"/>
      <c r="X793" s="46"/>
      <c r="Y793" s="46"/>
      <c r="Z793" s="46" t="s">
        <v>2479</v>
      </c>
      <c r="AA793" s="61">
        <v>20000</v>
      </c>
      <c r="AB793" s="62">
        <f t="shared" si="97"/>
        <v>4444444.444444445</v>
      </c>
      <c r="AC793" s="63">
        <f t="shared" si="98"/>
        <v>3465.0666666666666</v>
      </c>
      <c r="AD793" s="62"/>
      <c r="AE793" s="62">
        <f>IF(AND(G793&lt;&gt;"NG w CCUS",G793&lt;&gt;"Oil w CCUS",G793&lt;&gt;"Coal w CCUS"),AB793,AD793*10^3/(HoursInYear*IF(G793="NG w CCUS",0.9105,1.9075)))</f>
        <v>4444444.444444445</v>
      </c>
      <c r="AF793" s="64" t="s">
        <v>2480</v>
      </c>
      <c r="AG793" s="49">
        <v>0.5</v>
      </c>
    </row>
    <row r="794" spans="1:33" ht="34.5" customHeight="1" x14ac:dyDescent="0.3">
      <c r="A794" s="46">
        <v>1189</v>
      </c>
      <c r="B794" s="46" t="s">
        <v>2481</v>
      </c>
      <c r="C794" s="46" t="s">
        <v>39</v>
      </c>
      <c r="D794" s="60">
        <v>2024</v>
      </c>
      <c r="E794" s="60"/>
      <c r="F794" s="46" t="s">
        <v>675</v>
      </c>
      <c r="G794" s="46" t="s">
        <v>159</v>
      </c>
      <c r="H794" s="46" t="s">
        <v>592</v>
      </c>
      <c r="I794" s="46" t="s">
        <v>169</v>
      </c>
      <c r="J794" s="46" t="s">
        <v>244</v>
      </c>
      <c r="K794" s="46" t="s">
        <v>68</v>
      </c>
      <c r="L794" s="46"/>
      <c r="M794" s="46"/>
      <c r="N794" s="46"/>
      <c r="O794" s="46"/>
      <c r="P794" s="46"/>
      <c r="Q794" s="46"/>
      <c r="R794" s="46">
        <v>1</v>
      </c>
      <c r="S794" s="46"/>
      <c r="T794" s="46"/>
      <c r="U794" s="46"/>
      <c r="V794" s="46"/>
      <c r="W794" s="46"/>
      <c r="X794" s="46"/>
      <c r="Y794" s="46"/>
      <c r="Z794" s="46" t="s">
        <v>1198</v>
      </c>
      <c r="AA794" s="61">
        <v>2</v>
      </c>
      <c r="AB794" s="62">
        <f t="shared" si="97"/>
        <v>444.44444444444446</v>
      </c>
      <c r="AC794" s="63">
        <f t="shared" si="98"/>
        <v>0.34650666666666669</v>
      </c>
      <c r="AD794" s="62"/>
      <c r="AE794" s="62">
        <f>IF(AND(G794&lt;&gt;"NG w CCUS",G794&lt;&gt;"Oil w CCUS",G794&lt;&gt;"Coal w CCUS"),AB794,AD794*10^3/(HoursInYear*IF(G794="NG w CCUS",0.9105,1.9075)))</f>
        <v>444.44444444444446</v>
      </c>
      <c r="AF794" s="64" t="s">
        <v>2482</v>
      </c>
      <c r="AG794" s="49">
        <v>0.3</v>
      </c>
    </row>
    <row r="795" spans="1:33" ht="34.5" customHeight="1" x14ac:dyDescent="0.3">
      <c r="A795" s="46">
        <v>1190</v>
      </c>
      <c r="B795" s="46" t="s">
        <v>2483</v>
      </c>
      <c r="C795" s="46" t="s">
        <v>74</v>
      </c>
      <c r="D795" s="60">
        <v>2038</v>
      </c>
      <c r="E795" s="60"/>
      <c r="F795" s="46" t="s">
        <v>225</v>
      </c>
      <c r="G795" s="75" t="s">
        <v>159</v>
      </c>
      <c r="H795" s="75" t="s">
        <v>592</v>
      </c>
      <c r="I795" s="75" t="s">
        <v>169</v>
      </c>
      <c r="J795" s="46" t="s">
        <v>248</v>
      </c>
      <c r="K795" s="46" t="s">
        <v>141</v>
      </c>
      <c r="L795" s="46"/>
      <c r="M795" s="46"/>
      <c r="N795" s="46"/>
      <c r="O795" s="46"/>
      <c r="P795" s="46"/>
      <c r="Q795" s="46"/>
      <c r="R795" s="46"/>
      <c r="S795" s="46"/>
      <c r="T795" s="46"/>
      <c r="U795" s="46"/>
      <c r="V795" s="46"/>
      <c r="W795" s="46"/>
      <c r="X795" s="46"/>
      <c r="Y795" s="46"/>
      <c r="Z795" s="46" t="s">
        <v>2484</v>
      </c>
      <c r="AA795" s="61">
        <f>14000-4667</f>
        <v>9333</v>
      </c>
      <c r="AB795" s="62">
        <f t="shared" si="97"/>
        <v>2074000.0000000002</v>
      </c>
      <c r="AC795" s="63">
        <f t="shared" si="98"/>
        <v>1616.97336</v>
      </c>
      <c r="AD795" s="62"/>
      <c r="AE795" s="62">
        <f>AB795</f>
        <v>2074000.0000000002</v>
      </c>
      <c r="AF795" s="64" t="s">
        <v>2342</v>
      </c>
      <c r="AG795" s="49">
        <v>0.5</v>
      </c>
    </row>
    <row r="796" spans="1:33" ht="34.5" customHeight="1" x14ac:dyDescent="0.3">
      <c r="A796" s="46">
        <v>1191</v>
      </c>
      <c r="B796" s="46" t="s">
        <v>2485</v>
      </c>
      <c r="C796" s="46" t="s">
        <v>203</v>
      </c>
      <c r="D796" s="60">
        <v>2035</v>
      </c>
      <c r="E796" s="60"/>
      <c r="F796" s="46" t="s">
        <v>591</v>
      </c>
      <c r="G796" s="46" t="s">
        <v>159</v>
      </c>
      <c r="H796" s="46" t="s">
        <v>592</v>
      </c>
      <c r="I796" s="46" t="s">
        <v>169</v>
      </c>
      <c r="J796" s="46" t="s">
        <v>246</v>
      </c>
      <c r="K796" s="46" t="s">
        <v>68</v>
      </c>
      <c r="L796" s="46"/>
      <c r="M796" s="46"/>
      <c r="N796" s="46"/>
      <c r="O796" s="46"/>
      <c r="P796" s="46"/>
      <c r="Q796" s="46"/>
      <c r="R796" s="46"/>
      <c r="S796" s="46"/>
      <c r="T796" s="46"/>
      <c r="U796" s="46"/>
      <c r="V796" s="46"/>
      <c r="W796" s="46"/>
      <c r="X796" s="46"/>
      <c r="Y796" s="46"/>
      <c r="Z796" s="46" t="s">
        <v>1918</v>
      </c>
      <c r="AA796" s="61">
        <f>5000</f>
        <v>5000</v>
      </c>
      <c r="AB796" s="62">
        <f t="shared" si="97"/>
        <v>1111111.1111111112</v>
      </c>
      <c r="AC796" s="63">
        <f t="shared" si="98"/>
        <v>866.26666666666665</v>
      </c>
      <c r="AD796" s="62"/>
      <c r="AE796" s="62">
        <f>IF(AND(G796&lt;&gt;"NG w CCUS",G796&lt;&gt;"Oil w CCUS",G796&lt;&gt;"Coal w CCUS"),AB796,AD796*10^3/(HoursInYear*IF(G796="NG w CCUS",0.9105,1.9075)))</f>
        <v>1111111.1111111112</v>
      </c>
      <c r="AF796" s="64" t="s">
        <v>2486</v>
      </c>
      <c r="AG796" s="49">
        <v>0.55000000000000004</v>
      </c>
    </row>
    <row r="797" spans="1:33" ht="34.5" customHeight="1" x14ac:dyDescent="0.3">
      <c r="A797" s="46">
        <v>1192</v>
      </c>
      <c r="B797" s="46" t="s">
        <v>2487</v>
      </c>
      <c r="C797" s="46" t="s">
        <v>313</v>
      </c>
      <c r="D797" s="60">
        <v>2028</v>
      </c>
      <c r="E797" s="60"/>
      <c r="F797" s="46" t="s">
        <v>591</v>
      </c>
      <c r="G797" s="46" t="s">
        <v>159</v>
      </c>
      <c r="H797" s="46" t="s">
        <v>592</v>
      </c>
      <c r="I797" s="46" t="s">
        <v>169</v>
      </c>
      <c r="J797" s="46" t="s">
        <v>246</v>
      </c>
      <c r="K797" s="46" t="s">
        <v>68</v>
      </c>
      <c r="L797" s="46">
        <v>1</v>
      </c>
      <c r="M797" s="46"/>
      <c r="N797" s="46"/>
      <c r="O797" s="46"/>
      <c r="P797" s="46">
        <v>1</v>
      </c>
      <c r="Q797" s="46">
        <v>1</v>
      </c>
      <c r="R797" s="46"/>
      <c r="S797" s="46"/>
      <c r="T797" s="46"/>
      <c r="U797" s="46"/>
      <c r="V797" s="46"/>
      <c r="W797" s="46"/>
      <c r="X797" s="46"/>
      <c r="Y797" s="46"/>
      <c r="Z797" s="46" t="s">
        <v>2488</v>
      </c>
      <c r="AA797" s="61">
        <v>2650</v>
      </c>
      <c r="AB797" s="62">
        <f t="shared" si="97"/>
        <v>588888.88888888888</v>
      </c>
      <c r="AC797" s="63">
        <f t="shared" si="98"/>
        <v>459.12133333333333</v>
      </c>
      <c r="AD797" s="62"/>
      <c r="AE797" s="62">
        <f>IF(AND(G797&lt;&gt;"NG w CCUS",G797&lt;&gt;"Oil w CCUS",G797&lt;&gt;"Coal w CCUS"),AB797,AD797*10^3/(HoursInYear*IF(G797="NG w CCUS",0.9105,1.9075)))</f>
        <v>588888.88888888888</v>
      </c>
      <c r="AF797" s="64" t="s">
        <v>2489</v>
      </c>
      <c r="AG797" s="49">
        <v>0.55000000000000004</v>
      </c>
    </row>
    <row r="798" spans="1:33" ht="34.5" customHeight="1" x14ac:dyDescent="0.3">
      <c r="A798" s="46">
        <v>1193</v>
      </c>
      <c r="B798" s="46" t="s">
        <v>2490</v>
      </c>
      <c r="C798" s="46" t="s">
        <v>313</v>
      </c>
      <c r="D798" s="60">
        <v>2028</v>
      </c>
      <c r="E798" s="60"/>
      <c r="F798" s="46" t="s">
        <v>591</v>
      </c>
      <c r="G798" s="46" t="s">
        <v>159</v>
      </c>
      <c r="H798" s="46" t="s">
        <v>592</v>
      </c>
      <c r="I798" s="46" t="s">
        <v>169</v>
      </c>
      <c r="J798" s="46" t="s">
        <v>246</v>
      </c>
      <c r="K798" s="46" t="s">
        <v>141</v>
      </c>
      <c r="L798" s="46"/>
      <c r="M798" s="46">
        <v>1</v>
      </c>
      <c r="N798" s="46"/>
      <c r="O798" s="46"/>
      <c r="P798" s="46"/>
      <c r="Q798" s="46"/>
      <c r="R798" s="46"/>
      <c r="S798" s="46"/>
      <c r="T798" s="46"/>
      <c r="U798" s="46"/>
      <c r="V798" s="46"/>
      <c r="W798" s="46"/>
      <c r="X798" s="46"/>
      <c r="Y798" s="46"/>
      <c r="Z798" s="46" t="s">
        <v>1654</v>
      </c>
      <c r="AA798" s="61">
        <v>500</v>
      </c>
      <c r="AB798" s="62">
        <f t="shared" si="97"/>
        <v>111111.11111111112</v>
      </c>
      <c r="AC798" s="63">
        <f t="shared" si="98"/>
        <v>86.626666666666665</v>
      </c>
      <c r="AD798" s="62"/>
      <c r="AE798" s="62">
        <f>IF(AND(G798&lt;&gt;"NG w CCUS",G798&lt;&gt;"Oil w CCUS",G798&lt;&gt;"Coal w CCUS"),AB798,AD798*10^3/(HoursInYear*IF(G798="NG w CCUS",0.9105,1.9075)))</f>
        <v>111111.11111111112</v>
      </c>
      <c r="AF798" s="64" t="s">
        <v>2489</v>
      </c>
      <c r="AG798" s="49">
        <v>0.55000000000000004</v>
      </c>
    </row>
    <row r="799" spans="1:33" ht="34.5" customHeight="1" x14ac:dyDescent="0.3">
      <c r="A799" s="46">
        <v>1195</v>
      </c>
      <c r="B799" s="46" t="s">
        <v>2491</v>
      </c>
      <c r="C799" s="46" t="s">
        <v>40</v>
      </c>
      <c r="D799" s="60"/>
      <c r="E799" s="60"/>
      <c r="F799" s="46" t="s">
        <v>225</v>
      </c>
      <c r="G799" s="46" t="s">
        <v>159</v>
      </c>
      <c r="H799" s="46" t="s">
        <v>592</v>
      </c>
      <c r="I799" s="46" t="s">
        <v>169</v>
      </c>
      <c r="J799" s="46" t="s">
        <v>246</v>
      </c>
      <c r="K799" s="46" t="s">
        <v>68</v>
      </c>
      <c r="L799" s="46"/>
      <c r="M799" s="46"/>
      <c r="N799" s="46"/>
      <c r="O799" s="46"/>
      <c r="P799" s="46"/>
      <c r="Q799" s="46"/>
      <c r="R799" s="46"/>
      <c r="S799" s="46"/>
      <c r="T799" s="46"/>
      <c r="U799" s="46"/>
      <c r="V799" s="46"/>
      <c r="W799" s="46"/>
      <c r="X799" s="46"/>
      <c r="Y799" s="46"/>
      <c r="Z799" s="46" t="s">
        <v>1727</v>
      </c>
      <c r="AA799" s="61">
        <v>7.5</v>
      </c>
      <c r="AB799" s="62">
        <f>IF(OR(G799="ALK",G799="PEM",G799="SOEC",G799="Other Electrolysis"),
AA799/VLOOKUP(G799,ElectrolysisConvF,3,FALSE),
AC799*10^6/(H2dens*HoursInYear))</f>
        <v>1666.6666666666667</v>
      </c>
      <c r="AC799" s="63">
        <f t="shared" si="98"/>
        <v>1.2994000000000001</v>
      </c>
      <c r="AD799" s="62"/>
      <c r="AE799" s="62">
        <f t="shared" ref="AE799:AE812" si="99">IF(AND(G799&lt;&gt;"NG w CCUS",G799&lt;&gt;"Oil w CCUS",G799&lt;&gt;"Coal w CCUS"),AB799,AD799*10^3/(HoursInYear*IF(G799="NG w CCUS",0.9105,1.9075)))</f>
        <v>1666.6666666666667</v>
      </c>
      <c r="AF799" s="64" t="s">
        <v>2492</v>
      </c>
      <c r="AG799" s="49">
        <v>0.55000000000000004</v>
      </c>
    </row>
    <row r="800" spans="1:33" ht="34.5" customHeight="1" x14ac:dyDescent="0.3">
      <c r="A800" s="46">
        <v>1196</v>
      </c>
      <c r="B800" s="46" t="s">
        <v>2493</v>
      </c>
      <c r="C800" s="46" t="s">
        <v>105</v>
      </c>
      <c r="D800" s="60">
        <v>2026</v>
      </c>
      <c r="E800" s="60"/>
      <c r="F800" s="46" t="s">
        <v>225</v>
      </c>
      <c r="G800" s="46" t="s">
        <v>159</v>
      </c>
      <c r="H800" s="46" t="s">
        <v>592</v>
      </c>
      <c r="I800" s="46" t="s">
        <v>169</v>
      </c>
      <c r="J800" s="46" t="s">
        <v>244</v>
      </c>
      <c r="K800" s="46" t="s">
        <v>68</v>
      </c>
      <c r="L800" s="46"/>
      <c r="M800" s="46"/>
      <c r="N800" s="46"/>
      <c r="O800" s="46"/>
      <c r="P800" s="46"/>
      <c r="Q800" s="46"/>
      <c r="R800" s="46"/>
      <c r="S800" s="46"/>
      <c r="T800" s="46"/>
      <c r="U800" s="46"/>
      <c r="V800" s="46"/>
      <c r="W800" s="46"/>
      <c r="X800" s="46"/>
      <c r="Y800" s="46"/>
      <c r="Z800" s="46" t="s">
        <v>2494</v>
      </c>
      <c r="AA800" s="61">
        <v>35</v>
      </c>
      <c r="AB800" s="62">
        <f>IF(OR(G800="ALK",G800="PEM",G800="SOEC",G800="Other Electrolysis"),
AA800/VLOOKUP(G800,ElectrolysisConvF,3,FALSE),
AC800*10^6/(H2dens*HoursInYear))</f>
        <v>7777.7777777777783</v>
      </c>
      <c r="AC800" s="63">
        <f t="shared" si="98"/>
        <v>6.0638666666666667</v>
      </c>
      <c r="AD800" s="62"/>
      <c r="AE800" s="62">
        <f t="shared" si="99"/>
        <v>7777.7777777777783</v>
      </c>
      <c r="AF800" s="64" t="s">
        <v>2495</v>
      </c>
      <c r="AG800" s="49">
        <v>0.3</v>
      </c>
    </row>
    <row r="801" spans="1:33" ht="34.5" customHeight="1" x14ac:dyDescent="0.3">
      <c r="A801" s="46">
        <v>1197</v>
      </c>
      <c r="B801" s="46" t="s">
        <v>2496</v>
      </c>
      <c r="C801" s="46" t="s">
        <v>67</v>
      </c>
      <c r="D801" s="60"/>
      <c r="E801" s="60"/>
      <c r="F801" s="46" t="s">
        <v>591</v>
      </c>
      <c r="G801" s="46" t="s">
        <v>159</v>
      </c>
      <c r="H801" s="46" t="s">
        <v>592</v>
      </c>
      <c r="I801" s="46" t="s">
        <v>169</v>
      </c>
      <c r="J801" s="46" t="s">
        <v>69</v>
      </c>
      <c r="K801" s="46" t="s">
        <v>68</v>
      </c>
      <c r="L801" s="46"/>
      <c r="M801" s="46"/>
      <c r="N801" s="46"/>
      <c r="O801" s="46"/>
      <c r="P801" s="46"/>
      <c r="Q801" s="46"/>
      <c r="R801" s="46"/>
      <c r="S801" s="46"/>
      <c r="T801" s="46"/>
      <c r="U801" s="46"/>
      <c r="V801" s="46"/>
      <c r="W801" s="46"/>
      <c r="X801" s="46"/>
      <c r="Y801" s="46"/>
      <c r="Z801" s="46"/>
      <c r="AA801" s="61"/>
      <c r="AB801" s="62"/>
      <c r="AC801" s="63"/>
      <c r="AD801" s="62"/>
      <c r="AE801" s="62">
        <f t="shared" si="99"/>
        <v>0</v>
      </c>
      <c r="AF801" s="64" t="s">
        <v>2497</v>
      </c>
      <c r="AG801" s="49">
        <v>0.5</v>
      </c>
    </row>
    <row r="802" spans="1:33" ht="34.5" customHeight="1" x14ac:dyDescent="0.3">
      <c r="A802" s="46">
        <v>1198</v>
      </c>
      <c r="B802" s="46" t="s">
        <v>2498</v>
      </c>
      <c r="C802" s="46" t="s">
        <v>105</v>
      </c>
      <c r="D802" s="60"/>
      <c r="E802" s="60"/>
      <c r="F802" s="46" t="s">
        <v>591</v>
      </c>
      <c r="G802" s="46" t="s">
        <v>159</v>
      </c>
      <c r="H802" s="46" t="s">
        <v>592</v>
      </c>
      <c r="I802" s="46" t="s">
        <v>169</v>
      </c>
      <c r="J802" s="46" t="s">
        <v>244</v>
      </c>
      <c r="K802" s="46" t="s">
        <v>68</v>
      </c>
      <c r="L802" s="46"/>
      <c r="M802" s="46"/>
      <c r="N802" s="46"/>
      <c r="O802" s="46"/>
      <c r="P802" s="46"/>
      <c r="Q802" s="46"/>
      <c r="R802" s="46"/>
      <c r="S802" s="46"/>
      <c r="T802" s="46"/>
      <c r="U802" s="46"/>
      <c r="V802" s="46"/>
      <c r="W802" s="46"/>
      <c r="X802" s="46"/>
      <c r="Y802" s="46"/>
      <c r="Z802" s="46"/>
      <c r="AA802" s="61"/>
      <c r="AB802" s="62"/>
      <c r="AC802" s="63"/>
      <c r="AD802" s="62"/>
      <c r="AE802" s="62">
        <f t="shared" si="99"/>
        <v>0</v>
      </c>
      <c r="AF802" s="64"/>
      <c r="AG802" s="49">
        <v>0.3</v>
      </c>
    </row>
    <row r="803" spans="1:33" ht="34.5" customHeight="1" x14ac:dyDescent="0.3">
      <c r="A803" s="46">
        <v>1199</v>
      </c>
      <c r="B803" s="46" t="s">
        <v>2499</v>
      </c>
      <c r="C803" s="46" t="s">
        <v>105</v>
      </c>
      <c r="D803" s="60">
        <v>2025</v>
      </c>
      <c r="E803" s="60"/>
      <c r="F803" s="46" t="s">
        <v>225</v>
      </c>
      <c r="G803" s="46" t="s">
        <v>1</v>
      </c>
      <c r="H803" s="46"/>
      <c r="I803" s="46" t="s">
        <v>169</v>
      </c>
      <c r="J803" s="46" t="s">
        <v>244</v>
      </c>
      <c r="K803" s="46" t="s">
        <v>141</v>
      </c>
      <c r="L803" s="46"/>
      <c r="M803" s="46">
        <v>1</v>
      </c>
      <c r="N803" s="46"/>
      <c r="O803" s="46"/>
      <c r="P803" s="46"/>
      <c r="Q803" s="46"/>
      <c r="R803" s="46"/>
      <c r="S803" s="46"/>
      <c r="T803" s="46"/>
      <c r="U803" s="46"/>
      <c r="V803" s="46"/>
      <c r="W803" s="46"/>
      <c r="X803" s="46"/>
      <c r="Y803" s="46"/>
      <c r="Z803" s="46" t="s">
        <v>2500</v>
      </c>
      <c r="AA803" s="61">
        <v>69</v>
      </c>
      <c r="AB803" s="62">
        <f>IF(OR(G803="ALK",G803="PEM",G803="SOEC",G803="Other Electrolysis"),
AA803/VLOOKUP(G803,ElectrolysisConvF,3,FALSE),
AC803*10^6/(H2dens*HoursInYear))</f>
        <v>13269.23076923077</v>
      </c>
      <c r="AC803" s="63">
        <f>AB803*H2dens*HoursInYear/10^6</f>
        <v>10.345223076923077</v>
      </c>
      <c r="AD803" s="62"/>
      <c r="AE803" s="62">
        <f t="shared" si="99"/>
        <v>13269.23076923077</v>
      </c>
      <c r="AF803" s="64" t="s">
        <v>2501</v>
      </c>
      <c r="AG803" s="49">
        <v>0.3</v>
      </c>
    </row>
    <row r="804" spans="1:33" ht="34.5" customHeight="1" x14ac:dyDescent="0.3">
      <c r="A804" s="46">
        <v>1200</v>
      </c>
      <c r="B804" s="46" t="s">
        <v>2502</v>
      </c>
      <c r="C804" s="46" t="s">
        <v>321</v>
      </c>
      <c r="D804" s="60"/>
      <c r="E804" s="60"/>
      <c r="F804" s="46" t="s">
        <v>225</v>
      </c>
      <c r="G804" s="46" t="s">
        <v>159</v>
      </c>
      <c r="H804" s="46" t="s">
        <v>592</v>
      </c>
      <c r="I804" s="46" t="s">
        <v>169</v>
      </c>
      <c r="J804" s="46" t="s">
        <v>69</v>
      </c>
      <c r="K804" s="46" t="s">
        <v>68</v>
      </c>
      <c r="L804" s="46"/>
      <c r="M804" s="46"/>
      <c r="N804" s="46"/>
      <c r="O804" s="46"/>
      <c r="P804" s="46">
        <v>1</v>
      </c>
      <c r="Q804" s="46">
        <v>1</v>
      </c>
      <c r="R804" s="46">
        <v>1</v>
      </c>
      <c r="S804" s="46"/>
      <c r="T804" s="46"/>
      <c r="U804" s="46"/>
      <c r="V804" s="46"/>
      <c r="W804" s="46"/>
      <c r="X804" s="46"/>
      <c r="Y804" s="46"/>
      <c r="Z804" s="46" t="s">
        <v>2503</v>
      </c>
      <c r="AA804" s="61">
        <v>237</v>
      </c>
      <c r="AB804" s="62">
        <f>IF(OR(G804="ALK",G804="PEM",G804="SOEC",G804="Other Electrolysis"),
AA804/VLOOKUP(G804,ElectrolysisConvF,3,FALSE),
AC804*10^6/(H2dens*HoursInYear))</f>
        <v>52666.666666666672</v>
      </c>
      <c r="AC804" s="63">
        <f>AB804*H2dens*HoursInYear/10^6</f>
        <v>41.061040000000006</v>
      </c>
      <c r="AD804" s="62"/>
      <c r="AE804" s="62">
        <f t="shared" si="99"/>
        <v>52666.666666666672</v>
      </c>
      <c r="AF804" s="64" t="s">
        <v>2504</v>
      </c>
      <c r="AG804" s="49">
        <v>0.5</v>
      </c>
    </row>
    <row r="805" spans="1:33" ht="34.5" customHeight="1" x14ac:dyDescent="0.3">
      <c r="A805" s="46">
        <v>1201</v>
      </c>
      <c r="B805" s="46" t="s">
        <v>2505</v>
      </c>
      <c r="C805" s="46" t="s">
        <v>37</v>
      </c>
      <c r="D805" s="60"/>
      <c r="E805" s="60"/>
      <c r="F805" s="46" t="s">
        <v>675</v>
      </c>
      <c r="G805" s="46" t="s">
        <v>159</v>
      </c>
      <c r="H805" s="46" t="s">
        <v>592</v>
      </c>
      <c r="I805" s="46" t="s">
        <v>169</v>
      </c>
      <c r="J805" s="46" t="s">
        <v>69</v>
      </c>
      <c r="K805" s="46" t="s">
        <v>68</v>
      </c>
      <c r="L805" s="46"/>
      <c r="M805" s="46"/>
      <c r="N805" s="46"/>
      <c r="O805" s="46"/>
      <c r="P805" s="46"/>
      <c r="Q805" s="46"/>
      <c r="R805" s="46"/>
      <c r="S805" s="46">
        <v>1</v>
      </c>
      <c r="T805" s="46"/>
      <c r="U805" s="46"/>
      <c r="V805" s="46"/>
      <c r="W805" s="46"/>
      <c r="X805" s="46"/>
      <c r="Y805" s="46"/>
      <c r="Z805" s="46" t="s">
        <v>981</v>
      </c>
      <c r="AA805" s="61">
        <v>20</v>
      </c>
      <c r="AB805" s="62">
        <f>IF(OR(G805="ALK",G805="PEM",G805="SOEC",G805="Other Electrolysis"),
AA805/VLOOKUP(G805,ElectrolysisConvF,3,FALSE),
AC805*10^6/(H2dens*HoursInYear))</f>
        <v>4444.4444444444443</v>
      </c>
      <c r="AC805" s="63">
        <f>AB805*H2dens*HoursInYear/10^6</f>
        <v>3.4650666666666665</v>
      </c>
      <c r="AD805" s="62"/>
      <c r="AE805" s="62">
        <f t="shared" si="99"/>
        <v>4444.4444444444443</v>
      </c>
      <c r="AF805" s="64" t="s">
        <v>2506</v>
      </c>
      <c r="AG805" s="49">
        <v>0.5</v>
      </c>
    </row>
    <row r="806" spans="1:33" ht="34.5" customHeight="1" x14ac:dyDescent="0.3">
      <c r="A806" s="46">
        <v>1202</v>
      </c>
      <c r="B806" s="46" t="s">
        <v>2507</v>
      </c>
      <c r="C806" s="46" t="s">
        <v>321</v>
      </c>
      <c r="D806" s="60">
        <v>2024</v>
      </c>
      <c r="E806" s="60"/>
      <c r="F806" s="46" t="s">
        <v>675</v>
      </c>
      <c r="G806" s="46" t="s">
        <v>159</v>
      </c>
      <c r="H806" s="46" t="s">
        <v>592</v>
      </c>
      <c r="I806" s="46" t="s">
        <v>169</v>
      </c>
      <c r="J806" s="46" t="s">
        <v>69</v>
      </c>
      <c r="K806" s="46" t="s">
        <v>68</v>
      </c>
      <c r="L806" s="46"/>
      <c r="M806" s="46"/>
      <c r="N806" s="46"/>
      <c r="O806" s="46"/>
      <c r="P806" s="46"/>
      <c r="Q806" s="46">
        <v>1</v>
      </c>
      <c r="R806" s="46"/>
      <c r="S806" s="46"/>
      <c r="T806" s="46"/>
      <c r="U806" s="46"/>
      <c r="V806" s="46"/>
      <c r="W806" s="46"/>
      <c r="X806" s="46"/>
      <c r="Y806" s="46"/>
      <c r="Z806" s="46" t="s">
        <v>745</v>
      </c>
      <c r="AA806" s="61">
        <v>6</v>
      </c>
      <c r="AB806" s="62">
        <f>IF(OR(G806="ALK",G806="PEM",G806="SOEC",G806="Other Electrolysis"),
AA806/VLOOKUP(G806,ElectrolysisConvF,3,FALSE),
AC806*10^6/(H2dens*HoursInYear))</f>
        <v>1333.3333333333335</v>
      </c>
      <c r="AC806" s="63">
        <f>AB806*H2dens*HoursInYear/10^6</f>
        <v>1.03952</v>
      </c>
      <c r="AD806" s="62"/>
      <c r="AE806" s="62">
        <f t="shared" si="99"/>
        <v>1333.3333333333335</v>
      </c>
      <c r="AF806" s="64" t="s">
        <v>2508</v>
      </c>
      <c r="AG806" s="49">
        <v>0.5</v>
      </c>
    </row>
    <row r="807" spans="1:33" ht="34.5" customHeight="1" x14ac:dyDescent="0.3">
      <c r="A807" s="46">
        <v>1204</v>
      </c>
      <c r="B807" s="46" t="s">
        <v>2509</v>
      </c>
      <c r="C807" s="46" t="s">
        <v>53</v>
      </c>
      <c r="D807" s="60">
        <v>2024</v>
      </c>
      <c r="E807" s="60"/>
      <c r="F807" s="46" t="s">
        <v>225</v>
      </c>
      <c r="G807" s="46" t="s">
        <v>161</v>
      </c>
      <c r="H807" s="46" t="s">
        <v>2510</v>
      </c>
      <c r="I807" s="46"/>
      <c r="J807" s="46"/>
      <c r="K807" s="46" t="s">
        <v>141</v>
      </c>
      <c r="L807" s="46"/>
      <c r="M807" s="46">
        <v>1</v>
      </c>
      <c r="N807" s="46"/>
      <c r="O807" s="46"/>
      <c r="P807" s="46"/>
      <c r="Q807" s="46"/>
      <c r="R807" s="46"/>
      <c r="S807" s="46"/>
      <c r="T807" s="46"/>
      <c r="U807" s="46"/>
      <c r="V807" s="46"/>
      <c r="W807" s="46"/>
      <c r="X807" s="46"/>
      <c r="Y807" s="46"/>
      <c r="Z807" s="46" t="s">
        <v>2511</v>
      </c>
      <c r="AA807" s="61"/>
      <c r="AB807" s="62">
        <f>AC807/(H2dens*HoursInYear/10^6)</f>
        <v>286631.50653519836</v>
      </c>
      <c r="AC807" s="63">
        <f>3.4*365*3/17/0.98</f>
        <v>223.46938775510205</v>
      </c>
      <c r="AD807" s="62">
        <v>500000</v>
      </c>
      <c r="AE807" s="62">
        <f t="shared" si="99"/>
        <v>62688.221384707591</v>
      </c>
      <c r="AF807" s="64" t="s">
        <v>2512</v>
      </c>
      <c r="AG807" s="49">
        <v>0.9</v>
      </c>
    </row>
    <row r="808" spans="1:33" ht="34.5" customHeight="1" x14ac:dyDescent="0.3">
      <c r="A808" s="46">
        <v>1205</v>
      </c>
      <c r="B808" s="46" t="s">
        <v>2513</v>
      </c>
      <c r="C808" s="46" t="s">
        <v>53</v>
      </c>
      <c r="D808" s="60">
        <v>2024</v>
      </c>
      <c r="E808" s="60"/>
      <c r="F808" s="46" t="s">
        <v>225</v>
      </c>
      <c r="G808" s="46" t="s">
        <v>161</v>
      </c>
      <c r="H808" s="46" t="s">
        <v>2510</v>
      </c>
      <c r="I808" s="46"/>
      <c r="J808" s="46"/>
      <c r="K808" s="46" t="s">
        <v>68</v>
      </c>
      <c r="L808" s="46"/>
      <c r="M808" s="46"/>
      <c r="N808" s="46"/>
      <c r="O808" s="46"/>
      <c r="P808" s="46"/>
      <c r="Q808" s="46"/>
      <c r="R808" s="46"/>
      <c r="S808" s="46"/>
      <c r="T808" s="46"/>
      <c r="U808" s="46"/>
      <c r="V808" s="46"/>
      <c r="W808" s="46"/>
      <c r="X808" s="46"/>
      <c r="Y808" s="46"/>
      <c r="Z808" s="46" t="s">
        <v>2514</v>
      </c>
      <c r="AA808" s="61"/>
      <c r="AB808" s="62">
        <f>AC808/(H2dens*HoursInYear/10^6)</f>
        <v>280898.8764044944</v>
      </c>
      <c r="AC808" s="63">
        <f>0.6*365</f>
        <v>219</v>
      </c>
      <c r="AD808" s="62">
        <v>500000</v>
      </c>
      <c r="AE808" s="62">
        <f t="shared" si="99"/>
        <v>62688.221384707591</v>
      </c>
      <c r="AF808" s="64" t="s">
        <v>2512</v>
      </c>
      <c r="AG808" s="49">
        <v>0.9</v>
      </c>
    </row>
    <row r="809" spans="1:33" ht="34.5" customHeight="1" x14ac:dyDescent="0.3">
      <c r="A809" s="46">
        <v>1215</v>
      </c>
      <c r="B809" s="46" t="s">
        <v>2515</v>
      </c>
      <c r="C809" s="46" t="s">
        <v>41</v>
      </c>
      <c r="D809" s="60"/>
      <c r="E809" s="60"/>
      <c r="F809" s="46" t="s">
        <v>675</v>
      </c>
      <c r="G809" s="46" t="s">
        <v>163</v>
      </c>
      <c r="H809" s="46" t="s">
        <v>1805</v>
      </c>
      <c r="I809" s="46"/>
      <c r="J809" s="46"/>
      <c r="K809" s="46" t="s">
        <v>68</v>
      </c>
      <c r="L809" s="46"/>
      <c r="M809" s="46"/>
      <c r="N809" s="46"/>
      <c r="O809" s="46"/>
      <c r="P809" s="46"/>
      <c r="Q809" s="46"/>
      <c r="R809" s="46"/>
      <c r="S809" s="46"/>
      <c r="T809" s="46"/>
      <c r="U809" s="46"/>
      <c r="V809" s="46"/>
      <c r="W809" s="46"/>
      <c r="X809" s="46"/>
      <c r="Y809" s="46"/>
      <c r="Z809" s="46" t="s">
        <v>2516</v>
      </c>
      <c r="AA809" s="61"/>
      <c r="AB809" s="62">
        <f>200000000/365/24</f>
        <v>22831.050228310502</v>
      </c>
      <c r="AC809" s="63">
        <f>AB809*(H2dens*HoursInYear/10^6)</f>
        <v>17.799999999999997</v>
      </c>
      <c r="AD809" s="62"/>
      <c r="AE809" s="62">
        <f t="shared" si="99"/>
        <v>22831.050228310502</v>
      </c>
      <c r="AF809" s="64"/>
      <c r="AG809" s="49">
        <v>0.9</v>
      </c>
    </row>
    <row r="810" spans="1:33" ht="34.5" customHeight="1" x14ac:dyDescent="0.3">
      <c r="A810" s="46">
        <v>1217</v>
      </c>
      <c r="B810" s="46" t="s">
        <v>2517</v>
      </c>
      <c r="C810" s="46" t="s">
        <v>47</v>
      </c>
      <c r="D810" s="60">
        <v>2026</v>
      </c>
      <c r="E810" s="60"/>
      <c r="F810" s="46" t="s">
        <v>225</v>
      </c>
      <c r="G810" s="46" t="s">
        <v>159</v>
      </c>
      <c r="H810" s="46" t="s">
        <v>592</v>
      </c>
      <c r="I810" s="46" t="s">
        <v>169</v>
      </c>
      <c r="J810" s="46" t="s">
        <v>244</v>
      </c>
      <c r="K810" s="46" t="s">
        <v>141</v>
      </c>
      <c r="L810" s="46"/>
      <c r="M810" s="46">
        <v>1</v>
      </c>
      <c r="N810" s="46"/>
      <c r="O810" s="46"/>
      <c r="P810" s="46"/>
      <c r="Q810" s="46"/>
      <c r="R810" s="46"/>
      <c r="S810" s="46"/>
      <c r="T810" s="46"/>
      <c r="U810" s="46"/>
      <c r="V810" s="46"/>
      <c r="W810" s="46"/>
      <c r="X810" s="46"/>
      <c r="Y810" s="46"/>
      <c r="Z810" s="46" t="s">
        <v>2518</v>
      </c>
      <c r="AA810" s="61">
        <f>IF(OR(G810="ALK",G810="PEM",G810="SOEC",G810="Other Electrolysis"),
AB810*VLOOKUP(G810,ElectrolysisConvF,3,FALSE),
"")</f>
        <v>571.64623583772436</v>
      </c>
      <c r="AB810" s="62">
        <f>AC810/(H2dens*HoursInYear/10^6)</f>
        <v>127032.49685282764</v>
      </c>
      <c r="AC810" s="63">
        <f>(200-35)*3/17/0.98/H2ProjectDB4578610[[#This Row],[Column33]]</f>
        <v>99.039615846338535</v>
      </c>
      <c r="AD810" s="62"/>
      <c r="AE810" s="62">
        <f t="shared" si="99"/>
        <v>127032.49685282764</v>
      </c>
      <c r="AF810" s="64" t="s">
        <v>2382</v>
      </c>
      <c r="AG810" s="49">
        <v>0.3</v>
      </c>
    </row>
    <row r="811" spans="1:33" ht="34.5" customHeight="1" x14ac:dyDescent="0.3">
      <c r="A811" s="46">
        <v>1218</v>
      </c>
      <c r="B811" s="46" t="s">
        <v>2519</v>
      </c>
      <c r="C811" s="46" t="s">
        <v>34</v>
      </c>
      <c r="D811" s="60">
        <v>2021</v>
      </c>
      <c r="E811" s="60"/>
      <c r="F811" s="46" t="s">
        <v>226</v>
      </c>
      <c r="G811" s="46" t="s">
        <v>163</v>
      </c>
      <c r="H811" s="46" t="s">
        <v>2289</v>
      </c>
      <c r="I811" s="46"/>
      <c r="J811" s="46"/>
      <c r="K811" s="46" t="s">
        <v>68</v>
      </c>
      <c r="L811" s="46"/>
      <c r="M811" s="46"/>
      <c r="N811" s="46"/>
      <c r="O811" s="46"/>
      <c r="P811" s="46"/>
      <c r="Q811" s="46">
        <v>1</v>
      </c>
      <c r="R811" s="46"/>
      <c r="S811" s="46"/>
      <c r="T811" s="46"/>
      <c r="U811" s="46"/>
      <c r="V811" s="46"/>
      <c r="W811" s="46"/>
      <c r="X811" s="46"/>
      <c r="Y811" s="46"/>
      <c r="Z811" s="46"/>
      <c r="AA811" s="61"/>
      <c r="AB811" s="62"/>
      <c r="AC811" s="63"/>
      <c r="AD811" s="62"/>
      <c r="AE811" s="62">
        <f t="shared" si="99"/>
        <v>0</v>
      </c>
      <c r="AF811" s="64" t="s">
        <v>2520</v>
      </c>
      <c r="AG811" s="49">
        <v>0.9</v>
      </c>
    </row>
    <row r="812" spans="1:33" ht="34.5" customHeight="1" x14ac:dyDescent="0.3">
      <c r="A812" s="46">
        <v>1219</v>
      </c>
      <c r="B812" s="46" t="s">
        <v>2521</v>
      </c>
      <c r="C812" s="46" t="s">
        <v>83</v>
      </c>
      <c r="D812" s="60"/>
      <c r="E812" s="60"/>
      <c r="F812" s="46" t="s">
        <v>225</v>
      </c>
      <c r="G812" s="46" t="s">
        <v>159</v>
      </c>
      <c r="H812" s="46" t="s">
        <v>592</v>
      </c>
      <c r="I812" s="46" t="s">
        <v>169</v>
      </c>
      <c r="J812" s="46" t="s">
        <v>244</v>
      </c>
      <c r="K812" s="46" t="s">
        <v>68</v>
      </c>
      <c r="L812" s="46"/>
      <c r="M812" s="46"/>
      <c r="N812" s="46"/>
      <c r="O812" s="46"/>
      <c r="P812" s="46"/>
      <c r="Q812" s="46"/>
      <c r="R812" s="46"/>
      <c r="S812" s="46"/>
      <c r="T812" s="46"/>
      <c r="U812" s="46"/>
      <c r="V812" s="46"/>
      <c r="W812" s="46"/>
      <c r="X812" s="46"/>
      <c r="Y812" s="46"/>
      <c r="Z812" s="46"/>
      <c r="AA812" s="61"/>
      <c r="AB812" s="62"/>
      <c r="AC812" s="63"/>
      <c r="AD812" s="62"/>
      <c r="AE812" s="62">
        <f t="shared" si="99"/>
        <v>0</v>
      </c>
      <c r="AF812" s="64" t="s">
        <v>2522</v>
      </c>
      <c r="AG812" s="49">
        <v>0.3</v>
      </c>
    </row>
    <row r="813" spans="1:33" ht="34.5" customHeight="1" x14ac:dyDescent="0.3">
      <c r="A813" s="46">
        <v>1220</v>
      </c>
      <c r="B813" s="46" t="s">
        <v>2523</v>
      </c>
      <c r="C813" s="46" t="s">
        <v>203</v>
      </c>
      <c r="D813" s="60"/>
      <c r="E813" s="60"/>
      <c r="F813" s="46" t="s">
        <v>225</v>
      </c>
      <c r="G813" s="46" t="s">
        <v>159</v>
      </c>
      <c r="H813" s="46" t="s">
        <v>592</v>
      </c>
      <c r="I813" s="46" t="s">
        <v>169</v>
      </c>
      <c r="J813" s="46" t="s">
        <v>247</v>
      </c>
      <c r="K813" s="46" t="s">
        <v>68</v>
      </c>
      <c r="L813" s="46"/>
      <c r="M813" s="46"/>
      <c r="N813" s="46"/>
      <c r="O813" s="46"/>
      <c r="P813" s="46"/>
      <c r="Q813" s="46"/>
      <c r="R813" s="46"/>
      <c r="S813" s="46"/>
      <c r="T813" s="46"/>
      <c r="U813" s="46"/>
      <c r="V813" s="46"/>
      <c r="W813" s="46"/>
      <c r="X813" s="46"/>
      <c r="Y813" s="46"/>
      <c r="Z813" s="46" t="s">
        <v>981</v>
      </c>
      <c r="AA813" s="61">
        <v>20</v>
      </c>
      <c r="AB813" s="62">
        <f>IF(OR(G813="ALK",G813="PEM",G813="SOEC",G813="Other Electrolysis"),
AA813/VLOOKUP(G813,ElectrolysisConvF,3,FALSE),
AC813*10^6/(H2dens*HoursInYear))</f>
        <v>4444.4444444444443</v>
      </c>
      <c r="AC813" s="63">
        <f>AB813*H2dens*HoursInYear/10^6</f>
        <v>3.4650666666666665</v>
      </c>
      <c r="AD813" s="62"/>
      <c r="AE813" s="62">
        <f>AB813</f>
        <v>4444.4444444444443</v>
      </c>
      <c r="AF813" s="64" t="s">
        <v>2524</v>
      </c>
      <c r="AG813" s="49">
        <v>0.8</v>
      </c>
    </row>
    <row r="814" spans="1:33" ht="34.5" customHeight="1" x14ac:dyDescent="0.3">
      <c r="A814" s="46">
        <v>1221</v>
      </c>
      <c r="B814" s="46" t="s">
        <v>2525</v>
      </c>
      <c r="C814" s="46" t="s">
        <v>203</v>
      </c>
      <c r="D814" s="60"/>
      <c r="E814" s="60"/>
      <c r="F814" s="46" t="s">
        <v>225</v>
      </c>
      <c r="G814" s="46" t="s">
        <v>159</v>
      </c>
      <c r="H814" s="46" t="s">
        <v>592</v>
      </c>
      <c r="I814" s="46" t="s">
        <v>169</v>
      </c>
      <c r="J814" s="46" t="s">
        <v>69</v>
      </c>
      <c r="K814" s="46" t="s">
        <v>68</v>
      </c>
      <c r="L814" s="46">
        <v>1</v>
      </c>
      <c r="M814" s="46"/>
      <c r="N814" s="46"/>
      <c r="O814" s="46"/>
      <c r="P814" s="46"/>
      <c r="Q814" s="46"/>
      <c r="R814" s="46"/>
      <c r="S814" s="46"/>
      <c r="T814" s="46"/>
      <c r="U814" s="46"/>
      <c r="V814" s="46"/>
      <c r="W814" s="46"/>
      <c r="X814" s="46"/>
      <c r="Y814" s="46"/>
      <c r="Z814" s="46"/>
      <c r="AA814" s="61"/>
      <c r="AB814" s="62"/>
      <c r="AC814" s="63"/>
      <c r="AD814" s="62"/>
      <c r="AE814" s="62">
        <f>IF(AND(G814&lt;&gt;"NG w CCUS",G814&lt;&gt;"Oil w CCUS",G814&lt;&gt;"Coal w CCUS"),AB814,AD814*10^3/(HoursInYear*IF(G814="NG w CCUS",0.9105,1.9075)))</f>
        <v>0</v>
      </c>
      <c r="AF814" s="64" t="s">
        <v>2524</v>
      </c>
      <c r="AG814" s="49">
        <v>0.5</v>
      </c>
    </row>
    <row r="815" spans="1:33" ht="34.5" customHeight="1" x14ac:dyDescent="0.3">
      <c r="A815" s="46">
        <v>1222</v>
      </c>
      <c r="B815" s="46" t="s">
        <v>2526</v>
      </c>
      <c r="C815" s="46" t="s">
        <v>40</v>
      </c>
      <c r="D815" s="60">
        <v>1982</v>
      </c>
      <c r="E815" s="60"/>
      <c r="F815" s="46" t="s">
        <v>226</v>
      </c>
      <c r="G815" s="46" t="s">
        <v>161</v>
      </c>
      <c r="H815" s="46" t="s">
        <v>1489</v>
      </c>
      <c r="I815" s="46"/>
      <c r="J815" s="46"/>
      <c r="K815" s="46" t="s">
        <v>141</v>
      </c>
      <c r="L815" s="46"/>
      <c r="M815" s="46">
        <v>1</v>
      </c>
      <c r="N815" s="46"/>
      <c r="O815" s="46"/>
      <c r="P815" s="46"/>
      <c r="Q815" s="46"/>
      <c r="R815" s="46"/>
      <c r="S815" s="46"/>
      <c r="T815" s="46"/>
      <c r="U815" s="46"/>
      <c r="V815" s="46"/>
      <c r="W815" s="46"/>
      <c r="X815" s="46"/>
      <c r="Y815" s="46"/>
      <c r="Z815" s="46" t="s">
        <v>2527</v>
      </c>
      <c r="AA815" s="61"/>
      <c r="AB815" s="62"/>
      <c r="AC815" s="63"/>
      <c r="AD815" s="62">
        <v>680000</v>
      </c>
      <c r="AE815" s="62">
        <f>IF(AND(G815&lt;&gt;"NG w CCUS",G815&lt;&gt;"Oil w CCUS",G815&lt;&gt;"Coal w CCUS"),AB815,AD815*10^3/(HoursInYear*IF(G815="NG w CCUS",0.9105,1.9075)))</f>
        <v>85255.981083202321</v>
      </c>
      <c r="AF815" s="64" t="s">
        <v>2528</v>
      </c>
      <c r="AG815" s="49">
        <v>0.9</v>
      </c>
    </row>
    <row r="816" spans="1:33" ht="34.5" customHeight="1" x14ac:dyDescent="0.3">
      <c r="A816" s="46">
        <v>1223</v>
      </c>
      <c r="B816" s="46" t="s">
        <v>2529</v>
      </c>
      <c r="C816" s="46" t="s">
        <v>313</v>
      </c>
      <c r="D816" s="60">
        <v>2028</v>
      </c>
      <c r="E816" s="60"/>
      <c r="F816" s="46" t="s">
        <v>225</v>
      </c>
      <c r="G816" s="46" t="s">
        <v>161</v>
      </c>
      <c r="H816" s="46" t="s">
        <v>1951</v>
      </c>
      <c r="I816" s="46"/>
      <c r="J816" s="46"/>
      <c r="K816" s="46" t="s">
        <v>68</v>
      </c>
      <c r="L816" s="46">
        <v>1</v>
      </c>
      <c r="M816" s="46"/>
      <c r="N816" s="46"/>
      <c r="O816" s="46"/>
      <c r="P816" s="46"/>
      <c r="Q816" s="46"/>
      <c r="R816" s="46"/>
      <c r="S816" s="46"/>
      <c r="T816" s="46"/>
      <c r="U816" s="46"/>
      <c r="V816" s="46"/>
      <c r="W816" s="46"/>
      <c r="X816" s="46"/>
      <c r="Y816" s="46"/>
      <c r="Z816" s="46"/>
      <c r="AA816" s="61"/>
      <c r="AB816" s="62"/>
      <c r="AC816" s="63"/>
      <c r="AD816" s="62">
        <v>2500000</v>
      </c>
      <c r="AE816" s="62">
        <f>IF(AND(G816&lt;&gt;"NG w CCUS",G816&lt;&gt;"Oil w CCUS",G816&lt;&gt;"Coal w CCUS"),AB816,AD816*10^3/(HoursInYear*IF(G816="NG w CCUS",0.9105,1.9075)))</f>
        <v>313441.10692353791</v>
      </c>
      <c r="AF816" s="64" t="s">
        <v>2530</v>
      </c>
      <c r="AG816" s="49">
        <v>0.9</v>
      </c>
    </row>
    <row r="817" spans="1:33" ht="34.5" customHeight="1" x14ac:dyDescent="0.3">
      <c r="A817" s="46">
        <v>1224</v>
      </c>
      <c r="B817" s="46" t="s">
        <v>2531</v>
      </c>
      <c r="C817" s="46" t="s">
        <v>58</v>
      </c>
      <c r="D817" s="60"/>
      <c r="E817" s="60"/>
      <c r="F817" s="46" t="s">
        <v>591</v>
      </c>
      <c r="G817" s="46" t="s">
        <v>161</v>
      </c>
      <c r="H817" s="46" t="s">
        <v>882</v>
      </c>
      <c r="I817" s="46"/>
      <c r="J817" s="46"/>
      <c r="K817" s="46" t="s">
        <v>68</v>
      </c>
      <c r="L817" s="46"/>
      <c r="M817" s="46"/>
      <c r="N817" s="46"/>
      <c r="O817" s="46"/>
      <c r="P817" s="46"/>
      <c r="Q817" s="46"/>
      <c r="R817" s="46"/>
      <c r="S817" s="46"/>
      <c r="T817" s="46"/>
      <c r="U817" s="46"/>
      <c r="V817" s="46"/>
      <c r="W817" s="46"/>
      <c r="X817" s="46"/>
      <c r="Y817" s="46"/>
      <c r="Z817" s="46" t="s">
        <v>2532</v>
      </c>
      <c r="AA817" s="61"/>
      <c r="AB817" s="62"/>
      <c r="AC817" s="63"/>
      <c r="AD817" s="62">
        <v>2500000</v>
      </c>
      <c r="AE817" s="62">
        <f>IF(AND(G817&lt;&gt;"NG w CCUS",G817&lt;&gt;"Oil w CCUS",G817&lt;&gt;"Coal w CCUS"),AB817,AD817*10^3/(HoursInYear*IF(G817="NG w CCUS",0.9105,1.9075)))</f>
        <v>313441.10692353791</v>
      </c>
      <c r="AF817" s="64" t="s">
        <v>2533</v>
      </c>
      <c r="AG817" s="49">
        <v>0.9</v>
      </c>
    </row>
    <row r="818" spans="1:33" ht="34.5" customHeight="1" x14ac:dyDescent="0.3">
      <c r="A818" s="46">
        <v>1227</v>
      </c>
      <c r="B818" s="46" t="s">
        <v>2534</v>
      </c>
      <c r="C818" s="46" t="s">
        <v>41</v>
      </c>
      <c r="D818" s="60">
        <v>2015</v>
      </c>
      <c r="E818" s="60">
        <v>2020</v>
      </c>
      <c r="F818" s="46" t="s">
        <v>156</v>
      </c>
      <c r="G818" s="46" t="s">
        <v>160</v>
      </c>
      <c r="H818" s="46"/>
      <c r="I818" s="46"/>
      <c r="J818" s="46"/>
      <c r="K818" s="46" t="s">
        <v>68</v>
      </c>
      <c r="L818" s="46">
        <v>1</v>
      </c>
      <c r="M818" s="46"/>
      <c r="N818" s="46"/>
      <c r="O818" s="46"/>
      <c r="P818" s="46"/>
      <c r="Q818" s="46"/>
      <c r="R818" s="46"/>
      <c r="S818" s="46"/>
      <c r="T818" s="46"/>
      <c r="U818" s="46"/>
      <c r="V818" s="46"/>
      <c r="W818" s="46"/>
      <c r="X818" s="46"/>
      <c r="Y818" s="46"/>
      <c r="Z818" s="46" t="s">
        <v>1490</v>
      </c>
      <c r="AA818" s="61"/>
      <c r="AB818" s="62"/>
      <c r="AC818" s="63"/>
      <c r="AD818" s="62">
        <v>100000</v>
      </c>
      <c r="AE818" s="62">
        <f t="shared" ref="AE818:AE836" si="100">IF(AND(G818&lt;&gt;"NG w CCUS",G818&lt;&gt;"Oil w CCUS",G818&lt;&gt;"Coal w CCUS"),AB818,AD818*10^3/(HoursInYear*IF(G818="NG w CCUS",0.9105,1.9075)))</f>
        <v>5984.5478973290956</v>
      </c>
      <c r="AF818" s="64"/>
      <c r="AG818" s="49">
        <v>0.9</v>
      </c>
    </row>
    <row r="819" spans="1:33" ht="34.5" customHeight="1" x14ac:dyDescent="0.3">
      <c r="A819" s="46">
        <v>1228</v>
      </c>
      <c r="B819" s="46" t="s">
        <v>2535</v>
      </c>
      <c r="C819" s="46" t="s">
        <v>41</v>
      </c>
      <c r="D819" s="60">
        <v>2015</v>
      </c>
      <c r="E819" s="60"/>
      <c r="F819" s="46" t="s">
        <v>226</v>
      </c>
      <c r="G819" s="46" t="s">
        <v>160</v>
      </c>
      <c r="H819" s="46"/>
      <c r="I819" s="46"/>
      <c r="J819" s="46"/>
      <c r="K819" s="46" t="s">
        <v>140</v>
      </c>
      <c r="L819" s="46"/>
      <c r="M819" s="46"/>
      <c r="N819" s="46">
        <v>1</v>
      </c>
      <c r="O819" s="46"/>
      <c r="P819" s="46"/>
      <c r="Q819" s="46"/>
      <c r="R819" s="46"/>
      <c r="S819" s="46"/>
      <c r="T819" s="46"/>
      <c r="U819" s="46"/>
      <c r="V819" s="46"/>
      <c r="W819" s="46"/>
      <c r="X819" s="46"/>
      <c r="Y819" s="46"/>
      <c r="Z819" s="46" t="s">
        <v>2536</v>
      </c>
      <c r="AA819" s="61"/>
      <c r="AB819" s="62"/>
      <c r="AC819" s="63"/>
      <c r="AD819" s="62">
        <v>50000</v>
      </c>
      <c r="AE819" s="62">
        <f t="shared" si="100"/>
        <v>2992.2739486645478</v>
      </c>
      <c r="AF819" s="64"/>
      <c r="AG819" s="49">
        <v>0.9</v>
      </c>
    </row>
    <row r="820" spans="1:33" ht="34.5" customHeight="1" x14ac:dyDescent="0.3">
      <c r="A820" s="46">
        <v>1229</v>
      </c>
      <c r="B820" s="46" t="s">
        <v>2537</v>
      </c>
      <c r="C820" s="46" t="s">
        <v>90</v>
      </c>
      <c r="D820" s="60">
        <v>2027</v>
      </c>
      <c r="E820" s="60"/>
      <c r="F820" s="46" t="s">
        <v>225</v>
      </c>
      <c r="G820" s="46" t="s">
        <v>159</v>
      </c>
      <c r="H820" s="46" t="s">
        <v>592</v>
      </c>
      <c r="I820" s="46" t="s">
        <v>169</v>
      </c>
      <c r="J820" s="46" t="s">
        <v>246</v>
      </c>
      <c r="K820" s="46" t="s">
        <v>141</v>
      </c>
      <c r="L820" s="46"/>
      <c r="M820" s="46">
        <v>1</v>
      </c>
      <c r="N820" s="46"/>
      <c r="O820" s="46"/>
      <c r="P820" s="46"/>
      <c r="Q820" s="46"/>
      <c r="R820" s="46"/>
      <c r="S820" s="46"/>
      <c r="T820" s="46"/>
      <c r="U820" s="46"/>
      <c r="V820" s="46"/>
      <c r="W820" s="46"/>
      <c r="X820" s="46"/>
      <c r="Y820" s="46"/>
      <c r="Z820" s="46" t="s">
        <v>2538</v>
      </c>
      <c r="AA820" s="61">
        <f>IF(OR(G820="ALK",G820="PEM",G820="SOEC",G820="Other Electrolysis"),
AB820*VLOOKUP(G820,ElectrolysisConvF,3,FALSE),
"")</f>
        <v>1168.2839632277833</v>
      </c>
      <c r="AB820" s="62">
        <f>AC820/(H2dens*HoursInYear/10^6)</f>
        <v>259618.65849506299</v>
      </c>
      <c r="AC820" s="63">
        <f>305*365/1000/H2ProjectDB4578610[[#This Row],[Column33]]</f>
        <v>202.40909090909091</v>
      </c>
      <c r="AD820" s="62"/>
      <c r="AE820" s="62">
        <f t="shared" si="100"/>
        <v>259618.65849506299</v>
      </c>
      <c r="AF820" s="64" t="s">
        <v>2539</v>
      </c>
      <c r="AG820" s="49">
        <v>0.55000000000000004</v>
      </c>
    </row>
    <row r="821" spans="1:33" ht="34.5" customHeight="1" x14ac:dyDescent="0.3">
      <c r="A821" s="46">
        <v>1230</v>
      </c>
      <c r="B821" s="46" t="s">
        <v>2540</v>
      </c>
      <c r="C821" s="46" t="s">
        <v>90</v>
      </c>
      <c r="D821" s="60">
        <v>2024</v>
      </c>
      <c r="E821" s="60"/>
      <c r="F821" s="46" t="s">
        <v>225</v>
      </c>
      <c r="G821" s="46" t="s">
        <v>159</v>
      </c>
      <c r="H821" s="46" t="s">
        <v>592</v>
      </c>
      <c r="I821" s="46" t="s">
        <v>169</v>
      </c>
      <c r="J821" s="46" t="s">
        <v>246</v>
      </c>
      <c r="K821" s="46" t="s">
        <v>68</v>
      </c>
      <c r="L821" s="46"/>
      <c r="M821" s="46"/>
      <c r="N821" s="46"/>
      <c r="O821" s="46"/>
      <c r="P821" s="46"/>
      <c r="Q821" s="46"/>
      <c r="R821" s="46"/>
      <c r="S821" s="46"/>
      <c r="T821" s="46"/>
      <c r="U821" s="46"/>
      <c r="V821" s="46"/>
      <c r="W821" s="46"/>
      <c r="X821" s="46"/>
      <c r="Y821" s="46"/>
      <c r="Z821" s="46" t="s">
        <v>2541</v>
      </c>
      <c r="AA821" s="61">
        <v>5</v>
      </c>
      <c r="AB821" s="62">
        <f>IF(OR(G821="ALK",G821="PEM",G821="SOEC",G821="Other Electrolysis"),
AA821/VLOOKUP(G821,ElectrolysisConvF,3,FALSE),
AC821*10^6/(H2dens*HoursInYear))</f>
        <v>1111.1111111111111</v>
      </c>
      <c r="AC821" s="63">
        <f>AB821*H2dens*HoursInYear/10^6</f>
        <v>0.86626666666666663</v>
      </c>
      <c r="AD821" s="62"/>
      <c r="AE821" s="62">
        <f t="shared" si="100"/>
        <v>1111.1111111111111</v>
      </c>
      <c r="AF821" s="64" t="s">
        <v>2542</v>
      </c>
      <c r="AG821" s="49">
        <v>0.55000000000000004</v>
      </c>
    </row>
    <row r="822" spans="1:33" ht="34.5" customHeight="1" x14ac:dyDescent="0.3">
      <c r="A822" s="46">
        <v>1231</v>
      </c>
      <c r="B822" s="46" t="s">
        <v>2543</v>
      </c>
      <c r="C822" s="46" t="s">
        <v>78</v>
      </c>
      <c r="D822" s="60"/>
      <c r="E822" s="60"/>
      <c r="F822" s="46" t="s">
        <v>285</v>
      </c>
      <c r="G822" s="46" t="s">
        <v>159</v>
      </c>
      <c r="H822" s="46" t="s">
        <v>592</v>
      </c>
      <c r="I822" s="46" t="s">
        <v>288</v>
      </c>
      <c r="J822" s="46"/>
      <c r="K822" s="46" t="s">
        <v>68</v>
      </c>
      <c r="L822" s="46"/>
      <c r="M822" s="46"/>
      <c r="N822" s="46"/>
      <c r="O822" s="46"/>
      <c r="P822" s="46"/>
      <c r="Q822" s="46"/>
      <c r="R822" s="46"/>
      <c r="S822" s="46"/>
      <c r="T822" s="46"/>
      <c r="U822" s="46"/>
      <c r="V822" s="46"/>
      <c r="W822" s="46"/>
      <c r="X822" s="46"/>
      <c r="Y822" s="46"/>
      <c r="Z822" s="46"/>
      <c r="AA822" s="61"/>
      <c r="AB822" s="62"/>
      <c r="AC822" s="63"/>
      <c r="AD822" s="62"/>
      <c r="AE822" s="62">
        <f t="shared" si="100"/>
        <v>0</v>
      </c>
      <c r="AF822" s="64" t="s">
        <v>2544</v>
      </c>
      <c r="AG822" s="49">
        <v>0.8</v>
      </c>
    </row>
    <row r="823" spans="1:33" ht="34.5" customHeight="1" x14ac:dyDescent="0.3">
      <c r="A823" s="46">
        <v>1232</v>
      </c>
      <c r="B823" s="46" t="s">
        <v>2545</v>
      </c>
      <c r="C823" s="46" t="s">
        <v>313</v>
      </c>
      <c r="D823" s="60"/>
      <c r="E823" s="60"/>
      <c r="F823" s="46" t="s">
        <v>285</v>
      </c>
      <c r="G823" s="46" t="s">
        <v>159</v>
      </c>
      <c r="H823" s="46" t="s">
        <v>592</v>
      </c>
      <c r="I823" s="46" t="s">
        <v>169</v>
      </c>
      <c r="J823" s="46" t="s">
        <v>69</v>
      </c>
      <c r="K823" s="46" t="s">
        <v>68</v>
      </c>
      <c r="L823" s="46"/>
      <c r="M823" s="46"/>
      <c r="N823" s="46"/>
      <c r="O823" s="46"/>
      <c r="P823" s="46"/>
      <c r="Q823" s="46"/>
      <c r="R823" s="46"/>
      <c r="S823" s="46"/>
      <c r="T823" s="46"/>
      <c r="U823" s="46"/>
      <c r="V823" s="46"/>
      <c r="W823" s="46"/>
      <c r="X823" s="46"/>
      <c r="Y823" s="46"/>
      <c r="Z823" s="46"/>
      <c r="AA823" s="61"/>
      <c r="AB823" s="62"/>
      <c r="AC823" s="63"/>
      <c r="AD823" s="62"/>
      <c r="AE823" s="62">
        <f t="shared" si="100"/>
        <v>0</v>
      </c>
      <c r="AF823" s="64" t="s">
        <v>2546</v>
      </c>
      <c r="AG823" s="49">
        <v>0.5</v>
      </c>
    </row>
    <row r="824" spans="1:33" ht="34.5" customHeight="1" x14ac:dyDescent="0.3">
      <c r="A824" s="46">
        <v>1233</v>
      </c>
      <c r="B824" s="46" t="s">
        <v>2547</v>
      </c>
      <c r="C824" s="46" t="s">
        <v>63</v>
      </c>
      <c r="D824" s="60"/>
      <c r="E824" s="60"/>
      <c r="F824" s="46" t="s">
        <v>225</v>
      </c>
      <c r="G824" s="46" t="s">
        <v>159</v>
      </c>
      <c r="H824" s="46" t="s">
        <v>592</v>
      </c>
      <c r="I824" s="46" t="s">
        <v>169</v>
      </c>
      <c r="J824" s="46" t="s">
        <v>248</v>
      </c>
      <c r="K824" s="46" t="s">
        <v>68</v>
      </c>
      <c r="L824" s="46"/>
      <c r="M824" s="46"/>
      <c r="N824" s="46"/>
      <c r="O824" s="46"/>
      <c r="P824" s="46"/>
      <c r="Q824" s="46"/>
      <c r="R824" s="46"/>
      <c r="S824" s="46"/>
      <c r="T824" s="46"/>
      <c r="U824" s="46"/>
      <c r="V824" s="46">
        <v>1</v>
      </c>
      <c r="W824" s="46"/>
      <c r="X824" s="46"/>
      <c r="Y824" s="46"/>
      <c r="Z824" s="46" t="s">
        <v>2548</v>
      </c>
      <c r="AA824" s="61">
        <v>300</v>
      </c>
      <c r="AB824" s="62">
        <f>IF(OR(G824="ALK",G824="PEM",G824="SOEC",G824="Other Electrolysis"),
AA824/VLOOKUP(G824,ElectrolysisConvF,3,FALSE),
AC824*10^6/(H2dens*HoursInYear))</f>
        <v>66666.666666666672</v>
      </c>
      <c r="AC824" s="63">
        <f>AB824*H2dens*HoursInYear/10^6</f>
        <v>51.975999999999999</v>
      </c>
      <c r="AD824" s="62"/>
      <c r="AE824" s="62">
        <f t="shared" si="100"/>
        <v>66666.666666666672</v>
      </c>
      <c r="AF824" s="64" t="s">
        <v>2549</v>
      </c>
      <c r="AG824" s="49">
        <v>0.5</v>
      </c>
    </row>
    <row r="825" spans="1:33" ht="34.5" customHeight="1" x14ac:dyDescent="0.3">
      <c r="A825" s="46">
        <v>1234</v>
      </c>
      <c r="B825" s="46" t="s">
        <v>2550</v>
      </c>
      <c r="C825" s="46" t="s">
        <v>83</v>
      </c>
      <c r="D825" s="60">
        <v>2000</v>
      </c>
      <c r="E825" s="60">
        <v>2019</v>
      </c>
      <c r="F825" s="46" t="s">
        <v>156</v>
      </c>
      <c r="G825" s="46" t="s">
        <v>3</v>
      </c>
      <c r="H825" s="46"/>
      <c r="I825" s="46" t="s">
        <v>169</v>
      </c>
      <c r="J825" s="46" t="s">
        <v>247</v>
      </c>
      <c r="K825" s="46" t="s">
        <v>141</v>
      </c>
      <c r="L825" s="46"/>
      <c r="M825" s="46">
        <v>1</v>
      </c>
      <c r="N825" s="46"/>
      <c r="O825" s="46"/>
      <c r="P825" s="46"/>
      <c r="Q825" s="46"/>
      <c r="R825" s="46"/>
      <c r="S825" s="46"/>
      <c r="T825" s="46"/>
      <c r="U825" s="46"/>
      <c r="V825" s="46"/>
      <c r="W825" s="46"/>
      <c r="X825" s="46"/>
      <c r="Y825" s="46"/>
      <c r="Z825" s="46" t="s">
        <v>2551</v>
      </c>
      <c r="AA825" s="61"/>
      <c r="AB825" s="62"/>
      <c r="AC825" s="63"/>
      <c r="AD825" s="62"/>
      <c r="AE825" s="62">
        <f t="shared" si="100"/>
        <v>0</v>
      </c>
      <c r="AF825" s="64" t="s">
        <v>2552</v>
      </c>
      <c r="AG825" s="49">
        <v>0.8</v>
      </c>
    </row>
    <row r="826" spans="1:33" ht="34.5" customHeight="1" x14ac:dyDescent="0.3">
      <c r="A826" s="46">
        <v>1235</v>
      </c>
      <c r="B826" s="46" t="s">
        <v>2553</v>
      </c>
      <c r="C826" s="46" t="s">
        <v>519</v>
      </c>
      <c r="D826" s="60">
        <v>1975</v>
      </c>
      <c r="E826" s="60">
        <v>2015</v>
      </c>
      <c r="F826" s="46" t="s">
        <v>156</v>
      </c>
      <c r="G826" s="46" t="s">
        <v>3</v>
      </c>
      <c r="H826" s="46"/>
      <c r="I826" s="46" t="s">
        <v>157</v>
      </c>
      <c r="J826" s="46"/>
      <c r="K826" s="46" t="s">
        <v>141</v>
      </c>
      <c r="L826" s="46"/>
      <c r="M826" s="46">
        <v>1</v>
      </c>
      <c r="N826" s="46"/>
      <c r="O826" s="46"/>
      <c r="P826" s="46"/>
      <c r="Q826" s="46"/>
      <c r="R826" s="46"/>
      <c r="S826" s="46"/>
      <c r="T826" s="46"/>
      <c r="U826" s="46"/>
      <c r="V826" s="46"/>
      <c r="W826" s="46"/>
      <c r="X826" s="46"/>
      <c r="Y826" s="46"/>
      <c r="Z826" s="46" t="s">
        <v>1257</v>
      </c>
      <c r="AA826" s="61"/>
      <c r="AB826" s="62"/>
      <c r="AC826" s="63"/>
      <c r="AD826" s="62"/>
      <c r="AE826" s="62">
        <f t="shared" si="100"/>
        <v>0</v>
      </c>
      <c r="AF826" s="64" t="s">
        <v>2554</v>
      </c>
      <c r="AG826" s="49">
        <v>0.56999999999999995</v>
      </c>
    </row>
    <row r="827" spans="1:33" ht="34.5" customHeight="1" x14ac:dyDescent="0.3">
      <c r="A827" s="46">
        <v>1236</v>
      </c>
      <c r="B827" s="46" t="s">
        <v>2555</v>
      </c>
      <c r="C827" s="46" t="s">
        <v>37</v>
      </c>
      <c r="D827" s="60">
        <v>2025</v>
      </c>
      <c r="E827" s="60"/>
      <c r="F827" s="46" t="s">
        <v>225</v>
      </c>
      <c r="G827" s="46" t="s">
        <v>161</v>
      </c>
      <c r="H827" s="46" t="s">
        <v>2365</v>
      </c>
      <c r="I827" s="46"/>
      <c r="J827" s="46"/>
      <c r="K827" s="46" t="s">
        <v>68</v>
      </c>
      <c r="L827" s="46">
        <v>1</v>
      </c>
      <c r="M827" s="46"/>
      <c r="N827" s="46"/>
      <c r="O827" s="46"/>
      <c r="P827" s="46"/>
      <c r="Q827" s="46"/>
      <c r="R827" s="46"/>
      <c r="S827" s="46"/>
      <c r="T827" s="46"/>
      <c r="U827" s="46"/>
      <c r="V827" s="46"/>
      <c r="W827" s="46"/>
      <c r="X827" s="46"/>
      <c r="Y827" s="46"/>
      <c r="Z827" s="46" t="s">
        <v>2556</v>
      </c>
      <c r="AA827" s="61"/>
      <c r="AB827" s="62"/>
      <c r="AC827" s="63"/>
      <c r="AD827" s="62">
        <v>380000</v>
      </c>
      <c r="AE827" s="62">
        <f t="shared" si="100"/>
        <v>47643.048252377768</v>
      </c>
      <c r="AF827" s="64" t="s">
        <v>2557</v>
      </c>
      <c r="AG827" s="49">
        <v>0.9</v>
      </c>
    </row>
    <row r="828" spans="1:33" ht="34.5" customHeight="1" x14ac:dyDescent="0.3">
      <c r="A828" s="46">
        <v>1237</v>
      </c>
      <c r="B828" s="46" t="s">
        <v>2558</v>
      </c>
      <c r="C828" s="46" t="s">
        <v>35</v>
      </c>
      <c r="D828" s="60">
        <v>2030</v>
      </c>
      <c r="E828" s="60"/>
      <c r="F828" s="46" t="s">
        <v>225</v>
      </c>
      <c r="G828" s="46" t="s">
        <v>161</v>
      </c>
      <c r="H828" s="46" t="s">
        <v>1951</v>
      </c>
      <c r="I828" s="46"/>
      <c r="J828" s="46"/>
      <c r="K828" s="46" t="s">
        <v>68</v>
      </c>
      <c r="L828" s="46"/>
      <c r="M828" s="46"/>
      <c r="N828" s="46"/>
      <c r="O828" s="46"/>
      <c r="P828" s="46">
        <v>1</v>
      </c>
      <c r="Q828" s="46">
        <v>1</v>
      </c>
      <c r="R828" s="46"/>
      <c r="S828" s="46"/>
      <c r="T828" s="46"/>
      <c r="U828" s="46"/>
      <c r="V828" s="46"/>
      <c r="W828" s="46"/>
      <c r="X828" s="46"/>
      <c r="Y828" s="46"/>
      <c r="Z828" s="46" t="s">
        <v>2559</v>
      </c>
      <c r="AA828" s="61"/>
      <c r="AB828" s="62">
        <f>AC828/(H2dens*HoursInYear/10^6)</f>
        <v>327715.35580524342</v>
      </c>
      <c r="AC828" s="63">
        <f>0.7*365</f>
        <v>255.49999999999997</v>
      </c>
      <c r="AD828" s="62"/>
      <c r="AE828" s="62">
        <f t="shared" si="100"/>
        <v>0</v>
      </c>
      <c r="AF828" s="64" t="s">
        <v>2560</v>
      </c>
      <c r="AG828" s="49">
        <v>0.9</v>
      </c>
    </row>
    <row r="829" spans="1:33" ht="34.5" customHeight="1" x14ac:dyDescent="0.3">
      <c r="A829" s="46">
        <v>1239</v>
      </c>
      <c r="B829" s="46" t="s">
        <v>2561</v>
      </c>
      <c r="C829" s="46" t="s">
        <v>40</v>
      </c>
      <c r="D829" s="60"/>
      <c r="E829" s="60"/>
      <c r="F829" s="46" t="s">
        <v>225</v>
      </c>
      <c r="G829" s="46" t="s">
        <v>1</v>
      </c>
      <c r="H829" s="46"/>
      <c r="I829" s="46" t="s">
        <v>169</v>
      </c>
      <c r="J829" s="46" t="s">
        <v>245</v>
      </c>
      <c r="K829" s="46" t="s">
        <v>68</v>
      </c>
      <c r="L829" s="46"/>
      <c r="M829" s="46"/>
      <c r="N829" s="46"/>
      <c r="O829" s="46"/>
      <c r="P829" s="46"/>
      <c r="Q829" s="46">
        <v>1</v>
      </c>
      <c r="R829" s="46"/>
      <c r="S829" s="46"/>
      <c r="T829" s="46"/>
      <c r="U829" s="46"/>
      <c r="V829" s="46"/>
      <c r="W829" s="46"/>
      <c r="X829" s="46"/>
      <c r="Y829" s="46"/>
      <c r="Z829" s="46" t="s">
        <v>2562</v>
      </c>
      <c r="AA829" s="61">
        <f>IF(OR(G829="ALK",G829="PEM",G829="SOEC",G829="Other Electrolysis"),
AB829*VLOOKUP(G829,ElectrolysisConvF,3,FALSE),
"")</f>
        <v>182.58426966292132</v>
      </c>
      <c r="AB829" s="62">
        <f>AC829/(H2dens*HoursInYear/10^6)</f>
        <v>35112.359550561792</v>
      </c>
      <c r="AC829" s="63">
        <f>30*365/1000/H2ProjectDB4578610[[#This Row],[Column33]]</f>
        <v>27.374999999999996</v>
      </c>
      <c r="AD829" s="62"/>
      <c r="AE829" s="62">
        <f t="shared" si="100"/>
        <v>35112.359550561792</v>
      </c>
      <c r="AF829" s="64" t="s">
        <v>2563</v>
      </c>
      <c r="AG829" s="49">
        <v>0.4</v>
      </c>
    </row>
    <row r="830" spans="1:33" ht="34.5" customHeight="1" x14ac:dyDescent="0.3">
      <c r="A830" s="46">
        <v>1240</v>
      </c>
      <c r="B830" s="46" t="s">
        <v>2564</v>
      </c>
      <c r="C830" s="46" t="s">
        <v>40</v>
      </c>
      <c r="D830" s="60">
        <v>2000</v>
      </c>
      <c r="E830" s="60"/>
      <c r="F830" s="46" t="s">
        <v>226</v>
      </c>
      <c r="G830" s="46" t="s">
        <v>1</v>
      </c>
      <c r="H830" s="46"/>
      <c r="I830" s="46" t="s">
        <v>157</v>
      </c>
      <c r="J830" s="46"/>
      <c r="K830" s="46" t="s">
        <v>68</v>
      </c>
      <c r="L830" s="46"/>
      <c r="M830" s="46"/>
      <c r="N830" s="46"/>
      <c r="O830" s="46"/>
      <c r="P830" s="46"/>
      <c r="Q830" s="46"/>
      <c r="R830" s="46"/>
      <c r="S830" s="46"/>
      <c r="T830" s="46"/>
      <c r="U830" s="46"/>
      <c r="V830" s="46"/>
      <c r="W830" s="46"/>
      <c r="X830" s="46"/>
      <c r="Y830" s="46"/>
      <c r="Z830" s="46" t="s">
        <v>2565</v>
      </c>
      <c r="AA830" s="61">
        <v>3.75</v>
      </c>
      <c r="AB830" s="62">
        <f t="shared" ref="AB830:AB836" si="101">IF(OR(G830="ALK",G830="PEM",G830="SOEC",G830="Other Electrolysis"),
AA830/VLOOKUP(G830,ElectrolysisConvF,3,FALSE),
AC830*10^6/(H2dens*HoursInYear))</f>
        <v>721.15384615384619</v>
      </c>
      <c r="AC830" s="63">
        <f t="shared" ref="AC830:AC836" si="102">AB830*H2dens*HoursInYear/10^6</f>
        <v>0.56224038461538461</v>
      </c>
      <c r="AD830" s="62"/>
      <c r="AE830" s="62">
        <f t="shared" si="100"/>
        <v>721.15384615384619</v>
      </c>
      <c r="AF830" s="64" t="s">
        <v>2566</v>
      </c>
      <c r="AG830" s="49">
        <v>0.56999999999999995</v>
      </c>
    </row>
    <row r="831" spans="1:33" ht="34.5" customHeight="1" x14ac:dyDescent="0.3">
      <c r="A831" s="46">
        <v>1241</v>
      </c>
      <c r="B831" s="46" t="s">
        <v>2567</v>
      </c>
      <c r="C831" s="46" t="s">
        <v>40</v>
      </c>
      <c r="D831" s="60">
        <v>2000</v>
      </c>
      <c r="E831" s="60"/>
      <c r="F831" s="46" t="s">
        <v>226</v>
      </c>
      <c r="G831" s="46" t="s">
        <v>1</v>
      </c>
      <c r="H831" s="46"/>
      <c r="I831" s="46" t="s">
        <v>157</v>
      </c>
      <c r="J831" s="46"/>
      <c r="K831" s="46" t="s">
        <v>68</v>
      </c>
      <c r="L831" s="46"/>
      <c r="M831" s="46"/>
      <c r="N831" s="46"/>
      <c r="O831" s="46"/>
      <c r="P831" s="46"/>
      <c r="Q831" s="46"/>
      <c r="R831" s="46"/>
      <c r="S831" s="46"/>
      <c r="T831" s="46"/>
      <c r="U831" s="46"/>
      <c r="V831" s="46"/>
      <c r="W831" s="46"/>
      <c r="X831" s="46"/>
      <c r="Y831" s="46"/>
      <c r="Z831" s="46" t="s">
        <v>2568</v>
      </c>
      <c r="AA831" s="61">
        <v>0.5</v>
      </c>
      <c r="AB831" s="62">
        <f t="shared" si="101"/>
        <v>96.15384615384616</v>
      </c>
      <c r="AC831" s="63">
        <f t="shared" si="102"/>
        <v>7.4965384615384628E-2</v>
      </c>
      <c r="AD831" s="62"/>
      <c r="AE831" s="62">
        <f t="shared" si="100"/>
        <v>96.15384615384616</v>
      </c>
      <c r="AF831" s="64" t="s">
        <v>2566</v>
      </c>
      <c r="AG831" s="49">
        <v>0.56999999999999995</v>
      </c>
    </row>
    <row r="832" spans="1:33" ht="34.5" customHeight="1" x14ac:dyDescent="0.3">
      <c r="A832" s="46">
        <v>1242</v>
      </c>
      <c r="B832" s="46" t="s">
        <v>2567</v>
      </c>
      <c r="C832" s="46" t="s">
        <v>40</v>
      </c>
      <c r="D832" s="60">
        <v>2022</v>
      </c>
      <c r="E832" s="60"/>
      <c r="F832" s="46" t="s">
        <v>675</v>
      </c>
      <c r="G832" s="46" t="s">
        <v>1</v>
      </c>
      <c r="H832" s="46"/>
      <c r="I832" s="46" t="s">
        <v>157</v>
      </c>
      <c r="J832" s="46"/>
      <c r="K832" s="46" t="s">
        <v>68</v>
      </c>
      <c r="L832" s="46"/>
      <c r="M832" s="46"/>
      <c r="N832" s="46"/>
      <c r="O832" s="46"/>
      <c r="P832" s="46"/>
      <c r="Q832" s="46"/>
      <c r="R832" s="46"/>
      <c r="S832" s="46"/>
      <c r="T832" s="46"/>
      <c r="U832" s="46"/>
      <c r="V832" s="46"/>
      <c r="W832" s="46"/>
      <c r="X832" s="46"/>
      <c r="Y832" s="46"/>
      <c r="Z832" s="46" t="s">
        <v>2568</v>
      </c>
      <c r="AA832" s="61">
        <v>0.5</v>
      </c>
      <c r="AB832" s="62">
        <f t="shared" si="101"/>
        <v>96.15384615384616</v>
      </c>
      <c r="AC832" s="63">
        <f t="shared" si="102"/>
        <v>7.4965384615384628E-2</v>
      </c>
      <c r="AD832" s="62"/>
      <c r="AE832" s="62">
        <f t="shared" si="100"/>
        <v>96.15384615384616</v>
      </c>
      <c r="AF832" s="64" t="s">
        <v>2566</v>
      </c>
      <c r="AG832" s="49">
        <v>0.56999999999999995</v>
      </c>
    </row>
    <row r="833" spans="1:33" ht="34.5" customHeight="1" x14ac:dyDescent="0.3">
      <c r="A833" s="46">
        <v>1243</v>
      </c>
      <c r="B833" s="46" t="s">
        <v>2569</v>
      </c>
      <c r="C833" s="46" t="s">
        <v>40</v>
      </c>
      <c r="D833" s="60">
        <v>2000</v>
      </c>
      <c r="E833" s="60"/>
      <c r="F833" s="46" t="s">
        <v>226</v>
      </c>
      <c r="G833" s="46" t="s">
        <v>1</v>
      </c>
      <c r="H833" s="46"/>
      <c r="I833" s="46" t="s">
        <v>157</v>
      </c>
      <c r="J833" s="46"/>
      <c r="K833" s="46" t="s">
        <v>68</v>
      </c>
      <c r="L833" s="46"/>
      <c r="M833" s="46"/>
      <c r="N833" s="46"/>
      <c r="O833" s="46"/>
      <c r="P833" s="46"/>
      <c r="Q833" s="46"/>
      <c r="R833" s="46"/>
      <c r="S833" s="46"/>
      <c r="T833" s="46"/>
      <c r="U833" s="46"/>
      <c r="V833" s="46"/>
      <c r="W833" s="46"/>
      <c r="X833" s="46"/>
      <c r="Y833" s="46"/>
      <c r="Z833" s="46" t="s">
        <v>2570</v>
      </c>
      <c r="AA833" s="61">
        <v>3.24</v>
      </c>
      <c r="AB833" s="62">
        <f t="shared" si="101"/>
        <v>623.07692307692309</v>
      </c>
      <c r="AC833" s="63">
        <f t="shared" si="102"/>
        <v>0.48577569230769224</v>
      </c>
      <c r="AD833" s="62"/>
      <c r="AE833" s="62">
        <f t="shared" si="100"/>
        <v>623.07692307692309</v>
      </c>
      <c r="AF833" s="64" t="s">
        <v>2566</v>
      </c>
      <c r="AG833" s="49">
        <v>0.56999999999999995</v>
      </c>
    </row>
    <row r="834" spans="1:33" ht="34.5" customHeight="1" x14ac:dyDescent="0.3">
      <c r="A834" s="46">
        <v>1244</v>
      </c>
      <c r="B834" s="46" t="s">
        <v>2571</v>
      </c>
      <c r="C834" s="46" t="s">
        <v>40</v>
      </c>
      <c r="D834" s="60">
        <v>2022</v>
      </c>
      <c r="E834" s="60"/>
      <c r="F834" s="46" t="s">
        <v>675</v>
      </c>
      <c r="G834" s="46" t="s">
        <v>1</v>
      </c>
      <c r="H834" s="46"/>
      <c r="I834" s="46" t="s">
        <v>157</v>
      </c>
      <c r="J834" s="46"/>
      <c r="K834" s="46" t="s">
        <v>68</v>
      </c>
      <c r="L834" s="46"/>
      <c r="M834" s="46"/>
      <c r="N834" s="46"/>
      <c r="O834" s="46"/>
      <c r="P834" s="46"/>
      <c r="Q834" s="46"/>
      <c r="R834" s="46"/>
      <c r="S834" s="46"/>
      <c r="T834" s="46"/>
      <c r="U834" s="46"/>
      <c r="V834" s="46"/>
      <c r="W834" s="46"/>
      <c r="X834" s="46"/>
      <c r="Y834" s="46"/>
      <c r="Z834" s="46" t="s">
        <v>2572</v>
      </c>
      <c r="AA834" s="61">
        <v>0.72</v>
      </c>
      <c r="AB834" s="62">
        <f t="shared" si="101"/>
        <v>138.46153846153845</v>
      </c>
      <c r="AC834" s="63">
        <f t="shared" si="102"/>
        <v>0.10795015384615383</v>
      </c>
      <c r="AD834" s="62"/>
      <c r="AE834" s="62">
        <f t="shared" si="100"/>
        <v>138.46153846153845</v>
      </c>
      <c r="AF834" s="64" t="s">
        <v>2566</v>
      </c>
      <c r="AG834" s="49">
        <v>0.56999999999999995</v>
      </c>
    </row>
    <row r="835" spans="1:33" ht="34.5" customHeight="1" x14ac:dyDescent="0.3">
      <c r="A835" s="46">
        <v>1245</v>
      </c>
      <c r="B835" s="46" t="s">
        <v>2573</v>
      </c>
      <c r="C835" s="46" t="s">
        <v>40</v>
      </c>
      <c r="D835" s="60">
        <v>2000</v>
      </c>
      <c r="E835" s="60"/>
      <c r="F835" s="46" t="s">
        <v>226</v>
      </c>
      <c r="G835" s="46" t="s">
        <v>1</v>
      </c>
      <c r="H835" s="46"/>
      <c r="I835" s="46" t="s">
        <v>157</v>
      </c>
      <c r="J835" s="46"/>
      <c r="K835" s="46" t="s">
        <v>68</v>
      </c>
      <c r="L835" s="46"/>
      <c r="M835" s="46"/>
      <c r="N835" s="46"/>
      <c r="O835" s="46"/>
      <c r="P835" s="46"/>
      <c r="Q835" s="46"/>
      <c r="R835" s="46"/>
      <c r="S835" s="46"/>
      <c r="T835" s="46"/>
      <c r="U835" s="46"/>
      <c r="V835" s="46"/>
      <c r="W835" s="46"/>
      <c r="X835" s="46"/>
      <c r="Y835" s="46"/>
      <c r="Z835" s="46" t="s">
        <v>2574</v>
      </c>
      <c r="AA835" s="61">
        <v>1.44</v>
      </c>
      <c r="AB835" s="62">
        <f t="shared" si="101"/>
        <v>276.92307692307691</v>
      </c>
      <c r="AC835" s="63">
        <f t="shared" si="102"/>
        <v>0.21590030769230767</v>
      </c>
      <c r="AD835" s="62"/>
      <c r="AE835" s="62">
        <f t="shared" si="100"/>
        <v>276.92307692307691</v>
      </c>
      <c r="AF835" s="64" t="s">
        <v>2566</v>
      </c>
      <c r="AG835" s="49">
        <v>0.56999999999999995</v>
      </c>
    </row>
    <row r="836" spans="1:33" ht="34.5" customHeight="1" x14ac:dyDescent="0.3">
      <c r="A836" s="46">
        <v>1246</v>
      </c>
      <c r="B836" s="46" t="s">
        <v>2575</v>
      </c>
      <c r="C836" s="46" t="s">
        <v>40</v>
      </c>
      <c r="D836" s="60">
        <v>2022</v>
      </c>
      <c r="E836" s="60"/>
      <c r="F836" s="46" t="s">
        <v>675</v>
      </c>
      <c r="G836" s="46" t="s">
        <v>1</v>
      </c>
      <c r="H836" s="46"/>
      <c r="I836" s="46" t="s">
        <v>157</v>
      </c>
      <c r="J836" s="46"/>
      <c r="K836" s="46" t="s">
        <v>68</v>
      </c>
      <c r="L836" s="46"/>
      <c r="M836" s="46"/>
      <c r="N836" s="46"/>
      <c r="O836" s="46"/>
      <c r="P836" s="46"/>
      <c r="Q836" s="46"/>
      <c r="R836" s="46"/>
      <c r="S836" s="46"/>
      <c r="T836" s="46"/>
      <c r="U836" s="46"/>
      <c r="V836" s="46"/>
      <c r="W836" s="46"/>
      <c r="X836" s="46"/>
      <c r="Y836" s="46"/>
      <c r="Z836" s="46" t="s">
        <v>2576</v>
      </c>
      <c r="AA836" s="61">
        <v>0.24</v>
      </c>
      <c r="AB836" s="62">
        <f t="shared" si="101"/>
        <v>46.153846153846153</v>
      </c>
      <c r="AC836" s="63">
        <f t="shared" si="102"/>
        <v>3.5983384615384612E-2</v>
      </c>
      <c r="AD836" s="62"/>
      <c r="AE836" s="62">
        <f t="shared" si="100"/>
        <v>46.153846153846153</v>
      </c>
      <c r="AF836" s="64" t="s">
        <v>2566</v>
      </c>
      <c r="AG836" s="49">
        <v>0.56999999999999995</v>
      </c>
    </row>
    <row r="837" spans="1:33" ht="34.5" customHeight="1" x14ac:dyDescent="0.3">
      <c r="A837" s="46">
        <v>1247</v>
      </c>
      <c r="B837" s="46" t="s">
        <v>2577</v>
      </c>
      <c r="C837" s="46" t="s">
        <v>40</v>
      </c>
      <c r="D837" s="60">
        <v>2020</v>
      </c>
      <c r="E837" s="60">
        <v>2023</v>
      </c>
      <c r="F837" s="46" t="s">
        <v>285</v>
      </c>
      <c r="G837" s="46" t="s">
        <v>163</v>
      </c>
      <c r="H837" s="46" t="s">
        <v>168</v>
      </c>
      <c r="I837" s="46"/>
      <c r="J837" s="46"/>
      <c r="K837" s="46" t="s">
        <v>68</v>
      </c>
      <c r="L837" s="46"/>
      <c r="M837" s="46"/>
      <c r="N837" s="46"/>
      <c r="O837" s="46"/>
      <c r="P837" s="46"/>
      <c r="Q837" s="46">
        <v>1</v>
      </c>
      <c r="R837" s="46">
        <v>1</v>
      </c>
      <c r="S837" s="46"/>
      <c r="T837" s="46"/>
      <c r="U837" s="46"/>
      <c r="V837" s="46"/>
      <c r="W837" s="46"/>
      <c r="X837" s="46"/>
      <c r="Y837" s="46"/>
      <c r="Z837" s="46" t="s">
        <v>2578</v>
      </c>
      <c r="AA837" s="61" t="str">
        <f>IF(OR(G837="ALK",G837="PEM",G837="SOEC",G837="Other Electrolysis"),
AB837*VLOOKUP(G837,ElectrolysisConvF,3,FALSE),
"")</f>
        <v/>
      </c>
      <c r="AB837" s="62">
        <f>AC837/(H2dens*HoursInYear/10^6)</f>
        <v>35.112359550561798</v>
      </c>
      <c r="AC837" s="63">
        <f>75*365/1000000</f>
        <v>2.7375E-2</v>
      </c>
      <c r="AD837" s="62"/>
      <c r="AE837" s="62">
        <f>AB837</f>
        <v>35.112359550561798</v>
      </c>
      <c r="AF837" s="64" t="s">
        <v>1834</v>
      </c>
      <c r="AG837" s="49">
        <v>0.9</v>
      </c>
    </row>
    <row r="838" spans="1:33" ht="34.5" customHeight="1" x14ac:dyDescent="0.3">
      <c r="A838" s="46">
        <v>1248</v>
      </c>
      <c r="B838" s="46" t="s">
        <v>2579</v>
      </c>
      <c r="C838" s="46" t="s">
        <v>321</v>
      </c>
      <c r="D838" s="60">
        <v>2026</v>
      </c>
      <c r="E838" s="60"/>
      <c r="F838" s="46" t="s">
        <v>225</v>
      </c>
      <c r="G838" s="46" t="s">
        <v>1</v>
      </c>
      <c r="H838" s="46"/>
      <c r="I838" s="46" t="s">
        <v>169</v>
      </c>
      <c r="J838" s="46" t="s">
        <v>245</v>
      </c>
      <c r="K838" s="46" t="s">
        <v>140</v>
      </c>
      <c r="L838" s="46"/>
      <c r="M838" s="46"/>
      <c r="N838" s="46">
        <v>1</v>
      </c>
      <c r="O838" s="46"/>
      <c r="P838" s="46"/>
      <c r="Q838" s="46"/>
      <c r="R838" s="46"/>
      <c r="S838" s="46"/>
      <c r="T838" s="46"/>
      <c r="U838" s="46"/>
      <c r="V838" s="46"/>
      <c r="W838" s="46"/>
      <c r="X838" s="46"/>
      <c r="Y838" s="46"/>
      <c r="Z838" s="46" t="s">
        <v>1396</v>
      </c>
      <c r="AA838" s="61">
        <v>5</v>
      </c>
      <c r="AB838" s="62">
        <f>IF(OR(G838="ALK",G838="PEM",G838="SOEC",G838="Other Electrolysis"),
AA838/VLOOKUP(G838,ElectrolysisConvF,3,FALSE),
AC838*10^6/(H2dens*HoursInYear))</f>
        <v>961.53846153846155</v>
      </c>
      <c r="AC838" s="63">
        <f>AB838*H2dens*HoursInYear/10^6</f>
        <v>0.74965384615384612</v>
      </c>
      <c r="AD838" s="62"/>
      <c r="AE838" s="62">
        <f t="shared" ref="AE838:AE857" si="103">IF(AND(G838&lt;&gt;"NG w CCUS",G838&lt;&gt;"Oil w CCUS",G838&lt;&gt;"Coal w CCUS"),AB838,AD838*10^3/(HoursInYear*IF(G838="NG w CCUS",0.9105,1.9075)))</f>
        <v>961.53846153846155</v>
      </c>
      <c r="AF838" s="64" t="s">
        <v>2580</v>
      </c>
      <c r="AG838" s="49">
        <v>0.4</v>
      </c>
    </row>
    <row r="839" spans="1:33" ht="34.5" customHeight="1" x14ac:dyDescent="0.3">
      <c r="A839" s="46">
        <v>1249</v>
      </c>
      <c r="B839" s="46" t="s">
        <v>2581</v>
      </c>
      <c r="C839" s="46" t="s">
        <v>321</v>
      </c>
      <c r="D839" s="60">
        <v>2027</v>
      </c>
      <c r="E839" s="60"/>
      <c r="F839" s="46" t="s">
        <v>225</v>
      </c>
      <c r="G839" s="46" t="s">
        <v>159</v>
      </c>
      <c r="H839" s="46" t="s">
        <v>592</v>
      </c>
      <c r="I839" s="46" t="s">
        <v>169</v>
      </c>
      <c r="J839" s="46" t="s">
        <v>245</v>
      </c>
      <c r="K839" s="46" t="s">
        <v>140</v>
      </c>
      <c r="L839" s="46"/>
      <c r="M839" s="46"/>
      <c r="N839" s="46">
        <v>1</v>
      </c>
      <c r="O839" s="46"/>
      <c r="P839" s="46"/>
      <c r="Q839" s="46"/>
      <c r="R839" s="46"/>
      <c r="S839" s="46"/>
      <c r="T839" s="46"/>
      <c r="U839" s="46"/>
      <c r="V839" s="46"/>
      <c r="W839" s="46"/>
      <c r="X839" s="46"/>
      <c r="Y839" s="46"/>
      <c r="Z839" s="46" t="s">
        <v>1347</v>
      </c>
      <c r="AA839" s="61">
        <v>150</v>
      </c>
      <c r="AB839" s="62">
        <f>IF(OR(G839="ALK",G839="PEM",G839="SOEC",G839="Other Electrolysis"),
AA839/VLOOKUP(G839,ElectrolysisConvF,3,FALSE),
AC839*10^6/(H2dens*HoursInYear))</f>
        <v>33333.333333333336</v>
      </c>
      <c r="AC839" s="63">
        <f>AB839*H2dens*HoursInYear/10^6</f>
        <v>25.988</v>
      </c>
      <c r="AD839" s="62"/>
      <c r="AE839" s="62">
        <f t="shared" si="103"/>
        <v>33333.333333333336</v>
      </c>
      <c r="AF839" s="64" t="s">
        <v>2580</v>
      </c>
      <c r="AG839" s="49">
        <v>0.4</v>
      </c>
    </row>
    <row r="840" spans="1:33" ht="34.5" customHeight="1" x14ac:dyDescent="0.3">
      <c r="A840" s="46">
        <v>1250</v>
      </c>
      <c r="B840" s="46" t="s">
        <v>2582</v>
      </c>
      <c r="C840" s="46" t="s">
        <v>40</v>
      </c>
      <c r="D840" s="60"/>
      <c r="E840" s="60"/>
      <c r="F840" s="46" t="s">
        <v>591</v>
      </c>
      <c r="G840" s="46" t="s">
        <v>159</v>
      </c>
      <c r="H840" s="46" t="s">
        <v>592</v>
      </c>
      <c r="I840" s="46" t="s">
        <v>169</v>
      </c>
      <c r="J840" s="46" t="s">
        <v>69</v>
      </c>
      <c r="K840" s="46" t="s">
        <v>68</v>
      </c>
      <c r="L840" s="46"/>
      <c r="M840" s="46"/>
      <c r="N840" s="46"/>
      <c r="O840" s="46"/>
      <c r="P840" s="46"/>
      <c r="Q840" s="46"/>
      <c r="R840" s="46">
        <v>1</v>
      </c>
      <c r="S840" s="46"/>
      <c r="T840" s="46"/>
      <c r="U840" s="46"/>
      <c r="V840" s="46"/>
      <c r="W840" s="46"/>
      <c r="X840" s="46"/>
      <c r="Y840" s="46"/>
      <c r="Z840" s="46"/>
      <c r="AA840" s="61"/>
      <c r="AB840" s="62"/>
      <c r="AC840" s="63"/>
      <c r="AD840" s="62"/>
      <c r="AE840" s="62">
        <f t="shared" si="103"/>
        <v>0</v>
      </c>
      <c r="AF840" s="64" t="s">
        <v>2583</v>
      </c>
      <c r="AG840" s="49">
        <v>0.5</v>
      </c>
    </row>
    <row r="841" spans="1:33" ht="34.5" customHeight="1" x14ac:dyDescent="0.3">
      <c r="A841" s="46">
        <v>1251</v>
      </c>
      <c r="B841" s="46" t="s">
        <v>2584</v>
      </c>
      <c r="C841" s="46" t="s">
        <v>40</v>
      </c>
      <c r="D841" s="60"/>
      <c r="E841" s="60"/>
      <c r="F841" s="46" t="s">
        <v>591</v>
      </c>
      <c r="G841" s="46" t="s">
        <v>159</v>
      </c>
      <c r="H841" s="46" t="s">
        <v>592</v>
      </c>
      <c r="I841" s="46" t="s">
        <v>169</v>
      </c>
      <c r="J841" s="46" t="s">
        <v>69</v>
      </c>
      <c r="K841" s="46" t="s">
        <v>68</v>
      </c>
      <c r="L841" s="46"/>
      <c r="M841" s="46"/>
      <c r="N841" s="46"/>
      <c r="O841" s="46"/>
      <c r="P841" s="46"/>
      <c r="Q841" s="46"/>
      <c r="R841" s="46">
        <v>1</v>
      </c>
      <c r="S841" s="46"/>
      <c r="T841" s="46"/>
      <c r="U841" s="46"/>
      <c r="V841" s="46"/>
      <c r="W841" s="46"/>
      <c r="X841" s="46"/>
      <c r="Y841" s="46"/>
      <c r="Z841" s="46"/>
      <c r="AA841" s="61"/>
      <c r="AB841" s="62"/>
      <c r="AC841" s="63"/>
      <c r="AD841" s="62"/>
      <c r="AE841" s="62">
        <f t="shared" si="103"/>
        <v>0</v>
      </c>
      <c r="AF841" s="64" t="s">
        <v>2583</v>
      </c>
      <c r="AG841" s="49">
        <v>0.5</v>
      </c>
    </row>
    <row r="842" spans="1:33" ht="34.5" customHeight="1" x14ac:dyDescent="0.3">
      <c r="A842" s="46">
        <v>1252</v>
      </c>
      <c r="B842" s="46" t="s">
        <v>2585</v>
      </c>
      <c r="C842" s="46" t="s">
        <v>40</v>
      </c>
      <c r="D842" s="60"/>
      <c r="E842" s="60"/>
      <c r="F842" s="46" t="s">
        <v>591</v>
      </c>
      <c r="G842" s="46" t="s">
        <v>159</v>
      </c>
      <c r="H842" s="46" t="s">
        <v>592</v>
      </c>
      <c r="I842" s="46" t="s">
        <v>169</v>
      </c>
      <c r="J842" s="46" t="s">
        <v>69</v>
      </c>
      <c r="K842" s="46" t="s">
        <v>68</v>
      </c>
      <c r="L842" s="46"/>
      <c r="M842" s="46"/>
      <c r="N842" s="46"/>
      <c r="O842" s="46"/>
      <c r="P842" s="46"/>
      <c r="Q842" s="46"/>
      <c r="R842" s="46">
        <v>1</v>
      </c>
      <c r="S842" s="46"/>
      <c r="T842" s="46"/>
      <c r="U842" s="46"/>
      <c r="V842" s="46"/>
      <c r="W842" s="46"/>
      <c r="X842" s="46"/>
      <c r="Y842" s="46"/>
      <c r="Z842" s="46"/>
      <c r="AA842" s="61"/>
      <c r="AB842" s="62"/>
      <c r="AC842" s="63"/>
      <c r="AD842" s="62"/>
      <c r="AE842" s="62">
        <f t="shared" si="103"/>
        <v>0</v>
      </c>
      <c r="AF842" s="64" t="s">
        <v>2583</v>
      </c>
      <c r="AG842" s="49">
        <v>0.5</v>
      </c>
    </row>
    <row r="843" spans="1:33" ht="34.5" customHeight="1" x14ac:dyDescent="0.3">
      <c r="A843" s="46">
        <v>1253</v>
      </c>
      <c r="B843" s="46" t="s">
        <v>2586</v>
      </c>
      <c r="C843" s="46" t="s">
        <v>39</v>
      </c>
      <c r="D843" s="60">
        <v>2029</v>
      </c>
      <c r="E843" s="60"/>
      <c r="F843" s="46" t="s">
        <v>591</v>
      </c>
      <c r="G843" s="46" t="s">
        <v>159</v>
      </c>
      <c r="H843" s="46" t="s">
        <v>592</v>
      </c>
      <c r="I843" s="46" t="s">
        <v>169</v>
      </c>
      <c r="J843" s="46" t="s">
        <v>248</v>
      </c>
      <c r="K843" s="46" t="s">
        <v>141</v>
      </c>
      <c r="L843" s="46"/>
      <c r="M843" s="46">
        <v>1</v>
      </c>
      <c r="N843" s="46"/>
      <c r="O843" s="46"/>
      <c r="P843" s="46"/>
      <c r="Q843" s="46"/>
      <c r="R843" s="46"/>
      <c r="S843" s="46"/>
      <c r="T843" s="46"/>
      <c r="U843" s="46"/>
      <c r="V843" s="46"/>
      <c r="W843" s="46"/>
      <c r="X843" s="46"/>
      <c r="Y843" s="46"/>
      <c r="Z843" s="46" t="s">
        <v>2587</v>
      </c>
      <c r="AA843" s="61">
        <f>IF(OR(G843="ALK",G843="PEM",G843="SOEC",G843="Other Electrolysis"),
AB843*VLOOKUP(G843,ElectrolysisConvF,3,FALSE),
"")</f>
        <v>41574.271697289041</v>
      </c>
      <c r="AB843" s="62">
        <f>AC843/(H2dens*HoursInYear/10^6)</f>
        <v>9238727.0438420102</v>
      </c>
      <c r="AC843" s="63">
        <f>20000*3/17/0.98/H2ProjectDB4578610[[#This Row],[Column33]]</f>
        <v>7202.8811524609846</v>
      </c>
      <c r="AD843" s="62"/>
      <c r="AE843" s="62">
        <f t="shared" si="103"/>
        <v>9238727.0438420102</v>
      </c>
      <c r="AF843" s="64" t="s">
        <v>2588</v>
      </c>
      <c r="AG843" s="49">
        <v>0.5</v>
      </c>
    </row>
    <row r="844" spans="1:33" ht="34.5" customHeight="1" x14ac:dyDescent="0.3">
      <c r="A844" s="46">
        <v>1254</v>
      </c>
      <c r="B844" s="46" t="s">
        <v>2589</v>
      </c>
      <c r="C844" s="46" t="s">
        <v>39</v>
      </c>
      <c r="D844" s="60">
        <v>2023</v>
      </c>
      <c r="E844" s="60"/>
      <c r="F844" s="46" t="s">
        <v>285</v>
      </c>
      <c r="G844" s="46" t="s">
        <v>159</v>
      </c>
      <c r="H844" s="46" t="s">
        <v>592</v>
      </c>
      <c r="I844" s="46" t="s">
        <v>169</v>
      </c>
      <c r="J844" s="46" t="s">
        <v>244</v>
      </c>
      <c r="K844" s="46" t="s">
        <v>72</v>
      </c>
      <c r="L844" s="46"/>
      <c r="M844" s="46"/>
      <c r="N844" s="46"/>
      <c r="O844" s="46"/>
      <c r="P844" s="46"/>
      <c r="Q844" s="46"/>
      <c r="R844" s="46"/>
      <c r="S844" s="46"/>
      <c r="T844" s="46"/>
      <c r="U844" s="46"/>
      <c r="V844" s="46"/>
      <c r="W844" s="46"/>
      <c r="X844" s="46">
        <v>1</v>
      </c>
      <c r="Y844" s="46"/>
      <c r="Z844" s="46" t="s">
        <v>1073</v>
      </c>
      <c r="AA844" s="61">
        <v>5.0000000000000001E-3</v>
      </c>
      <c r="AB844" s="62">
        <f>IF(OR(G844="ALK",G844="PEM",G844="SOEC",G844="Other Electrolysis"),
AA844/VLOOKUP(G844,ElectrolysisConvF,3,FALSE),
AC844*10^6/(H2dens*HoursInYear))</f>
        <v>1.1111111111111112</v>
      </c>
      <c r="AC844" s="63">
        <f>AB844*H2dens*HoursInYear/10^6</f>
        <v>8.6626666666666662E-4</v>
      </c>
      <c r="AD844" s="62"/>
      <c r="AE844" s="62">
        <f t="shared" si="103"/>
        <v>1.1111111111111112</v>
      </c>
      <c r="AF844" s="64" t="s">
        <v>2590</v>
      </c>
      <c r="AG844" s="49">
        <v>0.3</v>
      </c>
    </row>
    <row r="845" spans="1:33" ht="34.5" customHeight="1" x14ac:dyDescent="0.3">
      <c r="A845" s="46">
        <v>1255</v>
      </c>
      <c r="B845" s="46" t="s">
        <v>2591</v>
      </c>
      <c r="C845" s="46" t="s">
        <v>39</v>
      </c>
      <c r="D845" s="60"/>
      <c r="E845" s="60"/>
      <c r="F845" s="46" t="s">
        <v>285</v>
      </c>
      <c r="G845" s="46" t="s">
        <v>163</v>
      </c>
      <c r="H845" s="46" t="s">
        <v>2592</v>
      </c>
      <c r="I845" s="46"/>
      <c r="J845" s="46"/>
      <c r="K845" s="46" t="s">
        <v>68</v>
      </c>
      <c r="L845" s="46">
        <v>1</v>
      </c>
      <c r="M845" s="46"/>
      <c r="N845" s="46"/>
      <c r="O845" s="46"/>
      <c r="P845" s="46"/>
      <c r="Q845" s="46"/>
      <c r="R845" s="46"/>
      <c r="S845" s="46"/>
      <c r="T845" s="46"/>
      <c r="U845" s="46"/>
      <c r="V845" s="46"/>
      <c r="W845" s="46"/>
      <c r="X845" s="46"/>
      <c r="Y845" s="46"/>
      <c r="Z845" s="46" t="s">
        <v>2593</v>
      </c>
      <c r="AA845" s="61"/>
      <c r="AB845" s="62">
        <f>AC845/(H2dens*HoursInYear/10^6)</f>
        <v>1.1543789441280592E-2</v>
      </c>
      <c r="AC845" s="63">
        <f>300*3.6/120/1000000</f>
        <v>9.0000000000000002E-6</v>
      </c>
      <c r="AD845" s="62"/>
      <c r="AE845" s="62">
        <f t="shared" si="103"/>
        <v>1.1543789441280592E-2</v>
      </c>
      <c r="AF845" s="64" t="s">
        <v>2594</v>
      </c>
      <c r="AG845" s="49">
        <v>0.9</v>
      </c>
    </row>
    <row r="846" spans="1:33" ht="34.5" customHeight="1" x14ac:dyDescent="0.3">
      <c r="A846" s="46">
        <v>1256</v>
      </c>
      <c r="B846" s="46" t="s">
        <v>2595</v>
      </c>
      <c r="C846" s="46" t="s">
        <v>39</v>
      </c>
      <c r="D846" s="60">
        <v>2028</v>
      </c>
      <c r="E846" s="60"/>
      <c r="F846" s="46" t="s">
        <v>225</v>
      </c>
      <c r="G846" s="46" t="s">
        <v>159</v>
      </c>
      <c r="H846" s="46" t="s">
        <v>592</v>
      </c>
      <c r="I846" s="46" t="s">
        <v>169</v>
      </c>
      <c r="J846" s="46" t="s">
        <v>244</v>
      </c>
      <c r="K846" s="46" t="s">
        <v>68</v>
      </c>
      <c r="L846" s="46"/>
      <c r="M846" s="46"/>
      <c r="N846" s="46"/>
      <c r="O846" s="46"/>
      <c r="P846" s="46"/>
      <c r="Q846" s="46">
        <v>1</v>
      </c>
      <c r="R846" s="46"/>
      <c r="S846" s="46"/>
      <c r="T846" s="46"/>
      <c r="U846" s="46"/>
      <c r="V846" s="46"/>
      <c r="W846" s="46"/>
      <c r="X846" s="46"/>
      <c r="Y846" s="46"/>
      <c r="Z846" s="46" t="s">
        <v>2596</v>
      </c>
      <c r="AA846" s="61">
        <v>80</v>
      </c>
      <c r="AB846" s="62">
        <f>IF(OR(G846="ALK",G846="PEM",G846="SOEC",G846="Other Electrolysis"),
AA846/VLOOKUP(G846,ElectrolysisConvF,3,FALSE),
AC846*10^6/(H2dens*HoursInYear))</f>
        <v>17777.777777777777</v>
      </c>
      <c r="AC846" s="63">
        <f>AB846*H2dens*HoursInYear/10^6</f>
        <v>13.860266666666666</v>
      </c>
      <c r="AD846" s="62"/>
      <c r="AE846" s="62">
        <f t="shared" si="103"/>
        <v>17777.777777777777</v>
      </c>
      <c r="AF846" s="64" t="s">
        <v>2597</v>
      </c>
      <c r="AG846" s="49">
        <v>0.3</v>
      </c>
    </row>
    <row r="847" spans="1:33" ht="34.5" customHeight="1" x14ac:dyDescent="0.3">
      <c r="A847" s="46">
        <v>1257</v>
      </c>
      <c r="B847" s="46" t="s">
        <v>2598</v>
      </c>
      <c r="C847" s="46" t="s">
        <v>39</v>
      </c>
      <c r="D847" s="60"/>
      <c r="E847" s="60"/>
      <c r="F847" s="46" t="s">
        <v>591</v>
      </c>
      <c r="G847" s="46" t="s">
        <v>159</v>
      </c>
      <c r="H847" s="46" t="s">
        <v>592</v>
      </c>
      <c r="I847" s="46" t="s">
        <v>169</v>
      </c>
      <c r="J847" s="46" t="s">
        <v>244</v>
      </c>
      <c r="K847" s="46" t="s">
        <v>68</v>
      </c>
      <c r="L847" s="46"/>
      <c r="M847" s="46"/>
      <c r="N847" s="46"/>
      <c r="O847" s="46"/>
      <c r="P847" s="46"/>
      <c r="Q847" s="46"/>
      <c r="R847" s="46"/>
      <c r="S847" s="46"/>
      <c r="T847" s="46"/>
      <c r="U847" s="46"/>
      <c r="V847" s="46"/>
      <c r="W847" s="46"/>
      <c r="X847" s="46"/>
      <c r="Y847" s="46"/>
      <c r="Z847" s="46"/>
      <c r="AA847" s="61"/>
      <c r="AB847" s="62"/>
      <c r="AC847" s="63"/>
      <c r="AD847" s="62"/>
      <c r="AE847" s="62">
        <f t="shared" si="103"/>
        <v>0</v>
      </c>
      <c r="AF847" s="64" t="s">
        <v>2599</v>
      </c>
      <c r="AG847" s="49">
        <v>0.3</v>
      </c>
    </row>
    <row r="848" spans="1:33" ht="34.5" customHeight="1" x14ac:dyDescent="0.3">
      <c r="A848" s="46">
        <v>1258</v>
      </c>
      <c r="B848" s="46" t="s">
        <v>2600</v>
      </c>
      <c r="C848" s="46" t="s">
        <v>39</v>
      </c>
      <c r="D848" s="60">
        <v>2023</v>
      </c>
      <c r="E848" s="60"/>
      <c r="F848" s="46" t="s">
        <v>675</v>
      </c>
      <c r="G848" s="46" t="s">
        <v>1</v>
      </c>
      <c r="H848" s="46"/>
      <c r="I848" s="46" t="s">
        <v>169</v>
      </c>
      <c r="J848" s="46" t="s">
        <v>244</v>
      </c>
      <c r="K848" s="46" t="s">
        <v>68</v>
      </c>
      <c r="L848" s="46"/>
      <c r="M848" s="46"/>
      <c r="N848" s="46"/>
      <c r="O848" s="46"/>
      <c r="P848" s="46"/>
      <c r="Q848" s="46">
        <v>1</v>
      </c>
      <c r="R848" s="46"/>
      <c r="S848" s="46"/>
      <c r="T848" s="46"/>
      <c r="U848" s="46"/>
      <c r="V848" s="46"/>
      <c r="W848" s="46"/>
      <c r="X848" s="46"/>
      <c r="Y848" s="46"/>
      <c r="Z848" s="46" t="s">
        <v>1987</v>
      </c>
      <c r="AA848" s="61">
        <v>0.7</v>
      </c>
      <c r="AB848" s="62">
        <f>IF(OR(G848="ALK",G848="PEM",G848="SOEC",G848="Other Electrolysis"),
AA848/VLOOKUP(G848,ElectrolysisConvF,3,FALSE),
AC848*10^6/(H2dens*HoursInYear))</f>
        <v>134.61538461538461</v>
      </c>
      <c r="AC848" s="63">
        <f>AB848*H2dens*HoursInYear/10^6</f>
        <v>0.10495153846153846</v>
      </c>
      <c r="AD848" s="62"/>
      <c r="AE848" s="62">
        <f t="shared" si="103"/>
        <v>134.61538461538461</v>
      </c>
      <c r="AF848" s="64" t="s">
        <v>2601</v>
      </c>
      <c r="AG848" s="49">
        <v>0.3</v>
      </c>
    </row>
    <row r="849" spans="1:33" ht="34.5" customHeight="1" x14ac:dyDescent="0.3">
      <c r="A849" s="46">
        <v>1259</v>
      </c>
      <c r="B849" s="46" t="s">
        <v>2602</v>
      </c>
      <c r="C849" s="46" t="s">
        <v>39</v>
      </c>
      <c r="D849" s="60">
        <v>2027</v>
      </c>
      <c r="E849" s="60"/>
      <c r="F849" s="46" t="s">
        <v>225</v>
      </c>
      <c r="G849" s="46" t="s">
        <v>159</v>
      </c>
      <c r="H849" s="46" t="s">
        <v>592</v>
      </c>
      <c r="I849" s="46" t="s">
        <v>169</v>
      </c>
      <c r="J849" s="46" t="s">
        <v>245</v>
      </c>
      <c r="K849" s="46" t="s">
        <v>140</v>
      </c>
      <c r="L849" s="46"/>
      <c r="M849" s="46"/>
      <c r="N849" s="46">
        <v>1</v>
      </c>
      <c r="O849" s="46"/>
      <c r="P849" s="46"/>
      <c r="Q849" s="46"/>
      <c r="R849" s="46"/>
      <c r="S849" s="46"/>
      <c r="T849" s="46"/>
      <c r="U849" s="46"/>
      <c r="V849" s="46"/>
      <c r="W849" s="46"/>
      <c r="X849" s="46"/>
      <c r="Y849" s="46"/>
      <c r="Z849" s="46" t="s">
        <v>2603</v>
      </c>
      <c r="AA849" s="61">
        <v>240</v>
      </c>
      <c r="AB849" s="62">
        <f>IF(OR(G849="ALK",G849="PEM",G849="SOEC",G849="Other Electrolysis"),
AA849/VLOOKUP(G849,ElectrolysisConvF,3,FALSE),
AC849*10^6/(H2dens*HoursInYear))</f>
        <v>53333.333333333336</v>
      </c>
      <c r="AC849" s="63">
        <f>AB849*H2dens*HoursInYear/10^6</f>
        <v>41.580800000000004</v>
      </c>
      <c r="AD849" s="62"/>
      <c r="AE849" s="62">
        <f t="shared" si="103"/>
        <v>53333.333333333336</v>
      </c>
      <c r="AF849" s="64" t="s">
        <v>2604</v>
      </c>
      <c r="AG849" s="49">
        <v>0.4</v>
      </c>
    </row>
    <row r="850" spans="1:33" ht="34.5" customHeight="1" x14ac:dyDescent="0.3">
      <c r="A850" s="46">
        <v>1260</v>
      </c>
      <c r="B850" s="46" t="s">
        <v>2605</v>
      </c>
      <c r="C850" s="46" t="s">
        <v>39</v>
      </c>
      <c r="D850" s="60"/>
      <c r="E850" s="60"/>
      <c r="F850" s="46" t="s">
        <v>225</v>
      </c>
      <c r="G850" s="46" t="s">
        <v>159</v>
      </c>
      <c r="H850" s="46" t="s">
        <v>592</v>
      </c>
      <c r="I850" s="46" t="s">
        <v>169</v>
      </c>
      <c r="J850" s="46" t="s">
        <v>69</v>
      </c>
      <c r="K850" s="46" t="s">
        <v>68</v>
      </c>
      <c r="L850" s="46"/>
      <c r="M850" s="46"/>
      <c r="N850" s="46"/>
      <c r="O850" s="46"/>
      <c r="P850" s="46">
        <v>1</v>
      </c>
      <c r="Q850" s="46"/>
      <c r="R850" s="46"/>
      <c r="S850" s="46"/>
      <c r="T850" s="46"/>
      <c r="U850" s="46"/>
      <c r="V850" s="46"/>
      <c r="W850" s="46"/>
      <c r="X850" s="46"/>
      <c r="Y850" s="46"/>
      <c r="Z850" s="46" t="s">
        <v>2606</v>
      </c>
      <c r="AA850" s="61">
        <v>95</v>
      </c>
      <c r="AB850" s="62">
        <f>IF(OR(G850="ALK",G850="PEM",G850="SOEC",G850="Other Electrolysis"),
AA850/VLOOKUP(G850,ElectrolysisConvF,3,FALSE),
AC850*10^6/(H2dens*HoursInYear))</f>
        <v>21111.111111111113</v>
      </c>
      <c r="AC850" s="63">
        <f>AB850*H2dens*HoursInYear/10^6</f>
        <v>16.459066666666665</v>
      </c>
      <c r="AD850" s="62"/>
      <c r="AE850" s="62">
        <f t="shared" si="103"/>
        <v>21111.111111111113</v>
      </c>
      <c r="AF850" s="64" t="s">
        <v>2607</v>
      </c>
      <c r="AG850" s="49">
        <v>0.5</v>
      </c>
    </row>
    <row r="851" spans="1:33" ht="34.5" customHeight="1" x14ac:dyDescent="0.3">
      <c r="A851" s="46">
        <v>1261</v>
      </c>
      <c r="B851" s="46" t="s">
        <v>2608</v>
      </c>
      <c r="C851" s="46" t="s">
        <v>39</v>
      </c>
      <c r="D851" s="60"/>
      <c r="E851" s="60"/>
      <c r="F851" s="46" t="s">
        <v>225</v>
      </c>
      <c r="G851" s="46" t="s">
        <v>1</v>
      </c>
      <c r="H851" s="46"/>
      <c r="I851" s="46" t="s">
        <v>166</v>
      </c>
      <c r="J851" s="46"/>
      <c r="K851" s="46" t="s">
        <v>68</v>
      </c>
      <c r="L851" s="46"/>
      <c r="M851" s="46"/>
      <c r="N851" s="46"/>
      <c r="O851" s="46"/>
      <c r="P851" s="46"/>
      <c r="Q851" s="46">
        <v>1</v>
      </c>
      <c r="R851" s="46"/>
      <c r="S851" s="46">
        <v>1</v>
      </c>
      <c r="T851" s="46"/>
      <c r="U851" s="46"/>
      <c r="V851" s="46"/>
      <c r="W851" s="46"/>
      <c r="X851" s="46"/>
      <c r="Y851" s="46"/>
      <c r="Z851" s="46" t="s">
        <v>1168</v>
      </c>
      <c r="AA851" s="61">
        <v>10</v>
      </c>
      <c r="AB851" s="62">
        <f>IF(OR(G851="ALK",G851="PEM",G851="SOEC",G851="Other Electrolysis"),
AA851/VLOOKUP(G851,ElectrolysisConvF,3,FALSE),
AC851*10^6/(H2dens*HoursInYear))</f>
        <v>1923.0769230769231</v>
      </c>
      <c r="AC851" s="63">
        <f>AB851*H2dens*HoursInYear/10^6</f>
        <v>1.4993076923076922</v>
      </c>
      <c r="AD851" s="62"/>
      <c r="AE851" s="62">
        <f t="shared" si="103"/>
        <v>1923.0769230769231</v>
      </c>
      <c r="AF851" s="64" t="s">
        <v>2609</v>
      </c>
      <c r="AG851" s="49">
        <v>0.56999999999999995</v>
      </c>
    </row>
    <row r="852" spans="1:33" ht="34.5" customHeight="1" x14ac:dyDescent="0.3">
      <c r="A852" s="46">
        <v>1262</v>
      </c>
      <c r="B852" s="46" t="s">
        <v>2610</v>
      </c>
      <c r="C852" s="46" t="s">
        <v>39</v>
      </c>
      <c r="D852" s="60">
        <v>2029</v>
      </c>
      <c r="E852" s="60"/>
      <c r="F852" s="46" t="s">
        <v>225</v>
      </c>
      <c r="G852" s="46" t="s">
        <v>159</v>
      </c>
      <c r="H852" s="46" t="s">
        <v>592</v>
      </c>
      <c r="I852" s="46" t="s">
        <v>169</v>
      </c>
      <c r="J852" s="46" t="s">
        <v>245</v>
      </c>
      <c r="K852" s="46" t="s">
        <v>68</v>
      </c>
      <c r="L852" s="46"/>
      <c r="M852" s="46"/>
      <c r="N852" s="46"/>
      <c r="O852" s="46"/>
      <c r="P852" s="46"/>
      <c r="Q852" s="46"/>
      <c r="R852" s="46"/>
      <c r="S852" s="46">
        <v>1</v>
      </c>
      <c r="T852" s="46"/>
      <c r="U852" s="46"/>
      <c r="V852" s="46"/>
      <c r="W852" s="46"/>
      <c r="X852" s="46"/>
      <c r="Y852" s="46"/>
      <c r="Z852" s="46" t="s">
        <v>1274</v>
      </c>
      <c r="AA852" s="61">
        <v>50</v>
      </c>
      <c r="AB852" s="62">
        <f>IF(OR(G852="ALK",G852="PEM",G852="SOEC",G852="Other Electrolysis"),
AA852/VLOOKUP(G852,ElectrolysisConvF,3,FALSE),
AC852*10^6/(H2dens*HoursInYear))</f>
        <v>11111.111111111111</v>
      </c>
      <c r="AC852" s="63">
        <f>AB852*H2dens*HoursInYear/10^6</f>
        <v>8.6626666666666665</v>
      </c>
      <c r="AD852" s="62"/>
      <c r="AE852" s="62">
        <f t="shared" si="103"/>
        <v>11111.111111111111</v>
      </c>
      <c r="AF852" s="64" t="s">
        <v>2611</v>
      </c>
      <c r="AG852" s="49">
        <v>0.4</v>
      </c>
    </row>
    <row r="853" spans="1:33" ht="34.5" customHeight="1" x14ac:dyDescent="0.3">
      <c r="A853" s="46">
        <v>1263</v>
      </c>
      <c r="B853" s="46" t="s">
        <v>2612</v>
      </c>
      <c r="C853" s="46" t="s">
        <v>39</v>
      </c>
      <c r="D853" s="60">
        <v>2023</v>
      </c>
      <c r="E853" s="60"/>
      <c r="F853" s="46" t="s">
        <v>675</v>
      </c>
      <c r="G853" s="46" t="s">
        <v>159</v>
      </c>
      <c r="H853" s="46" t="s">
        <v>592</v>
      </c>
      <c r="I853" s="46" t="s">
        <v>166</v>
      </c>
      <c r="J853" s="46"/>
      <c r="K853" s="46" t="s">
        <v>68</v>
      </c>
      <c r="L853" s="46"/>
      <c r="M853" s="46"/>
      <c r="N853" s="46"/>
      <c r="O853" s="46"/>
      <c r="P853" s="46"/>
      <c r="Q853" s="46">
        <v>1</v>
      </c>
      <c r="R853" s="46"/>
      <c r="S853" s="46"/>
      <c r="T853" s="46"/>
      <c r="U853" s="46"/>
      <c r="V853" s="46"/>
      <c r="W853" s="46"/>
      <c r="X853" s="46"/>
      <c r="Y853" s="46"/>
      <c r="Z853" s="46" t="s">
        <v>2613</v>
      </c>
      <c r="AA853" s="61">
        <f>IF(OR(G853="ALK",G853="PEM",G853="SOEC",G853="Other Electrolysis"),
AB853*VLOOKUP(G853,ElectrolysisConvF,3,FALSE),
"")</f>
        <v>4.2134831460674156E-2</v>
      </c>
      <c r="AB853" s="62">
        <f>AC853/(H2dens*HoursInYear/10^6)</f>
        <v>9.3632958801498134</v>
      </c>
      <c r="AC853" s="63">
        <f>20*365/1000000</f>
        <v>7.3000000000000001E-3</v>
      </c>
      <c r="AD853" s="62"/>
      <c r="AE853" s="62">
        <f t="shared" si="103"/>
        <v>9.3632958801498134</v>
      </c>
      <c r="AF853" s="64" t="s">
        <v>2614</v>
      </c>
      <c r="AG853" s="49">
        <v>0.56999999999999995</v>
      </c>
    </row>
    <row r="854" spans="1:33" ht="34.5" customHeight="1" x14ac:dyDescent="0.3">
      <c r="A854" s="46">
        <v>1264</v>
      </c>
      <c r="B854" s="46" t="s">
        <v>2615</v>
      </c>
      <c r="C854" s="46" t="s">
        <v>45</v>
      </c>
      <c r="D854" s="60"/>
      <c r="E854" s="60"/>
      <c r="F854" s="46" t="s">
        <v>591</v>
      </c>
      <c r="G854" s="46" t="s">
        <v>159</v>
      </c>
      <c r="H854" s="46" t="s">
        <v>592</v>
      </c>
      <c r="I854" s="46" t="s">
        <v>169</v>
      </c>
      <c r="J854" s="46" t="s">
        <v>248</v>
      </c>
      <c r="K854" s="46" t="s">
        <v>68</v>
      </c>
      <c r="L854" s="46"/>
      <c r="M854" s="46"/>
      <c r="N854" s="46"/>
      <c r="O854" s="46"/>
      <c r="P854" s="46"/>
      <c r="Q854" s="46"/>
      <c r="R854" s="46"/>
      <c r="S854" s="46"/>
      <c r="T854" s="46"/>
      <c r="U854" s="46"/>
      <c r="V854" s="46"/>
      <c r="W854" s="46"/>
      <c r="X854" s="46"/>
      <c r="Y854" s="46"/>
      <c r="Z854" s="46"/>
      <c r="AA854" s="61"/>
      <c r="AB854" s="62"/>
      <c r="AC854" s="63"/>
      <c r="AD854" s="62"/>
      <c r="AE854" s="62">
        <f t="shared" si="103"/>
        <v>0</v>
      </c>
      <c r="AF854" s="64" t="s">
        <v>2616</v>
      </c>
      <c r="AG854" s="49">
        <v>0.5</v>
      </c>
    </row>
    <row r="855" spans="1:33" ht="34.5" customHeight="1" x14ac:dyDescent="0.3">
      <c r="A855" s="46">
        <v>1265</v>
      </c>
      <c r="B855" s="46" t="s">
        <v>2617</v>
      </c>
      <c r="C855" s="46" t="s">
        <v>65</v>
      </c>
      <c r="D855" s="60">
        <v>2024</v>
      </c>
      <c r="E855" s="60"/>
      <c r="F855" s="46" t="s">
        <v>675</v>
      </c>
      <c r="G855" s="46" t="s">
        <v>1</v>
      </c>
      <c r="H855" s="46"/>
      <c r="I855" s="46" t="s">
        <v>169</v>
      </c>
      <c r="J855" s="46" t="s">
        <v>248</v>
      </c>
      <c r="K855" s="46" t="s">
        <v>68</v>
      </c>
      <c r="L855" s="46"/>
      <c r="M855" s="46"/>
      <c r="N855" s="46"/>
      <c r="O855" s="46"/>
      <c r="P855" s="46"/>
      <c r="Q855" s="46">
        <v>1</v>
      </c>
      <c r="R855" s="46"/>
      <c r="S855" s="46"/>
      <c r="T855" s="46"/>
      <c r="U855" s="46"/>
      <c r="V855" s="46"/>
      <c r="W855" s="46"/>
      <c r="X855" s="46"/>
      <c r="Y855" s="46"/>
      <c r="Z855" s="46" t="s">
        <v>1396</v>
      </c>
      <c r="AA855" s="61">
        <v>2.5</v>
      </c>
      <c r="AB855" s="62">
        <f>IF(OR(G855="ALK",G855="PEM",G855="SOEC",G855="Other Electrolysis"),
AA855/VLOOKUP(G855,ElectrolysisConvF,3,FALSE),
AC855*10^6/(H2dens*HoursInYear))</f>
        <v>480.76923076923077</v>
      </c>
      <c r="AC855" s="63">
        <f t="shared" ref="AC855:AC865" si="104">AB855*H2dens*HoursInYear/10^6</f>
        <v>0.37482692307692306</v>
      </c>
      <c r="AD855" s="62"/>
      <c r="AE855" s="62">
        <f t="shared" si="103"/>
        <v>480.76923076923077</v>
      </c>
      <c r="AF855" s="64" t="s">
        <v>2192</v>
      </c>
      <c r="AG855" s="49">
        <v>0.5</v>
      </c>
    </row>
    <row r="856" spans="1:33" ht="34.5" customHeight="1" x14ac:dyDescent="0.3">
      <c r="A856" s="46">
        <v>1266</v>
      </c>
      <c r="B856" s="46" t="s">
        <v>2618</v>
      </c>
      <c r="C856" s="46" t="s">
        <v>65</v>
      </c>
      <c r="D856" s="60">
        <v>2030</v>
      </c>
      <c r="E856" s="60"/>
      <c r="F856" s="46" t="s">
        <v>225</v>
      </c>
      <c r="G856" s="46" t="s">
        <v>1</v>
      </c>
      <c r="H856" s="46"/>
      <c r="I856" s="46" t="s">
        <v>169</v>
      </c>
      <c r="J856" s="46" t="s">
        <v>248</v>
      </c>
      <c r="K856" s="46" t="s">
        <v>68</v>
      </c>
      <c r="L856" s="46"/>
      <c r="M856" s="46"/>
      <c r="N856" s="46"/>
      <c r="O856" s="46"/>
      <c r="P856" s="46"/>
      <c r="Q856" s="46">
        <v>1</v>
      </c>
      <c r="R856" s="46"/>
      <c r="S856" s="46"/>
      <c r="T856" s="46"/>
      <c r="U856" s="46"/>
      <c r="V856" s="46"/>
      <c r="W856" s="46"/>
      <c r="X856" s="46"/>
      <c r="Y856" s="46"/>
      <c r="Z856" s="46" t="s">
        <v>1274</v>
      </c>
      <c r="AA856" s="61">
        <v>45</v>
      </c>
      <c r="AB856" s="62">
        <f>IF(OR(G856="ALK",G856="PEM",G856="SOEC",G856="Other Electrolysis"),
AA856/VLOOKUP(G856,ElectrolysisConvF,3,FALSE),
AC856*10^6/(H2dens*HoursInYear))</f>
        <v>8653.8461538461543</v>
      </c>
      <c r="AC856" s="63">
        <f t="shared" si="104"/>
        <v>6.7468846153846158</v>
      </c>
      <c r="AD856" s="62"/>
      <c r="AE856" s="62">
        <f t="shared" si="103"/>
        <v>8653.8461538461543</v>
      </c>
      <c r="AF856" s="64" t="s">
        <v>2192</v>
      </c>
      <c r="AG856" s="49">
        <v>0.5</v>
      </c>
    </row>
    <row r="857" spans="1:33" ht="34.5" customHeight="1" x14ac:dyDescent="0.3">
      <c r="A857" s="46">
        <v>1267</v>
      </c>
      <c r="B857" s="46" t="s">
        <v>2619</v>
      </c>
      <c r="C857" s="46" t="s">
        <v>203</v>
      </c>
      <c r="D857" s="60">
        <v>2030</v>
      </c>
      <c r="E857" s="60"/>
      <c r="F857" s="46" t="s">
        <v>225</v>
      </c>
      <c r="G857" s="46" t="s">
        <v>159</v>
      </c>
      <c r="H857" s="46" t="s">
        <v>592</v>
      </c>
      <c r="I857" s="46" t="s">
        <v>169</v>
      </c>
      <c r="J857" s="46" t="s">
        <v>246</v>
      </c>
      <c r="K857" s="46" t="s">
        <v>68</v>
      </c>
      <c r="L857" s="46"/>
      <c r="M857" s="46"/>
      <c r="N857" s="46"/>
      <c r="O857" s="46"/>
      <c r="P857" s="46"/>
      <c r="Q857" s="46"/>
      <c r="R857" s="46"/>
      <c r="S857" s="46"/>
      <c r="T857" s="46"/>
      <c r="U857" s="46"/>
      <c r="V857" s="46"/>
      <c r="W857" s="46"/>
      <c r="X857" s="46"/>
      <c r="Y857" s="46"/>
      <c r="Z857" s="46" t="s">
        <v>1664</v>
      </c>
      <c r="AA857" s="61">
        <v>272</v>
      </c>
      <c r="AB857" s="62">
        <f>IF(OR(G857="ALK",G857="PEM",G857="SOEC",G857="Other Electrolysis"),
AA857/VLOOKUP(G857,ElectrolysisConvF,3,FALSE),
AC857*10^6/(H2dens*HoursInYear))</f>
        <v>60444.444444444453</v>
      </c>
      <c r="AC857" s="63">
        <f t="shared" si="104"/>
        <v>47.124906666666661</v>
      </c>
      <c r="AD857" s="62"/>
      <c r="AE857" s="62">
        <f t="shared" si="103"/>
        <v>60444.444444444453</v>
      </c>
      <c r="AF857" s="64" t="s">
        <v>2620</v>
      </c>
      <c r="AG857" s="49">
        <v>0.55000000000000004</v>
      </c>
    </row>
    <row r="858" spans="1:33" ht="34.5" customHeight="1" x14ac:dyDescent="0.3">
      <c r="A858" s="46">
        <v>1269</v>
      </c>
      <c r="B858" s="46" t="s">
        <v>2621</v>
      </c>
      <c r="C858" s="46" t="s">
        <v>203</v>
      </c>
      <c r="D858" s="60">
        <v>2026</v>
      </c>
      <c r="E858" s="60"/>
      <c r="F858" s="46" t="s">
        <v>675</v>
      </c>
      <c r="G858" s="46" t="s">
        <v>1</v>
      </c>
      <c r="H858" s="46"/>
      <c r="I858" s="46" t="s">
        <v>169</v>
      </c>
      <c r="J858" s="46" t="s">
        <v>246</v>
      </c>
      <c r="K858" s="46" t="s">
        <v>68</v>
      </c>
      <c r="L858" s="46"/>
      <c r="M858" s="46"/>
      <c r="N858" s="46"/>
      <c r="O858" s="46"/>
      <c r="P858" s="46"/>
      <c r="Q858" s="46"/>
      <c r="R858" s="46"/>
      <c r="S858" s="46"/>
      <c r="T858" s="46"/>
      <c r="U858" s="46"/>
      <c r="V858" s="46"/>
      <c r="W858" s="46"/>
      <c r="X858" s="46"/>
      <c r="Y858" s="46"/>
      <c r="Z858" s="46" t="s">
        <v>2622</v>
      </c>
      <c r="AA858" s="61">
        <v>14</v>
      </c>
      <c r="AB858" s="62">
        <f>IF(OR(G858="ALK",G858="PEM",G858="SOEC",G858="Other Electrolysis"),
AA858/VLOOKUP(G858,ElectrolysisConvF,3,FALSE),
AC858*10^6/(H2dens*HoursInYear))</f>
        <v>2692.3076923076924</v>
      </c>
      <c r="AC858" s="63">
        <f t="shared" si="104"/>
        <v>2.0990307692307688</v>
      </c>
      <c r="AD858" s="62"/>
      <c r="AE858" s="62">
        <f>IF(AND(G858&lt;&gt;"NG w CCUS",G858&lt;&gt;"Oil w CCUS",G858&lt;&gt;"Coal w CCUS"),AB858,AD858*10^3/(HoursInYear*IF(G858="NG w CCUS",0.9105,1.9075)))</f>
        <v>2692.3076923076924</v>
      </c>
      <c r="AF858" s="64" t="s">
        <v>2623</v>
      </c>
      <c r="AG858" s="49">
        <v>0.55000000000000004</v>
      </c>
    </row>
    <row r="859" spans="1:33" ht="34.5" customHeight="1" x14ac:dyDescent="0.3">
      <c r="A859" s="46">
        <v>1270</v>
      </c>
      <c r="B859" s="46" t="s">
        <v>2624</v>
      </c>
      <c r="C859" s="46" t="s">
        <v>321</v>
      </c>
      <c r="D859" s="60">
        <v>2026</v>
      </c>
      <c r="E859" s="60"/>
      <c r="F859" s="46" t="s">
        <v>591</v>
      </c>
      <c r="G859" s="46" t="s">
        <v>159</v>
      </c>
      <c r="H859" s="46" t="s">
        <v>592</v>
      </c>
      <c r="I859" s="46" t="s">
        <v>169</v>
      </c>
      <c r="J859" s="46" t="s">
        <v>244</v>
      </c>
      <c r="K859" s="46" t="s">
        <v>68</v>
      </c>
      <c r="L859" s="46"/>
      <c r="M859" s="46"/>
      <c r="N859" s="46"/>
      <c r="O859" s="46"/>
      <c r="P859" s="46">
        <v>1</v>
      </c>
      <c r="Q859" s="46">
        <v>1</v>
      </c>
      <c r="R859" s="46"/>
      <c r="S859" s="46"/>
      <c r="T859" s="46"/>
      <c r="U859" s="46"/>
      <c r="V859" s="46"/>
      <c r="W859" s="46"/>
      <c r="X859" s="46"/>
      <c r="Y859" s="46"/>
      <c r="Z859" s="46" t="s">
        <v>2625</v>
      </c>
      <c r="AA859" s="61">
        <v>220</v>
      </c>
      <c r="AB859" s="62">
        <f>AA859/0.0045</f>
        <v>48888.888888888891</v>
      </c>
      <c r="AC859" s="63">
        <f t="shared" si="104"/>
        <v>38.115733333333338</v>
      </c>
      <c r="AD859" s="62"/>
      <c r="AE859" s="62">
        <f>AB859</f>
        <v>48888.888888888891</v>
      </c>
      <c r="AF859" s="64" t="s">
        <v>2626</v>
      </c>
      <c r="AG859" s="49">
        <v>0.3</v>
      </c>
    </row>
    <row r="860" spans="1:33" ht="34.5" customHeight="1" x14ac:dyDescent="0.3">
      <c r="A860" s="46">
        <v>1271</v>
      </c>
      <c r="B860" s="46" t="s">
        <v>2627</v>
      </c>
      <c r="C860" s="46" t="s">
        <v>321</v>
      </c>
      <c r="D860" s="60"/>
      <c r="E860" s="60"/>
      <c r="F860" s="46" t="s">
        <v>591</v>
      </c>
      <c r="G860" s="46" t="s">
        <v>159</v>
      </c>
      <c r="H860" s="46" t="s">
        <v>592</v>
      </c>
      <c r="I860" s="46" t="s">
        <v>169</v>
      </c>
      <c r="J860" s="46" t="s">
        <v>245</v>
      </c>
      <c r="K860" s="46" t="s">
        <v>68</v>
      </c>
      <c r="L860" s="46"/>
      <c r="M860" s="46"/>
      <c r="N860" s="46"/>
      <c r="O860" s="46"/>
      <c r="P860" s="46">
        <v>1</v>
      </c>
      <c r="Q860" s="46"/>
      <c r="R860" s="46"/>
      <c r="S860" s="46"/>
      <c r="T860" s="46"/>
      <c r="U860" s="46"/>
      <c r="V860" s="46"/>
      <c r="W860" s="46"/>
      <c r="X860" s="46"/>
      <c r="Y860" s="46"/>
      <c r="Z860" s="46" t="s">
        <v>1691</v>
      </c>
      <c r="AA860" s="61">
        <v>150</v>
      </c>
      <c r="AB860" s="62">
        <f>AA860/0.0045</f>
        <v>33333.333333333336</v>
      </c>
      <c r="AC860" s="63">
        <f t="shared" si="104"/>
        <v>25.988</v>
      </c>
      <c r="AD860" s="62"/>
      <c r="AE860" s="62">
        <f>AB860</f>
        <v>33333.333333333336</v>
      </c>
      <c r="AF860" s="64" t="s">
        <v>1863</v>
      </c>
      <c r="AG860" s="49">
        <v>0.4</v>
      </c>
    </row>
    <row r="861" spans="1:33" ht="34.5" customHeight="1" x14ac:dyDescent="0.3">
      <c r="A861" s="46">
        <v>1272</v>
      </c>
      <c r="B861" s="46" t="s">
        <v>2628</v>
      </c>
      <c r="C861" s="46" t="s">
        <v>59</v>
      </c>
      <c r="D861" s="60">
        <v>2024</v>
      </c>
      <c r="E861" s="60"/>
      <c r="F861" s="46" t="s">
        <v>225</v>
      </c>
      <c r="G861" s="46" t="s">
        <v>159</v>
      </c>
      <c r="H861" s="46" t="s">
        <v>592</v>
      </c>
      <c r="I861" s="46" t="s">
        <v>166</v>
      </c>
      <c r="J861" s="46"/>
      <c r="K861" s="46" t="s">
        <v>68</v>
      </c>
      <c r="L861" s="46"/>
      <c r="M861" s="46"/>
      <c r="N861" s="46"/>
      <c r="O861" s="46"/>
      <c r="P861" s="46"/>
      <c r="Q861" s="46">
        <v>1</v>
      </c>
      <c r="R861" s="46"/>
      <c r="S861" s="46"/>
      <c r="T861" s="46"/>
      <c r="U861" s="46"/>
      <c r="V861" s="46"/>
      <c r="W861" s="46"/>
      <c r="X861" s="46"/>
      <c r="Y861" s="46"/>
      <c r="Z861" s="46" t="s">
        <v>1168</v>
      </c>
      <c r="AA861" s="61">
        <v>10</v>
      </c>
      <c r="AB861" s="62">
        <f>IF(OR(G861="ALK",G861="PEM",G861="SOEC",G861="Other Electrolysis"),
AA861/VLOOKUP(G861,ElectrolysisConvF,3,FALSE),
AC861*10^6/(H2dens*HoursInYear))</f>
        <v>2222.2222222222222</v>
      </c>
      <c r="AC861" s="63">
        <f t="shared" si="104"/>
        <v>1.7325333333333333</v>
      </c>
      <c r="AD861" s="62"/>
      <c r="AE861" s="62">
        <f t="shared" ref="AE861:AE866" si="105">IF(AND(G861&lt;&gt;"NG w CCUS",G861&lt;&gt;"Oil w CCUS",G861&lt;&gt;"Coal w CCUS"),AB861,AD861*10^3/(HoursInYear*IF(G861="NG w CCUS",0.9105,1.9075)))</f>
        <v>2222.2222222222222</v>
      </c>
      <c r="AF861" s="64" t="s">
        <v>2629</v>
      </c>
      <c r="AG861" s="49">
        <v>0.56999999999999995</v>
      </c>
    </row>
    <row r="862" spans="1:33" ht="34.5" customHeight="1" x14ac:dyDescent="0.3">
      <c r="A862" s="46">
        <v>1273</v>
      </c>
      <c r="B862" s="46" t="s">
        <v>2630</v>
      </c>
      <c r="C862" s="46" t="s">
        <v>203</v>
      </c>
      <c r="D862" s="60">
        <v>2023</v>
      </c>
      <c r="E862" s="60"/>
      <c r="F862" s="46" t="s">
        <v>675</v>
      </c>
      <c r="G862" s="46" t="s">
        <v>1</v>
      </c>
      <c r="H862" s="46"/>
      <c r="I862" s="46" t="s">
        <v>169</v>
      </c>
      <c r="J862" s="46" t="s">
        <v>69</v>
      </c>
      <c r="K862" s="46" t="s">
        <v>68</v>
      </c>
      <c r="L862" s="46"/>
      <c r="M862" s="46"/>
      <c r="N862" s="46"/>
      <c r="O862" s="46">
        <v>1</v>
      </c>
      <c r="P862" s="46">
        <v>1</v>
      </c>
      <c r="Q862" s="46">
        <v>1</v>
      </c>
      <c r="R862" s="46"/>
      <c r="S862" s="46"/>
      <c r="T862" s="46"/>
      <c r="U862" s="46"/>
      <c r="V862" s="46"/>
      <c r="W862" s="46"/>
      <c r="X862" s="46"/>
      <c r="Y862" s="46"/>
      <c r="Z862" s="46" t="s">
        <v>981</v>
      </c>
      <c r="AA862" s="61">
        <v>20</v>
      </c>
      <c r="AB862" s="62">
        <f>IF(OR(G862="ALK",G862="PEM",G862="SOEC",G862="Other Electrolysis"),
AA862/VLOOKUP(G862,ElectrolysisConvF,3,FALSE),
AC862*10^6/(H2dens*HoursInYear))</f>
        <v>3846.1538461538462</v>
      </c>
      <c r="AC862" s="63">
        <f t="shared" si="104"/>
        <v>2.9986153846153845</v>
      </c>
      <c r="AD862" s="62"/>
      <c r="AE862" s="62">
        <f t="shared" si="105"/>
        <v>3846.1538461538462</v>
      </c>
      <c r="AF862" s="64" t="s">
        <v>2631</v>
      </c>
      <c r="AG862" s="49">
        <v>0.5</v>
      </c>
    </row>
    <row r="863" spans="1:33" ht="34.5" customHeight="1" x14ac:dyDescent="0.3">
      <c r="A863" s="46">
        <v>1274</v>
      </c>
      <c r="B863" s="46" t="s">
        <v>2632</v>
      </c>
      <c r="C863" s="46" t="s">
        <v>203</v>
      </c>
      <c r="D863" s="60">
        <v>2024</v>
      </c>
      <c r="E863" s="60"/>
      <c r="F863" s="46" t="s">
        <v>675</v>
      </c>
      <c r="G863" s="46" t="s">
        <v>1</v>
      </c>
      <c r="H863" s="46"/>
      <c r="I863" s="46" t="s">
        <v>169</v>
      </c>
      <c r="J863" s="46" t="s">
        <v>69</v>
      </c>
      <c r="K863" s="46" t="s">
        <v>68</v>
      </c>
      <c r="L863" s="46"/>
      <c r="M863" s="46"/>
      <c r="N863" s="46"/>
      <c r="O863" s="46">
        <v>1</v>
      </c>
      <c r="P863" s="46">
        <v>1</v>
      </c>
      <c r="Q863" s="46">
        <v>1</v>
      </c>
      <c r="R863" s="46"/>
      <c r="S863" s="46"/>
      <c r="T863" s="46"/>
      <c r="U863" s="46"/>
      <c r="V863" s="46"/>
      <c r="W863" s="46"/>
      <c r="X863" s="46"/>
      <c r="Y863" s="46"/>
      <c r="Z863" s="46" t="s">
        <v>964</v>
      </c>
      <c r="AA863" s="61">
        <v>10</v>
      </c>
      <c r="AB863" s="62">
        <f>IF(OR(G863="ALK",G863="PEM",G863="SOEC",G863="Other Electrolysis"),
AA863/VLOOKUP(G863,ElectrolysisConvF,3,FALSE),
AC863*10^6/(H2dens*HoursInYear))</f>
        <v>1923.0769230769231</v>
      </c>
      <c r="AC863" s="63">
        <f t="shared" si="104"/>
        <v>1.4993076923076922</v>
      </c>
      <c r="AD863" s="62"/>
      <c r="AE863" s="62">
        <f t="shared" si="105"/>
        <v>1923.0769230769231</v>
      </c>
      <c r="AF863" s="64" t="s">
        <v>2631</v>
      </c>
      <c r="AG863" s="49">
        <v>0.5</v>
      </c>
    </row>
    <row r="864" spans="1:33" ht="34.5" customHeight="1" x14ac:dyDescent="0.3">
      <c r="A864" s="46">
        <v>1275</v>
      </c>
      <c r="B864" s="64" t="s">
        <v>2633</v>
      </c>
      <c r="C864" s="46" t="s">
        <v>46</v>
      </c>
      <c r="D864" s="60">
        <v>2025</v>
      </c>
      <c r="E864" s="60"/>
      <c r="F864" s="46" t="s">
        <v>225</v>
      </c>
      <c r="G864" s="46" t="s">
        <v>159</v>
      </c>
      <c r="H864" s="46" t="s">
        <v>592</v>
      </c>
      <c r="I864" s="46" t="s">
        <v>169</v>
      </c>
      <c r="J864" s="46" t="s">
        <v>248</v>
      </c>
      <c r="K864" s="46" t="s">
        <v>68</v>
      </c>
      <c r="L864" s="46"/>
      <c r="M864" s="46"/>
      <c r="N864" s="46"/>
      <c r="O864" s="46"/>
      <c r="P864" s="46">
        <v>1</v>
      </c>
      <c r="Q864" s="46">
        <v>1</v>
      </c>
      <c r="R864" s="46"/>
      <c r="S864" s="46"/>
      <c r="T864" s="46"/>
      <c r="U864" s="46"/>
      <c r="V864" s="46"/>
      <c r="W864" s="46"/>
      <c r="X864" s="46"/>
      <c r="Y864" s="46"/>
      <c r="Z864" s="46" t="s">
        <v>981</v>
      </c>
      <c r="AA864" s="61">
        <v>20</v>
      </c>
      <c r="AB864" s="62">
        <f>IF(OR(G864="ALK",G864="PEM",G864="SOEC",G864="Other Electrolysis"),
AA864/VLOOKUP(G864,ElectrolysisConvF,3,FALSE),
AC864*10^6/(H2dens*HoursInYear))</f>
        <v>4444.4444444444443</v>
      </c>
      <c r="AC864" s="63">
        <f t="shared" si="104"/>
        <v>3.4650666666666665</v>
      </c>
      <c r="AD864" s="62"/>
      <c r="AE864" s="62">
        <f t="shared" si="105"/>
        <v>4444.4444444444443</v>
      </c>
      <c r="AF864" s="64" t="s">
        <v>2634</v>
      </c>
      <c r="AG864" s="49">
        <v>0.5</v>
      </c>
    </row>
    <row r="865" spans="1:33" ht="34.5" customHeight="1" x14ac:dyDescent="0.3">
      <c r="A865" s="46">
        <v>1276</v>
      </c>
      <c r="B865" s="46" t="s">
        <v>2635</v>
      </c>
      <c r="C865" s="46" t="s">
        <v>64</v>
      </c>
      <c r="D865" s="60">
        <v>2025</v>
      </c>
      <c r="E865" s="60"/>
      <c r="F865" s="46" t="s">
        <v>225</v>
      </c>
      <c r="G865" s="46" t="s">
        <v>3</v>
      </c>
      <c r="H865" s="46"/>
      <c r="I865" s="46" t="s">
        <v>166</v>
      </c>
      <c r="J865" s="46"/>
      <c r="K865" s="46" t="s">
        <v>68</v>
      </c>
      <c r="L865" s="46"/>
      <c r="M865" s="46"/>
      <c r="N865" s="46"/>
      <c r="O865" s="46"/>
      <c r="P865" s="46">
        <v>1</v>
      </c>
      <c r="Q865" s="46">
        <v>1</v>
      </c>
      <c r="R865" s="46"/>
      <c r="S865" s="46">
        <v>1</v>
      </c>
      <c r="T865" s="46"/>
      <c r="U865" s="46"/>
      <c r="V865" s="46"/>
      <c r="W865" s="46"/>
      <c r="X865" s="46"/>
      <c r="Y865" s="46"/>
      <c r="Z865" s="46" t="s">
        <v>1168</v>
      </c>
      <c r="AA865" s="61">
        <v>10</v>
      </c>
      <c r="AB865" s="62">
        <f>IF(OR(G865="ALK",G865="PEM",G865="SOEC",G865="Other Electrolysis"),
AA865/VLOOKUP(G865,ElectrolysisConvF,3,FALSE),
AC865*10^6/(H2dens*HoursInYear))</f>
        <v>2173.913043478261</v>
      </c>
      <c r="AC865" s="63">
        <f t="shared" si="104"/>
        <v>1.6948695652173913</v>
      </c>
      <c r="AD865" s="62"/>
      <c r="AE865" s="62">
        <f t="shared" si="105"/>
        <v>2173.913043478261</v>
      </c>
      <c r="AF865" s="64" t="s">
        <v>2636</v>
      </c>
      <c r="AG865" s="49">
        <v>0.56999999999999995</v>
      </c>
    </row>
    <row r="866" spans="1:33" ht="34.5" customHeight="1" x14ac:dyDescent="0.3">
      <c r="A866" s="46">
        <v>1277</v>
      </c>
      <c r="B866" s="46" t="s">
        <v>2637</v>
      </c>
      <c r="C866" s="46" t="s">
        <v>203</v>
      </c>
      <c r="D866" s="60">
        <v>2023</v>
      </c>
      <c r="E866" s="60"/>
      <c r="F866" s="46" t="s">
        <v>285</v>
      </c>
      <c r="G866" s="46" t="s">
        <v>153</v>
      </c>
      <c r="H866" s="46" t="s">
        <v>1715</v>
      </c>
      <c r="I866" s="46"/>
      <c r="J866" s="46"/>
      <c r="K866" s="46" t="s">
        <v>68</v>
      </c>
      <c r="L866" s="46"/>
      <c r="M866" s="46"/>
      <c r="N866" s="46"/>
      <c r="O866" s="46"/>
      <c r="P866" s="46"/>
      <c r="Q866" s="46"/>
      <c r="R866" s="46"/>
      <c r="S866" s="46"/>
      <c r="T866" s="46"/>
      <c r="U866" s="46"/>
      <c r="V866" s="46"/>
      <c r="W866" s="46"/>
      <c r="X866" s="46"/>
      <c r="Y866" s="46"/>
      <c r="Z866" s="46" t="s">
        <v>2638</v>
      </c>
      <c r="AA866" s="61"/>
      <c r="AB866" s="62">
        <f>AC866/(H2dens*HoursInYear/10^6)</f>
        <v>187.2659176029963</v>
      </c>
      <c r="AC866" s="63">
        <f>400/1000000*365</f>
        <v>0.14600000000000002</v>
      </c>
      <c r="AD866" s="62"/>
      <c r="AE866" s="62">
        <f t="shared" si="105"/>
        <v>187.2659176029963</v>
      </c>
      <c r="AF866" s="64" t="s">
        <v>2639</v>
      </c>
      <c r="AG866" s="49">
        <v>0.9</v>
      </c>
    </row>
    <row r="867" spans="1:33" ht="34.5" customHeight="1" x14ac:dyDescent="0.3">
      <c r="A867" s="46">
        <v>1278</v>
      </c>
      <c r="B867" s="46" t="s">
        <v>2640</v>
      </c>
      <c r="C867" s="46" t="s">
        <v>35</v>
      </c>
      <c r="D867" s="60">
        <v>2030</v>
      </c>
      <c r="E867" s="60"/>
      <c r="F867" s="46" t="s">
        <v>225</v>
      </c>
      <c r="G867" s="46" t="s">
        <v>159</v>
      </c>
      <c r="H867" s="46" t="s">
        <v>592</v>
      </c>
      <c r="I867" s="46" t="s">
        <v>166</v>
      </c>
      <c r="J867" s="46"/>
      <c r="K867" s="46" t="s">
        <v>141</v>
      </c>
      <c r="L867" s="46"/>
      <c r="M867" s="46">
        <v>1</v>
      </c>
      <c r="N867" s="46"/>
      <c r="O867" s="46"/>
      <c r="P867" s="46"/>
      <c r="Q867" s="46"/>
      <c r="R867" s="46"/>
      <c r="S867" s="46"/>
      <c r="T867" s="46"/>
      <c r="U867" s="46"/>
      <c r="V867" s="46"/>
      <c r="W867" s="46"/>
      <c r="X867" s="46"/>
      <c r="Y867" s="46"/>
      <c r="Z867" s="46" t="s">
        <v>2641</v>
      </c>
      <c r="AA867" s="61">
        <v>456</v>
      </c>
      <c r="AB867" s="62">
        <f>AC867/(H2dens*HoursInYear/10^6)</f>
        <v>87771.885823035496</v>
      </c>
      <c r="AC867" s="63">
        <f>400*3/17/0.98-AC235</f>
        <v>68.430473063071389</v>
      </c>
      <c r="AD867" s="62"/>
      <c r="AE867" s="62">
        <f>AB867</f>
        <v>87771.885823035496</v>
      </c>
      <c r="AF867" s="64" t="s">
        <v>2642</v>
      </c>
      <c r="AG867" s="49">
        <v>0.56999999999999995</v>
      </c>
    </row>
    <row r="868" spans="1:33" ht="34.5" customHeight="1" x14ac:dyDescent="0.3">
      <c r="A868" s="46">
        <v>1280</v>
      </c>
      <c r="B868" s="46" t="s">
        <v>2643</v>
      </c>
      <c r="C868" s="46" t="s">
        <v>35</v>
      </c>
      <c r="D868" s="60"/>
      <c r="E868" s="60"/>
      <c r="F868" s="46" t="s">
        <v>591</v>
      </c>
      <c r="G868" s="46" t="s">
        <v>153</v>
      </c>
      <c r="H868" s="46" t="s">
        <v>2644</v>
      </c>
      <c r="I868" s="46" t="s">
        <v>169</v>
      </c>
      <c r="J868" s="46" t="s">
        <v>69</v>
      </c>
      <c r="K868" s="46" t="s">
        <v>141</v>
      </c>
      <c r="L868" s="46"/>
      <c r="M868" s="46">
        <v>1</v>
      </c>
      <c r="N868" s="46"/>
      <c r="O868" s="46"/>
      <c r="P868" s="46"/>
      <c r="Q868" s="46">
        <v>1</v>
      </c>
      <c r="R868" s="46"/>
      <c r="S868" s="46"/>
      <c r="T868" s="46"/>
      <c r="U868" s="46"/>
      <c r="V868" s="46"/>
      <c r="W868" s="46"/>
      <c r="X868" s="46"/>
      <c r="Y868" s="46"/>
      <c r="Z868" s="46"/>
      <c r="AA868" s="61"/>
      <c r="AB868" s="62"/>
      <c r="AC868" s="63"/>
      <c r="AD868" s="62"/>
      <c r="AE868" s="62">
        <f t="shared" ref="AE868:AE880" si="106">IF(AND(G868&lt;&gt;"NG w CCUS",G868&lt;&gt;"Oil w CCUS",G868&lt;&gt;"Coal w CCUS"),AB868,AD868*10^3/(HoursInYear*IF(G868="NG w CCUS",0.9105,1.9075)))</f>
        <v>0</v>
      </c>
      <c r="AF868" s="64" t="s">
        <v>2645</v>
      </c>
      <c r="AG868" s="49">
        <v>0.9</v>
      </c>
    </row>
    <row r="869" spans="1:33" ht="34.5" customHeight="1" x14ac:dyDescent="0.3">
      <c r="A869" s="46">
        <v>1281</v>
      </c>
      <c r="B869" s="46" t="s">
        <v>2646</v>
      </c>
      <c r="C869" s="46" t="s">
        <v>39</v>
      </c>
      <c r="D869" s="60">
        <v>2025</v>
      </c>
      <c r="E869" s="60"/>
      <c r="F869" s="46" t="s">
        <v>675</v>
      </c>
      <c r="G869" s="46" t="s">
        <v>159</v>
      </c>
      <c r="H869" s="46" t="s">
        <v>592</v>
      </c>
      <c r="I869" s="46" t="s">
        <v>166</v>
      </c>
      <c r="J869" s="46"/>
      <c r="K869" s="46" t="s">
        <v>68</v>
      </c>
      <c r="L869" s="46"/>
      <c r="M869" s="46"/>
      <c r="N869" s="46"/>
      <c r="O869" s="46"/>
      <c r="P869" s="46">
        <v>1</v>
      </c>
      <c r="Q869" s="46"/>
      <c r="R869" s="46"/>
      <c r="S869" s="46"/>
      <c r="T869" s="46"/>
      <c r="U869" s="46"/>
      <c r="V869" s="46"/>
      <c r="W869" s="46"/>
      <c r="X869" s="46"/>
      <c r="Y869" s="46"/>
      <c r="Z869" s="46" t="s">
        <v>676</v>
      </c>
      <c r="AA869" s="61">
        <v>2.5</v>
      </c>
      <c r="AB869" s="62">
        <f>IF(OR(G869="ALK",G869="PEM",G869="SOEC",G869="Other Electrolysis"),
AA869/VLOOKUP(G869,ElectrolysisConvF,3,FALSE),
AC869*10^6/(H2dens*HoursInYear))</f>
        <v>555.55555555555554</v>
      </c>
      <c r="AC869" s="63">
        <f>AB869*H2dens*HoursInYear/10^6</f>
        <v>0.43313333333333331</v>
      </c>
      <c r="AD869" s="62"/>
      <c r="AE869" s="62">
        <f t="shared" si="106"/>
        <v>555.55555555555554</v>
      </c>
      <c r="AF869" s="64" t="s">
        <v>2647</v>
      </c>
      <c r="AG869" s="49">
        <v>0.56999999999999995</v>
      </c>
    </row>
    <row r="870" spans="1:33" ht="34.5" customHeight="1" x14ac:dyDescent="0.3">
      <c r="A870" s="46">
        <v>1282</v>
      </c>
      <c r="B870" s="46" t="s">
        <v>2648</v>
      </c>
      <c r="C870" s="46" t="s">
        <v>64</v>
      </c>
      <c r="D870" s="60">
        <v>2021</v>
      </c>
      <c r="E870" s="60"/>
      <c r="F870" s="46" t="s">
        <v>226</v>
      </c>
      <c r="G870" s="46" t="s">
        <v>1</v>
      </c>
      <c r="H870" s="46"/>
      <c r="I870" s="46" t="s">
        <v>169</v>
      </c>
      <c r="J870" s="46" t="s">
        <v>244</v>
      </c>
      <c r="K870" s="46" t="s">
        <v>68</v>
      </c>
      <c r="L870" s="46"/>
      <c r="M870" s="46"/>
      <c r="N870" s="46"/>
      <c r="O870" s="46"/>
      <c r="P870" s="46"/>
      <c r="Q870" s="46">
        <v>1</v>
      </c>
      <c r="R870" s="46"/>
      <c r="S870" s="46"/>
      <c r="T870" s="46"/>
      <c r="U870" s="46"/>
      <c r="V870" s="46"/>
      <c r="W870" s="46"/>
      <c r="X870" s="46"/>
      <c r="Y870" s="46"/>
      <c r="Z870" s="46" t="s">
        <v>2649</v>
      </c>
      <c r="AA870" s="61">
        <f>IF(OR(G870="ALK",G870="PEM",G870="SOEC",G870="Other Electrolysis"),
AB870*VLOOKUP(G870,ElectrolysisConvF,3,FALSE),
"")</f>
        <v>4.8689138576779025E-3</v>
      </c>
      <c r="AB870" s="62">
        <f>AC870/(H2dens*HoursInYear/10^6)</f>
        <v>0.93632958801498123</v>
      </c>
      <c r="AC870" s="63">
        <f>2/1000000*365</f>
        <v>7.2999999999999996E-4</v>
      </c>
      <c r="AD870" s="62"/>
      <c r="AE870" s="62">
        <f t="shared" si="106"/>
        <v>0.93632958801498123</v>
      </c>
      <c r="AF870" s="64" t="s">
        <v>2650</v>
      </c>
      <c r="AG870" s="49">
        <v>0.3</v>
      </c>
    </row>
    <row r="871" spans="1:33" ht="34.5" customHeight="1" x14ac:dyDescent="0.3">
      <c r="A871" s="46">
        <v>1283</v>
      </c>
      <c r="B871" s="46" t="s">
        <v>2651</v>
      </c>
      <c r="C871" s="46" t="s">
        <v>43</v>
      </c>
      <c r="D871" s="60"/>
      <c r="E871" s="60"/>
      <c r="F871" s="46" t="s">
        <v>225</v>
      </c>
      <c r="G871" s="46" t="s">
        <v>159</v>
      </c>
      <c r="H871" s="46" t="s">
        <v>592</v>
      </c>
      <c r="I871" s="46" t="s">
        <v>169</v>
      </c>
      <c r="J871" s="46" t="s">
        <v>69</v>
      </c>
      <c r="K871" s="46" t="s">
        <v>68</v>
      </c>
      <c r="L871" s="46"/>
      <c r="M871" s="46"/>
      <c r="N871" s="46"/>
      <c r="O871" s="46"/>
      <c r="P871" s="46"/>
      <c r="Q871" s="46"/>
      <c r="R871" s="46">
        <v>1</v>
      </c>
      <c r="S871" s="46"/>
      <c r="T871" s="46">
        <v>1</v>
      </c>
      <c r="U871" s="46">
        <v>1</v>
      </c>
      <c r="V871" s="46"/>
      <c r="W871" s="46"/>
      <c r="X871" s="46"/>
      <c r="Y871" s="46"/>
      <c r="Z871" s="46" t="s">
        <v>1161</v>
      </c>
      <c r="AA871" s="61">
        <v>25</v>
      </c>
      <c r="AB871" s="62">
        <f>IF(OR(G871="ALK",G871="PEM",G871="SOEC",G871="Other Electrolysis"),
AA871/VLOOKUP(G871,ElectrolysisConvF,3,FALSE),
AC871*10^6/(H2dens*HoursInYear))</f>
        <v>5555.5555555555557</v>
      </c>
      <c r="AC871" s="63">
        <f>AB871*H2dens*HoursInYear/10^6</f>
        <v>4.3313333333333333</v>
      </c>
      <c r="AD871" s="62"/>
      <c r="AE871" s="62">
        <f t="shared" si="106"/>
        <v>5555.5555555555557</v>
      </c>
      <c r="AF871" s="64" t="s">
        <v>2652</v>
      </c>
      <c r="AG871" s="49">
        <v>0.5</v>
      </c>
    </row>
    <row r="872" spans="1:33" ht="34.5" customHeight="1" x14ac:dyDescent="0.3">
      <c r="A872" s="46">
        <v>1285</v>
      </c>
      <c r="B872" s="46" t="s">
        <v>2653</v>
      </c>
      <c r="C872" s="46" t="s">
        <v>42</v>
      </c>
      <c r="D872" s="60">
        <v>2024</v>
      </c>
      <c r="E872" s="60"/>
      <c r="F872" s="46" t="s">
        <v>225</v>
      </c>
      <c r="G872" s="46" t="s">
        <v>159</v>
      </c>
      <c r="H872" s="46" t="s">
        <v>592</v>
      </c>
      <c r="I872" s="46" t="s">
        <v>169</v>
      </c>
      <c r="J872" s="46" t="s">
        <v>246</v>
      </c>
      <c r="K872" s="46" t="s">
        <v>68</v>
      </c>
      <c r="L872" s="46"/>
      <c r="M872" s="46"/>
      <c r="N872" s="46"/>
      <c r="O872" s="46">
        <v>1</v>
      </c>
      <c r="P872" s="46">
        <v>1</v>
      </c>
      <c r="Q872" s="46">
        <v>1</v>
      </c>
      <c r="R872" s="46">
        <v>1</v>
      </c>
      <c r="S872" s="46"/>
      <c r="T872" s="46"/>
      <c r="U872" s="46"/>
      <c r="V872" s="46"/>
      <c r="W872" s="46"/>
      <c r="X872" s="46"/>
      <c r="Y872" s="46"/>
      <c r="Z872" s="46" t="s">
        <v>2654</v>
      </c>
      <c r="AA872" s="61">
        <f>IF(OR(G872="ALK",G872="PEM",G872="SOEC",G872="Other Electrolysis"),
AB872*VLOOKUP(G872,ElectrolysisConvF,3,FALSE),
"")</f>
        <v>3.1745420963521624</v>
      </c>
      <c r="AB872" s="62">
        <f>AC872/(H2dens*HoursInYear/10^6)</f>
        <v>705.45379918936953</v>
      </c>
      <c r="AC872" s="63">
        <v>0.55000000000000004</v>
      </c>
      <c r="AD872" s="62"/>
      <c r="AE872" s="62">
        <f t="shared" si="106"/>
        <v>705.45379918936953</v>
      </c>
      <c r="AF872" s="64" t="s">
        <v>2655</v>
      </c>
      <c r="AG872" s="49">
        <v>0.55000000000000004</v>
      </c>
    </row>
    <row r="873" spans="1:33" ht="34.5" customHeight="1" x14ac:dyDescent="0.3">
      <c r="A873" s="46">
        <v>1287</v>
      </c>
      <c r="B873" s="46" t="s">
        <v>2656</v>
      </c>
      <c r="C873" s="46" t="s">
        <v>40</v>
      </c>
      <c r="D873" s="60"/>
      <c r="E873" s="60"/>
      <c r="F873" s="46" t="s">
        <v>225</v>
      </c>
      <c r="G873" s="46" t="s">
        <v>1</v>
      </c>
      <c r="H873" s="46"/>
      <c r="I873" s="46" t="s">
        <v>169</v>
      </c>
      <c r="J873" s="46" t="s">
        <v>244</v>
      </c>
      <c r="K873" s="46" t="s">
        <v>68</v>
      </c>
      <c r="L873" s="46"/>
      <c r="M873" s="46"/>
      <c r="N873" s="46"/>
      <c r="O873" s="46"/>
      <c r="P873" s="46"/>
      <c r="Q873" s="46"/>
      <c r="R873" s="46"/>
      <c r="S873" s="46"/>
      <c r="T873" s="46"/>
      <c r="U873" s="46"/>
      <c r="V873" s="46"/>
      <c r="W873" s="46"/>
      <c r="X873" s="46"/>
      <c r="Y873" s="46"/>
      <c r="Z873" s="46" t="s">
        <v>2657</v>
      </c>
      <c r="AA873" s="76">
        <f>IF(OR(G873="ALK",G873="PEM",G873="SOEC",G873="Other Electrolysis"),
AB873*VLOOKUP(G873,ElectrolysisConvF,3,FALSE),
"")</f>
        <v>405.74282147315853</v>
      </c>
      <c r="AB873" s="62">
        <f>AC873/(H2dens*HoursInYear/10^6)</f>
        <v>78027.465667915108</v>
      </c>
      <c r="AC873" s="63">
        <f>50*365/1000/H2ProjectDB4578610[[#This Row],[Column33]]</f>
        <v>60.833333333333336</v>
      </c>
      <c r="AD873" s="62"/>
      <c r="AE873" s="62">
        <f t="shared" si="106"/>
        <v>78027.465667915108</v>
      </c>
      <c r="AF873" s="64" t="s">
        <v>2658</v>
      </c>
      <c r="AG873" s="49">
        <v>0.3</v>
      </c>
    </row>
    <row r="874" spans="1:33" ht="34.5" customHeight="1" x14ac:dyDescent="0.3">
      <c r="A874" s="46">
        <v>1288</v>
      </c>
      <c r="B874" s="46" t="s">
        <v>2659</v>
      </c>
      <c r="C874" s="46" t="s">
        <v>35</v>
      </c>
      <c r="D874" s="60">
        <v>2023</v>
      </c>
      <c r="E874" s="60"/>
      <c r="F874" s="46" t="s">
        <v>226</v>
      </c>
      <c r="G874" s="46" t="s">
        <v>3</v>
      </c>
      <c r="H874" s="46"/>
      <c r="I874" s="46" t="s">
        <v>169</v>
      </c>
      <c r="J874" s="46" t="s">
        <v>69</v>
      </c>
      <c r="K874" s="46" t="s">
        <v>68</v>
      </c>
      <c r="L874" s="46"/>
      <c r="M874" s="46"/>
      <c r="N874" s="46"/>
      <c r="O874" s="46"/>
      <c r="P874" s="46"/>
      <c r="Q874" s="46"/>
      <c r="R874" s="46"/>
      <c r="S874" s="46"/>
      <c r="T874" s="46"/>
      <c r="U874" s="46"/>
      <c r="V874" s="46"/>
      <c r="W874" s="46"/>
      <c r="X874" s="46"/>
      <c r="Y874" s="46"/>
      <c r="Z874" s="46" t="s">
        <v>2286</v>
      </c>
      <c r="AA874" s="61">
        <v>0.9</v>
      </c>
      <c r="AB874" s="62">
        <f>IF(OR(G874="ALK",G874="PEM",G874="SOEC",G874="Other Electrolysis"),
AA874/VLOOKUP(G874,ElectrolysisConvF,3,FALSE),
AC874*10^6/(H2dens*HoursInYear))</f>
        <v>195.6521739130435</v>
      </c>
      <c r="AC874" s="63">
        <f>AB874*H2dens*HoursInYear/10^6</f>
        <v>0.15253826086956521</v>
      </c>
      <c r="AD874" s="62"/>
      <c r="AE874" s="62">
        <f t="shared" si="106"/>
        <v>195.6521739130435</v>
      </c>
      <c r="AF874" s="64" t="s">
        <v>2660</v>
      </c>
      <c r="AG874" s="49">
        <v>0.5</v>
      </c>
    </row>
    <row r="875" spans="1:33" ht="34.5" customHeight="1" x14ac:dyDescent="0.3">
      <c r="A875" s="46">
        <v>1289</v>
      </c>
      <c r="B875" s="46" t="s">
        <v>2661</v>
      </c>
      <c r="C875" s="46" t="s">
        <v>40</v>
      </c>
      <c r="D875" s="60">
        <v>2024</v>
      </c>
      <c r="E875" s="60"/>
      <c r="F875" s="46" t="s">
        <v>675</v>
      </c>
      <c r="G875" s="46" t="s">
        <v>153</v>
      </c>
      <c r="H875" s="46" t="s">
        <v>2662</v>
      </c>
      <c r="I875" s="46"/>
      <c r="J875" s="46"/>
      <c r="K875" s="46" t="s">
        <v>68</v>
      </c>
      <c r="L875" s="46"/>
      <c r="M875" s="46"/>
      <c r="N875" s="46"/>
      <c r="O875" s="46"/>
      <c r="P875" s="46"/>
      <c r="Q875" s="46">
        <v>1</v>
      </c>
      <c r="R875" s="46"/>
      <c r="S875" s="46"/>
      <c r="T875" s="46"/>
      <c r="U875" s="46"/>
      <c r="V875" s="46"/>
      <c r="W875" s="46"/>
      <c r="X875" s="46"/>
      <c r="Y875" s="46"/>
      <c r="Z875" s="46" t="s">
        <v>2663</v>
      </c>
      <c r="AA875" s="61"/>
      <c r="AB875" s="62">
        <f>AC875/(H2dens*HoursInYear/10^6)</f>
        <v>2565.286542506798</v>
      </c>
      <c r="AC875" s="63">
        <v>2</v>
      </c>
      <c r="AD875" s="62"/>
      <c r="AE875" s="62">
        <f t="shared" si="106"/>
        <v>2565.286542506798</v>
      </c>
      <c r="AF875" s="64" t="s">
        <v>2664</v>
      </c>
      <c r="AG875" s="49">
        <v>0.9</v>
      </c>
    </row>
    <row r="876" spans="1:33" ht="34.5" customHeight="1" x14ac:dyDescent="0.3">
      <c r="A876" s="46">
        <v>1291</v>
      </c>
      <c r="B876" s="46" t="s">
        <v>2665</v>
      </c>
      <c r="C876" s="46" t="s">
        <v>40</v>
      </c>
      <c r="D876" s="60"/>
      <c r="E876" s="60"/>
      <c r="F876" s="46" t="s">
        <v>591</v>
      </c>
      <c r="G876" s="46" t="s">
        <v>161</v>
      </c>
      <c r="H876" s="46" t="s">
        <v>1951</v>
      </c>
      <c r="I876" s="46"/>
      <c r="J876" s="46"/>
      <c r="K876" s="46" t="s">
        <v>68</v>
      </c>
      <c r="L876" s="46">
        <v>1</v>
      </c>
      <c r="M876" s="46"/>
      <c r="N876" s="46"/>
      <c r="O876" s="46"/>
      <c r="P876" s="46"/>
      <c r="Q876" s="46"/>
      <c r="R876" s="46"/>
      <c r="S876" s="46"/>
      <c r="T876" s="46"/>
      <c r="U876" s="46"/>
      <c r="V876" s="46"/>
      <c r="W876" s="46"/>
      <c r="X876" s="46"/>
      <c r="Y876" s="46"/>
      <c r="Z876" s="46"/>
      <c r="AA876" s="61"/>
      <c r="AB876" s="62"/>
      <c r="AC876" s="63"/>
      <c r="AD876" s="62"/>
      <c r="AE876" s="62">
        <f t="shared" si="106"/>
        <v>0</v>
      </c>
      <c r="AF876" s="64" t="s">
        <v>2666</v>
      </c>
      <c r="AG876" s="49">
        <v>0.9</v>
      </c>
    </row>
    <row r="877" spans="1:33" ht="34.5" customHeight="1" x14ac:dyDescent="0.3">
      <c r="A877" s="46">
        <v>1292</v>
      </c>
      <c r="B877" s="46" t="s">
        <v>2667</v>
      </c>
      <c r="C877" s="46" t="s">
        <v>46</v>
      </c>
      <c r="D877" s="60">
        <v>2024</v>
      </c>
      <c r="E877" s="60"/>
      <c r="F877" s="46" t="s">
        <v>225</v>
      </c>
      <c r="G877" s="46" t="s">
        <v>1</v>
      </c>
      <c r="H877" s="46"/>
      <c r="I877" s="46" t="s">
        <v>169</v>
      </c>
      <c r="J877" s="46" t="s">
        <v>69</v>
      </c>
      <c r="K877" s="46" t="s">
        <v>68</v>
      </c>
      <c r="L877" s="46"/>
      <c r="M877" s="46"/>
      <c r="N877" s="46"/>
      <c r="O877" s="46"/>
      <c r="P877" s="46">
        <v>1</v>
      </c>
      <c r="Q877" s="46"/>
      <c r="R877" s="46"/>
      <c r="S877" s="46"/>
      <c r="T877" s="46"/>
      <c r="U877" s="46"/>
      <c r="V877" s="46"/>
      <c r="W877" s="46"/>
      <c r="X877" s="46"/>
      <c r="Y877" s="46"/>
      <c r="Z877" s="46" t="s">
        <v>964</v>
      </c>
      <c r="AA877" s="61">
        <v>30</v>
      </c>
      <c r="AB877" s="62">
        <f>IF(OR(G877="ALK",G877="PEM",G877="SOEC",G877="Other Electrolysis"),
AA877/VLOOKUP(G877,ElectrolysisConvF,3,FALSE),
AC877*10^6/(H2dens*HoursInYear))</f>
        <v>5769.2307692307695</v>
      </c>
      <c r="AC877" s="63">
        <f>AB877*H2dens*HoursInYear/10^6</f>
        <v>4.4979230769230769</v>
      </c>
      <c r="AD877" s="62"/>
      <c r="AE877" s="62">
        <f t="shared" si="106"/>
        <v>5769.2307692307695</v>
      </c>
      <c r="AF877" s="64" t="s">
        <v>2668</v>
      </c>
      <c r="AG877" s="49">
        <v>0.5</v>
      </c>
    </row>
    <row r="878" spans="1:33" ht="34.5" customHeight="1" x14ac:dyDescent="0.3">
      <c r="A878" s="46">
        <v>1293</v>
      </c>
      <c r="B878" s="46" t="s">
        <v>2669</v>
      </c>
      <c r="C878" s="46" t="s">
        <v>40</v>
      </c>
      <c r="D878" s="60">
        <v>2028</v>
      </c>
      <c r="E878" s="60"/>
      <c r="F878" s="46" t="s">
        <v>225</v>
      </c>
      <c r="G878" s="46" t="s">
        <v>161</v>
      </c>
      <c r="H878" s="46" t="s">
        <v>882</v>
      </c>
      <c r="I878" s="46"/>
      <c r="J878" s="46"/>
      <c r="K878" s="46" t="s">
        <v>68</v>
      </c>
      <c r="L878" s="46"/>
      <c r="M878" s="46"/>
      <c r="N878" s="46"/>
      <c r="O878" s="46"/>
      <c r="P878" s="46"/>
      <c r="Q878" s="46"/>
      <c r="R878" s="46"/>
      <c r="S878" s="46"/>
      <c r="T878" s="46"/>
      <c r="U878" s="46"/>
      <c r="V878" s="46"/>
      <c r="W878" s="46"/>
      <c r="X878" s="46"/>
      <c r="Y878" s="46"/>
      <c r="Z878" s="46" t="s">
        <v>2670</v>
      </c>
      <c r="AA878" s="61"/>
      <c r="AB878" s="62">
        <f>AC878/(H2dens*HoursInYear/10^6)</f>
        <v>397619.41408855369</v>
      </c>
      <c r="AC878" s="63">
        <v>310</v>
      </c>
      <c r="AD878" s="62"/>
      <c r="AE878" s="62">
        <f t="shared" si="106"/>
        <v>0</v>
      </c>
      <c r="AF878" s="64" t="s">
        <v>2671</v>
      </c>
      <c r="AG878" s="49">
        <v>0.9</v>
      </c>
    </row>
    <row r="879" spans="1:33" ht="34.5" customHeight="1" x14ac:dyDescent="0.3">
      <c r="A879" s="46">
        <v>1294</v>
      </c>
      <c r="B879" s="46" t="s">
        <v>2672</v>
      </c>
      <c r="C879" s="46" t="s">
        <v>46</v>
      </c>
      <c r="D879" s="60">
        <v>2023</v>
      </c>
      <c r="E879" s="60"/>
      <c r="F879" s="46" t="s">
        <v>675</v>
      </c>
      <c r="G879" s="46" t="s">
        <v>3</v>
      </c>
      <c r="H879" s="46"/>
      <c r="I879" s="46" t="s">
        <v>169</v>
      </c>
      <c r="J879" s="46" t="s">
        <v>69</v>
      </c>
      <c r="K879" s="46" t="s">
        <v>68</v>
      </c>
      <c r="L879" s="46"/>
      <c r="M879" s="46"/>
      <c r="N879" s="46"/>
      <c r="O879" s="46"/>
      <c r="P879" s="46"/>
      <c r="Q879" s="46"/>
      <c r="R879" s="46"/>
      <c r="S879" s="46"/>
      <c r="T879" s="46"/>
      <c r="U879" s="46"/>
      <c r="V879" s="46"/>
      <c r="W879" s="46"/>
      <c r="X879" s="46"/>
      <c r="Y879" s="46"/>
      <c r="Z879" s="46" t="s">
        <v>2286</v>
      </c>
      <c r="AA879" s="61">
        <v>0.9</v>
      </c>
      <c r="AB879" s="62">
        <f>IF(OR(G879="ALK",G879="PEM",G879="SOEC",G879="Other Electrolysis"),
AA879/VLOOKUP(G879,ElectrolysisConvF,3,FALSE),
AC879*10^6/(H2dens*HoursInYear))</f>
        <v>195.6521739130435</v>
      </c>
      <c r="AC879" s="63">
        <f>AB879*H2dens*HoursInYear/10^6</f>
        <v>0.15253826086956521</v>
      </c>
      <c r="AD879" s="62"/>
      <c r="AE879" s="62">
        <f t="shared" si="106"/>
        <v>195.6521739130435</v>
      </c>
      <c r="AF879" s="64" t="s">
        <v>2673</v>
      </c>
      <c r="AG879" s="49">
        <v>0.5</v>
      </c>
    </row>
    <row r="880" spans="1:33" ht="34.5" customHeight="1" x14ac:dyDescent="0.3">
      <c r="A880" s="46">
        <v>1295</v>
      </c>
      <c r="B880" s="46" t="s">
        <v>2674</v>
      </c>
      <c r="C880" s="46" t="s">
        <v>318</v>
      </c>
      <c r="D880" s="60">
        <v>2024</v>
      </c>
      <c r="E880" s="60"/>
      <c r="F880" s="46" t="s">
        <v>675</v>
      </c>
      <c r="G880" s="46" t="s">
        <v>1</v>
      </c>
      <c r="H880" s="46"/>
      <c r="I880" s="46" t="s">
        <v>169</v>
      </c>
      <c r="J880" s="46" t="s">
        <v>244</v>
      </c>
      <c r="K880" s="46" t="s">
        <v>68</v>
      </c>
      <c r="L880" s="46"/>
      <c r="M880" s="46"/>
      <c r="N880" s="46"/>
      <c r="O880" s="46"/>
      <c r="P880" s="46">
        <v>1</v>
      </c>
      <c r="Q880" s="46"/>
      <c r="R880" s="46"/>
      <c r="S880" s="46">
        <v>1</v>
      </c>
      <c r="T880" s="46"/>
      <c r="U880" s="46"/>
      <c r="V880" s="46"/>
      <c r="W880" s="46"/>
      <c r="X880" s="46"/>
      <c r="Y880" s="46"/>
      <c r="Z880" s="46" t="s">
        <v>2675</v>
      </c>
      <c r="AA880" s="61">
        <v>4.3</v>
      </c>
      <c r="AB880" s="62">
        <f>IF(OR(G880="ALK",G880="PEM",G880="SOEC",G880="Other Electrolysis"),
AA880/VLOOKUP(G880,ElectrolysisConvF,3,FALSE),
AC880*10^6/(H2dens*HoursInYear))</f>
        <v>826.92307692307691</v>
      </c>
      <c r="AC880" s="63">
        <f>AB880*H2dens*HoursInYear/10^6</f>
        <v>0.64470230769230763</v>
      </c>
      <c r="AD880" s="62"/>
      <c r="AE880" s="62">
        <f t="shared" si="106"/>
        <v>826.92307692307691</v>
      </c>
      <c r="AF880" s="64" t="s">
        <v>2676</v>
      </c>
      <c r="AG880" s="49">
        <v>0.3</v>
      </c>
    </row>
    <row r="881" spans="1:35" ht="34.5" customHeight="1" x14ac:dyDescent="0.3">
      <c r="A881" s="46">
        <v>1296</v>
      </c>
      <c r="B881" s="46" t="s">
        <v>2677</v>
      </c>
      <c r="C881" s="64" t="s">
        <v>40</v>
      </c>
      <c r="D881" s="60"/>
      <c r="E881" s="60"/>
      <c r="F881" s="46" t="s">
        <v>675</v>
      </c>
      <c r="G881" s="46" t="s">
        <v>3</v>
      </c>
      <c r="H881" s="46"/>
      <c r="I881" s="46" t="s">
        <v>707</v>
      </c>
      <c r="J881" s="46"/>
      <c r="K881" s="46" t="s">
        <v>68</v>
      </c>
      <c r="L881" s="46"/>
      <c r="M881" s="46"/>
      <c r="N881" s="46"/>
      <c r="O881" s="46"/>
      <c r="P881" s="46"/>
      <c r="Q881" s="46">
        <v>1</v>
      </c>
      <c r="R881" s="46"/>
      <c r="S881" s="46"/>
      <c r="T881" s="46"/>
      <c r="U881" s="46"/>
      <c r="V881" s="46"/>
      <c r="W881" s="46"/>
      <c r="X881" s="46"/>
      <c r="Y881" s="46"/>
      <c r="Z881" s="46" t="s">
        <v>2678</v>
      </c>
      <c r="AA881" s="61">
        <v>85</v>
      </c>
      <c r="AB881" s="62">
        <f>AA881/0.0046</f>
        <v>18478.260869565216</v>
      </c>
      <c r="AC881" s="63">
        <f>AB881*H2dens*HoursInYear/10^6</f>
        <v>14.406391304347826</v>
      </c>
      <c r="AD881" s="62"/>
      <c r="AE881" s="62">
        <f>AB881</f>
        <v>18478.260869565216</v>
      </c>
      <c r="AF881" s="64" t="s">
        <v>2679</v>
      </c>
      <c r="AG881" s="49">
        <v>0.56999999999999995</v>
      </c>
    </row>
    <row r="882" spans="1:35" ht="34.5" customHeight="1" x14ac:dyDescent="0.3">
      <c r="A882" s="46">
        <v>1297</v>
      </c>
      <c r="B882" s="46" t="s">
        <v>2680</v>
      </c>
      <c r="C882" s="46" t="s">
        <v>321</v>
      </c>
      <c r="D882" s="60">
        <v>2025</v>
      </c>
      <c r="E882" s="60"/>
      <c r="F882" s="46" t="s">
        <v>225</v>
      </c>
      <c r="G882" s="46" t="s">
        <v>163</v>
      </c>
      <c r="H882" s="46" t="s">
        <v>2289</v>
      </c>
      <c r="I882" s="46"/>
      <c r="J882" s="46"/>
      <c r="K882" s="46" t="s">
        <v>68</v>
      </c>
      <c r="L882" s="46"/>
      <c r="M882" s="46"/>
      <c r="N882" s="46"/>
      <c r="O882" s="46"/>
      <c r="P882" s="46">
        <v>1</v>
      </c>
      <c r="Q882" s="46">
        <v>1</v>
      </c>
      <c r="R882" s="46"/>
      <c r="S882" s="46"/>
      <c r="T882" s="46"/>
      <c r="U882" s="46"/>
      <c r="V882" s="46"/>
      <c r="W882" s="46"/>
      <c r="X882" s="46"/>
      <c r="Y882" s="46"/>
      <c r="Z882" s="46" t="s">
        <v>2681</v>
      </c>
      <c r="AA882" s="61"/>
      <c r="AB882" s="62">
        <f>AC882/(H2dens*HoursInYear/10^6)</f>
        <v>2052.2292340054387</v>
      </c>
      <c r="AC882" s="63">
        <v>1.6</v>
      </c>
      <c r="AD882" s="62"/>
      <c r="AE882" s="62">
        <f>IF(AND(G882&lt;&gt;"NG w CCUS",G882&lt;&gt;"Oil w CCUS",G882&lt;&gt;"Coal w CCUS"),AB882,AD882*10^3/(HoursInYear*IF(G882="NG w CCUS",0.9105,1.9075)))</f>
        <v>2052.2292340054387</v>
      </c>
      <c r="AF882" s="77" t="s">
        <v>2682</v>
      </c>
      <c r="AG882" s="49">
        <v>0.9</v>
      </c>
    </row>
    <row r="883" spans="1:35" ht="34.5" customHeight="1" x14ac:dyDescent="0.3">
      <c r="A883" s="46">
        <v>1299</v>
      </c>
      <c r="B883" s="46" t="s">
        <v>2683</v>
      </c>
      <c r="C883" s="46" t="s">
        <v>45</v>
      </c>
      <c r="D883" s="60">
        <v>2025</v>
      </c>
      <c r="E883" s="60"/>
      <c r="F883" s="46" t="s">
        <v>225</v>
      </c>
      <c r="G883" s="46" t="s">
        <v>159</v>
      </c>
      <c r="H883" s="46" t="s">
        <v>592</v>
      </c>
      <c r="I883" s="46" t="s">
        <v>157</v>
      </c>
      <c r="J883" s="46"/>
      <c r="K883" s="46" t="s">
        <v>68</v>
      </c>
      <c r="L883" s="46"/>
      <c r="M883" s="46"/>
      <c r="N883" s="46"/>
      <c r="O883" s="46"/>
      <c r="P883" s="46">
        <v>1</v>
      </c>
      <c r="Q883" s="46">
        <v>1</v>
      </c>
      <c r="R883" s="46"/>
      <c r="S883" s="46"/>
      <c r="T883" s="46"/>
      <c r="U883" s="46"/>
      <c r="V883" s="46"/>
      <c r="W883" s="46"/>
      <c r="X883" s="46"/>
      <c r="Y883" s="46"/>
      <c r="Z883" s="46" t="s">
        <v>1850</v>
      </c>
      <c r="AA883" s="61">
        <v>6</v>
      </c>
      <c r="AB883" s="62">
        <f>IF(OR(G883="ALK",G883="PEM",G883="SOEC",G883="Other Electrolysis"),
AA883/VLOOKUP(G883,ElectrolysisConvF,3,FALSE),
AC883*10^6/(H2dens*HoursInYear))</f>
        <v>1333.3333333333335</v>
      </c>
      <c r="AC883" s="63">
        <f>AB883*H2dens*HoursInYear/10^6</f>
        <v>1.03952</v>
      </c>
      <c r="AD883" s="62"/>
      <c r="AE883" s="62">
        <f t="shared" ref="AE883:AE905" si="107">IF(AND(G883&lt;&gt;"NG w CCUS",G883&lt;&gt;"Oil w CCUS",G883&lt;&gt;"Coal w CCUS"),AB883,AD883*10^3/(HoursInYear*IF(G883="NG w CCUS",0.9105,1.9075)))</f>
        <v>1333.3333333333335</v>
      </c>
      <c r="AF883" s="77" t="s">
        <v>2684</v>
      </c>
      <c r="AG883" s="49">
        <v>0.56999999999999995</v>
      </c>
    </row>
    <row r="884" spans="1:35" ht="34.5" customHeight="1" x14ac:dyDescent="0.3">
      <c r="A884" s="46">
        <v>1300</v>
      </c>
      <c r="B884" s="46" t="s">
        <v>2685</v>
      </c>
      <c r="C884" s="46" t="s">
        <v>318</v>
      </c>
      <c r="D884" s="60">
        <v>2022</v>
      </c>
      <c r="E884" s="60"/>
      <c r="F884" s="46" t="s">
        <v>285</v>
      </c>
      <c r="G884" s="46" t="s">
        <v>1</v>
      </c>
      <c r="H884" s="46"/>
      <c r="I884" s="46" t="s">
        <v>169</v>
      </c>
      <c r="J884" s="46" t="s">
        <v>244</v>
      </c>
      <c r="K884" s="46" t="s">
        <v>68</v>
      </c>
      <c r="L884" s="46"/>
      <c r="M884" s="46"/>
      <c r="N884" s="46"/>
      <c r="O884" s="46"/>
      <c r="P884" s="46"/>
      <c r="Q884" s="46"/>
      <c r="R884" s="46"/>
      <c r="S884" s="46"/>
      <c r="T884" s="46"/>
      <c r="U884" s="46"/>
      <c r="V884" s="46"/>
      <c r="W884" s="46"/>
      <c r="X884" s="46"/>
      <c r="Y884" s="46"/>
      <c r="Z884" s="46" t="s">
        <v>2686</v>
      </c>
      <c r="AA884" s="61">
        <f>IF(OR(G884="ALK",G884="PEM",G884="SOEC",G884="Other Electrolysis"),
AB884*VLOOKUP(G884,ElectrolysisConvF,3,FALSE),
"")</f>
        <v>0.10004617515776512</v>
      </c>
      <c r="AB884" s="62">
        <f>AC884/(H2dens*HoursInYear/10^6)</f>
        <v>19.239649068800986</v>
      </c>
      <c r="AC884" s="63">
        <v>1.4999999999999999E-2</v>
      </c>
      <c r="AD884" s="62"/>
      <c r="AE884" s="62">
        <f t="shared" si="107"/>
        <v>19.239649068800986</v>
      </c>
      <c r="AF884" s="64" t="s">
        <v>2687</v>
      </c>
      <c r="AG884" s="49">
        <v>0.3</v>
      </c>
    </row>
    <row r="885" spans="1:35" ht="34.5" customHeight="1" x14ac:dyDescent="0.3">
      <c r="A885" s="46">
        <v>1301</v>
      </c>
      <c r="B885" s="46" t="s">
        <v>2688</v>
      </c>
      <c r="C885" s="46" t="s">
        <v>318</v>
      </c>
      <c r="D885" s="60">
        <v>2023</v>
      </c>
      <c r="E885" s="60"/>
      <c r="F885" s="46" t="s">
        <v>675</v>
      </c>
      <c r="G885" s="46" t="s">
        <v>1</v>
      </c>
      <c r="H885" s="46"/>
      <c r="I885" s="46" t="s">
        <v>169</v>
      </c>
      <c r="J885" s="46" t="s">
        <v>244</v>
      </c>
      <c r="K885" s="46" t="s">
        <v>68</v>
      </c>
      <c r="L885" s="46"/>
      <c r="M885" s="46"/>
      <c r="N885" s="46"/>
      <c r="O885" s="46"/>
      <c r="P885" s="46"/>
      <c r="Q885" s="46"/>
      <c r="R885" s="46"/>
      <c r="S885" s="46">
        <v>1</v>
      </c>
      <c r="T885" s="46"/>
      <c r="U885" s="46"/>
      <c r="V885" s="46"/>
      <c r="W885" s="46"/>
      <c r="X885" s="46"/>
      <c r="Y885" s="46"/>
      <c r="Z885" s="46" t="s">
        <v>2689</v>
      </c>
      <c r="AA885" s="61">
        <f>IF(OR(G885="ALK",G885="PEM",G885="SOEC",G885="Other Electrolysis"),
AB885*VLOOKUP(G885,ElectrolysisConvF,3,FALSE),
"")</f>
        <v>0.30013852547329539</v>
      </c>
      <c r="AB885" s="62">
        <f>AC885/(H2dens*HoursInYear/10^6)</f>
        <v>57.718947206402959</v>
      </c>
      <c r="AC885" s="63">
        <v>4.4999999999999998E-2</v>
      </c>
      <c r="AD885" s="62"/>
      <c r="AE885" s="62">
        <f t="shared" si="107"/>
        <v>57.718947206402959</v>
      </c>
      <c r="AF885" s="64" t="s">
        <v>2690</v>
      </c>
      <c r="AG885" s="49">
        <v>0.3</v>
      </c>
    </row>
    <row r="886" spans="1:35" ht="34.5" customHeight="1" x14ac:dyDescent="0.3">
      <c r="A886" s="46">
        <v>1302</v>
      </c>
      <c r="B886" s="46" t="s">
        <v>2691</v>
      </c>
      <c r="C886" s="46" t="s">
        <v>318</v>
      </c>
      <c r="D886" s="60"/>
      <c r="E886" s="60"/>
      <c r="F886" s="46" t="s">
        <v>225</v>
      </c>
      <c r="G886" s="46" t="s">
        <v>1</v>
      </c>
      <c r="H886" s="46"/>
      <c r="I886" s="46" t="s">
        <v>169</v>
      </c>
      <c r="J886" s="46" t="s">
        <v>244</v>
      </c>
      <c r="K886" s="46" t="s">
        <v>68</v>
      </c>
      <c r="L886" s="46"/>
      <c r="M886" s="46"/>
      <c r="N886" s="46"/>
      <c r="O886" s="46"/>
      <c r="P886" s="46">
        <v>1</v>
      </c>
      <c r="Q886" s="46">
        <v>1</v>
      </c>
      <c r="R886" s="46"/>
      <c r="S886" s="46"/>
      <c r="T886" s="46"/>
      <c r="U886" s="46"/>
      <c r="V886" s="46"/>
      <c r="W886" s="46"/>
      <c r="X886" s="46"/>
      <c r="Y886" s="46"/>
      <c r="Z886" s="46" t="s">
        <v>2692</v>
      </c>
      <c r="AA886" s="61">
        <f>IF(OR(G886="ALK",G886="PEM",G886="SOEC",G886="Other Electrolysis"),
AB886*VLOOKUP(G886,ElectrolysisConvF,3,FALSE),
"")</f>
        <v>0.93376430147247458</v>
      </c>
      <c r="AB886" s="62">
        <f>AC886/(H2dens*HoursInYear/10^6)</f>
        <v>179.57005797547589</v>
      </c>
      <c r="AC886" s="63">
        <v>0.14000000000000001</v>
      </c>
      <c r="AD886" s="62"/>
      <c r="AE886" s="62">
        <f t="shared" si="107"/>
        <v>179.57005797547589</v>
      </c>
      <c r="AF886" s="64" t="s">
        <v>2693</v>
      </c>
      <c r="AG886" s="49">
        <v>0.3</v>
      </c>
    </row>
    <row r="887" spans="1:35" ht="34.5" customHeight="1" x14ac:dyDescent="0.3">
      <c r="A887" s="46">
        <v>1303</v>
      </c>
      <c r="B887" s="46" t="s">
        <v>2694</v>
      </c>
      <c r="C887" s="46" t="s">
        <v>318</v>
      </c>
      <c r="D887" s="60"/>
      <c r="E887" s="60"/>
      <c r="F887" s="46" t="s">
        <v>225</v>
      </c>
      <c r="G887" s="46" t="s">
        <v>1</v>
      </c>
      <c r="H887" s="46"/>
      <c r="I887" s="46" t="s">
        <v>169</v>
      </c>
      <c r="J887" s="46" t="s">
        <v>244</v>
      </c>
      <c r="K887" s="46" t="s">
        <v>68</v>
      </c>
      <c r="L887" s="46"/>
      <c r="M887" s="46"/>
      <c r="N887" s="46"/>
      <c r="O887" s="46"/>
      <c r="P887" s="46">
        <v>1</v>
      </c>
      <c r="Q887" s="46"/>
      <c r="R887" s="46"/>
      <c r="S887" s="46"/>
      <c r="T887" s="46"/>
      <c r="U887" s="46"/>
      <c r="V887" s="46"/>
      <c r="W887" s="46"/>
      <c r="X887" s="46"/>
      <c r="Y887" s="46"/>
      <c r="Z887" s="46" t="s">
        <v>2692</v>
      </c>
      <c r="AA887" s="61">
        <f>IF(OR(G887="ALK",G887="PEM",G887="SOEC",G887="Other Electrolysis"),
AB887*VLOOKUP(G887,ElectrolysisConvF,3,FALSE),
"")</f>
        <v>0.93376430147247458</v>
      </c>
      <c r="AB887" s="62">
        <f>AC887/(H2dens*HoursInYear/10^6)</f>
        <v>179.57005797547589</v>
      </c>
      <c r="AC887" s="63">
        <v>0.14000000000000001</v>
      </c>
      <c r="AD887" s="62"/>
      <c r="AE887" s="62">
        <f t="shared" si="107"/>
        <v>179.57005797547589</v>
      </c>
      <c r="AF887" s="64" t="s">
        <v>2693</v>
      </c>
      <c r="AG887" s="49">
        <v>0.3</v>
      </c>
    </row>
    <row r="888" spans="1:35" ht="34.5" customHeight="1" x14ac:dyDescent="0.3">
      <c r="A888" s="46">
        <v>1304</v>
      </c>
      <c r="B888" s="46" t="s">
        <v>2695</v>
      </c>
      <c r="C888" s="46" t="s">
        <v>318</v>
      </c>
      <c r="D888" s="60">
        <v>2026</v>
      </c>
      <c r="E888" s="60"/>
      <c r="F888" s="46" t="s">
        <v>225</v>
      </c>
      <c r="G888" s="46" t="s">
        <v>1</v>
      </c>
      <c r="H888" s="46"/>
      <c r="I888" s="46" t="s">
        <v>169</v>
      </c>
      <c r="J888" s="46" t="s">
        <v>244</v>
      </c>
      <c r="K888" s="46" t="s">
        <v>168</v>
      </c>
      <c r="L888" s="46"/>
      <c r="M888" s="46"/>
      <c r="N888" s="46"/>
      <c r="O888" s="46"/>
      <c r="P888" s="46"/>
      <c r="Q888" s="46"/>
      <c r="R888" s="46"/>
      <c r="S888" s="46">
        <v>1</v>
      </c>
      <c r="T888" s="46"/>
      <c r="U888" s="46"/>
      <c r="V888" s="46"/>
      <c r="W888" s="46"/>
      <c r="X888" s="46"/>
      <c r="Y888" s="46"/>
      <c r="Z888" s="46" t="s">
        <v>2696</v>
      </c>
      <c r="AA888" s="61">
        <v>91</v>
      </c>
      <c r="AB888" s="62">
        <f>IF(OR(G888="ALK",G888="PEM",G888="SOEC",G888="Other Electrolysis"),
AA888/VLOOKUP(G888,ElectrolysisConvF,3,FALSE),
AC888*10^6/(H2dens*HoursInYear))</f>
        <v>17500</v>
      </c>
      <c r="AC888" s="63">
        <f>AB888*H2dens*HoursInYear/10^6</f>
        <v>13.643700000000001</v>
      </c>
      <c r="AD888" s="62"/>
      <c r="AE888" s="62">
        <f t="shared" si="107"/>
        <v>17500</v>
      </c>
      <c r="AF888" s="64" t="s">
        <v>2693</v>
      </c>
      <c r="AG888" s="49">
        <v>0.3</v>
      </c>
    </row>
    <row r="889" spans="1:35" ht="34.5" customHeight="1" x14ac:dyDescent="0.3">
      <c r="A889" s="46">
        <v>1305</v>
      </c>
      <c r="B889" s="46" t="s">
        <v>2697</v>
      </c>
      <c r="C889" s="46" t="s">
        <v>135</v>
      </c>
      <c r="D889" s="60">
        <v>2026</v>
      </c>
      <c r="E889" s="60"/>
      <c r="F889" s="46" t="s">
        <v>225</v>
      </c>
      <c r="G889" s="46" t="s">
        <v>1</v>
      </c>
      <c r="H889" s="46"/>
      <c r="I889" s="46" t="s">
        <v>169</v>
      </c>
      <c r="J889" s="46" t="s">
        <v>244</v>
      </c>
      <c r="K889" s="46" t="s">
        <v>141</v>
      </c>
      <c r="L889" s="46"/>
      <c r="M889" s="46">
        <v>1</v>
      </c>
      <c r="N889" s="46"/>
      <c r="O889" s="46"/>
      <c r="P889" s="46"/>
      <c r="Q889" s="46"/>
      <c r="R889" s="46"/>
      <c r="S889" s="46"/>
      <c r="T889" s="46"/>
      <c r="U889" s="46"/>
      <c r="V889" s="46"/>
      <c r="W889" s="46"/>
      <c r="X889" s="46"/>
      <c r="Y889" s="46"/>
      <c r="Z889" s="46" t="s">
        <v>2698</v>
      </c>
      <c r="AA889" s="61">
        <f>IF(OR(G889="ALK",G889="PEM",G889="SOEC",G889="Other Electrolysis"),
AB889*VLOOKUP(G889,ElectrolysisConvF,3,FALSE),
"")</f>
        <v>689.20698442015976</v>
      </c>
      <c r="AB889" s="62">
        <f>AC889/(H2dens*HoursInYear/10^6)</f>
        <v>132539.80469618458</v>
      </c>
      <c r="AC889" s="63">
        <f>31/H2ProjectDB4578610[[#This Row],[Column33]]</f>
        <v>103.33333333333334</v>
      </c>
      <c r="AD889" s="62"/>
      <c r="AE889" s="62">
        <f t="shared" si="107"/>
        <v>132539.80469618458</v>
      </c>
      <c r="AF889" s="64" t="s">
        <v>2699</v>
      </c>
      <c r="AG889" s="49">
        <v>0.3</v>
      </c>
    </row>
    <row r="890" spans="1:35" ht="34.5" customHeight="1" x14ac:dyDescent="0.3">
      <c r="A890" s="46">
        <v>1306</v>
      </c>
      <c r="B890" s="46" t="s">
        <v>2700</v>
      </c>
      <c r="C890" s="46" t="s">
        <v>321</v>
      </c>
      <c r="D890" s="60"/>
      <c r="E890" s="60"/>
      <c r="F890" s="46" t="s">
        <v>285</v>
      </c>
      <c r="G890" s="46" t="s">
        <v>159</v>
      </c>
      <c r="H890" s="46" t="s">
        <v>592</v>
      </c>
      <c r="I890" s="46" t="s">
        <v>169</v>
      </c>
      <c r="J890" s="46" t="s">
        <v>246</v>
      </c>
      <c r="K890" s="46" t="s">
        <v>68</v>
      </c>
      <c r="L890" s="46"/>
      <c r="M890" s="46"/>
      <c r="N890" s="46"/>
      <c r="O890" s="46"/>
      <c r="P890" s="46"/>
      <c r="Q890" s="46"/>
      <c r="R890" s="46"/>
      <c r="S890" s="46"/>
      <c r="T890" s="46"/>
      <c r="U890" s="46"/>
      <c r="V890" s="46"/>
      <c r="W890" s="46"/>
      <c r="X890" s="46"/>
      <c r="Y890" s="46"/>
      <c r="Z890" s="46"/>
      <c r="AA890" s="61"/>
      <c r="AB890" s="62"/>
      <c r="AC890" s="63"/>
      <c r="AD890" s="62"/>
      <c r="AE890" s="62">
        <f t="shared" si="107"/>
        <v>0</v>
      </c>
      <c r="AF890" s="64" t="s">
        <v>2701</v>
      </c>
      <c r="AG890" s="49">
        <v>0.55000000000000004</v>
      </c>
    </row>
    <row r="891" spans="1:35" ht="34.5" customHeight="1" x14ac:dyDescent="0.3">
      <c r="A891" s="46">
        <v>1307</v>
      </c>
      <c r="B891" s="46" t="s">
        <v>2702</v>
      </c>
      <c r="C891" s="46" t="s">
        <v>47</v>
      </c>
      <c r="D891" s="60"/>
      <c r="E891" s="60"/>
      <c r="F891" s="46" t="s">
        <v>591</v>
      </c>
      <c r="G891" s="46" t="s">
        <v>159</v>
      </c>
      <c r="H891" s="46" t="s">
        <v>592</v>
      </c>
      <c r="I891" s="46" t="s">
        <v>169</v>
      </c>
      <c r="J891" s="46" t="s">
        <v>244</v>
      </c>
      <c r="K891" s="46" t="s">
        <v>68</v>
      </c>
      <c r="L891" s="46"/>
      <c r="M891" s="46"/>
      <c r="N891" s="46"/>
      <c r="O891" s="46">
        <v>1</v>
      </c>
      <c r="P891" s="46"/>
      <c r="Q891" s="46"/>
      <c r="R891" s="46"/>
      <c r="S891" s="46"/>
      <c r="T891" s="46"/>
      <c r="U891" s="46"/>
      <c r="V891" s="46"/>
      <c r="W891" s="46"/>
      <c r="X891" s="46"/>
      <c r="Y891" s="46"/>
      <c r="Z891" s="46"/>
      <c r="AA891" s="61"/>
      <c r="AB891" s="62"/>
      <c r="AC891" s="63"/>
      <c r="AD891" s="62"/>
      <c r="AE891" s="62">
        <f t="shared" si="107"/>
        <v>0</v>
      </c>
      <c r="AF891" s="64" t="s">
        <v>2703</v>
      </c>
      <c r="AG891" s="49">
        <v>0.3</v>
      </c>
    </row>
    <row r="892" spans="1:35" ht="34.5" customHeight="1" x14ac:dyDescent="0.3">
      <c r="A892" s="46">
        <v>1308</v>
      </c>
      <c r="B892" s="46" t="s">
        <v>2704</v>
      </c>
      <c r="C892" s="46" t="s">
        <v>46</v>
      </c>
      <c r="D892" s="60"/>
      <c r="E892" s="60"/>
      <c r="F892" s="46" t="s">
        <v>591</v>
      </c>
      <c r="G892" s="46" t="s">
        <v>159</v>
      </c>
      <c r="H892" s="46" t="s">
        <v>592</v>
      </c>
      <c r="I892" s="46" t="s">
        <v>169</v>
      </c>
      <c r="J892" s="46" t="s">
        <v>246</v>
      </c>
      <c r="K892" s="46" t="s">
        <v>68</v>
      </c>
      <c r="L892" s="46"/>
      <c r="M892" s="46"/>
      <c r="N892" s="46"/>
      <c r="O892" s="46"/>
      <c r="P892" s="46"/>
      <c r="Q892" s="46"/>
      <c r="R892" s="46"/>
      <c r="S892" s="46"/>
      <c r="T892" s="46"/>
      <c r="U892" s="46"/>
      <c r="V892" s="46"/>
      <c r="W892" s="46"/>
      <c r="X892" s="46"/>
      <c r="Y892" s="46"/>
      <c r="Z892" s="46" t="s">
        <v>1168</v>
      </c>
      <c r="AA892" s="61">
        <v>10</v>
      </c>
      <c r="AB892" s="62">
        <f>IF(OR(G892="ALK",G892="PEM",G892="SOEC",G892="Other Electrolysis"),
AA892/VLOOKUP(G892,ElectrolysisConvF,3,FALSE),
AC892*10^6/(H2dens*HoursInYear))</f>
        <v>2222.2222222222222</v>
      </c>
      <c r="AC892" s="63">
        <f>AB892*H2dens*HoursInYear/10^6</f>
        <v>1.7325333333333333</v>
      </c>
      <c r="AD892" s="62"/>
      <c r="AE892" s="62">
        <f t="shared" si="107"/>
        <v>2222.2222222222222</v>
      </c>
      <c r="AF892" s="64" t="s">
        <v>2705</v>
      </c>
      <c r="AG892" s="49">
        <v>0.55000000000000004</v>
      </c>
    </row>
    <row r="893" spans="1:35" ht="34.5" customHeight="1" x14ac:dyDescent="0.3">
      <c r="A893" s="46">
        <v>1309</v>
      </c>
      <c r="B893" s="46" t="s">
        <v>2706</v>
      </c>
      <c r="C893" s="46" t="s">
        <v>83</v>
      </c>
      <c r="D893" s="60"/>
      <c r="E893" s="60"/>
      <c r="F893" s="46" t="s">
        <v>591</v>
      </c>
      <c r="G893" s="46" t="s">
        <v>159</v>
      </c>
      <c r="H893" s="46" t="s">
        <v>592</v>
      </c>
      <c r="I893" s="46" t="s">
        <v>169</v>
      </c>
      <c r="J893" s="46" t="s">
        <v>248</v>
      </c>
      <c r="K893" s="46" t="s">
        <v>68</v>
      </c>
      <c r="L893" s="46"/>
      <c r="M893" s="46"/>
      <c r="N893" s="46"/>
      <c r="O893" s="46"/>
      <c r="P893" s="46"/>
      <c r="Q893" s="46"/>
      <c r="R893" s="46"/>
      <c r="S893" s="46"/>
      <c r="T893" s="46"/>
      <c r="U893" s="46"/>
      <c r="V893" s="46"/>
      <c r="W893" s="46"/>
      <c r="X893" s="46"/>
      <c r="Y893" s="46"/>
      <c r="Z893" s="46" t="s">
        <v>1257</v>
      </c>
      <c r="AA893" s="61">
        <v>100</v>
      </c>
      <c r="AB893" s="62">
        <f>IF(OR(G893="ALK",G893="PEM",G893="SOEC",G893="Other Electrolysis"),
AA893/VLOOKUP(G893,ElectrolysisConvF,3,FALSE),
AC893*10^6/(H2dens*HoursInYear))</f>
        <v>22222.222222222223</v>
      </c>
      <c r="AC893" s="63">
        <f>AB893*H2dens*HoursInYear/10^6</f>
        <v>17.325333333333333</v>
      </c>
      <c r="AD893" s="62"/>
      <c r="AE893" s="62">
        <f t="shared" si="107"/>
        <v>22222.222222222223</v>
      </c>
      <c r="AF893" s="64" t="s">
        <v>2707</v>
      </c>
      <c r="AG893" s="49">
        <v>0.5</v>
      </c>
    </row>
    <row r="894" spans="1:35" ht="34.5" customHeight="1" x14ac:dyDescent="0.3">
      <c r="A894" s="46">
        <v>1311</v>
      </c>
      <c r="B894" s="46" t="s">
        <v>2708</v>
      </c>
      <c r="C894" s="46" t="s">
        <v>42</v>
      </c>
      <c r="D894" s="60">
        <v>2021</v>
      </c>
      <c r="E894" s="60"/>
      <c r="F894" s="46" t="s">
        <v>226</v>
      </c>
      <c r="G894" s="46" t="s">
        <v>163</v>
      </c>
      <c r="H894" s="46" t="s">
        <v>2289</v>
      </c>
      <c r="I894" s="46"/>
      <c r="J894" s="46"/>
      <c r="K894" s="46" t="s">
        <v>68</v>
      </c>
      <c r="L894" s="46"/>
      <c r="M894" s="46"/>
      <c r="N894" s="46"/>
      <c r="O894" s="46"/>
      <c r="P894" s="46"/>
      <c r="Q894" s="46">
        <v>1</v>
      </c>
      <c r="R894" s="46"/>
      <c r="S894" s="46"/>
      <c r="T894" s="46"/>
      <c r="U894" s="46"/>
      <c r="V894" s="46"/>
      <c r="W894" s="46"/>
      <c r="X894" s="46"/>
      <c r="Y894" s="46"/>
      <c r="Z894" s="46" t="s">
        <v>2709</v>
      </c>
      <c r="AA894" s="61" t="str">
        <f>IF(OR(G894="ALK",G894="PEM",G894="SOEC",G894="Other Electrolysis"),
AB894*VLOOKUP(G894,ElectrolysisConvF,3,FALSE),
"")</f>
        <v/>
      </c>
      <c r="AB894" s="62">
        <f>AC894/(H2dens*HoursInYear/10^6)</f>
        <v>21.067415730337078</v>
      </c>
      <c r="AC894" s="63">
        <f>45*365/10^6</f>
        <v>1.6424999999999999E-2</v>
      </c>
      <c r="AD894" s="62"/>
      <c r="AE894" s="62">
        <f t="shared" si="107"/>
        <v>21.067415730337078</v>
      </c>
      <c r="AF894" s="64" t="s">
        <v>2710</v>
      </c>
      <c r="AG894" s="49">
        <v>0.9</v>
      </c>
    </row>
    <row r="895" spans="1:35" ht="34.5" customHeight="1" x14ac:dyDescent="0.3">
      <c r="A895" s="53">
        <v>1312</v>
      </c>
      <c r="B895" s="53" t="s">
        <v>2711</v>
      </c>
      <c r="C895" s="53" t="s">
        <v>41</v>
      </c>
      <c r="D895" s="54">
        <v>2023</v>
      </c>
      <c r="E895" s="54"/>
      <c r="F895" s="53" t="s">
        <v>675</v>
      </c>
      <c r="G895" s="53" t="s">
        <v>159</v>
      </c>
      <c r="H895" s="53" t="s">
        <v>592</v>
      </c>
      <c r="I895" s="53" t="s">
        <v>169</v>
      </c>
      <c r="J895" s="53" t="s">
        <v>248</v>
      </c>
      <c r="K895" s="53" t="s">
        <v>68</v>
      </c>
      <c r="L895" s="53"/>
      <c r="M895" s="53"/>
      <c r="N895" s="53"/>
      <c r="O895" s="53"/>
      <c r="P895" s="53"/>
      <c r="Q895" s="53">
        <v>1</v>
      </c>
      <c r="R895" s="53"/>
      <c r="S895" s="53"/>
      <c r="T895" s="53"/>
      <c r="U895" s="53"/>
      <c r="V895" s="53"/>
      <c r="W895" s="53"/>
      <c r="X895" s="53"/>
      <c r="Y895" s="53"/>
      <c r="Z895" s="53" t="s">
        <v>2712</v>
      </c>
      <c r="AA895" s="55"/>
      <c r="AB895" s="56"/>
      <c r="AC895" s="57"/>
      <c r="AD895" s="56"/>
      <c r="AE895" s="56">
        <f t="shared" si="107"/>
        <v>0</v>
      </c>
      <c r="AF895" s="58" t="s">
        <v>2713</v>
      </c>
      <c r="AG895" s="49">
        <v>0.5</v>
      </c>
    </row>
    <row r="896" spans="1:35" s="59" customFormat="1" ht="34.5" customHeight="1" x14ac:dyDescent="0.3">
      <c r="A896" s="46">
        <v>1314</v>
      </c>
      <c r="B896" s="46" t="s">
        <v>2714</v>
      </c>
      <c r="C896" s="46" t="s">
        <v>35</v>
      </c>
      <c r="D896" s="60">
        <v>2022</v>
      </c>
      <c r="E896" s="60"/>
      <c r="F896" s="46" t="s">
        <v>226</v>
      </c>
      <c r="G896" s="46" t="s">
        <v>3</v>
      </c>
      <c r="H896" s="46"/>
      <c r="I896" s="46" t="s">
        <v>169</v>
      </c>
      <c r="J896" s="46" t="s">
        <v>69</v>
      </c>
      <c r="K896" s="46" t="s">
        <v>68</v>
      </c>
      <c r="L896" s="46"/>
      <c r="M896" s="46"/>
      <c r="N896" s="46"/>
      <c r="O896" s="46"/>
      <c r="P896" s="46"/>
      <c r="Q896" s="46"/>
      <c r="R896" s="46"/>
      <c r="S896" s="46"/>
      <c r="T896" s="46"/>
      <c r="U896" s="46"/>
      <c r="V896" s="46"/>
      <c r="W896" s="46"/>
      <c r="X896" s="46"/>
      <c r="Y896" s="46"/>
      <c r="Z896" s="46" t="s">
        <v>2715</v>
      </c>
      <c r="AA896" s="61">
        <v>5.5</v>
      </c>
      <c r="AB896" s="62">
        <f>IF(OR(G896="ALK",G896="PEM",G896="SOEC",G896="Other Electrolysis"),
AA896/VLOOKUP(G896,ElectrolysisConvF,3,FALSE),
AC896*10^6/(H2dens*HoursInYear))</f>
        <v>1195.6521739130435</v>
      </c>
      <c r="AC896" s="63">
        <f>AB896*H2dens*HoursInYear/10^6</f>
        <v>0.93217826086956523</v>
      </c>
      <c r="AD896" s="62"/>
      <c r="AE896" s="62">
        <f t="shared" si="107"/>
        <v>1195.6521739130435</v>
      </c>
      <c r="AF896" s="64" t="s">
        <v>2716</v>
      </c>
      <c r="AG896" s="49">
        <v>0.5</v>
      </c>
      <c r="AH896"/>
      <c r="AI896"/>
    </row>
    <row r="897" spans="1:33" ht="34.5" customHeight="1" x14ac:dyDescent="0.3">
      <c r="A897" s="46">
        <v>1315</v>
      </c>
      <c r="B897" s="46" t="s">
        <v>2717</v>
      </c>
      <c r="C897" s="46" t="s">
        <v>49</v>
      </c>
      <c r="D897" s="60">
        <v>2025</v>
      </c>
      <c r="E897" s="60"/>
      <c r="F897" s="46" t="s">
        <v>225</v>
      </c>
      <c r="G897" s="46" t="s">
        <v>1</v>
      </c>
      <c r="H897" s="46"/>
      <c r="I897" s="46" t="s">
        <v>169</v>
      </c>
      <c r="J897" s="46" t="s">
        <v>246</v>
      </c>
      <c r="K897" s="46" t="s">
        <v>68</v>
      </c>
      <c r="L897" s="46"/>
      <c r="M897" s="46"/>
      <c r="N897" s="46"/>
      <c r="O897" s="46"/>
      <c r="P897" s="46">
        <v>1</v>
      </c>
      <c r="Q897" s="46">
        <v>1</v>
      </c>
      <c r="R897" s="46"/>
      <c r="S897" s="46"/>
      <c r="T897" s="46"/>
      <c r="U897" s="46"/>
      <c r="V897" s="46"/>
      <c r="W897" s="46"/>
      <c r="X897" s="46"/>
      <c r="Y897" s="46"/>
      <c r="Z897" s="46" t="s">
        <v>672</v>
      </c>
      <c r="AA897" s="61">
        <v>1000</v>
      </c>
      <c r="AB897" s="62">
        <f>IF(OR(G897="ALK",G897="PEM",G897="SOEC",G897="Other Electrolysis"),
AA897/VLOOKUP(G897,ElectrolysisConvF,3,FALSE),
AC897*10^6/(H2dens*HoursInYear))</f>
        <v>192307.69230769231</v>
      </c>
      <c r="AC897" s="63">
        <f>AB897*H2dens*HoursInYear/10^6</f>
        <v>149.93076923076922</v>
      </c>
      <c r="AD897" s="62"/>
      <c r="AE897" s="62">
        <f t="shared" si="107"/>
        <v>192307.69230769231</v>
      </c>
      <c r="AF897" s="64" t="s">
        <v>2718</v>
      </c>
      <c r="AG897" s="49">
        <v>0.55000000000000004</v>
      </c>
    </row>
    <row r="898" spans="1:33" ht="34.5" customHeight="1" x14ac:dyDescent="0.3">
      <c r="A898" s="46">
        <v>1316</v>
      </c>
      <c r="B898" s="46" t="s">
        <v>2719</v>
      </c>
      <c r="C898" s="46" t="s">
        <v>41</v>
      </c>
      <c r="D898" s="60"/>
      <c r="E898" s="60"/>
      <c r="F898" s="46" t="s">
        <v>225</v>
      </c>
      <c r="G898" s="46" t="s">
        <v>159</v>
      </c>
      <c r="H898" s="46" t="s">
        <v>592</v>
      </c>
      <c r="I898" s="46" t="s">
        <v>169</v>
      </c>
      <c r="J898" s="46" t="s">
        <v>69</v>
      </c>
      <c r="K898" s="46" t="s">
        <v>68</v>
      </c>
      <c r="L898" s="46"/>
      <c r="M898" s="46"/>
      <c r="N898" s="46"/>
      <c r="O898" s="46">
        <v>1</v>
      </c>
      <c r="P898" s="46"/>
      <c r="Q898" s="46"/>
      <c r="R898" s="46"/>
      <c r="S898" s="46"/>
      <c r="T898" s="46"/>
      <c r="U898" s="46"/>
      <c r="V898" s="46"/>
      <c r="W898" s="46"/>
      <c r="X898" s="46"/>
      <c r="Y898" s="46"/>
      <c r="Z898" s="46" t="s">
        <v>2720</v>
      </c>
      <c r="AA898" s="61">
        <f>IF(OR(G898="ALK",G898="PEM",G898="SOEC",G898="Other Electrolysis"),
AB898*VLOOKUP(G898,ElectrolysisConvF,3,FALSE),
"")</f>
        <v>869.52439587501931</v>
      </c>
      <c r="AB898" s="62">
        <f>AC898/(H2dens*HoursInYear/10^6)</f>
        <v>193227.64352778209</v>
      </c>
      <c r="AC898" s="62">
        <f>1200*0.06277/H2ProjectDB4578610[[#This Row],[Column33]]</f>
        <v>150.64800000000002</v>
      </c>
      <c r="AD898" s="62"/>
      <c r="AE898" s="62">
        <f t="shared" si="107"/>
        <v>193227.64352778209</v>
      </c>
      <c r="AF898" s="64" t="s">
        <v>2721</v>
      </c>
      <c r="AG898" s="49">
        <v>0.5</v>
      </c>
    </row>
    <row r="899" spans="1:33" ht="34.5" customHeight="1" x14ac:dyDescent="0.3">
      <c r="A899" s="46">
        <v>1318</v>
      </c>
      <c r="B899" s="46" t="s">
        <v>2722</v>
      </c>
      <c r="C899" s="46" t="s">
        <v>37</v>
      </c>
      <c r="D899" s="60">
        <v>2027</v>
      </c>
      <c r="E899" s="60"/>
      <c r="F899" s="46" t="s">
        <v>591</v>
      </c>
      <c r="G899" s="46" t="s">
        <v>161</v>
      </c>
      <c r="H899" s="46" t="s">
        <v>1951</v>
      </c>
      <c r="I899" s="46"/>
      <c r="J899" s="46"/>
      <c r="K899" s="46" t="s">
        <v>168</v>
      </c>
      <c r="L899" s="46"/>
      <c r="M899" s="46"/>
      <c r="N899" s="46"/>
      <c r="O899" s="46"/>
      <c r="P899" s="46"/>
      <c r="Q899" s="46"/>
      <c r="R899" s="46"/>
      <c r="S899" s="46"/>
      <c r="T899" s="46"/>
      <c r="U899" s="46"/>
      <c r="V899" s="46"/>
      <c r="W899" s="46"/>
      <c r="X899" s="46"/>
      <c r="Y899" s="46"/>
      <c r="Z899" s="46" t="s">
        <v>2723</v>
      </c>
      <c r="AA899" s="61"/>
      <c r="AB899" s="62">
        <f>AC899/(H2dens*HoursInYear/10^6)</f>
        <v>230968.17609605024</v>
      </c>
      <c r="AC899" s="63">
        <f>1000*3/17/0.98</f>
        <v>180.0720288115246</v>
      </c>
      <c r="AD899" s="62"/>
      <c r="AE899" s="62">
        <f t="shared" si="107"/>
        <v>0</v>
      </c>
      <c r="AF899" s="64" t="s">
        <v>2724</v>
      </c>
      <c r="AG899" s="49">
        <v>0.9</v>
      </c>
    </row>
    <row r="900" spans="1:33" ht="34.5" customHeight="1" x14ac:dyDescent="0.3">
      <c r="A900" s="46">
        <v>1319</v>
      </c>
      <c r="B900" s="46" t="s">
        <v>2725</v>
      </c>
      <c r="C900" s="46" t="s">
        <v>46</v>
      </c>
      <c r="D900" s="60">
        <v>2028</v>
      </c>
      <c r="E900" s="60"/>
      <c r="F900" s="46" t="s">
        <v>225</v>
      </c>
      <c r="G900" s="46" t="s">
        <v>161</v>
      </c>
      <c r="H900" s="46" t="s">
        <v>1951</v>
      </c>
      <c r="I900" s="46"/>
      <c r="J900" s="46"/>
      <c r="K900" s="46" t="s">
        <v>68</v>
      </c>
      <c r="L900" s="46">
        <v>1</v>
      </c>
      <c r="M900" s="46"/>
      <c r="N900" s="46"/>
      <c r="O900" s="46"/>
      <c r="P900" s="46"/>
      <c r="Q900" s="46"/>
      <c r="R900" s="46"/>
      <c r="S900" s="46"/>
      <c r="T900" s="46"/>
      <c r="U900" s="46"/>
      <c r="V900" s="46"/>
      <c r="W900" s="46"/>
      <c r="X900" s="46"/>
      <c r="Y900" s="46"/>
      <c r="Z900" s="46" t="s">
        <v>2726</v>
      </c>
      <c r="AA900" s="61"/>
      <c r="AB900" s="62"/>
      <c r="AC900" s="63"/>
      <c r="AD900" s="62">
        <v>550000</v>
      </c>
      <c r="AE900" s="62">
        <f t="shared" si="107"/>
        <v>68957.043523178349</v>
      </c>
      <c r="AF900" s="64" t="s">
        <v>2727</v>
      </c>
      <c r="AG900" s="49">
        <v>0.9</v>
      </c>
    </row>
    <row r="901" spans="1:33" customFormat="1" ht="34.5" customHeight="1" x14ac:dyDescent="0.3">
      <c r="A901" s="46">
        <v>1320</v>
      </c>
      <c r="B901" s="46" t="s">
        <v>2728</v>
      </c>
      <c r="C901" s="46" t="s">
        <v>203</v>
      </c>
      <c r="D901" s="60">
        <v>2025</v>
      </c>
      <c r="E901" s="60"/>
      <c r="F901" s="46" t="s">
        <v>675</v>
      </c>
      <c r="G901" s="46" t="s">
        <v>159</v>
      </c>
      <c r="H901" s="46" t="s">
        <v>592</v>
      </c>
      <c r="I901" s="46" t="s">
        <v>169</v>
      </c>
      <c r="J901" s="46" t="s">
        <v>69</v>
      </c>
      <c r="K901" s="46" t="s">
        <v>68</v>
      </c>
      <c r="L901" s="46"/>
      <c r="M901" s="46"/>
      <c r="N901" s="46"/>
      <c r="O901" s="46">
        <v>1</v>
      </c>
      <c r="P901" s="46"/>
      <c r="Q901" s="46"/>
      <c r="R901" s="46"/>
      <c r="S901" s="46"/>
      <c r="T901" s="46"/>
      <c r="U901" s="46"/>
      <c r="V901" s="46"/>
      <c r="W901" s="46"/>
      <c r="X901" s="46"/>
      <c r="Y901" s="46"/>
      <c r="Z901" s="46" t="s">
        <v>1274</v>
      </c>
      <c r="AA901" s="61">
        <v>50</v>
      </c>
      <c r="AB901" s="62">
        <f>IF(OR(G901="ALK",G901="PEM",G901="SOEC",G901="Other Electrolysis"),
AA901/VLOOKUP(G901,ElectrolysisConvF,3,FALSE),
AC901*10^6/(H2dens*HoursInYear))</f>
        <v>11111.111111111111</v>
      </c>
      <c r="AC901" s="63">
        <f>AB901*H2dens*HoursInYear/10^6</f>
        <v>8.6626666666666665</v>
      </c>
      <c r="AD901" s="62"/>
      <c r="AE901" s="62">
        <f t="shared" si="107"/>
        <v>11111.111111111111</v>
      </c>
      <c r="AF901" s="64" t="s">
        <v>2729</v>
      </c>
      <c r="AG901" s="49">
        <v>0.5</v>
      </c>
    </row>
    <row r="902" spans="1:33" customFormat="1" ht="34.5" customHeight="1" x14ac:dyDescent="0.3">
      <c r="A902" s="46">
        <v>1321</v>
      </c>
      <c r="B902" s="46" t="s">
        <v>2730</v>
      </c>
      <c r="C902" s="46" t="s">
        <v>64</v>
      </c>
      <c r="D902" s="60">
        <v>2023</v>
      </c>
      <c r="E902" s="60"/>
      <c r="F902" s="46" t="s">
        <v>226</v>
      </c>
      <c r="G902" s="46" t="s">
        <v>159</v>
      </c>
      <c r="H902" s="46" t="s">
        <v>592</v>
      </c>
      <c r="I902" s="46" t="s">
        <v>169</v>
      </c>
      <c r="J902" s="46" t="s">
        <v>244</v>
      </c>
      <c r="K902" s="46" t="s">
        <v>68</v>
      </c>
      <c r="L902" s="46"/>
      <c r="M902" s="46"/>
      <c r="N902" s="46"/>
      <c r="O902" s="46"/>
      <c r="P902" s="46"/>
      <c r="Q902" s="46"/>
      <c r="R902" s="46"/>
      <c r="S902" s="46">
        <v>1</v>
      </c>
      <c r="T902" s="46"/>
      <c r="U902" s="46"/>
      <c r="V902" s="46"/>
      <c r="W902" s="46"/>
      <c r="X902" s="46"/>
      <c r="Y902" s="46"/>
      <c r="Z902" s="46" t="s">
        <v>2731</v>
      </c>
      <c r="AA902" s="61">
        <v>0.15</v>
      </c>
      <c r="AB902" s="62">
        <f>IF(OR(G902="ALK",G902="PEM",G902="SOEC",G902="Other Electrolysis"),
AA902/VLOOKUP(G902,ElectrolysisConvF,3,FALSE),
AC902*10^6/(H2dens*HoursInYear))</f>
        <v>33.333333333333336</v>
      </c>
      <c r="AC902" s="63">
        <f>AB902*H2dens*HoursInYear/10^6</f>
        <v>2.5988000000000001E-2</v>
      </c>
      <c r="AD902" s="62"/>
      <c r="AE902" s="62">
        <f t="shared" si="107"/>
        <v>33.333333333333336</v>
      </c>
      <c r="AF902" s="64" t="s">
        <v>2732</v>
      </c>
      <c r="AG902" s="49">
        <v>0.3</v>
      </c>
    </row>
    <row r="903" spans="1:33" customFormat="1" ht="34.5" customHeight="1" x14ac:dyDescent="0.3">
      <c r="A903" s="46">
        <v>1323</v>
      </c>
      <c r="B903" s="46" t="s">
        <v>2733</v>
      </c>
      <c r="C903" s="46" t="s">
        <v>50</v>
      </c>
      <c r="D903" s="60">
        <v>2024</v>
      </c>
      <c r="E903" s="60"/>
      <c r="F903" s="46" t="s">
        <v>225</v>
      </c>
      <c r="G903" s="46" t="s">
        <v>162</v>
      </c>
      <c r="H903" s="46" t="s">
        <v>1802</v>
      </c>
      <c r="I903" s="46"/>
      <c r="J903" s="46"/>
      <c r="K903" s="46" t="s">
        <v>68</v>
      </c>
      <c r="L903" s="46">
        <v>1</v>
      </c>
      <c r="M903" s="46"/>
      <c r="N903" s="46"/>
      <c r="O903" s="46"/>
      <c r="P903" s="46"/>
      <c r="Q903" s="46"/>
      <c r="R903" s="46"/>
      <c r="S903" s="46"/>
      <c r="T903" s="46"/>
      <c r="U903" s="46"/>
      <c r="V903" s="46"/>
      <c r="W903" s="46"/>
      <c r="X903" s="46"/>
      <c r="Y903" s="46"/>
      <c r="Z903" s="46" t="s">
        <v>2734</v>
      </c>
      <c r="AA903" s="61"/>
      <c r="AB903" s="62">
        <f>AC903/(0.089*24*365/10^6)</f>
        <v>1282643.2712533989</v>
      </c>
      <c r="AC903" s="63">
        <v>1000</v>
      </c>
      <c r="AD903" s="62">
        <v>1000000</v>
      </c>
      <c r="AE903" s="62">
        <f t="shared" si="107"/>
        <v>59845.478973290963</v>
      </c>
      <c r="AF903" s="64" t="s">
        <v>1803</v>
      </c>
      <c r="AG903" s="49">
        <v>0.9</v>
      </c>
    </row>
    <row r="904" spans="1:33" customFormat="1" ht="34.5" customHeight="1" x14ac:dyDescent="0.3">
      <c r="A904" s="46">
        <v>1325</v>
      </c>
      <c r="B904" s="46" t="s">
        <v>2735</v>
      </c>
      <c r="C904" s="46" t="s">
        <v>53</v>
      </c>
      <c r="D904" s="60">
        <v>2025</v>
      </c>
      <c r="E904" s="60"/>
      <c r="F904" s="46" t="s">
        <v>225</v>
      </c>
      <c r="G904" s="46" t="s">
        <v>159</v>
      </c>
      <c r="H904" s="46" t="s">
        <v>592</v>
      </c>
      <c r="I904" s="46" t="s">
        <v>169</v>
      </c>
      <c r="J904" s="46" t="s">
        <v>69</v>
      </c>
      <c r="K904" s="46" t="s">
        <v>141</v>
      </c>
      <c r="L904" s="46"/>
      <c r="M904" s="46">
        <v>1</v>
      </c>
      <c r="N904" s="46"/>
      <c r="O904" s="46"/>
      <c r="P904" s="46"/>
      <c r="Q904" s="46"/>
      <c r="R904" s="46"/>
      <c r="S904" s="46"/>
      <c r="T904" s="46"/>
      <c r="U904" s="46"/>
      <c r="V904" s="46"/>
      <c r="W904" s="46"/>
      <c r="X904" s="46"/>
      <c r="Y904" s="46"/>
      <c r="Z904" s="46" t="s">
        <v>1843</v>
      </c>
      <c r="AA904" s="61">
        <v>600</v>
      </c>
      <c r="AB904" s="62">
        <f t="shared" ref="AB904:AB909" si="108">IF(OR(G904="ALK",G904="PEM",G904="SOEC",G904="Other Electrolysis"),
AA904/VLOOKUP(G904,ElectrolysisConvF,3,FALSE),
AC904*10^6/(H2dens*HoursInYear))</f>
        <v>133333.33333333334</v>
      </c>
      <c r="AC904" s="63">
        <f>AB904*H2dens*HoursInYear/10^6</f>
        <v>103.952</v>
      </c>
      <c r="AD904" s="62"/>
      <c r="AE904" s="62">
        <f t="shared" si="107"/>
        <v>133333.33333333334</v>
      </c>
      <c r="AF904" s="64" t="s">
        <v>2736</v>
      </c>
      <c r="AG904" s="49">
        <v>0.5</v>
      </c>
    </row>
    <row r="905" spans="1:33" customFormat="1" ht="34.5" customHeight="1" x14ac:dyDescent="0.3">
      <c r="A905" s="46">
        <v>1326</v>
      </c>
      <c r="B905" s="46" t="s">
        <v>2737</v>
      </c>
      <c r="C905" s="46" t="s">
        <v>34</v>
      </c>
      <c r="D905" s="60">
        <v>2030</v>
      </c>
      <c r="E905" s="60"/>
      <c r="F905" s="46" t="s">
        <v>591</v>
      </c>
      <c r="G905" s="46" t="s">
        <v>161</v>
      </c>
      <c r="H905" s="46" t="s">
        <v>2365</v>
      </c>
      <c r="I905" s="46"/>
      <c r="J905" s="46"/>
      <c r="K905" s="46" t="s">
        <v>68</v>
      </c>
      <c r="L905" s="46">
        <v>1</v>
      </c>
      <c r="M905" s="46"/>
      <c r="N905" s="46"/>
      <c r="O905" s="46"/>
      <c r="P905" s="46"/>
      <c r="Q905" s="46"/>
      <c r="R905" s="46"/>
      <c r="S905" s="46"/>
      <c r="T905" s="46"/>
      <c r="U905" s="46"/>
      <c r="V905" s="46"/>
      <c r="W905" s="46"/>
      <c r="X905" s="46"/>
      <c r="Y905" s="46"/>
      <c r="Z905" s="46" t="s">
        <v>2738</v>
      </c>
      <c r="AA905" s="61"/>
      <c r="AB905" s="62">
        <f t="shared" si="108"/>
        <v>119382.02247191011</v>
      </c>
      <c r="AC905" s="63">
        <f>0.255*365</f>
        <v>93.075000000000003</v>
      </c>
      <c r="AD905" s="62">
        <v>650000</v>
      </c>
      <c r="AE905" s="62">
        <f t="shared" si="107"/>
        <v>81494.687800119864</v>
      </c>
      <c r="AF905" s="64" t="s">
        <v>2739</v>
      </c>
      <c r="AG905" s="49">
        <v>0.9</v>
      </c>
    </row>
    <row r="906" spans="1:33" customFormat="1" ht="34.5" customHeight="1" x14ac:dyDescent="0.3">
      <c r="A906" s="46">
        <v>1328</v>
      </c>
      <c r="B906" s="46" t="s">
        <v>2740</v>
      </c>
      <c r="C906" s="46" t="s">
        <v>50</v>
      </c>
      <c r="D906" s="60">
        <v>2030</v>
      </c>
      <c r="E906" s="60"/>
      <c r="F906" s="46" t="s">
        <v>225</v>
      </c>
      <c r="G906" s="46" t="s">
        <v>159</v>
      </c>
      <c r="H906" s="46" t="s">
        <v>592</v>
      </c>
      <c r="I906" s="46" t="s">
        <v>169</v>
      </c>
      <c r="J906" s="46" t="s">
        <v>246</v>
      </c>
      <c r="K906" s="46" t="s">
        <v>68</v>
      </c>
      <c r="L906" s="46"/>
      <c r="M906" s="46"/>
      <c r="N906" s="46"/>
      <c r="O906" s="46"/>
      <c r="P906" s="46"/>
      <c r="Q906" s="46"/>
      <c r="R906" s="46"/>
      <c r="S906" s="46"/>
      <c r="T906" s="46"/>
      <c r="U906" s="46"/>
      <c r="V906" s="46"/>
      <c r="W906" s="46"/>
      <c r="X906" s="46"/>
      <c r="Y906" s="46"/>
      <c r="Z906" s="46" t="s">
        <v>1257</v>
      </c>
      <c r="AA906" s="61">
        <v>75</v>
      </c>
      <c r="AB906" s="62">
        <f t="shared" si="108"/>
        <v>16666.666666666668</v>
      </c>
      <c r="AC906" s="63">
        <f>AB906*H2dens*HoursInYear/10^6</f>
        <v>12.994</v>
      </c>
      <c r="AD906" s="62"/>
      <c r="AE906" s="62">
        <f>AB906</f>
        <v>16666.666666666668</v>
      </c>
      <c r="AF906" s="64" t="s">
        <v>2741</v>
      </c>
      <c r="AG906" s="49">
        <v>0.55000000000000004</v>
      </c>
    </row>
    <row r="907" spans="1:33" customFormat="1" ht="34.5" customHeight="1" x14ac:dyDescent="0.3">
      <c r="A907" s="46">
        <v>1329</v>
      </c>
      <c r="B907" s="46" t="s">
        <v>2742</v>
      </c>
      <c r="C907" s="46" t="s">
        <v>50</v>
      </c>
      <c r="D907" s="60">
        <v>2025</v>
      </c>
      <c r="E907" s="60"/>
      <c r="F907" s="46" t="s">
        <v>225</v>
      </c>
      <c r="G907" s="46" t="s">
        <v>159</v>
      </c>
      <c r="H907" s="46" t="s">
        <v>592</v>
      </c>
      <c r="I907" s="46" t="s">
        <v>169</v>
      </c>
      <c r="J907" s="46" t="s">
        <v>246</v>
      </c>
      <c r="K907" s="46" t="s">
        <v>68</v>
      </c>
      <c r="L907" s="46"/>
      <c r="M907" s="46"/>
      <c r="N907" s="46"/>
      <c r="O907" s="46"/>
      <c r="P907" s="46"/>
      <c r="Q907" s="46"/>
      <c r="R907" s="46"/>
      <c r="S907" s="46"/>
      <c r="T907" s="46"/>
      <c r="U907" s="46"/>
      <c r="V907" s="46"/>
      <c r="W907" s="46"/>
      <c r="X907" s="46"/>
      <c r="Y907" s="46"/>
      <c r="Z907" s="46" t="s">
        <v>1161</v>
      </c>
      <c r="AA907" s="61">
        <v>25</v>
      </c>
      <c r="AB907" s="62">
        <f t="shared" si="108"/>
        <v>5555.5555555555557</v>
      </c>
      <c r="AC907" s="63">
        <f>AB907*H2dens*HoursInYear/10^6</f>
        <v>4.3313333333333333</v>
      </c>
      <c r="AD907" s="62"/>
      <c r="AE907" s="62">
        <f>AB907</f>
        <v>5555.5555555555557</v>
      </c>
      <c r="AF907" s="64" t="s">
        <v>2743</v>
      </c>
      <c r="AG907" s="49">
        <v>0.55000000000000004</v>
      </c>
    </row>
    <row r="908" spans="1:33" customFormat="1" ht="34.5" customHeight="1" x14ac:dyDescent="0.3">
      <c r="A908" s="46">
        <v>1331</v>
      </c>
      <c r="B908" s="46" t="s">
        <v>2744</v>
      </c>
      <c r="C908" s="46" t="s">
        <v>63</v>
      </c>
      <c r="D908" s="60">
        <v>2026</v>
      </c>
      <c r="E908" s="60"/>
      <c r="F908" s="46" t="s">
        <v>225</v>
      </c>
      <c r="G908" s="46" t="s">
        <v>159</v>
      </c>
      <c r="H908" s="46" t="s">
        <v>592</v>
      </c>
      <c r="I908" s="46" t="s">
        <v>169</v>
      </c>
      <c r="J908" s="46" t="s">
        <v>248</v>
      </c>
      <c r="K908" s="46" t="s">
        <v>141</v>
      </c>
      <c r="L908" s="46"/>
      <c r="M908" s="46">
        <v>1</v>
      </c>
      <c r="N908" s="46"/>
      <c r="O908" s="46"/>
      <c r="P908" s="46"/>
      <c r="Q908" s="46"/>
      <c r="R908" s="46"/>
      <c r="S908" s="46"/>
      <c r="T908" s="46"/>
      <c r="U908" s="46"/>
      <c r="V908" s="46"/>
      <c r="W908" s="46"/>
      <c r="X908" s="46"/>
      <c r="Y908" s="46"/>
      <c r="Z908" s="46" t="s">
        <v>1843</v>
      </c>
      <c r="AA908" s="61">
        <v>600</v>
      </c>
      <c r="AB908" s="62">
        <f t="shared" si="108"/>
        <v>133333.33333333334</v>
      </c>
      <c r="AC908" s="63">
        <f>AB908*H2dens*HoursInYear/10^6</f>
        <v>103.952</v>
      </c>
      <c r="AD908" s="62"/>
      <c r="AE908" s="62">
        <f t="shared" ref="AE908:AE935" si="109">IF(AND(G908&lt;&gt;"NG w CCUS",G908&lt;&gt;"Oil w CCUS",G908&lt;&gt;"Coal w CCUS"),AB908,AD908*10^3/(HoursInYear*IF(G908="NG w CCUS",0.9105,1.9075)))</f>
        <v>133333.33333333334</v>
      </c>
      <c r="AF908" s="64" t="s">
        <v>2745</v>
      </c>
      <c r="AG908" s="49">
        <v>0.5</v>
      </c>
    </row>
    <row r="909" spans="1:33" customFormat="1" ht="34.5" customHeight="1" x14ac:dyDescent="0.3">
      <c r="A909" s="46">
        <v>1332</v>
      </c>
      <c r="B909" s="46" t="s">
        <v>2746</v>
      </c>
      <c r="C909" s="46" t="s">
        <v>203</v>
      </c>
      <c r="D909" s="60">
        <v>2021</v>
      </c>
      <c r="E909" s="60"/>
      <c r="F909" s="46" t="s">
        <v>226</v>
      </c>
      <c r="G909" s="46" t="s">
        <v>1</v>
      </c>
      <c r="H909" s="46"/>
      <c r="I909" s="46" t="s">
        <v>169</v>
      </c>
      <c r="J909" s="46" t="s">
        <v>248</v>
      </c>
      <c r="K909" s="46" t="s">
        <v>167</v>
      </c>
      <c r="L909" s="46"/>
      <c r="M909" s="46"/>
      <c r="N909" s="46"/>
      <c r="O909" s="46"/>
      <c r="P909" s="46"/>
      <c r="Q909" s="46"/>
      <c r="R909" s="46"/>
      <c r="S909" s="46"/>
      <c r="T909" s="46"/>
      <c r="U909" s="46"/>
      <c r="V909" s="46"/>
      <c r="W909" s="46">
        <v>1</v>
      </c>
      <c r="X909" s="46"/>
      <c r="Y909" s="46"/>
      <c r="Z909" s="46" t="s">
        <v>1587</v>
      </c>
      <c r="AA909" s="61">
        <v>1.3</v>
      </c>
      <c r="AB909" s="62">
        <f t="shared" si="108"/>
        <v>250.00000000000003</v>
      </c>
      <c r="AC909" s="63">
        <f>AB909*H2dens*HoursInYear/10^6</f>
        <v>0.19491</v>
      </c>
      <c r="AD909" s="62"/>
      <c r="AE909" s="62">
        <f t="shared" si="109"/>
        <v>250.00000000000003</v>
      </c>
      <c r="AF909" s="64" t="s">
        <v>2747</v>
      </c>
      <c r="AG909" s="49">
        <v>0.5</v>
      </c>
    </row>
    <row r="910" spans="1:33" customFormat="1" ht="34.5" customHeight="1" x14ac:dyDescent="0.3">
      <c r="A910" s="46">
        <v>1333</v>
      </c>
      <c r="B910" s="46" t="s">
        <v>2748</v>
      </c>
      <c r="C910" s="46" t="s">
        <v>35</v>
      </c>
      <c r="D910" s="60">
        <v>2025</v>
      </c>
      <c r="E910" s="60"/>
      <c r="F910" s="46" t="s">
        <v>285</v>
      </c>
      <c r="G910" s="46" t="s">
        <v>159</v>
      </c>
      <c r="H910" s="46" t="s">
        <v>592</v>
      </c>
      <c r="I910" s="46" t="s">
        <v>169</v>
      </c>
      <c r="J910" s="46" t="s">
        <v>69</v>
      </c>
      <c r="K910" s="46" t="s">
        <v>168</v>
      </c>
      <c r="L910" s="46"/>
      <c r="M910" s="46"/>
      <c r="N910" s="46"/>
      <c r="O910" s="46"/>
      <c r="P910" s="46">
        <v>1</v>
      </c>
      <c r="Q910" s="46"/>
      <c r="R910" s="46"/>
      <c r="S910" s="46"/>
      <c r="T910" s="46"/>
      <c r="U910" s="46"/>
      <c r="V910" s="46"/>
      <c r="W910" s="46"/>
      <c r="X910" s="46"/>
      <c r="Y910" s="46"/>
      <c r="Z910" s="46" t="s">
        <v>2749</v>
      </c>
      <c r="AA910" s="61">
        <f>IF(OR(G910="ALK",G910="PEM",G910="SOEC",G910="Other Electrolysis"),
AB910*VLOOKUP(G910,ElectrolysisConvF,3,FALSE),
"")</f>
        <v>2.3837925196244418</v>
      </c>
      <c r="AB910" s="62">
        <f>AC910/(H2dens*HoursInYear/10^6)</f>
        <v>529.73167102765376</v>
      </c>
      <c r="AC910" s="63">
        <v>0.41299999999999998</v>
      </c>
      <c r="AD910" s="62"/>
      <c r="AE910" s="62">
        <f t="shared" si="109"/>
        <v>529.73167102765376</v>
      </c>
      <c r="AF910" s="64" t="s">
        <v>2750</v>
      </c>
      <c r="AG910" s="49">
        <v>0.5</v>
      </c>
    </row>
    <row r="911" spans="1:33" customFormat="1" ht="34.5" customHeight="1" x14ac:dyDescent="0.3">
      <c r="A911" s="46">
        <v>1334</v>
      </c>
      <c r="B911" s="46" t="s">
        <v>2751</v>
      </c>
      <c r="C911" s="46" t="s">
        <v>36</v>
      </c>
      <c r="D911" s="60"/>
      <c r="E911" s="60"/>
      <c r="F911" s="46" t="s">
        <v>225</v>
      </c>
      <c r="G911" s="46" t="s">
        <v>159</v>
      </c>
      <c r="H911" s="46" t="s">
        <v>592</v>
      </c>
      <c r="I911" s="46" t="s">
        <v>169</v>
      </c>
      <c r="J911" s="46" t="s">
        <v>69</v>
      </c>
      <c r="K911" s="46" t="s">
        <v>68</v>
      </c>
      <c r="L911" s="46"/>
      <c r="M911" s="46"/>
      <c r="N911" s="46"/>
      <c r="O911" s="46"/>
      <c r="P911" s="46"/>
      <c r="Q911" s="46"/>
      <c r="R911" s="46"/>
      <c r="S911" s="46"/>
      <c r="T911" s="46"/>
      <c r="U911" s="46"/>
      <c r="V911" s="46"/>
      <c r="W911" s="46"/>
      <c r="X911" s="46"/>
      <c r="Y911" s="46"/>
      <c r="Z911" s="46"/>
      <c r="AA911" s="61"/>
      <c r="AB911" s="62"/>
      <c r="AC911" s="63"/>
      <c r="AD911" s="62"/>
      <c r="AE911" s="62">
        <f t="shared" si="109"/>
        <v>0</v>
      </c>
      <c r="AF911" s="64" t="s">
        <v>2752</v>
      </c>
      <c r="AG911" s="49">
        <v>0.5</v>
      </c>
    </row>
    <row r="912" spans="1:33" customFormat="1" ht="34.5" customHeight="1" x14ac:dyDescent="0.3">
      <c r="A912" s="46">
        <v>1335</v>
      </c>
      <c r="B912" s="46" t="s">
        <v>2753</v>
      </c>
      <c r="C912" s="46" t="s">
        <v>553</v>
      </c>
      <c r="D912" s="60">
        <v>2030</v>
      </c>
      <c r="E912" s="60"/>
      <c r="F912" s="46" t="s">
        <v>225</v>
      </c>
      <c r="G912" s="46" t="s">
        <v>159</v>
      </c>
      <c r="H912" s="46" t="s">
        <v>592</v>
      </c>
      <c r="I912" s="46" t="s">
        <v>169</v>
      </c>
      <c r="J912" s="46" t="s">
        <v>248</v>
      </c>
      <c r="K912" s="46" t="s">
        <v>68</v>
      </c>
      <c r="L912" s="46"/>
      <c r="M912" s="46"/>
      <c r="N912" s="46"/>
      <c r="O912" s="46"/>
      <c r="P912" s="46"/>
      <c r="Q912" s="46"/>
      <c r="R912" s="46"/>
      <c r="S912" s="46"/>
      <c r="T912" s="46"/>
      <c r="U912" s="46"/>
      <c r="V912" s="46"/>
      <c r="W912" s="46"/>
      <c r="X912" s="46"/>
      <c r="Y912" s="46"/>
      <c r="Z912" s="46" t="s">
        <v>2754</v>
      </c>
      <c r="AA912" s="61">
        <f>IF(OR(G912="ALK",G912="PEM",G912="SOEC",G912="Other Electrolysis"),
AB912*VLOOKUP(G912,ElectrolysisConvF,3,FALSE),
"")</f>
        <v>6926.2736647683541</v>
      </c>
      <c r="AB912" s="62">
        <f>AC912/(H2dens*HoursInYear/10^6)</f>
        <v>1539171.9255040789</v>
      </c>
      <c r="AC912" s="63">
        <v>1200</v>
      </c>
      <c r="AD912" s="62"/>
      <c r="AE912" s="62">
        <f t="shared" si="109"/>
        <v>1539171.9255040789</v>
      </c>
      <c r="AF912" s="64" t="s">
        <v>2755</v>
      </c>
      <c r="AG912" s="49">
        <v>0.5</v>
      </c>
    </row>
    <row r="913" spans="1:33" customFormat="1" ht="34.5" customHeight="1" x14ac:dyDescent="0.3">
      <c r="A913" s="46">
        <v>1336</v>
      </c>
      <c r="B913" s="46" t="s">
        <v>2756</v>
      </c>
      <c r="C913" s="46" t="s">
        <v>203</v>
      </c>
      <c r="D913" s="60">
        <v>2025</v>
      </c>
      <c r="E913" s="60"/>
      <c r="F913" s="46" t="s">
        <v>225</v>
      </c>
      <c r="G913" s="46" t="s">
        <v>3</v>
      </c>
      <c r="H913" s="46"/>
      <c r="I913" s="46" t="s">
        <v>169</v>
      </c>
      <c r="J913" s="46" t="s">
        <v>248</v>
      </c>
      <c r="K913" s="46" t="s">
        <v>140</v>
      </c>
      <c r="L913" s="46"/>
      <c r="M913" s="46"/>
      <c r="N913" s="46">
        <v>1</v>
      </c>
      <c r="O913" s="46"/>
      <c r="P913" s="46">
        <v>1</v>
      </c>
      <c r="Q913" s="46"/>
      <c r="R913" s="46"/>
      <c r="S913" s="46"/>
      <c r="T913" s="46"/>
      <c r="U913" s="46"/>
      <c r="V913" s="46"/>
      <c r="W913" s="46"/>
      <c r="X913" s="46"/>
      <c r="Y913" s="46"/>
      <c r="Z913" s="46" t="s">
        <v>1716</v>
      </c>
      <c r="AA913" s="61">
        <f>IF(OR(G913="ALK",G913="PEM",G913="SOEC",G913="Other Electrolysis"),
AB913*VLOOKUP(G913,ElectrolysisConvF,3,FALSE),
"")</f>
        <v>29.500795238828179</v>
      </c>
      <c r="AB913" s="62">
        <f>AC913/(H2dens*HoursInYear/10^6)</f>
        <v>6413.2163562669957</v>
      </c>
      <c r="AC913" s="63">
        <v>5</v>
      </c>
      <c r="AD913" s="62"/>
      <c r="AE913" s="62">
        <f t="shared" si="109"/>
        <v>6413.2163562669957</v>
      </c>
      <c r="AF913" s="64" t="s">
        <v>2757</v>
      </c>
      <c r="AG913" s="49">
        <v>0.5</v>
      </c>
    </row>
    <row r="914" spans="1:33" customFormat="1" ht="34.5" customHeight="1" x14ac:dyDescent="0.3">
      <c r="A914" s="46">
        <v>1337</v>
      </c>
      <c r="B914" s="46" t="s">
        <v>2758</v>
      </c>
      <c r="C914" s="46" t="s">
        <v>203</v>
      </c>
      <c r="D914" s="60">
        <v>2025</v>
      </c>
      <c r="E914" s="60"/>
      <c r="F914" s="46" t="s">
        <v>225</v>
      </c>
      <c r="G914" s="46" t="s">
        <v>2</v>
      </c>
      <c r="H914" s="46"/>
      <c r="I914" s="46" t="s">
        <v>169</v>
      </c>
      <c r="J914" s="46" t="s">
        <v>248</v>
      </c>
      <c r="K914" s="46" t="s">
        <v>140</v>
      </c>
      <c r="L914" s="46"/>
      <c r="M914" s="46"/>
      <c r="N914" s="46">
        <v>1</v>
      </c>
      <c r="O914" s="46"/>
      <c r="P914" s="46">
        <v>1</v>
      </c>
      <c r="Q914" s="46"/>
      <c r="R914" s="46"/>
      <c r="S914" s="46"/>
      <c r="T914" s="46"/>
      <c r="U914" s="46"/>
      <c r="V914" s="46"/>
      <c r="W914" s="46"/>
      <c r="X914" s="46"/>
      <c r="Y914" s="46"/>
      <c r="Z914" s="46" t="s">
        <v>1251</v>
      </c>
      <c r="AA914" s="61">
        <v>3</v>
      </c>
      <c r="AB914" s="62">
        <f>IF(OR(G914="ALK",G914="PEM",G914="SOEC",G914="Other Electrolysis"),
AA914/VLOOKUP(G914,ElectrolysisConvF,3,FALSE),
AC914*10^6/(H2dens*HoursInYear))</f>
        <v>789.47368421052636</v>
      </c>
      <c r="AC914" s="63">
        <f>AB914*H2dens*HoursInYear/10^6</f>
        <v>0.61550526315789489</v>
      </c>
      <c r="AD914" s="62"/>
      <c r="AE914" s="62">
        <f t="shared" si="109"/>
        <v>789.47368421052636</v>
      </c>
      <c r="AF914" s="64" t="s">
        <v>2757</v>
      </c>
      <c r="AG914" s="49">
        <v>0.5</v>
      </c>
    </row>
    <row r="915" spans="1:33" customFormat="1" ht="34.5" customHeight="1" x14ac:dyDescent="0.3">
      <c r="A915" s="46">
        <v>1338</v>
      </c>
      <c r="B915" s="46" t="s">
        <v>2759</v>
      </c>
      <c r="C915" s="46" t="s">
        <v>39</v>
      </c>
      <c r="D915" s="60"/>
      <c r="E915" s="60"/>
      <c r="F915" s="46" t="s">
        <v>225</v>
      </c>
      <c r="G915" s="46" t="s">
        <v>159</v>
      </c>
      <c r="H915" s="46" t="s">
        <v>592</v>
      </c>
      <c r="I915" s="46" t="s">
        <v>166</v>
      </c>
      <c r="J915" s="46" t="str">
        <f>IF(I915&lt;&gt;"Dedicated renewable","N/A",)</f>
        <v>N/A</v>
      </c>
      <c r="K915" s="46" t="s">
        <v>168</v>
      </c>
      <c r="L915" s="46"/>
      <c r="M915" s="46">
        <v>1</v>
      </c>
      <c r="N915" s="46"/>
      <c r="O915" s="46"/>
      <c r="P915" s="46"/>
      <c r="Q915" s="46">
        <v>1</v>
      </c>
      <c r="R915" s="46"/>
      <c r="S915" s="46"/>
      <c r="T915" s="46"/>
      <c r="U915" s="46"/>
      <c r="V915" s="46"/>
      <c r="W915" s="46"/>
      <c r="X915" s="46"/>
      <c r="Y915" s="46"/>
      <c r="Z915" s="46" t="s">
        <v>1260</v>
      </c>
      <c r="AA915" s="61">
        <v>250</v>
      </c>
      <c r="AB915" s="62">
        <f>IF(OR(G915="ALK",G915="PEM",G915="SOEC",G915="Other Electrolysis"),
AA915/VLOOKUP(G915,ElectrolysisConvF,3,FALSE),
AC915*10^6/(H2dens*HoursInYear))</f>
        <v>55555.555555555562</v>
      </c>
      <c r="AC915" s="63">
        <f>AB915*H2dens*HoursInYear/10^6</f>
        <v>43.313333333333333</v>
      </c>
      <c r="AD915" s="62"/>
      <c r="AE915" s="62">
        <f t="shared" si="109"/>
        <v>55555.555555555562</v>
      </c>
      <c r="AF915" s="64" t="s">
        <v>2760</v>
      </c>
      <c r="AG915" s="49">
        <v>0.56999999999999995</v>
      </c>
    </row>
    <row r="916" spans="1:33" customFormat="1" ht="34.5" customHeight="1" x14ac:dyDescent="0.3">
      <c r="A916" s="46">
        <v>1339</v>
      </c>
      <c r="B916" s="46" t="s">
        <v>2761</v>
      </c>
      <c r="C916" s="46" t="s">
        <v>39</v>
      </c>
      <c r="D916" s="60"/>
      <c r="E916" s="60"/>
      <c r="F916" s="46" t="s">
        <v>225</v>
      </c>
      <c r="G916" s="46" t="s">
        <v>159</v>
      </c>
      <c r="H916" s="46" t="s">
        <v>592</v>
      </c>
      <c r="I916" s="46" t="s">
        <v>166</v>
      </c>
      <c r="J916" s="46" t="str">
        <f>IF(I916&lt;&gt;"Dedicated renewable","N/A",)</f>
        <v>N/A</v>
      </c>
      <c r="K916" s="46" t="s">
        <v>168</v>
      </c>
      <c r="L916" s="46"/>
      <c r="M916" s="46">
        <v>1</v>
      </c>
      <c r="N916" s="46"/>
      <c r="O916" s="46"/>
      <c r="P916" s="46"/>
      <c r="Q916" s="46">
        <v>1</v>
      </c>
      <c r="R916" s="46"/>
      <c r="S916" s="46"/>
      <c r="T916" s="46"/>
      <c r="U916" s="46"/>
      <c r="V916" s="46"/>
      <c r="W916" s="46"/>
      <c r="X916" s="46"/>
      <c r="Y916" s="46"/>
      <c r="Z916" s="46" t="s">
        <v>1926</v>
      </c>
      <c r="AA916" s="61">
        <v>2750</v>
      </c>
      <c r="AB916" s="62">
        <f>IF(OR(G916="ALK",G916="PEM",G916="SOEC",G916="Other Electrolysis"),
AA916/VLOOKUP(G916,ElectrolysisConvF,3,FALSE),
AC916*10^6/(H2dens*HoursInYear))</f>
        <v>611111.11111111112</v>
      </c>
      <c r="AC916" s="63">
        <f>AB916*H2dens*HoursInYear/10^6</f>
        <v>476.44666666666666</v>
      </c>
      <c r="AD916" s="62"/>
      <c r="AE916" s="62">
        <f t="shared" si="109"/>
        <v>611111.11111111112</v>
      </c>
      <c r="AF916" s="64" t="s">
        <v>2760</v>
      </c>
      <c r="AG916" s="49">
        <v>0.56999999999999995</v>
      </c>
    </row>
    <row r="917" spans="1:33" customFormat="1" ht="34.5" customHeight="1" x14ac:dyDescent="0.3">
      <c r="A917" s="46">
        <v>1340</v>
      </c>
      <c r="B917" s="46" t="s">
        <v>2762</v>
      </c>
      <c r="C917" s="46" t="s">
        <v>39</v>
      </c>
      <c r="D917" s="60">
        <v>2027</v>
      </c>
      <c r="E917" s="60"/>
      <c r="F917" s="46" t="s">
        <v>225</v>
      </c>
      <c r="G917" s="46" t="s">
        <v>161</v>
      </c>
      <c r="H917" s="46" t="s">
        <v>1951</v>
      </c>
      <c r="I917" s="46"/>
      <c r="J917" s="46"/>
      <c r="K917" s="46" t="s">
        <v>168</v>
      </c>
      <c r="L917" s="46"/>
      <c r="M917" s="46">
        <v>1</v>
      </c>
      <c r="N917" s="46"/>
      <c r="O917" s="46"/>
      <c r="P917" s="46"/>
      <c r="Q917" s="46">
        <v>1</v>
      </c>
      <c r="R917" s="46"/>
      <c r="S917" s="46"/>
      <c r="T917" s="46"/>
      <c r="U917" s="46"/>
      <c r="V917" s="46"/>
      <c r="W917" s="46"/>
      <c r="X917" s="46"/>
      <c r="Y917" s="46"/>
      <c r="Z917" s="46" t="s">
        <v>2763</v>
      </c>
      <c r="AA917" s="61"/>
      <c r="AB917" s="62"/>
      <c r="AC917" s="63">
        <f>40*365/120*0.69</f>
        <v>83.95</v>
      </c>
      <c r="AD917" s="62"/>
      <c r="AE917" s="62">
        <f t="shared" si="109"/>
        <v>0</v>
      </c>
      <c r="AF917" s="64" t="s">
        <v>2760</v>
      </c>
      <c r="AG917" s="49">
        <v>0.9</v>
      </c>
    </row>
    <row r="918" spans="1:33" customFormat="1" ht="34.5" customHeight="1" x14ac:dyDescent="0.3">
      <c r="A918" s="46">
        <v>1341</v>
      </c>
      <c r="B918" s="46" t="s">
        <v>2764</v>
      </c>
      <c r="C918" s="46" t="s">
        <v>46</v>
      </c>
      <c r="D918" s="60">
        <v>2027</v>
      </c>
      <c r="E918" s="60"/>
      <c r="F918" s="46" t="s">
        <v>225</v>
      </c>
      <c r="G918" s="46" t="s">
        <v>161</v>
      </c>
      <c r="H918" s="46" t="s">
        <v>2365</v>
      </c>
      <c r="I918" s="46"/>
      <c r="J918" s="46"/>
      <c r="K918" s="46" t="s">
        <v>68</v>
      </c>
      <c r="L918" s="46"/>
      <c r="M918" s="46"/>
      <c r="N918" s="46"/>
      <c r="O918" s="46"/>
      <c r="P918" s="46"/>
      <c r="Q918" s="46"/>
      <c r="R918" s="46"/>
      <c r="S918" s="46"/>
      <c r="T918" s="46"/>
      <c r="U918" s="46"/>
      <c r="V918" s="46"/>
      <c r="W918" s="46"/>
      <c r="X918" s="46"/>
      <c r="Y918" s="46"/>
      <c r="Z918" s="46" t="s">
        <v>2765</v>
      </c>
      <c r="AA918" s="46"/>
      <c r="AB918" s="62">
        <f>IF(OR(G918="ALK",G918="PEM",G918="SOEC",G918="Other Electrolysis"),
AA918/VLOOKUP(G918,ElectrolysisConvF,3,FALSE),
AC918*10^6/(H2dens*HoursInYear))</f>
        <v>576404.49438202253</v>
      </c>
      <c r="AC918" s="63">
        <f>1800*HoursInYear*0.95*3.6/120/1000</f>
        <v>449.38799999999998</v>
      </c>
      <c r="AD918" s="62"/>
      <c r="AE918" s="62">
        <f t="shared" si="109"/>
        <v>0</v>
      </c>
      <c r="AF918" s="64" t="s">
        <v>2766</v>
      </c>
      <c r="AG918" s="49">
        <v>0.9</v>
      </c>
    </row>
    <row r="919" spans="1:33" customFormat="1" ht="34.5" customHeight="1" x14ac:dyDescent="0.3">
      <c r="A919" s="46">
        <v>1342</v>
      </c>
      <c r="B919" s="46" t="s">
        <v>2767</v>
      </c>
      <c r="C919" s="46" t="s">
        <v>46</v>
      </c>
      <c r="D919" s="60"/>
      <c r="E919" s="60"/>
      <c r="F919" s="46" t="s">
        <v>225</v>
      </c>
      <c r="G919" s="46" t="s">
        <v>159</v>
      </c>
      <c r="H919" s="46" t="s">
        <v>592</v>
      </c>
      <c r="I919" s="46" t="s">
        <v>169</v>
      </c>
      <c r="J919" s="46" t="s">
        <v>246</v>
      </c>
      <c r="K919" s="46" t="s">
        <v>68</v>
      </c>
      <c r="L919" s="46"/>
      <c r="M919" s="46"/>
      <c r="N919" s="46"/>
      <c r="O919" s="46"/>
      <c r="P919" s="46"/>
      <c r="Q919" s="46"/>
      <c r="R919" s="46"/>
      <c r="S919" s="46"/>
      <c r="T919" s="46"/>
      <c r="U919" s="46"/>
      <c r="V919" s="46"/>
      <c r="W919" s="46"/>
      <c r="X919" s="46"/>
      <c r="Y919" s="46"/>
      <c r="Z919" s="46"/>
      <c r="AA919" s="61"/>
      <c r="AB919" s="62"/>
      <c r="AC919" s="63"/>
      <c r="AD919" s="62"/>
      <c r="AE919" s="62">
        <f t="shared" si="109"/>
        <v>0</v>
      </c>
      <c r="AF919" s="64" t="s">
        <v>2768</v>
      </c>
      <c r="AG919" s="49">
        <v>0.55000000000000004</v>
      </c>
    </row>
    <row r="920" spans="1:33" customFormat="1" ht="34.5" customHeight="1" x14ac:dyDescent="0.3">
      <c r="A920" s="46">
        <v>1344</v>
      </c>
      <c r="B920" s="64" t="s">
        <v>2769</v>
      </c>
      <c r="C920" s="46" t="s">
        <v>40</v>
      </c>
      <c r="D920" s="60">
        <v>2026</v>
      </c>
      <c r="E920" s="60"/>
      <c r="F920" s="46" t="s">
        <v>225</v>
      </c>
      <c r="G920" s="46" t="s">
        <v>161</v>
      </c>
      <c r="H920" s="46" t="s">
        <v>1951</v>
      </c>
      <c r="I920" s="46"/>
      <c r="J920" s="46"/>
      <c r="K920" s="46" t="s">
        <v>168</v>
      </c>
      <c r="L920" s="46">
        <v>1</v>
      </c>
      <c r="M920" s="46">
        <v>1</v>
      </c>
      <c r="N920" s="46"/>
      <c r="O920" s="46">
        <v>1</v>
      </c>
      <c r="P920" s="46"/>
      <c r="Q920" s="46"/>
      <c r="R920" s="46"/>
      <c r="S920" s="46"/>
      <c r="T920" s="46"/>
      <c r="U920" s="46"/>
      <c r="V920" s="46"/>
      <c r="W920" s="46">
        <v>1</v>
      </c>
      <c r="X920" s="46"/>
      <c r="Y920" s="46"/>
      <c r="Z920" s="46" t="s">
        <v>2770</v>
      </c>
      <c r="AA920" s="61"/>
      <c r="AB920" s="62">
        <f>750*10^6*0.0283168/24</f>
        <v>884900</v>
      </c>
      <c r="AC920" s="63">
        <f>AB920*H2dens*HoursInYear/10^6</f>
        <v>689.90343599999983</v>
      </c>
      <c r="AD920" s="62">
        <v>5000000</v>
      </c>
      <c r="AE920" s="62">
        <f t="shared" si="109"/>
        <v>626882.21384707582</v>
      </c>
      <c r="AF920" s="64" t="s">
        <v>2771</v>
      </c>
      <c r="AG920" s="49">
        <v>0.9</v>
      </c>
    </row>
    <row r="921" spans="1:33" customFormat="1" ht="34.5" customHeight="1" x14ac:dyDescent="0.3">
      <c r="A921" s="46">
        <v>1345</v>
      </c>
      <c r="B921" s="46" t="s">
        <v>2772</v>
      </c>
      <c r="C921" s="46" t="s">
        <v>34</v>
      </c>
      <c r="D921" s="60">
        <v>2023</v>
      </c>
      <c r="E921" s="60"/>
      <c r="F921" s="46" t="s">
        <v>285</v>
      </c>
      <c r="G921" s="46" t="s">
        <v>1</v>
      </c>
      <c r="H921" s="46"/>
      <c r="I921" s="46" t="s">
        <v>169</v>
      </c>
      <c r="J921" s="46" t="s">
        <v>69</v>
      </c>
      <c r="K921" s="46" t="s">
        <v>68</v>
      </c>
      <c r="L921" s="46"/>
      <c r="M921" s="46"/>
      <c r="N921" s="46"/>
      <c r="O921" s="46"/>
      <c r="P921" s="46"/>
      <c r="Q921" s="46"/>
      <c r="R921" s="46"/>
      <c r="S921" s="46"/>
      <c r="T921" s="46"/>
      <c r="U921" s="46"/>
      <c r="V921" s="46"/>
      <c r="W921" s="46"/>
      <c r="X921" s="46"/>
      <c r="Y921" s="46"/>
      <c r="Z921" s="46" t="s">
        <v>1327</v>
      </c>
      <c r="AA921" s="61">
        <v>1</v>
      </c>
      <c r="AB921" s="62">
        <f t="shared" ref="AB921:AB928" si="110">IF(OR(G921="ALK",G921="PEM",G921="SOEC",G921="Other Electrolysis"),
AA921/VLOOKUP(G921,ElectrolysisConvF,3,FALSE),
AC921*10^6/(H2dens*HoursInYear))</f>
        <v>192.30769230769232</v>
      </c>
      <c r="AC921" s="63">
        <f t="shared" ref="AC921:AC928" si="111">AB921*H2dens*HoursInYear/10^6</f>
        <v>0.14993076923076926</v>
      </c>
      <c r="AD921" s="62"/>
      <c r="AE921" s="62">
        <f t="shared" si="109"/>
        <v>192.30769230769232</v>
      </c>
      <c r="AF921" s="64" t="s">
        <v>2773</v>
      </c>
      <c r="AG921" s="49">
        <v>0.5</v>
      </c>
    </row>
    <row r="922" spans="1:33" customFormat="1" ht="34.5" customHeight="1" x14ac:dyDescent="0.3">
      <c r="A922" s="46">
        <v>1346</v>
      </c>
      <c r="B922" s="46" t="s">
        <v>2774</v>
      </c>
      <c r="C922" s="46" t="s">
        <v>503</v>
      </c>
      <c r="D922" s="60">
        <v>2027</v>
      </c>
      <c r="E922" s="60"/>
      <c r="F922" s="46" t="s">
        <v>225</v>
      </c>
      <c r="G922" s="46" t="s">
        <v>159</v>
      </c>
      <c r="H922" s="46" t="s">
        <v>592</v>
      </c>
      <c r="I922" s="46" t="s">
        <v>169</v>
      </c>
      <c r="J922" s="46" t="s">
        <v>69</v>
      </c>
      <c r="K922" s="46" t="s">
        <v>141</v>
      </c>
      <c r="L922" s="46"/>
      <c r="M922" s="46">
        <v>1</v>
      </c>
      <c r="N922" s="46"/>
      <c r="O922" s="46"/>
      <c r="P922" s="46"/>
      <c r="Q922" s="46"/>
      <c r="R922" s="46"/>
      <c r="S922" s="46"/>
      <c r="T922" s="46"/>
      <c r="U922" s="46"/>
      <c r="V922" s="46"/>
      <c r="W922" s="46"/>
      <c r="X922" s="46"/>
      <c r="Y922" s="46"/>
      <c r="Z922" s="46" t="s">
        <v>2775</v>
      </c>
      <c r="AA922" s="61">
        <v>1000</v>
      </c>
      <c r="AB922" s="62">
        <f t="shared" si="110"/>
        <v>222222.22222222225</v>
      </c>
      <c r="AC922" s="63">
        <f t="shared" si="111"/>
        <v>173.25333333333333</v>
      </c>
      <c r="AD922" s="62"/>
      <c r="AE922" s="62">
        <f t="shared" si="109"/>
        <v>222222.22222222225</v>
      </c>
      <c r="AF922" s="64" t="s">
        <v>2776</v>
      </c>
      <c r="AG922" s="49">
        <v>0.5</v>
      </c>
    </row>
    <row r="923" spans="1:33" customFormat="1" ht="34.5" customHeight="1" x14ac:dyDescent="0.3">
      <c r="A923" s="46">
        <v>1347</v>
      </c>
      <c r="B923" s="46" t="s">
        <v>2777</v>
      </c>
      <c r="C923" s="46" t="s">
        <v>503</v>
      </c>
      <c r="D923" s="60">
        <v>2029</v>
      </c>
      <c r="E923" s="60"/>
      <c r="F923" s="46" t="s">
        <v>225</v>
      </c>
      <c r="G923" s="46" t="s">
        <v>159</v>
      </c>
      <c r="H923" s="46" t="s">
        <v>592</v>
      </c>
      <c r="I923" s="46" t="s">
        <v>169</v>
      </c>
      <c r="J923" s="46" t="s">
        <v>69</v>
      </c>
      <c r="K923" s="46" t="s">
        <v>141</v>
      </c>
      <c r="L923" s="46"/>
      <c r="M923" s="46">
        <v>1</v>
      </c>
      <c r="N923" s="46"/>
      <c r="O923" s="46"/>
      <c r="P923" s="46"/>
      <c r="Q923" s="46"/>
      <c r="R923" s="46"/>
      <c r="S923" s="46"/>
      <c r="T923" s="46"/>
      <c r="U923" s="46"/>
      <c r="V923" s="46"/>
      <c r="W923" s="46"/>
      <c r="X923" s="46"/>
      <c r="Y923" s="46"/>
      <c r="Z923" s="46" t="s">
        <v>2778</v>
      </c>
      <c r="AA923" s="61">
        <f>3000-AA922</f>
        <v>2000</v>
      </c>
      <c r="AB923" s="62">
        <f t="shared" si="110"/>
        <v>444444.4444444445</v>
      </c>
      <c r="AC923" s="63">
        <f t="shared" si="111"/>
        <v>346.50666666666666</v>
      </c>
      <c r="AD923" s="62"/>
      <c r="AE923" s="62">
        <f t="shared" si="109"/>
        <v>444444.4444444445</v>
      </c>
      <c r="AF923" s="64" t="s">
        <v>2776</v>
      </c>
      <c r="AG923" s="49">
        <v>0.5</v>
      </c>
    </row>
    <row r="924" spans="1:33" customFormat="1" ht="34.5" customHeight="1" x14ac:dyDescent="0.3">
      <c r="A924" s="46">
        <v>1349</v>
      </c>
      <c r="B924" s="46" t="s">
        <v>2779</v>
      </c>
      <c r="C924" s="46" t="s">
        <v>39</v>
      </c>
      <c r="D924" s="60">
        <v>2025</v>
      </c>
      <c r="E924" s="60"/>
      <c r="F924" s="46" t="s">
        <v>225</v>
      </c>
      <c r="G924" s="46" t="s">
        <v>159</v>
      </c>
      <c r="H924" s="46" t="s">
        <v>592</v>
      </c>
      <c r="I924" s="46" t="s">
        <v>169</v>
      </c>
      <c r="J924" s="46" t="s">
        <v>248</v>
      </c>
      <c r="K924" s="46" t="s">
        <v>68</v>
      </c>
      <c r="L924" s="46"/>
      <c r="M924" s="46"/>
      <c r="N924" s="46"/>
      <c r="O924" s="46"/>
      <c r="P924" s="46"/>
      <c r="Q924" s="46">
        <v>1</v>
      </c>
      <c r="R924" s="46"/>
      <c r="S924" s="46"/>
      <c r="T924" s="46"/>
      <c r="U924" s="46"/>
      <c r="V924" s="46"/>
      <c r="W924" s="46"/>
      <c r="X924" s="46"/>
      <c r="Y924" s="46"/>
      <c r="Z924" s="46" t="s">
        <v>2780</v>
      </c>
      <c r="AA924" s="61">
        <v>350</v>
      </c>
      <c r="AB924" s="62">
        <f t="shared" si="110"/>
        <v>77777.777777777781</v>
      </c>
      <c r="AC924" s="63">
        <f t="shared" si="111"/>
        <v>60.638666666666673</v>
      </c>
      <c r="AD924" s="62"/>
      <c r="AE924" s="62">
        <f t="shared" si="109"/>
        <v>77777.777777777781</v>
      </c>
      <c r="AF924" s="64" t="s">
        <v>2781</v>
      </c>
      <c r="AG924" s="49">
        <v>0.5</v>
      </c>
    </row>
    <row r="925" spans="1:33" customFormat="1" ht="34.5" customHeight="1" x14ac:dyDescent="0.3">
      <c r="A925" s="46">
        <v>1350</v>
      </c>
      <c r="B925" s="46" t="s">
        <v>2782</v>
      </c>
      <c r="C925" s="46" t="s">
        <v>39</v>
      </c>
      <c r="D925" s="60"/>
      <c r="E925" s="60"/>
      <c r="F925" s="46" t="s">
        <v>591</v>
      </c>
      <c r="G925" s="46" t="s">
        <v>159</v>
      </c>
      <c r="H925" s="46" t="s">
        <v>592</v>
      </c>
      <c r="I925" s="46" t="s">
        <v>169</v>
      </c>
      <c r="J925" s="46" t="s">
        <v>248</v>
      </c>
      <c r="K925" s="46" t="s">
        <v>68</v>
      </c>
      <c r="L925" s="46"/>
      <c r="M925" s="46"/>
      <c r="N925" s="46"/>
      <c r="O925" s="46"/>
      <c r="P925" s="46"/>
      <c r="Q925" s="46">
        <v>1</v>
      </c>
      <c r="R925" s="46"/>
      <c r="S925" s="46"/>
      <c r="T925" s="46"/>
      <c r="U925" s="46"/>
      <c r="V925" s="46"/>
      <c r="W925" s="46"/>
      <c r="X925" s="46"/>
      <c r="Y925" s="46"/>
      <c r="Z925" s="46" t="s">
        <v>2783</v>
      </c>
      <c r="AA925" s="61">
        <f>750-AA924</f>
        <v>400</v>
      </c>
      <c r="AB925" s="62">
        <f t="shared" si="110"/>
        <v>88888.888888888891</v>
      </c>
      <c r="AC925" s="63">
        <f t="shared" si="111"/>
        <v>69.301333333333332</v>
      </c>
      <c r="AD925" s="62"/>
      <c r="AE925" s="62">
        <f t="shared" si="109"/>
        <v>88888.888888888891</v>
      </c>
      <c r="AF925" s="64" t="s">
        <v>2781</v>
      </c>
      <c r="AG925" s="49">
        <v>0.5</v>
      </c>
    </row>
    <row r="926" spans="1:33" ht="34.5" customHeight="1" x14ac:dyDescent="0.3">
      <c r="A926" s="46">
        <v>1351</v>
      </c>
      <c r="B926" s="46" t="s">
        <v>2784</v>
      </c>
      <c r="C926" s="46" t="s">
        <v>34</v>
      </c>
      <c r="D926" s="60">
        <v>2027</v>
      </c>
      <c r="E926" s="60"/>
      <c r="F926" s="46" t="s">
        <v>225</v>
      </c>
      <c r="G926" s="46" t="s">
        <v>159</v>
      </c>
      <c r="H926" s="46" t="s">
        <v>592</v>
      </c>
      <c r="I926" s="46" t="s">
        <v>166</v>
      </c>
      <c r="J926" s="46"/>
      <c r="K926" s="46" t="s">
        <v>140</v>
      </c>
      <c r="L926" s="46"/>
      <c r="M926" s="46"/>
      <c r="N926" s="46">
        <v>1</v>
      </c>
      <c r="O926" s="46"/>
      <c r="P926" s="46"/>
      <c r="Q926" s="46"/>
      <c r="R926" s="46"/>
      <c r="S926" s="46"/>
      <c r="T926" s="46"/>
      <c r="U926" s="46"/>
      <c r="V926" s="46"/>
      <c r="W926" s="46"/>
      <c r="X926" s="46"/>
      <c r="Y926" s="46"/>
      <c r="Z926" s="46" t="s">
        <v>2785</v>
      </c>
      <c r="AA926" s="61">
        <v>180</v>
      </c>
      <c r="AB926" s="62">
        <f t="shared" si="110"/>
        <v>40000</v>
      </c>
      <c r="AC926" s="63">
        <f t="shared" si="111"/>
        <v>31.185600000000001</v>
      </c>
      <c r="AD926" s="62"/>
      <c r="AE926" s="62">
        <f t="shared" si="109"/>
        <v>40000</v>
      </c>
      <c r="AF926" s="64" t="s">
        <v>2786</v>
      </c>
      <c r="AG926" s="49">
        <v>0.56999999999999995</v>
      </c>
    </row>
    <row r="927" spans="1:33" ht="34.5" customHeight="1" x14ac:dyDescent="0.3">
      <c r="A927" s="46">
        <v>1352</v>
      </c>
      <c r="B927" s="46" t="s">
        <v>2787</v>
      </c>
      <c r="C927" s="46" t="s">
        <v>59</v>
      </c>
      <c r="D927" s="60">
        <v>2024</v>
      </c>
      <c r="E927" s="60"/>
      <c r="F927" s="46" t="s">
        <v>225</v>
      </c>
      <c r="G927" s="46" t="s">
        <v>159</v>
      </c>
      <c r="H927" s="46" t="s">
        <v>592</v>
      </c>
      <c r="I927" s="46" t="s">
        <v>169</v>
      </c>
      <c r="J927" s="46" t="s">
        <v>69</v>
      </c>
      <c r="K927" s="46" t="s">
        <v>68</v>
      </c>
      <c r="L927" s="46"/>
      <c r="M927" s="46"/>
      <c r="N927" s="46"/>
      <c r="O927" s="46"/>
      <c r="P927" s="46"/>
      <c r="Q927" s="46">
        <v>1</v>
      </c>
      <c r="R927" s="46"/>
      <c r="S927" s="46"/>
      <c r="T927" s="46"/>
      <c r="U927" s="46"/>
      <c r="V927" s="46"/>
      <c r="W927" s="46"/>
      <c r="X927" s="46"/>
      <c r="Y927" s="46"/>
      <c r="Z927" s="46" t="s">
        <v>2788</v>
      </c>
      <c r="AA927" s="61">
        <v>15</v>
      </c>
      <c r="AB927" s="62">
        <f t="shared" si="110"/>
        <v>3333.3333333333335</v>
      </c>
      <c r="AC927" s="63">
        <f t="shared" si="111"/>
        <v>2.5988000000000002</v>
      </c>
      <c r="AD927" s="62"/>
      <c r="AE927" s="62">
        <f t="shared" si="109"/>
        <v>3333.3333333333335</v>
      </c>
      <c r="AF927" s="64" t="s">
        <v>2789</v>
      </c>
      <c r="AG927" s="49">
        <v>0.5</v>
      </c>
    </row>
    <row r="928" spans="1:33" ht="34.5" customHeight="1" x14ac:dyDescent="0.3">
      <c r="A928" s="46">
        <v>1353</v>
      </c>
      <c r="B928" s="46" t="s">
        <v>2790</v>
      </c>
      <c r="C928" s="46" t="s">
        <v>46</v>
      </c>
      <c r="D928" s="60">
        <v>2024</v>
      </c>
      <c r="E928" s="60"/>
      <c r="F928" s="46" t="s">
        <v>225</v>
      </c>
      <c r="G928" s="46" t="s">
        <v>159</v>
      </c>
      <c r="H928" s="46" t="s">
        <v>592</v>
      </c>
      <c r="I928" s="46" t="s">
        <v>169</v>
      </c>
      <c r="J928" s="46" t="s">
        <v>69</v>
      </c>
      <c r="K928" s="46" t="s">
        <v>168</v>
      </c>
      <c r="L928" s="46"/>
      <c r="M928" s="46">
        <v>1</v>
      </c>
      <c r="N928" s="46"/>
      <c r="O928" s="46"/>
      <c r="P928" s="46"/>
      <c r="Q928" s="46">
        <v>1</v>
      </c>
      <c r="R928" s="46"/>
      <c r="S928" s="46"/>
      <c r="T928" s="46"/>
      <c r="U928" s="46"/>
      <c r="V928" s="46"/>
      <c r="W928" s="46"/>
      <c r="X928" s="46"/>
      <c r="Y928" s="46"/>
      <c r="Z928" s="46" t="s">
        <v>696</v>
      </c>
      <c r="AA928" s="61">
        <v>20</v>
      </c>
      <c r="AB928" s="62">
        <f t="shared" si="110"/>
        <v>4444.4444444444443</v>
      </c>
      <c r="AC928" s="63">
        <f t="shared" si="111"/>
        <v>3.4650666666666665</v>
      </c>
      <c r="AD928" s="62"/>
      <c r="AE928" s="62">
        <f t="shared" si="109"/>
        <v>4444.4444444444443</v>
      </c>
      <c r="AF928" s="64" t="s">
        <v>2791</v>
      </c>
      <c r="AG928" s="49">
        <v>0.5</v>
      </c>
    </row>
    <row r="929" spans="1:33" ht="34.5" customHeight="1" x14ac:dyDescent="0.3">
      <c r="A929" s="46">
        <v>1354</v>
      </c>
      <c r="B929" s="46" t="s">
        <v>2792</v>
      </c>
      <c r="C929" s="46" t="s">
        <v>46</v>
      </c>
      <c r="D929" s="60">
        <v>2029</v>
      </c>
      <c r="E929" s="60"/>
      <c r="F929" s="46" t="s">
        <v>225</v>
      </c>
      <c r="G929" s="46" t="s">
        <v>159</v>
      </c>
      <c r="H929" s="46" t="s">
        <v>592</v>
      </c>
      <c r="I929" s="46" t="s">
        <v>169</v>
      </c>
      <c r="J929" s="46" t="s">
        <v>69</v>
      </c>
      <c r="K929" s="46" t="s">
        <v>168</v>
      </c>
      <c r="L929" s="46"/>
      <c r="M929" s="46">
        <v>1</v>
      </c>
      <c r="N929" s="46"/>
      <c r="O929" s="46"/>
      <c r="P929" s="46"/>
      <c r="Q929" s="46">
        <v>1</v>
      </c>
      <c r="R929" s="46"/>
      <c r="S929" s="46"/>
      <c r="T929" s="46"/>
      <c r="U929" s="46"/>
      <c r="V929" s="46"/>
      <c r="W929" s="46"/>
      <c r="X929" s="46"/>
      <c r="Y929" s="46"/>
      <c r="Z929" s="46" t="s">
        <v>2462</v>
      </c>
      <c r="AA929" s="61">
        <f>IF(OR(G929="ALK",G929="PEM",G929="SOEC",G929="Other Electrolysis"),
AB929*VLOOKUP(G929,ElectrolysisConvF,3,FALSE),
"")</f>
        <v>63.202247191011224</v>
      </c>
      <c r="AB929" s="62">
        <f>AC929/(H2dens*HoursInYear/10^6)</f>
        <v>14044.943820224718</v>
      </c>
      <c r="AC929" s="63">
        <f>15*0.365/H2ProjectDB4578610[[#This Row],[Column33]]</f>
        <v>10.95</v>
      </c>
      <c r="AD929" s="62"/>
      <c r="AE929" s="62">
        <f t="shared" si="109"/>
        <v>14044.943820224718</v>
      </c>
      <c r="AF929" s="64" t="s">
        <v>2791</v>
      </c>
      <c r="AG929" s="49">
        <v>0.5</v>
      </c>
    </row>
    <row r="930" spans="1:33" ht="34.5" customHeight="1" x14ac:dyDescent="0.3">
      <c r="A930" s="46">
        <v>1355</v>
      </c>
      <c r="B930" s="46" t="s">
        <v>2793</v>
      </c>
      <c r="C930" s="46" t="s">
        <v>63</v>
      </c>
      <c r="D930" s="60">
        <v>2023</v>
      </c>
      <c r="E930" s="60"/>
      <c r="F930" s="46" t="s">
        <v>225</v>
      </c>
      <c r="G930" s="46" t="s">
        <v>159</v>
      </c>
      <c r="H930" s="46" t="s">
        <v>592</v>
      </c>
      <c r="I930" s="46" t="s">
        <v>169</v>
      </c>
      <c r="J930" s="46" t="s">
        <v>69</v>
      </c>
      <c r="K930" s="46" t="s">
        <v>68</v>
      </c>
      <c r="L930" s="46"/>
      <c r="M930" s="46"/>
      <c r="N930" s="46"/>
      <c r="O930" s="46"/>
      <c r="P930" s="46"/>
      <c r="Q930" s="46">
        <v>1</v>
      </c>
      <c r="R930" s="46"/>
      <c r="S930" s="46"/>
      <c r="T930" s="46"/>
      <c r="U930" s="46"/>
      <c r="V930" s="46"/>
      <c r="W930" s="46"/>
      <c r="X930" s="46"/>
      <c r="Y930" s="46"/>
      <c r="Z930" s="46" t="s">
        <v>1828</v>
      </c>
      <c r="AA930" s="61">
        <v>4</v>
      </c>
      <c r="AB930" s="62">
        <f>IF(OR(G930="ALK",G930="PEM",G930="SOEC",G930="Other Electrolysis"),
AA930/VLOOKUP(G930,ElectrolysisConvF,3,FALSE),
AC930*10^6/(H2dens*HoursInYear))</f>
        <v>888.88888888888891</v>
      </c>
      <c r="AC930" s="63">
        <f>AB930*H2dens*HoursInYear/10^6</f>
        <v>0.69301333333333337</v>
      </c>
      <c r="AD930" s="62"/>
      <c r="AE930" s="62">
        <f t="shared" si="109"/>
        <v>888.88888888888891</v>
      </c>
      <c r="AF930" s="64" t="s">
        <v>2794</v>
      </c>
      <c r="AG930" s="49">
        <v>0.5</v>
      </c>
    </row>
    <row r="931" spans="1:33" ht="34.5" customHeight="1" x14ac:dyDescent="0.3">
      <c r="A931" s="46">
        <v>1356</v>
      </c>
      <c r="B931" s="46" t="s">
        <v>2795</v>
      </c>
      <c r="C931" s="46" t="s">
        <v>50</v>
      </c>
      <c r="D931" s="60">
        <v>2031</v>
      </c>
      <c r="E931" s="60"/>
      <c r="F931" s="46" t="s">
        <v>591</v>
      </c>
      <c r="G931" s="46" t="s">
        <v>159</v>
      </c>
      <c r="H931" s="46" t="s">
        <v>592</v>
      </c>
      <c r="I931" s="46" t="s">
        <v>169</v>
      </c>
      <c r="J931" s="46" t="s">
        <v>246</v>
      </c>
      <c r="K931" s="46" t="s">
        <v>68</v>
      </c>
      <c r="L931" s="46"/>
      <c r="M931" s="46"/>
      <c r="N931" s="46"/>
      <c r="O931" s="46"/>
      <c r="P931" s="46"/>
      <c r="Q931" s="46"/>
      <c r="R931" s="46"/>
      <c r="S931" s="46"/>
      <c r="T931" s="46"/>
      <c r="U931" s="46"/>
      <c r="V931" s="46"/>
      <c r="W931" s="46"/>
      <c r="X931" s="46"/>
      <c r="Y931" s="46"/>
      <c r="Z931" s="46" t="s">
        <v>1654</v>
      </c>
      <c r="AA931" s="61">
        <v>500</v>
      </c>
      <c r="AB931" s="62">
        <f>IF(OR(G931="ALK",G931="PEM",G931="SOEC",G931="Other Electrolysis"),
AA931/VLOOKUP(G931,ElectrolysisConvF,3,FALSE),
AC931*10^6/(H2dens*HoursInYear))</f>
        <v>111111.11111111112</v>
      </c>
      <c r="AC931" s="63">
        <f>AB931*H2dens*HoursInYear/10^6</f>
        <v>86.626666666666665</v>
      </c>
      <c r="AD931" s="62"/>
      <c r="AE931" s="62">
        <f t="shared" si="109"/>
        <v>111111.11111111112</v>
      </c>
      <c r="AF931" s="64" t="s">
        <v>2796</v>
      </c>
      <c r="AG931" s="49">
        <v>0.55000000000000004</v>
      </c>
    </row>
    <row r="932" spans="1:33" ht="34.5" customHeight="1" x14ac:dyDescent="0.3">
      <c r="A932" s="46">
        <v>1357</v>
      </c>
      <c r="B932" s="46" t="s">
        <v>2797</v>
      </c>
      <c r="C932" s="46" t="s">
        <v>78</v>
      </c>
      <c r="D932" s="60">
        <v>2026</v>
      </c>
      <c r="E932" s="60"/>
      <c r="F932" s="46" t="s">
        <v>225</v>
      </c>
      <c r="G932" s="46" t="s">
        <v>161</v>
      </c>
      <c r="H932" s="46" t="s">
        <v>2365</v>
      </c>
      <c r="I932" s="46"/>
      <c r="J932" s="46"/>
      <c r="K932" s="46" t="s">
        <v>68</v>
      </c>
      <c r="L932" s="46">
        <v>1</v>
      </c>
      <c r="M932" s="46"/>
      <c r="N932" s="46"/>
      <c r="O932" s="46"/>
      <c r="P932" s="46"/>
      <c r="Q932" s="46"/>
      <c r="R932" s="46"/>
      <c r="S932" s="46"/>
      <c r="T932" s="46"/>
      <c r="U932" s="46"/>
      <c r="V932" s="46"/>
      <c r="W932" s="46"/>
      <c r="X932" s="46"/>
      <c r="Y932" s="46"/>
      <c r="Z932" s="46" t="s">
        <v>2798</v>
      </c>
      <c r="AA932" s="61"/>
      <c r="AB932" s="62"/>
      <c r="AC932" s="63"/>
      <c r="AD932" s="62">
        <v>400000</v>
      </c>
      <c r="AE932" s="62">
        <f t="shared" si="109"/>
        <v>50150.577107766068</v>
      </c>
      <c r="AF932" s="64"/>
      <c r="AG932" s="49">
        <v>0.9</v>
      </c>
    </row>
    <row r="933" spans="1:33" ht="34.5" customHeight="1" x14ac:dyDescent="0.3">
      <c r="A933" s="46">
        <v>1358</v>
      </c>
      <c r="B933" s="46" t="s">
        <v>2799</v>
      </c>
      <c r="C933" s="46" t="s">
        <v>37</v>
      </c>
      <c r="D933" s="60"/>
      <c r="E933" s="60"/>
      <c r="F933" s="46" t="s">
        <v>591</v>
      </c>
      <c r="G933" s="46" t="s">
        <v>161</v>
      </c>
      <c r="H933" s="46" t="s">
        <v>1951</v>
      </c>
      <c r="I933" s="46"/>
      <c r="J933" s="46"/>
      <c r="K933" s="46" t="s">
        <v>141</v>
      </c>
      <c r="L933" s="46"/>
      <c r="M933" s="46">
        <v>1</v>
      </c>
      <c r="N933" s="46"/>
      <c r="O933" s="46"/>
      <c r="P933" s="46"/>
      <c r="Q933" s="46"/>
      <c r="R933" s="46"/>
      <c r="S933" s="46"/>
      <c r="T933" s="46"/>
      <c r="U933" s="46"/>
      <c r="V933" s="46"/>
      <c r="W933" s="46"/>
      <c r="X933" s="46"/>
      <c r="Y933" s="46"/>
      <c r="Z933" s="46" t="s">
        <v>2800</v>
      </c>
      <c r="AA933" s="61"/>
      <c r="AB933" s="62"/>
      <c r="AC933" s="63">
        <v>165</v>
      </c>
      <c r="AD933" s="62"/>
      <c r="AE933" s="62">
        <f t="shared" si="109"/>
        <v>0</v>
      </c>
      <c r="AF933" s="64" t="s">
        <v>2801</v>
      </c>
      <c r="AG933" s="49">
        <v>0.9</v>
      </c>
    </row>
    <row r="934" spans="1:33" ht="34.5" customHeight="1" x14ac:dyDescent="0.3">
      <c r="A934" s="46">
        <v>1359</v>
      </c>
      <c r="B934" s="46" t="s">
        <v>2802</v>
      </c>
      <c r="C934" s="46" t="s">
        <v>34</v>
      </c>
      <c r="D934" s="60">
        <v>2030</v>
      </c>
      <c r="E934" s="60"/>
      <c r="F934" s="46" t="s">
        <v>225</v>
      </c>
      <c r="G934" s="46" t="s">
        <v>161</v>
      </c>
      <c r="H934" s="46" t="s">
        <v>2365</v>
      </c>
      <c r="I934" s="46"/>
      <c r="J934" s="46"/>
      <c r="K934" s="46" t="s">
        <v>68</v>
      </c>
      <c r="L934" s="46"/>
      <c r="M934" s="46"/>
      <c r="N934" s="46"/>
      <c r="O934" s="46">
        <v>1</v>
      </c>
      <c r="P934" s="46"/>
      <c r="Q934" s="46"/>
      <c r="R934" s="46"/>
      <c r="S934" s="46"/>
      <c r="T934" s="46"/>
      <c r="U934" s="46"/>
      <c r="V934" s="46"/>
      <c r="W934" s="46"/>
      <c r="X934" s="46"/>
      <c r="Y934" s="46"/>
      <c r="Z934" s="46" t="s">
        <v>2803</v>
      </c>
      <c r="AA934" s="61"/>
      <c r="AB934" s="62"/>
      <c r="AC934" s="63"/>
      <c r="AD934" s="62">
        <v>1850000</v>
      </c>
      <c r="AE934" s="62">
        <f t="shared" si="109"/>
        <v>231946.41912341808</v>
      </c>
      <c r="AF934" s="64" t="s">
        <v>2804</v>
      </c>
      <c r="AG934" s="49">
        <v>0.9</v>
      </c>
    </row>
    <row r="935" spans="1:33" ht="34.5" customHeight="1" x14ac:dyDescent="0.3">
      <c r="A935" s="46">
        <v>1361</v>
      </c>
      <c r="B935" s="46" t="s">
        <v>2805</v>
      </c>
      <c r="C935" s="46" t="s">
        <v>46</v>
      </c>
      <c r="D935" s="60">
        <v>2030</v>
      </c>
      <c r="E935" s="60"/>
      <c r="F935" s="46" t="s">
        <v>591</v>
      </c>
      <c r="G935" s="46" t="s">
        <v>159</v>
      </c>
      <c r="H935" s="46" t="s">
        <v>592</v>
      </c>
      <c r="I935" s="46" t="s">
        <v>169</v>
      </c>
      <c r="J935" s="46" t="s">
        <v>246</v>
      </c>
      <c r="K935" s="46" t="s">
        <v>168</v>
      </c>
      <c r="L935" s="46"/>
      <c r="M935" s="46"/>
      <c r="N935" s="46"/>
      <c r="O935" s="46"/>
      <c r="P935" s="46"/>
      <c r="Q935" s="46"/>
      <c r="R935" s="46"/>
      <c r="S935" s="46"/>
      <c r="T935" s="46"/>
      <c r="U935" s="46"/>
      <c r="V935" s="46"/>
      <c r="W935" s="46"/>
      <c r="X935" s="46"/>
      <c r="Y935" s="46"/>
      <c r="Z935" s="46"/>
      <c r="AA935" s="61"/>
      <c r="AB935" s="62"/>
      <c r="AC935" s="63"/>
      <c r="AD935" s="62"/>
      <c r="AE935" s="62">
        <f t="shared" si="109"/>
        <v>0</v>
      </c>
      <c r="AF935" s="64" t="s">
        <v>2806</v>
      </c>
      <c r="AG935" s="49">
        <v>0.55000000000000004</v>
      </c>
    </row>
    <row r="936" spans="1:33" ht="34.5" customHeight="1" x14ac:dyDescent="0.3">
      <c r="A936" s="46">
        <v>1362</v>
      </c>
      <c r="B936" s="46" t="s">
        <v>2807</v>
      </c>
      <c r="C936" s="46" t="s">
        <v>50</v>
      </c>
      <c r="D936" s="60">
        <v>2030</v>
      </c>
      <c r="E936" s="60"/>
      <c r="F936" s="46" t="s">
        <v>591</v>
      </c>
      <c r="G936" s="46" t="s">
        <v>159</v>
      </c>
      <c r="H936" s="46" t="s">
        <v>592</v>
      </c>
      <c r="I936" s="46" t="s">
        <v>169</v>
      </c>
      <c r="J936" s="46" t="s">
        <v>246</v>
      </c>
      <c r="K936" s="46" t="s">
        <v>68</v>
      </c>
      <c r="L936" s="46"/>
      <c r="M936" s="46"/>
      <c r="N936" s="46"/>
      <c r="O936" s="46"/>
      <c r="P936" s="46"/>
      <c r="Q936" s="46"/>
      <c r="R936" s="46"/>
      <c r="S936" s="46"/>
      <c r="T936" s="46"/>
      <c r="U936" s="46"/>
      <c r="V936" s="46"/>
      <c r="W936" s="46"/>
      <c r="X936" s="46"/>
      <c r="Y936" s="46"/>
      <c r="Z936" s="46" t="s">
        <v>2596</v>
      </c>
      <c r="AA936" s="61">
        <v>55</v>
      </c>
      <c r="AB936" s="62">
        <f t="shared" ref="AB936:AB943" si="112">IF(OR(G936="ALK",G936="PEM",G936="SOEC",G936="Other Electrolysis"),
AA936/VLOOKUP(G936,ElectrolysisConvF,3,FALSE),
AC936*10^6/(H2dens*HoursInYear))</f>
        <v>12222.222222222223</v>
      </c>
      <c r="AC936" s="63">
        <f t="shared" ref="AC936:AC945" si="113">AB936*H2dens*HoursInYear/10^6</f>
        <v>9.5289333333333346</v>
      </c>
      <c r="AD936" s="62"/>
      <c r="AE936" s="62">
        <f>AB936</f>
        <v>12222.222222222223</v>
      </c>
      <c r="AF936" s="64" t="s">
        <v>2808</v>
      </c>
      <c r="AG936" s="49">
        <v>0.55000000000000004</v>
      </c>
    </row>
    <row r="937" spans="1:33" ht="34.5" customHeight="1" x14ac:dyDescent="0.3">
      <c r="A937" s="46">
        <v>1363</v>
      </c>
      <c r="B937" s="46" t="s">
        <v>2809</v>
      </c>
      <c r="C937" s="46" t="s">
        <v>51</v>
      </c>
      <c r="D937" s="60">
        <v>2024</v>
      </c>
      <c r="E937" s="60"/>
      <c r="F937" s="46" t="s">
        <v>225</v>
      </c>
      <c r="G937" s="46" t="s">
        <v>3</v>
      </c>
      <c r="H937" s="46"/>
      <c r="I937" s="46" t="s">
        <v>169</v>
      </c>
      <c r="J937" s="46" t="s">
        <v>247</v>
      </c>
      <c r="K937" s="46" t="s">
        <v>141</v>
      </c>
      <c r="L937" s="46"/>
      <c r="M937" s="46">
        <v>1</v>
      </c>
      <c r="N937" s="46"/>
      <c r="O937" s="46"/>
      <c r="P937" s="46"/>
      <c r="Q937" s="46"/>
      <c r="R937" s="46"/>
      <c r="S937" s="46"/>
      <c r="T937" s="46"/>
      <c r="U937" s="46"/>
      <c r="V937" s="46"/>
      <c r="W937" s="46"/>
      <c r="X937" s="46"/>
      <c r="Y937" s="46"/>
      <c r="Z937" s="46" t="s">
        <v>1274</v>
      </c>
      <c r="AA937" s="61">
        <v>50</v>
      </c>
      <c r="AB937" s="62">
        <f t="shared" si="112"/>
        <v>10869.565217391304</v>
      </c>
      <c r="AC937" s="63">
        <f t="shared" si="113"/>
        <v>8.4743478260869551</v>
      </c>
      <c r="AD937" s="62"/>
      <c r="AE937" s="62">
        <f t="shared" ref="AE937:AE943" si="114">IF(AND(G937&lt;&gt;"NG w CCUS",G937&lt;&gt;"Oil w CCUS",G937&lt;&gt;"Coal w CCUS"),AB937,AD937*10^3/(HoursInYear*IF(G937="NG w CCUS",0.9105,1.9075)))</f>
        <v>10869.565217391304</v>
      </c>
      <c r="AF937" s="64" t="s">
        <v>2810</v>
      </c>
      <c r="AG937" s="49">
        <v>0.8</v>
      </c>
    </row>
    <row r="938" spans="1:33" ht="34.5" customHeight="1" x14ac:dyDescent="0.3">
      <c r="A938" s="46">
        <v>1364</v>
      </c>
      <c r="B938" s="46" t="s">
        <v>2811</v>
      </c>
      <c r="C938" s="46" t="s">
        <v>51</v>
      </c>
      <c r="D938" s="60">
        <v>2026</v>
      </c>
      <c r="E938" s="60"/>
      <c r="F938" s="46" t="s">
        <v>591</v>
      </c>
      <c r="G938" s="46" t="s">
        <v>3</v>
      </c>
      <c r="H938" s="46"/>
      <c r="I938" s="46" t="s">
        <v>169</v>
      </c>
      <c r="J938" s="46" t="s">
        <v>247</v>
      </c>
      <c r="K938" s="46" t="s">
        <v>141</v>
      </c>
      <c r="L938" s="46"/>
      <c r="M938" s="46">
        <v>1</v>
      </c>
      <c r="N938" s="46"/>
      <c r="O938" s="46"/>
      <c r="P938" s="46"/>
      <c r="Q938" s="46"/>
      <c r="R938" s="46"/>
      <c r="S938" s="46"/>
      <c r="T938" s="46"/>
      <c r="U938" s="46"/>
      <c r="V938" s="46"/>
      <c r="W938" s="46"/>
      <c r="X938" s="46"/>
      <c r="Y938" s="46"/>
      <c r="Z938" s="46" t="s">
        <v>1260</v>
      </c>
      <c r="AA938" s="61">
        <v>200</v>
      </c>
      <c r="AB938" s="62">
        <f t="shared" si="112"/>
        <v>43478.260869565216</v>
      </c>
      <c r="AC938" s="63">
        <f t="shared" si="113"/>
        <v>33.897391304347821</v>
      </c>
      <c r="AD938" s="62"/>
      <c r="AE938" s="62">
        <f t="shared" si="114"/>
        <v>43478.260869565216</v>
      </c>
      <c r="AF938" s="64" t="s">
        <v>2810</v>
      </c>
      <c r="AG938" s="49">
        <v>0.8</v>
      </c>
    </row>
    <row r="939" spans="1:33" ht="34.5" customHeight="1" x14ac:dyDescent="0.3">
      <c r="A939" s="46">
        <v>1365</v>
      </c>
      <c r="B939" s="46" t="s">
        <v>2812</v>
      </c>
      <c r="C939" s="46" t="s">
        <v>54</v>
      </c>
      <c r="D939" s="60">
        <v>2026</v>
      </c>
      <c r="E939" s="60"/>
      <c r="F939" s="46" t="s">
        <v>225</v>
      </c>
      <c r="G939" s="46" t="s">
        <v>3</v>
      </c>
      <c r="H939" s="46"/>
      <c r="I939" s="46" t="s">
        <v>169</v>
      </c>
      <c r="J939" s="46" t="s">
        <v>248</v>
      </c>
      <c r="K939" s="46" t="s">
        <v>68</v>
      </c>
      <c r="L939" s="46"/>
      <c r="M939" s="46"/>
      <c r="N939" s="46"/>
      <c r="O939" s="46"/>
      <c r="P939" s="46"/>
      <c r="Q939" s="46">
        <v>1</v>
      </c>
      <c r="R939" s="46"/>
      <c r="S939" s="46"/>
      <c r="T939" s="46"/>
      <c r="U939" s="46"/>
      <c r="V939" s="46"/>
      <c r="W939" s="46"/>
      <c r="X939" s="46"/>
      <c r="Y939" s="46"/>
      <c r="Z939" s="46" t="s">
        <v>964</v>
      </c>
      <c r="AA939" s="61">
        <v>30</v>
      </c>
      <c r="AB939" s="62">
        <f t="shared" si="112"/>
        <v>6521.739130434783</v>
      </c>
      <c r="AC939" s="63">
        <f t="shared" si="113"/>
        <v>5.0846086956521734</v>
      </c>
      <c r="AD939" s="62"/>
      <c r="AE939" s="62">
        <f t="shared" si="114"/>
        <v>6521.739130434783</v>
      </c>
      <c r="AF939" s="64" t="s">
        <v>2813</v>
      </c>
      <c r="AG939" s="49">
        <v>0.5</v>
      </c>
    </row>
    <row r="940" spans="1:33" ht="34.5" customHeight="1" x14ac:dyDescent="0.3">
      <c r="A940" s="46">
        <v>1366</v>
      </c>
      <c r="B940" s="46" t="s">
        <v>2814</v>
      </c>
      <c r="C940" s="46" t="s">
        <v>54</v>
      </c>
      <c r="D940" s="60">
        <v>2026</v>
      </c>
      <c r="E940" s="60"/>
      <c r="F940" s="46" t="s">
        <v>225</v>
      </c>
      <c r="G940" s="46" t="s">
        <v>3</v>
      </c>
      <c r="H940" s="46"/>
      <c r="I940" s="46" t="s">
        <v>169</v>
      </c>
      <c r="J940" s="46" t="s">
        <v>248</v>
      </c>
      <c r="K940" s="46" t="s">
        <v>68</v>
      </c>
      <c r="L940" s="46"/>
      <c r="M940" s="46"/>
      <c r="N940" s="46"/>
      <c r="O940" s="46"/>
      <c r="P940" s="46"/>
      <c r="Q940" s="46">
        <v>1</v>
      </c>
      <c r="R940" s="46"/>
      <c r="S940" s="46"/>
      <c r="T940" s="46"/>
      <c r="U940" s="46"/>
      <c r="V940" s="46"/>
      <c r="W940" s="46"/>
      <c r="X940" s="46"/>
      <c r="Y940" s="46"/>
      <c r="Z940" s="46" t="s">
        <v>1257</v>
      </c>
      <c r="AA940" s="61">
        <v>70</v>
      </c>
      <c r="AB940" s="62">
        <f t="shared" si="112"/>
        <v>15217.391304347826</v>
      </c>
      <c r="AC940" s="63">
        <f t="shared" si="113"/>
        <v>11.864086956521739</v>
      </c>
      <c r="AD940" s="62"/>
      <c r="AE940" s="62">
        <f t="shared" si="114"/>
        <v>15217.391304347826</v>
      </c>
      <c r="AF940" s="64" t="s">
        <v>2813</v>
      </c>
      <c r="AG940" s="49">
        <v>0.5</v>
      </c>
    </row>
    <row r="941" spans="1:33" ht="34.5" customHeight="1" x14ac:dyDescent="0.3">
      <c r="A941" s="46">
        <v>1367</v>
      </c>
      <c r="B941" s="46" t="s">
        <v>2815</v>
      </c>
      <c r="C941" s="46" t="s">
        <v>497</v>
      </c>
      <c r="D941" s="60">
        <v>2025</v>
      </c>
      <c r="E941" s="60"/>
      <c r="F941" s="46" t="s">
        <v>225</v>
      </c>
      <c r="G941" s="46" t="s">
        <v>159</v>
      </c>
      <c r="H941" s="46" t="s">
        <v>592</v>
      </c>
      <c r="I941" s="46" t="s">
        <v>169</v>
      </c>
      <c r="J941" s="46" t="s">
        <v>69</v>
      </c>
      <c r="K941" s="46" t="s">
        <v>141</v>
      </c>
      <c r="L941" s="46"/>
      <c r="M941" s="46">
        <v>1</v>
      </c>
      <c r="N941" s="46"/>
      <c r="O941" s="46"/>
      <c r="P941" s="46"/>
      <c r="Q941" s="46"/>
      <c r="R941" s="46"/>
      <c r="S941" s="46"/>
      <c r="T941" s="46"/>
      <c r="U941" s="46"/>
      <c r="V941" s="46"/>
      <c r="W941" s="46"/>
      <c r="X941" s="46"/>
      <c r="Y941" s="46"/>
      <c r="Z941" s="46" t="s">
        <v>1664</v>
      </c>
      <c r="AA941" s="61">
        <v>300</v>
      </c>
      <c r="AB941" s="62">
        <f t="shared" si="112"/>
        <v>66666.666666666672</v>
      </c>
      <c r="AC941" s="63">
        <f t="shared" si="113"/>
        <v>51.975999999999999</v>
      </c>
      <c r="AD941" s="62"/>
      <c r="AE941" s="62">
        <f t="shared" si="114"/>
        <v>66666.666666666672</v>
      </c>
      <c r="AF941" s="64" t="s">
        <v>2816</v>
      </c>
      <c r="AG941" s="49">
        <v>0.5</v>
      </c>
    </row>
    <row r="942" spans="1:33" ht="34.5" customHeight="1" x14ac:dyDescent="0.3">
      <c r="A942" s="46">
        <v>1368</v>
      </c>
      <c r="B942" s="46" t="s">
        <v>2817</v>
      </c>
      <c r="C942" s="46" t="s">
        <v>83</v>
      </c>
      <c r="D942" s="60">
        <v>2024</v>
      </c>
      <c r="E942" s="60"/>
      <c r="F942" s="46" t="s">
        <v>225</v>
      </c>
      <c r="G942" s="46" t="s">
        <v>1</v>
      </c>
      <c r="H942" s="46"/>
      <c r="I942" s="46" t="s">
        <v>169</v>
      </c>
      <c r="J942" s="46" t="s">
        <v>248</v>
      </c>
      <c r="K942" s="46" t="s">
        <v>141</v>
      </c>
      <c r="L942" s="46"/>
      <c r="M942" s="46">
        <v>1</v>
      </c>
      <c r="N942" s="46"/>
      <c r="O942" s="46"/>
      <c r="P942" s="46"/>
      <c r="Q942" s="46"/>
      <c r="R942" s="46"/>
      <c r="S942" s="46"/>
      <c r="T942" s="46"/>
      <c r="U942" s="46"/>
      <c r="V942" s="46"/>
      <c r="W942" s="46"/>
      <c r="X942" s="46"/>
      <c r="Y942" s="46"/>
      <c r="Z942" s="46" t="s">
        <v>1257</v>
      </c>
      <c r="AA942" s="61">
        <v>100</v>
      </c>
      <c r="AB942" s="62">
        <f t="shared" si="112"/>
        <v>19230.76923076923</v>
      </c>
      <c r="AC942" s="63">
        <f t="shared" si="113"/>
        <v>14.993076923076922</v>
      </c>
      <c r="AD942" s="62"/>
      <c r="AE942" s="62">
        <f t="shared" si="114"/>
        <v>19230.76923076923</v>
      </c>
      <c r="AF942" s="64" t="s">
        <v>2818</v>
      </c>
      <c r="AG942" s="49">
        <v>0.5</v>
      </c>
    </row>
    <row r="943" spans="1:33" ht="34.5" customHeight="1" x14ac:dyDescent="0.3">
      <c r="A943" s="46">
        <v>1369</v>
      </c>
      <c r="B943" s="46" t="s">
        <v>2819</v>
      </c>
      <c r="C943" s="46" t="s">
        <v>203</v>
      </c>
      <c r="D943" s="60">
        <v>2025</v>
      </c>
      <c r="E943" s="60"/>
      <c r="F943" s="46" t="s">
        <v>225</v>
      </c>
      <c r="G943" s="46" t="s">
        <v>159</v>
      </c>
      <c r="H943" s="46" t="s">
        <v>592</v>
      </c>
      <c r="I943" s="46" t="s">
        <v>169</v>
      </c>
      <c r="J943" s="46" t="s">
        <v>248</v>
      </c>
      <c r="K943" s="46" t="s">
        <v>68</v>
      </c>
      <c r="L943" s="46"/>
      <c r="M943" s="46"/>
      <c r="N943" s="46"/>
      <c r="O943" s="46"/>
      <c r="P943" s="46"/>
      <c r="Q943" s="46"/>
      <c r="R943" s="46"/>
      <c r="S943" s="46"/>
      <c r="T943" s="46"/>
      <c r="U943" s="46"/>
      <c r="V943" s="46"/>
      <c r="W943" s="46"/>
      <c r="X943" s="46"/>
      <c r="Y943" s="46"/>
      <c r="Z943" s="46" t="s">
        <v>981</v>
      </c>
      <c r="AA943" s="61">
        <v>20</v>
      </c>
      <c r="AB943" s="62">
        <f t="shared" si="112"/>
        <v>4444.4444444444443</v>
      </c>
      <c r="AC943" s="63">
        <f t="shared" si="113"/>
        <v>3.4650666666666665</v>
      </c>
      <c r="AD943" s="62"/>
      <c r="AE943" s="62">
        <f t="shared" si="114"/>
        <v>4444.4444444444443</v>
      </c>
      <c r="AF943" s="64" t="s">
        <v>2820</v>
      </c>
      <c r="AG943" s="49">
        <v>0.5</v>
      </c>
    </row>
    <row r="944" spans="1:33" ht="34.5" customHeight="1" x14ac:dyDescent="0.3">
      <c r="A944" s="46">
        <v>1371</v>
      </c>
      <c r="B944" s="46" t="s">
        <v>2821</v>
      </c>
      <c r="C944" s="46" t="s">
        <v>39</v>
      </c>
      <c r="D944" s="60"/>
      <c r="E944" s="60"/>
      <c r="F944" s="46" t="s">
        <v>591</v>
      </c>
      <c r="G944" s="46" t="s">
        <v>159</v>
      </c>
      <c r="H944" s="46" t="s">
        <v>592</v>
      </c>
      <c r="I944" s="46" t="s">
        <v>169</v>
      </c>
      <c r="J944" s="46" t="s">
        <v>248</v>
      </c>
      <c r="K944" s="46" t="s">
        <v>68</v>
      </c>
      <c r="L944" s="46"/>
      <c r="M944" s="46"/>
      <c r="N944" s="46"/>
      <c r="O944" s="46"/>
      <c r="P944" s="46">
        <v>1</v>
      </c>
      <c r="Q944" s="46">
        <v>1</v>
      </c>
      <c r="R944" s="46"/>
      <c r="S944" s="46"/>
      <c r="T944" s="46"/>
      <c r="U944" s="46"/>
      <c r="V944" s="46"/>
      <c r="W944" s="46"/>
      <c r="X944" s="46"/>
      <c r="Y944" s="46"/>
      <c r="Z944" s="46" t="s">
        <v>1347</v>
      </c>
      <c r="AA944" s="61">
        <v>149</v>
      </c>
      <c r="AB944" s="62">
        <f>IF(OR(G944="ALK",G944="PEM",G944="SOEC",G944="Other Electrolysis"),
AA944/VLOOKUP(G944,ElectrolysisConvF,3,FALSE),
AC944*10^6/(H2dens*HoursInYear))</f>
        <v>33111.111111111117</v>
      </c>
      <c r="AC944" s="63">
        <f t="shared" si="113"/>
        <v>25.814746666666668</v>
      </c>
      <c r="AD944" s="62"/>
      <c r="AE944" s="62">
        <f>AB944</f>
        <v>33111.111111111117</v>
      </c>
      <c r="AF944" s="64"/>
      <c r="AG944" s="49">
        <v>0.5</v>
      </c>
    </row>
    <row r="945" spans="1:33" ht="34.5" customHeight="1" x14ac:dyDescent="0.3">
      <c r="A945" s="46">
        <v>1372</v>
      </c>
      <c r="B945" s="46" t="s">
        <v>2822</v>
      </c>
      <c r="C945" s="46" t="s">
        <v>46</v>
      </c>
      <c r="D945" s="60">
        <v>2025</v>
      </c>
      <c r="E945" s="60"/>
      <c r="F945" s="46" t="s">
        <v>225</v>
      </c>
      <c r="G945" s="46" t="s">
        <v>159</v>
      </c>
      <c r="H945" s="46" t="s">
        <v>592</v>
      </c>
      <c r="I945" s="46" t="s">
        <v>169</v>
      </c>
      <c r="J945" s="46" t="s">
        <v>69</v>
      </c>
      <c r="K945" s="46" t="s">
        <v>68</v>
      </c>
      <c r="L945" s="46"/>
      <c r="M945" s="46"/>
      <c r="N945" s="46"/>
      <c r="O945" s="46"/>
      <c r="P945" s="46">
        <v>1</v>
      </c>
      <c r="Q945" s="46"/>
      <c r="R945" s="46"/>
      <c r="S945" s="46"/>
      <c r="T945" s="46"/>
      <c r="U945" s="46"/>
      <c r="V945" s="46"/>
      <c r="W945" s="46"/>
      <c r="X945" s="46"/>
      <c r="Y945" s="46"/>
      <c r="Z945" s="46" t="s">
        <v>2596</v>
      </c>
      <c r="AA945" s="61">
        <v>80</v>
      </c>
      <c r="AB945" s="62">
        <f>IF(OR(G945="ALK",G945="PEM",G945="SOEC",G945="Other Electrolysis"),
AA945/VLOOKUP(G945,ElectrolysisConvF,3,FALSE),
AC945*10^6/(H2dens*HoursInYear))</f>
        <v>17777.777777777777</v>
      </c>
      <c r="AC945" s="63">
        <f t="shared" si="113"/>
        <v>13.860266666666666</v>
      </c>
      <c r="AD945" s="62"/>
      <c r="AE945" s="62">
        <f>IF(AND(G945&lt;&gt;"NG w CCUS",G945&lt;&gt;"Oil w CCUS",G945&lt;&gt;"Coal w CCUS"),AB945,AD945*10^3/(HoursInYear*IF(G945="NG w CCUS",0.9105,1.9075)))</f>
        <v>17777.777777777777</v>
      </c>
      <c r="AF945" s="64" t="s">
        <v>2823</v>
      </c>
      <c r="AG945" s="49">
        <v>0.5</v>
      </c>
    </row>
    <row r="946" spans="1:33" ht="34.5" customHeight="1" x14ac:dyDescent="0.3">
      <c r="A946" s="46">
        <v>1373</v>
      </c>
      <c r="B946" s="46" t="s">
        <v>2824</v>
      </c>
      <c r="C946" s="46" t="s">
        <v>46</v>
      </c>
      <c r="D946" s="60"/>
      <c r="E946" s="60"/>
      <c r="F946" s="46" t="s">
        <v>225</v>
      </c>
      <c r="G946" s="46" t="s">
        <v>159</v>
      </c>
      <c r="H946" s="46" t="s">
        <v>592</v>
      </c>
      <c r="I946" s="46" t="s">
        <v>169</v>
      </c>
      <c r="J946" s="46" t="s">
        <v>69</v>
      </c>
      <c r="K946" s="46" t="s">
        <v>68</v>
      </c>
      <c r="L946" s="46"/>
      <c r="M946" s="46"/>
      <c r="N946" s="46"/>
      <c r="O946" s="46"/>
      <c r="P946" s="46"/>
      <c r="Q946" s="46"/>
      <c r="R946" s="46"/>
      <c r="S946" s="46"/>
      <c r="T946" s="46"/>
      <c r="U946" s="46"/>
      <c r="V946" s="46"/>
      <c r="W946" s="46"/>
      <c r="X946" s="46"/>
      <c r="Y946" s="46"/>
      <c r="Z946" s="46"/>
      <c r="AA946" s="61"/>
      <c r="AB946" s="62"/>
      <c r="AC946" s="63"/>
      <c r="AD946" s="62"/>
      <c r="AE946" s="62">
        <f>IF(AND(G946&lt;&gt;"NG w CCUS",G946&lt;&gt;"Oil w CCUS",G946&lt;&gt;"Coal w CCUS"),AB946,AD946*10^3/(HoursInYear*IF(G946="NG w CCUS",0.9105,1.9075)))</f>
        <v>0</v>
      </c>
      <c r="AF946" s="64" t="s">
        <v>2823</v>
      </c>
      <c r="AG946" s="49">
        <v>0.5</v>
      </c>
    </row>
    <row r="947" spans="1:33" ht="34.5" customHeight="1" x14ac:dyDescent="0.3">
      <c r="A947" s="46">
        <v>1374</v>
      </c>
      <c r="B947" s="46" t="s">
        <v>2825</v>
      </c>
      <c r="C947" s="46" t="s">
        <v>46</v>
      </c>
      <c r="D947" s="60">
        <v>2030</v>
      </c>
      <c r="E947" s="60"/>
      <c r="F947" s="46" t="s">
        <v>157</v>
      </c>
      <c r="G947" s="46" t="s">
        <v>1</v>
      </c>
      <c r="H947" s="46"/>
      <c r="I947" s="46" t="s">
        <v>169</v>
      </c>
      <c r="J947" s="46" t="s">
        <v>246</v>
      </c>
      <c r="K947" s="46" t="s">
        <v>68</v>
      </c>
      <c r="L947" s="46"/>
      <c r="M947" s="46"/>
      <c r="N947" s="46"/>
      <c r="O947" s="46"/>
      <c r="P947" s="46"/>
      <c r="Q947" s="46"/>
      <c r="R947" s="46"/>
      <c r="S947" s="46"/>
      <c r="T947" s="46"/>
      <c r="U947" s="46"/>
      <c r="V947" s="46"/>
      <c r="W947" s="46"/>
      <c r="X947" s="46"/>
      <c r="Y947" s="46"/>
      <c r="Z947" s="46" t="s">
        <v>2826</v>
      </c>
      <c r="AA947" s="61">
        <v>900</v>
      </c>
      <c r="AB947" s="62">
        <f>AA947/0.0052</f>
        <v>173076.92307692309</v>
      </c>
      <c r="AC947" s="63">
        <f>AB947*H2dens*HoursInYear/10^6</f>
        <v>134.93769230769232</v>
      </c>
      <c r="AD947" s="62"/>
      <c r="AE947" s="62">
        <f>AB947</f>
        <v>173076.92307692309</v>
      </c>
      <c r="AF947" s="64" t="s">
        <v>2827</v>
      </c>
      <c r="AG947" s="49">
        <v>0.55000000000000004</v>
      </c>
    </row>
    <row r="948" spans="1:33" ht="34.5" customHeight="1" x14ac:dyDescent="0.3">
      <c r="A948" s="46">
        <v>1375</v>
      </c>
      <c r="B948" s="46" t="s">
        <v>2828</v>
      </c>
      <c r="C948" s="46" t="s">
        <v>479</v>
      </c>
      <c r="D948" s="60">
        <v>2024</v>
      </c>
      <c r="E948" s="60"/>
      <c r="F948" s="46" t="s">
        <v>225</v>
      </c>
      <c r="G948" s="46" t="s">
        <v>153</v>
      </c>
      <c r="H948" s="46" t="s">
        <v>1715</v>
      </c>
      <c r="I948" s="46"/>
      <c r="J948" s="46"/>
      <c r="K948" s="46" t="s">
        <v>68</v>
      </c>
      <c r="L948" s="46"/>
      <c r="M948" s="46"/>
      <c r="N948" s="46"/>
      <c r="O948" s="46"/>
      <c r="P948" s="46"/>
      <c r="Q948" s="46"/>
      <c r="R948" s="46"/>
      <c r="S948" s="46"/>
      <c r="T948" s="46"/>
      <c r="U948" s="46"/>
      <c r="V948" s="46"/>
      <c r="W948" s="46"/>
      <c r="X948" s="46"/>
      <c r="Y948" s="46"/>
      <c r="Z948" s="46"/>
      <c r="AA948" s="61"/>
      <c r="AB948" s="62"/>
      <c r="AC948" s="63"/>
      <c r="AD948" s="62"/>
      <c r="AE948" s="62">
        <f t="shared" ref="AE948:AE967" si="115">IF(AND(G948&lt;&gt;"NG w CCUS",G948&lt;&gt;"Oil w CCUS",G948&lt;&gt;"Coal w CCUS"),AB948,AD948*10^3/(HoursInYear*IF(G948="NG w CCUS",0.9105,1.9075)))</f>
        <v>0</v>
      </c>
      <c r="AF948" s="64" t="s">
        <v>2829</v>
      </c>
      <c r="AG948" s="49">
        <v>0.9</v>
      </c>
    </row>
    <row r="949" spans="1:33" ht="34.5" customHeight="1" x14ac:dyDescent="0.3">
      <c r="A949" s="46">
        <v>1376</v>
      </c>
      <c r="B949" s="46" t="s">
        <v>2830</v>
      </c>
      <c r="C949" s="46" t="s">
        <v>41</v>
      </c>
      <c r="D949" s="60">
        <v>2027</v>
      </c>
      <c r="E949" s="60"/>
      <c r="F949" s="46" t="s">
        <v>225</v>
      </c>
      <c r="G949" s="46" t="s">
        <v>159</v>
      </c>
      <c r="H949" s="46" t="s">
        <v>592</v>
      </c>
      <c r="I949" s="46" t="s">
        <v>169</v>
      </c>
      <c r="J949" s="46" t="s">
        <v>248</v>
      </c>
      <c r="K949" s="46" t="s">
        <v>68</v>
      </c>
      <c r="L949" s="46"/>
      <c r="M949" s="46"/>
      <c r="N949" s="46"/>
      <c r="O949" s="46"/>
      <c r="P949" s="46"/>
      <c r="Q949" s="46"/>
      <c r="R949" s="46"/>
      <c r="S949" s="46"/>
      <c r="T949" s="46"/>
      <c r="U949" s="46"/>
      <c r="V949" s="46"/>
      <c r="W949" s="46"/>
      <c r="X949" s="46"/>
      <c r="Y949" s="46"/>
      <c r="Z949" s="46" t="s">
        <v>2831</v>
      </c>
      <c r="AA949" s="61">
        <f>IF(OR(G949="ALK",G949="PEM",G949="SOEC",G949="Other Electrolysis"),
AB949*VLOOKUP(G949,ElectrolysisConvF,3,FALSE),
"")</f>
        <v>1154.3789441280592</v>
      </c>
      <c r="AB949" s="62">
        <f>AC949/(H2dens*HoursInYear/10^6)</f>
        <v>256528.65425067983</v>
      </c>
      <c r="AC949" s="63">
        <f>100/H2ProjectDB4578610[[#This Row],[Column33]]</f>
        <v>200</v>
      </c>
      <c r="AD949" s="62"/>
      <c r="AE949" s="62">
        <f t="shared" si="115"/>
        <v>256528.65425067983</v>
      </c>
      <c r="AF949" s="64" t="s">
        <v>2832</v>
      </c>
      <c r="AG949" s="49">
        <v>0.5</v>
      </c>
    </row>
    <row r="950" spans="1:33" ht="34.5" customHeight="1" x14ac:dyDescent="0.3">
      <c r="A950" s="46">
        <v>1377</v>
      </c>
      <c r="B950" s="46" t="s">
        <v>2833</v>
      </c>
      <c r="C950" s="46" t="s">
        <v>41</v>
      </c>
      <c r="D950" s="60">
        <v>2027</v>
      </c>
      <c r="E950" s="60"/>
      <c r="F950" s="46" t="s">
        <v>675</v>
      </c>
      <c r="G950" s="46" t="s">
        <v>159</v>
      </c>
      <c r="H950" s="46" t="s">
        <v>592</v>
      </c>
      <c r="I950" s="46" t="s">
        <v>169</v>
      </c>
      <c r="J950" s="46" t="s">
        <v>246</v>
      </c>
      <c r="K950" s="46" t="s">
        <v>68</v>
      </c>
      <c r="L950" s="46"/>
      <c r="M950" s="46"/>
      <c r="N950" s="46"/>
      <c r="O950" s="46"/>
      <c r="P950" s="46"/>
      <c r="Q950" s="46"/>
      <c r="R950" s="46"/>
      <c r="S950" s="46"/>
      <c r="T950" s="46"/>
      <c r="U950" s="46"/>
      <c r="V950" s="46"/>
      <c r="W950" s="46"/>
      <c r="X950" s="46"/>
      <c r="Y950" s="46"/>
      <c r="Z950" s="46" t="s">
        <v>2831</v>
      </c>
      <c r="AA950" s="61">
        <f>IF(OR(G950="ALK",G950="PEM",G950="SOEC",G950="Other Electrolysis"),
AB950*VLOOKUP(G950,ElectrolysisConvF,3,FALSE),
"")</f>
        <v>1049.435403752781</v>
      </c>
      <c r="AB950" s="62">
        <f>AC950/(H2dens*HoursInYear/10^6)</f>
        <v>233207.86750061801</v>
      </c>
      <c r="AC950" s="63">
        <f>100/H2ProjectDB4578610[[#This Row],[Column33]]</f>
        <v>181.81818181818181</v>
      </c>
      <c r="AD950" s="62"/>
      <c r="AE950" s="62">
        <f t="shared" si="115"/>
        <v>233207.86750061801</v>
      </c>
      <c r="AF950" s="64" t="s">
        <v>2832</v>
      </c>
      <c r="AG950" s="49">
        <v>0.55000000000000004</v>
      </c>
    </row>
    <row r="951" spans="1:33" ht="34.5" customHeight="1" x14ac:dyDescent="0.3">
      <c r="A951" s="46">
        <v>1378</v>
      </c>
      <c r="B951" s="46" t="s">
        <v>2834</v>
      </c>
      <c r="C951" s="46" t="s">
        <v>39</v>
      </c>
      <c r="D951" s="60"/>
      <c r="E951" s="60"/>
      <c r="F951" s="46" t="s">
        <v>225</v>
      </c>
      <c r="G951" s="46" t="s">
        <v>159</v>
      </c>
      <c r="H951" s="46" t="s">
        <v>592</v>
      </c>
      <c r="I951" s="46" t="s">
        <v>169</v>
      </c>
      <c r="J951" s="46" t="s">
        <v>69</v>
      </c>
      <c r="K951" s="46" t="s">
        <v>68</v>
      </c>
      <c r="L951" s="46"/>
      <c r="M951" s="46"/>
      <c r="N951" s="46"/>
      <c r="O951" s="46"/>
      <c r="P951" s="46"/>
      <c r="Q951" s="46"/>
      <c r="R951" s="46"/>
      <c r="S951" s="46"/>
      <c r="T951" s="46"/>
      <c r="U951" s="46"/>
      <c r="V951" s="46"/>
      <c r="W951" s="46"/>
      <c r="X951" s="46"/>
      <c r="Y951" s="46"/>
      <c r="Z951" s="46" t="s">
        <v>1339</v>
      </c>
      <c r="AA951" s="61">
        <v>40</v>
      </c>
      <c r="AB951" s="62">
        <f>IF(OR(G951="ALK",G951="PEM",G951="SOEC",G951="Other Electrolysis"),
AA951/VLOOKUP(G951,ElectrolysisConvF,3,FALSE),
AC951*10^6/(H2dens*HoursInYear))</f>
        <v>8888.8888888888887</v>
      </c>
      <c r="AC951" s="63">
        <f>AB951*H2dens*HoursInYear/10^6</f>
        <v>6.930133333333333</v>
      </c>
      <c r="AD951" s="62"/>
      <c r="AE951" s="62">
        <f t="shared" si="115"/>
        <v>8888.8888888888887</v>
      </c>
      <c r="AF951" s="64" t="s">
        <v>2835</v>
      </c>
      <c r="AG951" s="49">
        <v>0.5</v>
      </c>
    </row>
    <row r="952" spans="1:33" ht="34.5" customHeight="1" x14ac:dyDescent="0.3">
      <c r="A952" s="46">
        <v>1379</v>
      </c>
      <c r="B952" s="46" t="s">
        <v>2836</v>
      </c>
      <c r="C952" s="46" t="s">
        <v>40</v>
      </c>
      <c r="D952" s="60">
        <v>2024</v>
      </c>
      <c r="E952" s="60"/>
      <c r="F952" s="46" t="s">
        <v>225</v>
      </c>
      <c r="G952" s="46" t="s">
        <v>163</v>
      </c>
      <c r="H952" s="46" t="s">
        <v>1805</v>
      </c>
      <c r="I952" s="46"/>
      <c r="J952" s="46"/>
      <c r="K952" s="46" t="s">
        <v>68</v>
      </c>
      <c r="L952" s="46"/>
      <c r="M952" s="46"/>
      <c r="N952" s="46"/>
      <c r="O952" s="46"/>
      <c r="P952" s="46"/>
      <c r="Q952" s="46"/>
      <c r="R952" s="46"/>
      <c r="S952" s="46"/>
      <c r="T952" s="46"/>
      <c r="U952" s="46"/>
      <c r="V952" s="46"/>
      <c r="W952" s="46"/>
      <c r="X952" s="46"/>
      <c r="Y952" s="46"/>
      <c r="Z952" s="46" t="s">
        <v>2837</v>
      </c>
      <c r="AA952" s="61"/>
      <c r="AB952" s="62">
        <f>IF(OR(G952="ALK",G952="PEM",G952="SOEC",G952="Other Electrolysis"),
AA952/VLOOKUP(G952,ElectrolysisConvF,3,FALSE),
AC952*10^6/(H2dens*HoursInYear))</f>
        <v>5711.6104868913862</v>
      </c>
      <c r="AC952" s="63">
        <f>12.2*365/1000</f>
        <v>4.4530000000000003</v>
      </c>
      <c r="AD952" s="62"/>
      <c r="AE952" s="62">
        <f t="shared" si="115"/>
        <v>5711.6104868913862</v>
      </c>
      <c r="AF952" s="64" t="s">
        <v>2838</v>
      </c>
      <c r="AG952" s="49">
        <v>0.9</v>
      </c>
    </row>
    <row r="953" spans="1:33" ht="34.5" customHeight="1" x14ac:dyDescent="0.3">
      <c r="A953" s="46">
        <v>1380</v>
      </c>
      <c r="B953" s="46" t="s">
        <v>2839</v>
      </c>
      <c r="C953" s="46" t="s">
        <v>343</v>
      </c>
      <c r="D953" s="60"/>
      <c r="E953" s="60"/>
      <c r="F953" s="46" t="s">
        <v>591</v>
      </c>
      <c r="G953" s="46" t="s">
        <v>153</v>
      </c>
      <c r="H953" s="46" t="s">
        <v>2840</v>
      </c>
      <c r="I953" s="46"/>
      <c r="J953" s="46"/>
      <c r="K953" s="46" t="s">
        <v>68</v>
      </c>
      <c r="L953" s="46"/>
      <c r="M953" s="46"/>
      <c r="N953" s="46"/>
      <c r="O953" s="46"/>
      <c r="P953" s="46"/>
      <c r="Q953" s="46"/>
      <c r="R953" s="46"/>
      <c r="S953" s="46"/>
      <c r="T953" s="46"/>
      <c r="U953" s="46"/>
      <c r="V953" s="46"/>
      <c r="W953" s="46"/>
      <c r="X953" s="46"/>
      <c r="Y953" s="46"/>
      <c r="Z953" s="46"/>
      <c r="AA953" s="61"/>
      <c r="AB953" s="62"/>
      <c r="AC953" s="63"/>
      <c r="AD953" s="62"/>
      <c r="AE953" s="62">
        <f t="shared" si="115"/>
        <v>0</v>
      </c>
      <c r="AF953" s="64" t="s">
        <v>2841</v>
      </c>
      <c r="AG953" s="49">
        <v>0.9</v>
      </c>
    </row>
    <row r="954" spans="1:33" ht="34.5" customHeight="1" x14ac:dyDescent="0.3">
      <c r="A954" s="46">
        <v>1381</v>
      </c>
      <c r="B954" s="46" t="s">
        <v>2842</v>
      </c>
      <c r="C954" s="46" t="s">
        <v>67</v>
      </c>
      <c r="D954" s="60">
        <v>2024</v>
      </c>
      <c r="E954" s="60"/>
      <c r="F954" s="46" t="s">
        <v>225</v>
      </c>
      <c r="G954" s="46" t="s">
        <v>159</v>
      </c>
      <c r="H954" s="46" t="s">
        <v>592</v>
      </c>
      <c r="I954" s="46" t="s">
        <v>169</v>
      </c>
      <c r="J954" s="46" t="s">
        <v>69</v>
      </c>
      <c r="K954" s="46" t="s">
        <v>68</v>
      </c>
      <c r="L954" s="46"/>
      <c r="M954" s="46"/>
      <c r="N954" s="46"/>
      <c r="O954" s="46"/>
      <c r="P954" s="46"/>
      <c r="Q954" s="46"/>
      <c r="R954" s="46"/>
      <c r="S954" s="46"/>
      <c r="T954" s="46"/>
      <c r="U954" s="46"/>
      <c r="V954" s="46"/>
      <c r="W954" s="46"/>
      <c r="X954" s="46"/>
      <c r="Y954" s="46"/>
      <c r="Z954" s="46" t="s">
        <v>1843</v>
      </c>
      <c r="AA954" s="61">
        <v>600</v>
      </c>
      <c r="AB954" s="62">
        <f t="shared" ref="AB954:AB959" si="116">IF(OR(G954="ALK",G954="PEM",G954="SOEC",G954="Other Electrolysis"),
AA954/VLOOKUP(G954,ElectrolysisConvF,3,FALSE),
AC954*10^6/(H2dens*HoursInYear))</f>
        <v>133333.33333333334</v>
      </c>
      <c r="AC954" s="63">
        <f t="shared" ref="AC954:AC959" si="117">AB954*H2dens*HoursInYear/10^6</f>
        <v>103.952</v>
      </c>
      <c r="AD954" s="62"/>
      <c r="AE954" s="62">
        <f t="shared" si="115"/>
        <v>133333.33333333334</v>
      </c>
      <c r="AF954" s="64" t="s">
        <v>2843</v>
      </c>
      <c r="AG954" s="49">
        <v>0.5</v>
      </c>
    </row>
    <row r="955" spans="1:33" ht="34.5" customHeight="1" x14ac:dyDescent="0.3">
      <c r="A955" s="46">
        <v>1382</v>
      </c>
      <c r="B955" s="46" t="s">
        <v>2844</v>
      </c>
      <c r="C955" s="46" t="s">
        <v>67</v>
      </c>
      <c r="D955" s="60"/>
      <c r="E955" s="60"/>
      <c r="F955" s="46" t="s">
        <v>591</v>
      </c>
      <c r="G955" s="46" t="s">
        <v>159</v>
      </c>
      <c r="H955" s="46" t="s">
        <v>592</v>
      </c>
      <c r="I955" s="46" t="s">
        <v>169</v>
      </c>
      <c r="J955" s="46" t="s">
        <v>69</v>
      </c>
      <c r="K955" s="46" t="s">
        <v>68</v>
      </c>
      <c r="L955" s="46"/>
      <c r="M955" s="46"/>
      <c r="N955" s="46"/>
      <c r="O955" s="46"/>
      <c r="P955" s="46"/>
      <c r="Q955" s="46"/>
      <c r="R955" s="46"/>
      <c r="S955" s="46"/>
      <c r="T955" s="46"/>
      <c r="U955" s="46"/>
      <c r="V955" s="46"/>
      <c r="W955" s="46"/>
      <c r="X955" s="46"/>
      <c r="Y955" s="46"/>
      <c r="Z955" s="46" t="s">
        <v>2845</v>
      </c>
      <c r="AA955" s="61">
        <v>1400</v>
      </c>
      <c r="AB955" s="62">
        <f t="shared" si="116"/>
        <v>311111.11111111112</v>
      </c>
      <c r="AC955" s="63">
        <f t="shared" si="117"/>
        <v>242.55466666666669</v>
      </c>
      <c r="AD955" s="62"/>
      <c r="AE955" s="62">
        <f t="shared" si="115"/>
        <v>311111.11111111112</v>
      </c>
      <c r="AF955" s="64" t="s">
        <v>2843</v>
      </c>
      <c r="AG955" s="49">
        <v>0.5</v>
      </c>
    </row>
    <row r="956" spans="1:33" ht="34.5" customHeight="1" x14ac:dyDescent="0.3">
      <c r="A956" s="46">
        <v>1383</v>
      </c>
      <c r="B956" s="46" t="s">
        <v>2846</v>
      </c>
      <c r="C956" s="46" t="s">
        <v>67</v>
      </c>
      <c r="D956" s="60">
        <v>2030</v>
      </c>
      <c r="E956" s="60"/>
      <c r="F956" s="46" t="s">
        <v>591</v>
      </c>
      <c r="G956" s="46" t="s">
        <v>159</v>
      </c>
      <c r="H956" s="46" t="s">
        <v>592</v>
      </c>
      <c r="I956" s="46" t="s">
        <v>169</v>
      </c>
      <c r="J956" s="46" t="s">
        <v>69</v>
      </c>
      <c r="K956" s="46" t="s">
        <v>68</v>
      </c>
      <c r="L956" s="46"/>
      <c r="M956" s="46"/>
      <c r="N956" s="46"/>
      <c r="O956" s="46"/>
      <c r="P956" s="46"/>
      <c r="Q956" s="46"/>
      <c r="R956" s="46"/>
      <c r="S956" s="46"/>
      <c r="T956" s="46"/>
      <c r="U956" s="46"/>
      <c r="V956" s="46"/>
      <c r="W956" s="46"/>
      <c r="X956" s="46"/>
      <c r="Y956" s="46"/>
      <c r="Z956" s="46" t="s">
        <v>2847</v>
      </c>
      <c r="AA956" s="61">
        <v>13000</v>
      </c>
      <c r="AB956" s="62">
        <f t="shared" si="116"/>
        <v>2888888.888888889</v>
      </c>
      <c r="AC956" s="63">
        <f t="shared" si="117"/>
        <v>2252.2933333333331</v>
      </c>
      <c r="AD956" s="62"/>
      <c r="AE956" s="62">
        <f t="shared" si="115"/>
        <v>2888888.888888889</v>
      </c>
      <c r="AF956" s="64" t="s">
        <v>2843</v>
      </c>
      <c r="AG956" s="49">
        <v>0.5</v>
      </c>
    </row>
    <row r="957" spans="1:33" ht="34.5" customHeight="1" x14ac:dyDescent="0.3">
      <c r="A957" s="46">
        <v>1384</v>
      </c>
      <c r="B957" s="46" t="s">
        <v>2848</v>
      </c>
      <c r="C957" s="46" t="s">
        <v>39</v>
      </c>
      <c r="D957" s="60">
        <v>2027</v>
      </c>
      <c r="E957" s="60"/>
      <c r="F957" s="46" t="s">
        <v>225</v>
      </c>
      <c r="G957" s="46" t="s">
        <v>3</v>
      </c>
      <c r="H957" s="46"/>
      <c r="I957" s="46" t="s">
        <v>169</v>
      </c>
      <c r="J957" s="46" t="s">
        <v>244</v>
      </c>
      <c r="K957" s="46" t="s">
        <v>68</v>
      </c>
      <c r="L957" s="46"/>
      <c r="M957" s="46"/>
      <c r="N957" s="46"/>
      <c r="O957" s="46"/>
      <c r="P957" s="46"/>
      <c r="Q957" s="46"/>
      <c r="R957" s="46"/>
      <c r="S957" s="46"/>
      <c r="T957" s="46"/>
      <c r="U957" s="46"/>
      <c r="V957" s="46"/>
      <c r="W957" s="46"/>
      <c r="X957" s="46"/>
      <c r="Y957" s="46"/>
      <c r="Z957" s="46" t="s">
        <v>2849</v>
      </c>
      <c r="AA957" s="61">
        <f>745*2/4</f>
        <v>372.5</v>
      </c>
      <c r="AB957" s="62">
        <f t="shared" si="116"/>
        <v>80978.260869565216</v>
      </c>
      <c r="AC957" s="63">
        <f t="shared" si="117"/>
        <v>63.13389130434782</v>
      </c>
      <c r="AD957" s="62"/>
      <c r="AE957" s="62">
        <f t="shared" si="115"/>
        <v>80978.260869565216</v>
      </c>
      <c r="AF957" s="64" t="s">
        <v>2850</v>
      </c>
      <c r="AG957" s="49">
        <v>0.3</v>
      </c>
    </row>
    <row r="958" spans="1:33" ht="34.5" customHeight="1" x14ac:dyDescent="0.3">
      <c r="A958" s="46">
        <v>1385</v>
      </c>
      <c r="B958" s="46" t="s">
        <v>2851</v>
      </c>
      <c r="C958" s="46" t="s">
        <v>39</v>
      </c>
      <c r="D958" s="60"/>
      <c r="E958" s="60"/>
      <c r="F958" s="46" t="s">
        <v>591</v>
      </c>
      <c r="G958" s="46" t="s">
        <v>3</v>
      </c>
      <c r="H958" s="46"/>
      <c r="I958" s="46" t="s">
        <v>169</v>
      </c>
      <c r="J958" s="46" t="s">
        <v>244</v>
      </c>
      <c r="K958" s="46" t="s">
        <v>68</v>
      </c>
      <c r="L958" s="46"/>
      <c r="M958" s="46"/>
      <c r="N958" s="46"/>
      <c r="O958" s="46"/>
      <c r="P958" s="46"/>
      <c r="Q958" s="46"/>
      <c r="R958" s="46"/>
      <c r="S958" s="46"/>
      <c r="T958" s="46"/>
      <c r="U958" s="46"/>
      <c r="V958" s="46"/>
      <c r="W958" s="46"/>
      <c r="X958" s="46"/>
      <c r="Y958" s="46"/>
      <c r="Z958" s="46" t="s">
        <v>2852</v>
      </c>
      <c r="AA958" s="61">
        <f>745*2-AA957</f>
        <v>1117.5</v>
      </c>
      <c r="AB958" s="62">
        <f t="shared" si="116"/>
        <v>242934.78260869565</v>
      </c>
      <c r="AC958" s="63">
        <f t="shared" si="117"/>
        <v>189.40167391304348</v>
      </c>
      <c r="AD958" s="62"/>
      <c r="AE958" s="62">
        <f t="shared" si="115"/>
        <v>242934.78260869565</v>
      </c>
      <c r="AF958" s="64" t="s">
        <v>2853</v>
      </c>
      <c r="AG958" s="49">
        <v>0.3</v>
      </c>
    </row>
    <row r="959" spans="1:33" ht="34.5" customHeight="1" x14ac:dyDescent="0.3">
      <c r="A959" s="46">
        <v>1386</v>
      </c>
      <c r="B959" s="46" t="s">
        <v>2854</v>
      </c>
      <c r="C959" s="46" t="s">
        <v>203</v>
      </c>
      <c r="D959" s="60">
        <v>2023</v>
      </c>
      <c r="E959" s="60"/>
      <c r="F959" s="46" t="s">
        <v>285</v>
      </c>
      <c r="G959" s="46" t="s">
        <v>159</v>
      </c>
      <c r="H959" s="46" t="s">
        <v>2855</v>
      </c>
      <c r="I959" s="46" t="s">
        <v>166</v>
      </c>
      <c r="J959" s="46"/>
      <c r="K959" s="46" t="s">
        <v>68</v>
      </c>
      <c r="L959" s="46"/>
      <c r="M959" s="46"/>
      <c r="N959" s="46"/>
      <c r="O959" s="46"/>
      <c r="P959" s="46"/>
      <c r="Q959" s="46">
        <v>1</v>
      </c>
      <c r="R959" s="46"/>
      <c r="S959" s="46"/>
      <c r="T959" s="46"/>
      <c r="U959" s="46"/>
      <c r="V959" s="46"/>
      <c r="W959" s="46"/>
      <c r="X959" s="46"/>
      <c r="Y959" s="46"/>
      <c r="Z959" s="46" t="s">
        <v>1327</v>
      </c>
      <c r="AA959" s="61">
        <v>1</v>
      </c>
      <c r="AB959" s="62">
        <f t="shared" si="116"/>
        <v>222.22222222222223</v>
      </c>
      <c r="AC959" s="63">
        <f t="shared" si="117"/>
        <v>0.17325333333333334</v>
      </c>
      <c r="AD959" s="62"/>
      <c r="AE959" s="62">
        <f t="shared" si="115"/>
        <v>222.22222222222223</v>
      </c>
      <c r="AF959" s="64" t="s">
        <v>2856</v>
      </c>
      <c r="AG959" s="49">
        <v>0.56999999999999995</v>
      </c>
    </row>
    <row r="960" spans="1:33" ht="34.5" customHeight="1" x14ac:dyDescent="0.3">
      <c r="A960" s="46">
        <v>1387</v>
      </c>
      <c r="B960" s="46" t="s">
        <v>2857</v>
      </c>
      <c r="C960" s="46" t="s">
        <v>46</v>
      </c>
      <c r="D960" s="60">
        <v>2025</v>
      </c>
      <c r="E960" s="60"/>
      <c r="F960" s="46" t="s">
        <v>675</v>
      </c>
      <c r="G960" s="46" t="s">
        <v>159</v>
      </c>
      <c r="H960" s="46" t="s">
        <v>592</v>
      </c>
      <c r="I960" s="46" t="s">
        <v>157</v>
      </c>
      <c r="J960" s="46"/>
      <c r="K960" s="46" t="s">
        <v>68</v>
      </c>
      <c r="L960" s="46"/>
      <c r="M960" s="46"/>
      <c r="N960" s="46"/>
      <c r="O960" s="46"/>
      <c r="P960" s="46"/>
      <c r="Q960" s="46">
        <v>1</v>
      </c>
      <c r="R960" s="46"/>
      <c r="S960" s="46">
        <v>1</v>
      </c>
      <c r="T960" s="46"/>
      <c r="U960" s="46">
        <v>1</v>
      </c>
      <c r="V960" s="46"/>
      <c r="W960" s="46"/>
      <c r="X960" s="46"/>
      <c r="Y960" s="46"/>
      <c r="Z960" s="46" t="s">
        <v>2858</v>
      </c>
      <c r="AA960" s="61">
        <f>IF(OR(G960="ALK",G960="PEM",G960="SOEC",G960="Other Electrolysis"),
AB960*VLOOKUP(G960,ElectrolysisConvF,3,FALSE),
"")</f>
        <v>1.2640449438202244</v>
      </c>
      <c r="AB960" s="62">
        <f>AC960/(0.089*24*365/10^6)</f>
        <v>280.89887640449433</v>
      </c>
      <c r="AC960" s="63">
        <f>600*365/1000000</f>
        <v>0.219</v>
      </c>
      <c r="AD960" s="62"/>
      <c r="AE960" s="62">
        <f t="shared" si="115"/>
        <v>280.89887640449433</v>
      </c>
      <c r="AF960" s="64" t="s">
        <v>1856</v>
      </c>
      <c r="AG960" s="49">
        <v>0.56999999999999995</v>
      </c>
    </row>
    <row r="961" spans="1:33" ht="34.5" customHeight="1" x14ac:dyDescent="0.3">
      <c r="A961" s="46">
        <v>1388</v>
      </c>
      <c r="B961" s="46" t="s">
        <v>2859</v>
      </c>
      <c r="C961" s="46" t="s">
        <v>203</v>
      </c>
      <c r="D961" s="60">
        <v>2025</v>
      </c>
      <c r="E961" s="60"/>
      <c r="F961" s="46" t="s">
        <v>675</v>
      </c>
      <c r="G961" s="46" t="s">
        <v>159</v>
      </c>
      <c r="H961" s="46" t="s">
        <v>592</v>
      </c>
      <c r="I961" s="46" t="s">
        <v>157</v>
      </c>
      <c r="J961" s="46"/>
      <c r="K961" s="46" t="s">
        <v>168</v>
      </c>
      <c r="L961" s="46"/>
      <c r="M961" s="46">
        <v>1</v>
      </c>
      <c r="N961" s="46">
        <v>1</v>
      </c>
      <c r="O961" s="46"/>
      <c r="P961" s="46"/>
      <c r="Q961" s="46"/>
      <c r="R961" s="46"/>
      <c r="S961" s="46"/>
      <c r="T961" s="46"/>
      <c r="U961" s="46"/>
      <c r="V961" s="46"/>
      <c r="W961" s="46"/>
      <c r="X961" s="46"/>
      <c r="Y961" s="46"/>
      <c r="Z961" s="46" t="s">
        <v>1257</v>
      </c>
      <c r="AA961" s="61">
        <v>100</v>
      </c>
      <c r="AB961" s="62">
        <f>IF(OR(G961="ALK",G961="PEM",G961="SOEC",G961="Other Electrolysis"),
AA961/VLOOKUP(G961,ElectrolysisConvF,3,FALSE),
AC961*10^6/(H2dens*HoursInYear))</f>
        <v>22222.222222222223</v>
      </c>
      <c r="AC961" s="63">
        <f>AB961*H2dens*HoursInYear/10^6</f>
        <v>17.325333333333333</v>
      </c>
      <c r="AD961" s="62"/>
      <c r="AE961" s="62">
        <f t="shared" si="115"/>
        <v>22222.222222222223</v>
      </c>
      <c r="AF961" s="64" t="s">
        <v>2860</v>
      </c>
      <c r="AG961" s="49">
        <v>0.56999999999999995</v>
      </c>
    </row>
    <row r="962" spans="1:33" ht="34.5" customHeight="1" x14ac:dyDescent="0.3">
      <c r="A962" s="46">
        <v>1389</v>
      </c>
      <c r="B962" s="46" t="s">
        <v>2861</v>
      </c>
      <c r="C962" s="46" t="s">
        <v>40</v>
      </c>
      <c r="D962" s="60">
        <v>2024</v>
      </c>
      <c r="E962" s="60"/>
      <c r="F962" s="46" t="s">
        <v>675</v>
      </c>
      <c r="G962" s="46" t="s">
        <v>1</v>
      </c>
      <c r="H962" s="46"/>
      <c r="I962" s="46" t="s">
        <v>169</v>
      </c>
      <c r="J962" s="46" t="s">
        <v>244</v>
      </c>
      <c r="K962" s="46" t="s">
        <v>68</v>
      </c>
      <c r="L962" s="46"/>
      <c r="M962" s="46"/>
      <c r="N962" s="46"/>
      <c r="O962" s="46"/>
      <c r="P962" s="46"/>
      <c r="Q962" s="46">
        <v>1</v>
      </c>
      <c r="R962" s="46"/>
      <c r="S962" s="46"/>
      <c r="T962" s="46"/>
      <c r="U962" s="46"/>
      <c r="V962" s="46"/>
      <c r="W962" s="46"/>
      <c r="X962" s="46"/>
      <c r="Y962" s="46"/>
      <c r="Z962" s="46" t="s">
        <v>2596</v>
      </c>
      <c r="AA962" s="61">
        <v>80</v>
      </c>
      <c r="AB962" s="62">
        <f>IF(OR(G962="ALK",G962="PEM",G962="SOEC",G962="Other Electrolysis"),
AA962/VLOOKUP(G962,ElectrolysisConvF,3,FALSE),
AC962*10^6/(H2dens*HoursInYear))</f>
        <v>15384.615384615385</v>
      </c>
      <c r="AC962" s="63">
        <f>AB962*H2dens*HoursInYear/10^6</f>
        <v>11.994461538461538</v>
      </c>
      <c r="AD962" s="62"/>
      <c r="AE962" s="62">
        <f t="shared" si="115"/>
        <v>15384.615384615385</v>
      </c>
      <c r="AF962" s="64" t="s">
        <v>2862</v>
      </c>
      <c r="AG962" s="49">
        <v>0.3</v>
      </c>
    </row>
    <row r="963" spans="1:33" ht="34.5" customHeight="1" x14ac:dyDescent="0.3">
      <c r="A963" s="46">
        <v>1390</v>
      </c>
      <c r="B963" s="46" t="s">
        <v>2863</v>
      </c>
      <c r="C963" s="46" t="s">
        <v>123</v>
      </c>
      <c r="D963" s="60"/>
      <c r="E963" s="60"/>
      <c r="F963" s="46" t="s">
        <v>225</v>
      </c>
      <c r="G963" s="46" t="s">
        <v>159</v>
      </c>
      <c r="H963" s="46" t="s">
        <v>592</v>
      </c>
      <c r="I963" s="46" t="s">
        <v>169</v>
      </c>
      <c r="J963" s="46" t="s">
        <v>244</v>
      </c>
      <c r="K963" s="46" t="s">
        <v>68</v>
      </c>
      <c r="L963" s="46"/>
      <c r="M963" s="46"/>
      <c r="N963" s="46"/>
      <c r="O963" s="46"/>
      <c r="P963" s="46">
        <v>1</v>
      </c>
      <c r="Q963" s="46"/>
      <c r="R963" s="46"/>
      <c r="S963" s="46"/>
      <c r="T963" s="46"/>
      <c r="U963" s="46"/>
      <c r="V963" s="46"/>
      <c r="W963" s="46"/>
      <c r="X963" s="46"/>
      <c r="Y963" s="46"/>
      <c r="Z963" s="46" t="s">
        <v>2864</v>
      </c>
      <c r="AA963" s="61">
        <v>400</v>
      </c>
      <c r="AB963" s="62">
        <f>IF(OR(G963="ALK",G963="PEM",G963="SOEC",G963="Other Electrolysis"),
AA963/VLOOKUP(G963,ElectrolysisConvF,3,FALSE),
AC963*10^6/(H2dens*HoursInYear))</f>
        <v>88888.888888888891</v>
      </c>
      <c r="AC963" s="63">
        <f>AB963*H2dens*HoursInYear/10^6</f>
        <v>69.301333333333332</v>
      </c>
      <c r="AD963" s="62"/>
      <c r="AE963" s="62">
        <f t="shared" si="115"/>
        <v>88888.888888888891</v>
      </c>
      <c r="AF963" s="64" t="s">
        <v>2865</v>
      </c>
      <c r="AG963" s="49">
        <v>0.3</v>
      </c>
    </row>
    <row r="964" spans="1:33" ht="34.5" customHeight="1" x14ac:dyDescent="0.3">
      <c r="A964" s="46">
        <v>1391</v>
      </c>
      <c r="B964" s="46" t="s">
        <v>2866</v>
      </c>
      <c r="C964" s="46" t="s">
        <v>45</v>
      </c>
      <c r="D964" s="60">
        <v>2023</v>
      </c>
      <c r="E964" s="60"/>
      <c r="F964" s="46" t="s">
        <v>675</v>
      </c>
      <c r="G964" s="46" t="s">
        <v>3</v>
      </c>
      <c r="H964" s="46"/>
      <c r="I964" s="46" t="s">
        <v>169</v>
      </c>
      <c r="J964" s="46" t="s">
        <v>245</v>
      </c>
      <c r="K964" s="46" t="s">
        <v>68</v>
      </c>
      <c r="L964" s="46"/>
      <c r="M964" s="46"/>
      <c r="N964" s="46"/>
      <c r="O964" s="46"/>
      <c r="P964" s="46">
        <v>1</v>
      </c>
      <c r="Q964" s="46"/>
      <c r="R964" s="46"/>
      <c r="S964" s="46"/>
      <c r="T964" s="46"/>
      <c r="U964" s="46"/>
      <c r="V964" s="46"/>
      <c r="W964" s="46"/>
      <c r="X964" s="46"/>
      <c r="Y964" s="46"/>
      <c r="Z964" s="46" t="s">
        <v>1828</v>
      </c>
      <c r="AA964" s="61">
        <v>4</v>
      </c>
      <c r="AB964" s="62">
        <f>IF(OR(G964="ALK",G964="PEM",G964="SOEC",G964="Other Electrolysis"),
AA964/VLOOKUP(G964,ElectrolysisConvF,3,FALSE),
AC964*10^6/(H2dens*HoursInYear))</f>
        <v>869.56521739130437</v>
      </c>
      <c r="AC964" s="63">
        <f>AB964*H2dens*HoursInYear/10^6</f>
        <v>0.67794782608695647</v>
      </c>
      <c r="AD964" s="62"/>
      <c r="AE964" s="62">
        <f t="shared" si="115"/>
        <v>869.56521739130437</v>
      </c>
      <c r="AF964" s="64" t="s">
        <v>2867</v>
      </c>
      <c r="AG964" s="49">
        <v>0.4</v>
      </c>
    </row>
    <row r="965" spans="1:33" ht="34.5" customHeight="1" x14ac:dyDescent="0.3">
      <c r="A965" s="46">
        <v>1393</v>
      </c>
      <c r="B965" s="46" t="s">
        <v>2868</v>
      </c>
      <c r="C965" s="46" t="s">
        <v>46</v>
      </c>
      <c r="D965" s="60">
        <v>2024</v>
      </c>
      <c r="E965" s="60"/>
      <c r="F965" s="46" t="s">
        <v>225</v>
      </c>
      <c r="G965" s="46" t="s">
        <v>159</v>
      </c>
      <c r="H965" s="46" t="s">
        <v>592</v>
      </c>
      <c r="I965" s="46" t="s">
        <v>169</v>
      </c>
      <c r="J965" s="46" t="s">
        <v>246</v>
      </c>
      <c r="K965" s="46" t="s">
        <v>68</v>
      </c>
      <c r="L965" s="46"/>
      <c r="M965" s="46"/>
      <c r="N965" s="46"/>
      <c r="O965" s="46"/>
      <c r="P965" s="46"/>
      <c r="Q965" s="46"/>
      <c r="R965" s="46"/>
      <c r="S965" s="46"/>
      <c r="T965" s="46"/>
      <c r="U965" s="46"/>
      <c r="V965" s="46"/>
      <c r="W965" s="46"/>
      <c r="X965" s="46"/>
      <c r="Y965" s="46"/>
      <c r="Z965" s="46" t="s">
        <v>2869</v>
      </c>
      <c r="AA965" s="61">
        <f>IF(OR(G965="ALK",G965="PEM",G965="SOEC",G965="Other Electrolysis"),
AB965*VLOOKUP(G965,ElectrolysisConvF,3,FALSE),
"")</f>
        <v>32.558733401430025</v>
      </c>
      <c r="AB965" s="62">
        <f>AC965*10^6/(H2dens*HoursInYear)</f>
        <v>7235.2740892066731</v>
      </c>
      <c r="AC965" s="63">
        <f>8.5*0.365/H2ProjectDB4578610[[#This Row],[Column33]]</f>
        <v>5.6409090909090907</v>
      </c>
      <c r="AD965" s="62"/>
      <c r="AE965" s="62">
        <f t="shared" si="115"/>
        <v>7235.2740892066731</v>
      </c>
      <c r="AF965" s="64" t="s">
        <v>2870</v>
      </c>
      <c r="AG965" s="49">
        <v>0.55000000000000004</v>
      </c>
    </row>
    <row r="966" spans="1:33" ht="34.5" customHeight="1" x14ac:dyDescent="0.3">
      <c r="A966" s="46">
        <v>1394</v>
      </c>
      <c r="B966" s="46" t="s">
        <v>2871</v>
      </c>
      <c r="C966" s="46" t="s">
        <v>321</v>
      </c>
      <c r="D966" s="60">
        <v>2027</v>
      </c>
      <c r="E966" s="60"/>
      <c r="F966" s="46" t="s">
        <v>225</v>
      </c>
      <c r="G966" s="46" t="s">
        <v>159</v>
      </c>
      <c r="H966" s="46" t="s">
        <v>592</v>
      </c>
      <c r="I966" s="46" t="s">
        <v>169</v>
      </c>
      <c r="J966" s="46" t="s">
        <v>244</v>
      </c>
      <c r="K966" s="46" t="s">
        <v>68</v>
      </c>
      <c r="L966" s="46"/>
      <c r="M966" s="46"/>
      <c r="N966" s="46"/>
      <c r="O966" s="46">
        <v>1</v>
      </c>
      <c r="P966" s="46"/>
      <c r="Q966" s="46"/>
      <c r="R966" s="46"/>
      <c r="S966" s="46"/>
      <c r="T966" s="46"/>
      <c r="U966" s="46"/>
      <c r="V966" s="46"/>
      <c r="W966" s="46"/>
      <c r="X966" s="46"/>
      <c r="Y966" s="46"/>
      <c r="Z966" s="46" t="s">
        <v>2872</v>
      </c>
      <c r="AA966" s="61">
        <v>800</v>
      </c>
      <c r="AB966" s="62">
        <f>IF(OR(G966="ALK",G966="PEM",G966="SOEC",G966="Other Electrolysis"),
AA966/VLOOKUP(G966,ElectrolysisConvF,3,FALSE),
AC966*10^6/(H2dens*HoursInYear))</f>
        <v>177777.77777777778</v>
      </c>
      <c r="AC966" s="63">
        <f>AB966*H2dens*HoursInYear/10^6</f>
        <v>138.60266666666666</v>
      </c>
      <c r="AD966" s="62"/>
      <c r="AE966" s="62">
        <f t="shared" si="115"/>
        <v>177777.77777777778</v>
      </c>
      <c r="AF966" s="64" t="s">
        <v>2873</v>
      </c>
      <c r="AG966" s="49">
        <v>0.3</v>
      </c>
    </row>
    <row r="967" spans="1:33" ht="34.5" customHeight="1" x14ac:dyDescent="0.3">
      <c r="A967" s="46">
        <v>1395</v>
      </c>
      <c r="B967" s="46" t="s">
        <v>2874</v>
      </c>
      <c r="C967" s="46" t="s">
        <v>34</v>
      </c>
      <c r="D967" s="60">
        <v>2021</v>
      </c>
      <c r="E967" s="60"/>
      <c r="F967" s="46" t="s">
        <v>226</v>
      </c>
      <c r="G967" s="46" t="s">
        <v>159</v>
      </c>
      <c r="H967" s="46" t="s">
        <v>592</v>
      </c>
      <c r="I967" s="46" t="s">
        <v>157</v>
      </c>
      <c r="J967" s="46"/>
      <c r="K967" s="46" t="s">
        <v>68</v>
      </c>
      <c r="L967" s="46"/>
      <c r="M967" s="46"/>
      <c r="N967" s="46"/>
      <c r="O967" s="46"/>
      <c r="P967" s="46"/>
      <c r="Q967" s="46">
        <v>1</v>
      </c>
      <c r="R967" s="46"/>
      <c r="S967" s="46"/>
      <c r="T967" s="46"/>
      <c r="U967" s="46"/>
      <c r="V967" s="46"/>
      <c r="W967" s="46"/>
      <c r="X967" s="46"/>
      <c r="Y967" s="46"/>
      <c r="Z967" s="46"/>
      <c r="AA967" s="61"/>
      <c r="AB967" s="62"/>
      <c r="AC967" s="63"/>
      <c r="AD967" s="62"/>
      <c r="AE967" s="62">
        <f t="shared" si="115"/>
        <v>0</v>
      </c>
      <c r="AF967" s="64" t="s">
        <v>2875</v>
      </c>
      <c r="AG967" s="49">
        <v>0.56999999999999995</v>
      </c>
    </row>
    <row r="968" spans="1:33" ht="34.5" customHeight="1" x14ac:dyDescent="0.3">
      <c r="A968" s="46">
        <v>1396</v>
      </c>
      <c r="B968" s="46" t="s">
        <v>2876</v>
      </c>
      <c r="C968" s="46" t="s">
        <v>39</v>
      </c>
      <c r="D968" s="60"/>
      <c r="E968" s="60"/>
      <c r="F968" s="46" t="s">
        <v>225</v>
      </c>
      <c r="G968" s="46" t="s">
        <v>159</v>
      </c>
      <c r="H968" s="46" t="s">
        <v>592</v>
      </c>
      <c r="I968" s="46" t="s">
        <v>169</v>
      </c>
      <c r="J968" s="46" t="s">
        <v>248</v>
      </c>
      <c r="K968" s="46" t="s">
        <v>141</v>
      </c>
      <c r="L968" s="46"/>
      <c r="M968" s="46">
        <v>1</v>
      </c>
      <c r="N968" s="46"/>
      <c r="O968" s="46"/>
      <c r="P968" s="46"/>
      <c r="Q968" s="46"/>
      <c r="R968" s="46"/>
      <c r="S968" s="46"/>
      <c r="T968" s="46"/>
      <c r="U968" s="46"/>
      <c r="V968" s="46"/>
      <c r="W968" s="46"/>
      <c r="X968" s="46"/>
      <c r="Y968" s="46"/>
      <c r="Z968" s="46" t="s">
        <v>2877</v>
      </c>
      <c r="AA968" s="61">
        <v>56</v>
      </c>
      <c r="AB968" s="62">
        <f>IF(OR(G968="ALK",G968="PEM",G968="SOEC",G968="Other Electrolysis"),
AA968/VLOOKUP(G968,ElectrolysisConvF,3,FALSE),
AC968*10^6/(H2dens*HoursInYear))</f>
        <v>12444.444444444445</v>
      </c>
      <c r="AC968" s="63">
        <f>AB968*H2dens*HoursInYear/10^6</f>
        <v>9.7021866666666678</v>
      </c>
      <c r="AD968" s="62"/>
      <c r="AE968" s="62">
        <f>AB968</f>
        <v>12444.444444444445</v>
      </c>
      <c r="AF968" s="64" t="s">
        <v>2878</v>
      </c>
      <c r="AG968" s="49">
        <v>0.5</v>
      </c>
    </row>
    <row r="969" spans="1:33" ht="34.5" customHeight="1" x14ac:dyDescent="0.3">
      <c r="A969" s="46">
        <v>1397</v>
      </c>
      <c r="B969" s="46" t="s">
        <v>2879</v>
      </c>
      <c r="C969" s="46" t="s">
        <v>64</v>
      </c>
      <c r="D969" s="60">
        <v>2025</v>
      </c>
      <c r="E969" s="60"/>
      <c r="F969" s="46" t="s">
        <v>225</v>
      </c>
      <c r="G969" s="46" t="s">
        <v>159</v>
      </c>
      <c r="H969" s="46" t="s">
        <v>592</v>
      </c>
      <c r="I969" s="46" t="s">
        <v>169</v>
      </c>
      <c r="J969" s="46" t="s">
        <v>245</v>
      </c>
      <c r="K969" s="46" t="s">
        <v>141</v>
      </c>
      <c r="L969" s="46"/>
      <c r="M969" s="46">
        <v>1</v>
      </c>
      <c r="N969" s="46"/>
      <c r="O969" s="46"/>
      <c r="P969" s="46"/>
      <c r="Q969" s="46"/>
      <c r="R969" s="46"/>
      <c r="S969" s="46"/>
      <c r="T969" s="46"/>
      <c r="U969" s="46"/>
      <c r="V969" s="46"/>
      <c r="W969" s="46"/>
      <c r="X969" s="46"/>
      <c r="Y969" s="46"/>
      <c r="Z969" s="46" t="s">
        <v>2880</v>
      </c>
      <c r="AA969" s="61">
        <v>8000</v>
      </c>
      <c r="AB969" s="62">
        <f>IF(OR(G969="ALK",G969="PEM",G969="SOEC",G969="Other Electrolysis"),
AA969/VLOOKUP(G969,ElectrolysisConvF,3,FALSE),
AC969*10^6/(H2dens*HoursInYear))</f>
        <v>1777777.777777778</v>
      </c>
      <c r="AC969" s="63">
        <f>AB969*H2dens*HoursInYear/10^6</f>
        <v>1386.0266666666666</v>
      </c>
      <c r="AD969" s="62"/>
      <c r="AE969" s="62">
        <f>IF(AND(G969&lt;&gt;"NG w CCUS",G969&lt;&gt;"Oil w CCUS",G969&lt;&gt;"Coal w CCUS"),AB969,AD969*10^3/(HoursInYear*IF(G969="NG w CCUS",0.9105,1.9075)))</f>
        <v>1777777.777777778</v>
      </c>
      <c r="AF969" s="64" t="s">
        <v>2881</v>
      </c>
      <c r="AG969" s="49">
        <v>0.4</v>
      </c>
    </row>
    <row r="970" spans="1:33" ht="34.5" customHeight="1" x14ac:dyDescent="0.3">
      <c r="A970" s="46">
        <v>1398</v>
      </c>
      <c r="B970" s="46" t="s">
        <v>2882</v>
      </c>
      <c r="C970" s="46" t="s">
        <v>39</v>
      </c>
      <c r="D970" s="60">
        <v>2031</v>
      </c>
      <c r="E970" s="60"/>
      <c r="F970" s="46" t="s">
        <v>225</v>
      </c>
      <c r="G970" s="46" t="s">
        <v>159</v>
      </c>
      <c r="H970" s="46" t="s">
        <v>592</v>
      </c>
      <c r="I970" s="46" t="s">
        <v>169</v>
      </c>
      <c r="J970" s="46" t="s">
        <v>244</v>
      </c>
      <c r="K970" s="46" t="s">
        <v>68</v>
      </c>
      <c r="L970" s="46"/>
      <c r="M970" s="46"/>
      <c r="N970" s="46"/>
      <c r="O970" s="46"/>
      <c r="P970" s="46">
        <v>1</v>
      </c>
      <c r="Q970" s="46"/>
      <c r="R970" s="46"/>
      <c r="S970" s="46"/>
      <c r="T970" s="46"/>
      <c r="U970" s="46"/>
      <c r="V970" s="46"/>
      <c r="W970" s="46"/>
      <c r="X970" s="46"/>
      <c r="Y970" s="46"/>
      <c r="Z970" s="46" t="s">
        <v>1926</v>
      </c>
      <c r="AA970" s="61">
        <f>3000-211</f>
        <v>2789</v>
      </c>
      <c r="AB970" s="62">
        <f>IF(OR(G970="ALK",G970="PEM",G970="SOEC",G970="Other Electrolysis"),
AA970/VLOOKUP(G970,ElectrolysisConvF,3,FALSE),
AC970*10^6/(H2dens*HoursInYear))</f>
        <v>619777.77777777787</v>
      </c>
      <c r="AC970" s="63">
        <f>AB970*H2dens*HoursInYear/10^6</f>
        <v>483.20354666666668</v>
      </c>
      <c r="AD970" s="62"/>
      <c r="AE970" s="62">
        <f>IF(AND(G970&lt;&gt;"NG w CCUS",G970&lt;&gt;"Oil w CCUS",G970&lt;&gt;"Coal w CCUS"),AB970,AD970*10^3/(HoursInYear*IF(G970="NG w CCUS",0.9105,1.9075)))</f>
        <v>619777.77777777787</v>
      </c>
      <c r="AF970" s="64" t="s">
        <v>2355</v>
      </c>
      <c r="AG970" s="49">
        <v>0.3</v>
      </c>
    </row>
    <row r="971" spans="1:33" ht="34.5" customHeight="1" x14ac:dyDescent="0.3">
      <c r="A971" s="46">
        <v>1399</v>
      </c>
      <c r="B971" s="46" t="s">
        <v>2883</v>
      </c>
      <c r="C971" s="46" t="s">
        <v>43</v>
      </c>
      <c r="D971" s="60"/>
      <c r="E971" s="60"/>
      <c r="F971" s="46" t="s">
        <v>675</v>
      </c>
      <c r="G971" s="46" t="s">
        <v>159</v>
      </c>
      <c r="H971" s="46" t="s">
        <v>592</v>
      </c>
      <c r="I971" s="46" t="s">
        <v>169</v>
      </c>
      <c r="J971" s="46" t="s">
        <v>245</v>
      </c>
      <c r="K971" s="46" t="s">
        <v>68</v>
      </c>
      <c r="L971" s="46">
        <v>1</v>
      </c>
      <c r="M971" s="46"/>
      <c r="N971" s="46"/>
      <c r="O971" s="46"/>
      <c r="P971" s="46"/>
      <c r="Q971" s="46"/>
      <c r="R971" s="46"/>
      <c r="S971" s="46"/>
      <c r="T971" s="46"/>
      <c r="U971" s="46"/>
      <c r="V971" s="46"/>
      <c r="W971" s="46"/>
      <c r="X971" s="46"/>
      <c r="Y971" s="46"/>
      <c r="Z971" s="46" t="s">
        <v>2884</v>
      </c>
      <c r="AA971" s="61">
        <f>IF(OR(G971="ALK",G971="PEM",G971="SOEC",G971="Other Electrolysis"),
AB971*VLOOKUP(G971,ElectrolysisConvF,3,FALSE),
"")</f>
        <v>28.859473603201476</v>
      </c>
      <c r="AB971" s="62">
        <f>AC971*10^6/(H2dens*HoursInYear)</f>
        <v>6413.2163562669948</v>
      </c>
      <c r="AC971" s="63">
        <v>5</v>
      </c>
      <c r="AD971" s="62"/>
      <c r="AE971" s="62">
        <f>IF(AND(G971&lt;&gt;"NG w CCUS",G971&lt;&gt;"Oil w CCUS",G971&lt;&gt;"Coal w CCUS"),AB971,AD971*10^3/(HoursInYear*IF(G971="NG w CCUS",0.9105,1.9075)))</f>
        <v>6413.2163562669948</v>
      </c>
      <c r="AF971" s="64" t="s">
        <v>2885</v>
      </c>
      <c r="AG971" s="49">
        <v>0.4</v>
      </c>
    </row>
    <row r="972" spans="1:33" ht="34.5" customHeight="1" x14ac:dyDescent="0.3">
      <c r="A972" s="46">
        <v>1400</v>
      </c>
      <c r="B972" s="46" t="s">
        <v>2886</v>
      </c>
      <c r="C972" s="46" t="s">
        <v>43</v>
      </c>
      <c r="D972" s="60"/>
      <c r="E972" s="60"/>
      <c r="F972" s="46" t="s">
        <v>225</v>
      </c>
      <c r="G972" s="46" t="s">
        <v>159</v>
      </c>
      <c r="H972" s="46" t="s">
        <v>592</v>
      </c>
      <c r="I972" s="46" t="s">
        <v>169</v>
      </c>
      <c r="J972" s="46" t="s">
        <v>69</v>
      </c>
      <c r="K972" s="46" t="s">
        <v>68</v>
      </c>
      <c r="L972" s="46">
        <v>1</v>
      </c>
      <c r="M972" s="46"/>
      <c r="N972" s="46"/>
      <c r="O972" s="46"/>
      <c r="P972" s="46"/>
      <c r="Q972" s="46"/>
      <c r="R972" s="46"/>
      <c r="S972" s="46"/>
      <c r="T972" s="46"/>
      <c r="U972" s="46"/>
      <c r="V972" s="46"/>
      <c r="W972" s="46"/>
      <c r="X972" s="46"/>
      <c r="Y972" s="46"/>
      <c r="Z972" s="46" t="s">
        <v>2887</v>
      </c>
      <c r="AA972" s="61">
        <f>IF(OR(G972="ALK",G972="PEM",G972="SOEC",G972="Other Electrolysis"),
AB972*VLOOKUP(G972,ElectrolysisConvF,3,FALSE),
"")</f>
        <v>11.543789441280591</v>
      </c>
      <c r="AB972" s="62">
        <f>AC972*10^6/(H2dens*HoursInYear)</f>
        <v>2565.286542506798</v>
      </c>
      <c r="AC972" s="63">
        <v>2</v>
      </c>
      <c r="AD972" s="62"/>
      <c r="AE972" s="62">
        <f>IF(AND(G972&lt;&gt;"NG w CCUS",G972&lt;&gt;"Oil w CCUS",G972&lt;&gt;"Coal w CCUS"),AB972,AD972*10^3/(HoursInYear*IF(G972="NG w CCUS",0.9105,1.9075)))</f>
        <v>2565.286542506798</v>
      </c>
      <c r="AF972" s="64" t="s">
        <v>2888</v>
      </c>
      <c r="AG972" s="49">
        <v>0.5</v>
      </c>
    </row>
    <row r="973" spans="1:33" ht="34.5" customHeight="1" x14ac:dyDescent="0.3">
      <c r="A973" s="46">
        <v>1401</v>
      </c>
      <c r="B973" s="46" t="s">
        <v>2889</v>
      </c>
      <c r="C973" s="46" t="s">
        <v>34</v>
      </c>
      <c r="D973" s="60">
        <v>2025</v>
      </c>
      <c r="E973" s="60"/>
      <c r="F973" s="46" t="s">
        <v>225</v>
      </c>
      <c r="G973" s="46" t="s">
        <v>3</v>
      </c>
      <c r="H973" s="46"/>
      <c r="I973" s="46" t="s">
        <v>166</v>
      </c>
      <c r="J973" s="46"/>
      <c r="K973" s="46" t="s">
        <v>68</v>
      </c>
      <c r="L973" s="46"/>
      <c r="M973" s="46"/>
      <c r="N973" s="46"/>
      <c r="O973" s="46"/>
      <c r="P973" s="46"/>
      <c r="Q973" s="46">
        <v>1</v>
      </c>
      <c r="R973" s="46"/>
      <c r="S973" s="46"/>
      <c r="T973" s="46"/>
      <c r="U973" s="46"/>
      <c r="V973" s="46"/>
      <c r="W973" s="46"/>
      <c r="X973" s="46"/>
      <c r="Y973" s="46"/>
      <c r="Z973" s="46" t="s">
        <v>1251</v>
      </c>
      <c r="AA973" s="61">
        <v>2</v>
      </c>
      <c r="AB973" s="62">
        <f>IF(OR(G973="ALK",G973="PEM",G973="SOEC",G973="Other Electrolysis"),
AA973/VLOOKUP(G973,ElectrolysisConvF,3,FALSE),
AC973*10^6/(H2dens*HoursInYear))</f>
        <v>434.78260869565219</v>
      </c>
      <c r="AC973" s="63">
        <f>AB973*H2dens*HoursInYear/10^6</f>
        <v>0.33897391304347824</v>
      </c>
      <c r="AD973" s="62"/>
      <c r="AE973" s="62">
        <f>AB973</f>
        <v>434.78260869565219</v>
      </c>
      <c r="AF973" s="64" t="s">
        <v>1558</v>
      </c>
      <c r="AG973" s="49">
        <v>0.56999999999999995</v>
      </c>
    </row>
    <row r="974" spans="1:33" ht="34.5" customHeight="1" x14ac:dyDescent="0.3">
      <c r="A974" s="46">
        <v>1402</v>
      </c>
      <c r="B974" s="46" t="s">
        <v>2890</v>
      </c>
      <c r="C974" s="46" t="s">
        <v>53</v>
      </c>
      <c r="D974" s="60">
        <v>2022</v>
      </c>
      <c r="E974" s="60"/>
      <c r="F974" s="46" t="s">
        <v>285</v>
      </c>
      <c r="G974" s="46" t="s">
        <v>159</v>
      </c>
      <c r="H974" s="46" t="s">
        <v>592</v>
      </c>
      <c r="I974" s="46" t="s">
        <v>157</v>
      </c>
      <c r="J974" s="46"/>
      <c r="K974" s="46" t="s">
        <v>68</v>
      </c>
      <c r="L974" s="46"/>
      <c r="M974" s="46"/>
      <c r="N974" s="46"/>
      <c r="O974" s="46"/>
      <c r="P974" s="46"/>
      <c r="Q974" s="46">
        <v>1</v>
      </c>
      <c r="R974" s="46"/>
      <c r="S974" s="46"/>
      <c r="T974" s="46"/>
      <c r="U974" s="46"/>
      <c r="V974" s="46"/>
      <c r="W974" s="46"/>
      <c r="X974" s="46"/>
      <c r="Y974" s="46"/>
      <c r="Z974" s="46" t="s">
        <v>2891</v>
      </c>
      <c r="AA974" s="61">
        <f>IF(OR(G974="ALK",G974="PEM",G974="SOEC",G974="Other Electrolysis"),
AB974*VLOOKUP(G974,ElectrolysisConvF,3,FALSE),
"")</f>
        <v>0.94803370786516838</v>
      </c>
      <c r="AB974" s="62">
        <f>AC974*10^6/(H2dens*HoursInYear)</f>
        <v>210.67415730337078</v>
      </c>
      <c r="AC974" s="63">
        <f>450*365/10^6</f>
        <v>0.16425000000000001</v>
      </c>
      <c r="AD974" s="62"/>
      <c r="AE974" s="62">
        <f>IF(AND(G974&lt;&gt;"NG w CCUS",G974&lt;&gt;"Oil w CCUS",G974&lt;&gt;"Coal w CCUS"),AB974,AD974*10^3/(HoursInYear*IF(G974="NG w CCUS",0.9105,1.9075)))</f>
        <v>210.67415730337078</v>
      </c>
      <c r="AF974" s="64" t="s">
        <v>2892</v>
      </c>
      <c r="AG974" s="49">
        <v>0.56999999999999995</v>
      </c>
    </row>
    <row r="975" spans="1:33" ht="34.5" customHeight="1" x14ac:dyDescent="0.3">
      <c r="A975" s="46">
        <v>1403</v>
      </c>
      <c r="B975" s="46" t="s">
        <v>2893</v>
      </c>
      <c r="C975" s="46" t="s">
        <v>46</v>
      </c>
      <c r="D975" s="60">
        <v>2027</v>
      </c>
      <c r="E975" s="60"/>
      <c r="F975" s="46" t="s">
        <v>225</v>
      </c>
      <c r="G975" s="46" t="s">
        <v>159</v>
      </c>
      <c r="H975" s="46" t="s">
        <v>592</v>
      </c>
      <c r="I975" s="46" t="s">
        <v>169</v>
      </c>
      <c r="J975" s="46" t="s">
        <v>69</v>
      </c>
      <c r="K975" s="46" t="s">
        <v>68</v>
      </c>
      <c r="L975" s="46"/>
      <c r="M975" s="46"/>
      <c r="N975" s="46"/>
      <c r="O975" s="46"/>
      <c r="P975" s="46">
        <v>1</v>
      </c>
      <c r="Q975" s="46">
        <v>1</v>
      </c>
      <c r="R975" s="46"/>
      <c r="S975" s="46"/>
      <c r="T975" s="46"/>
      <c r="U975" s="46"/>
      <c r="V975" s="46"/>
      <c r="W975" s="46"/>
      <c r="X975" s="46"/>
      <c r="Y975" s="46"/>
      <c r="Z975" s="46"/>
      <c r="AA975" s="61"/>
      <c r="AB975" s="62"/>
      <c r="AC975" s="73"/>
      <c r="AD975" s="62"/>
      <c r="AE975" s="62">
        <f>IF(AND(G975&lt;&gt;"NG w CCUS",G975&lt;&gt;"Oil w CCUS",G975&lt;&gt;"Coal w CCUS"),AB975,AD975*10^3/(HoursInYear*IF(G975="NG w CCUS",0.9105,1.9075)))</f>
        <v>0</v>
      </c>
      <c r="AF975" s="64" t="s">
        <v>2894</v>
      </c>
      <c r="AG975" s="49">
        <v>0.5</v>
      </c>
    </row>
    <row r="976" spans="1:33" ht="34.5" customHeight="1" x14ac:dyDescent="0.3">
      <c r="A976" s="46">
        <v>1404</v>
      </c>
      <c r="B976" s="46" t="s">
        <v>2895</v>
      </c>
      <c r="C976" s="46" t="s">
        <v>40</v>
      </c>
      <c r="D976" s="60">
        <v>2025</v>
      </c>
      <c r="E976" s="60"/>
      <c r="F976" s="46" t="s">
        <v>225</v>
      </c>
      <c r="G976" s="46" t="s">
        <v>159</v>
      </c>
      <c r="H976" s="46" t="s">
        <v>592</v>
      </c>
      <c r="I976" s="46" t="s">
        <v>169</v>
      </c>
      <c r="J976" s="46" t="s">
        <v>69</v>
      </c>
      <c r="K976" s="46" t="s">
        <v>68</v>
      </c>
      <c r="L976" s="46"/>
      <c r="M976" s="46"/>
      <c r="N976" s="46"/>
      <c r="O976" s="46"/>
      <c r="P976" s="46"/>
      <c r="Q976" s="46"/>
      <c r="R976" s="46"/>
      <c r="S976" s="46"/>
      <c r="T976" s="46"/>
      <c r="U976" s="46"/>
      <c r="V976" s="46"/>
      <c r="W976" s="46"/>
      <c r="X976" s="46"/>
      <c r="Y976" s="46"/>
      <c r="Z976" s="46" t="s">
        <v>2896</v>
      </c>
      <c r="AA976" s="61">
        <f>IF(OR(G976="ALK",G976="PEM",G976="SOEC",G976="Other Electrolysis"),
AB976*VLOOKUP(G976,ElectrolysisConvF,3,FALSE),
"")</f>
        <v>634.90841927043243</v>
      </c>
      <c r="AB976" s="62">
        <f>AC976*10^6/(H2dens*HoursInYear)</f>
        <v>141090.75983787389</v>
      </c>
      <c r="AC976" s="63">
        <v>110</v>
      </c>
      <c r="AD976" s="62"/>
      <c r="AE976" s="62">
        <f>IF(AND(G976&lt;&gt;"NG w CCUS",G976&lt;&gt;"Oil w CCUS",G976&lt;&gt;"Coal w CCUS"),AB976,AD976*10^3/(HoursInYear*IF(G976="NG w CCUS",0.9105,1.9075)))</f>
        <v>141090.75983787389</v>
      </c>
      <c r="AF976" s="64" t="s">
        <v>2897</v>
      </c>
      <c r="AG976" s="49">
        <v>0.5</v>
      </c>
    </row>
    <row r="977" spans="1:33" ht="34.5" customHeight="1" x14ac:dyDescent="0.3">
      <c r="A977" s="46">
        <v>1405</v>
      </c>
      <c r="B977" s="46" t="s">
        <v>2898</v>
      </c>
      <c r="C977" s="46" t="s">
        <v>37</v>
      </c>
      <c r="D977" s="60"/>
      <c r="E977" s="60"/>
      <c r="F977" s="46" t="s">
        <v>591</v>
      </c>
      <c r="G977" s="46" t="s">
        <v>159</v>
      </c>
      <c r="H977" s="46" t="s">
        <v>592</v>
      </c>
      <c r="I977" s="46" t="s">
        <v>169</v>
      </c>
      <c r="J977" s="46" t="s">
        <v>248</v>
      </c>
      <c r="K977" s="46" t="s">
        <v>68</v>
      </c>
      <c r="L977" s="46"/>
      <c r="M977" s="46"/>
      <c r="N977" s="46"/>
      <c r="O977" s="46"/>
      <c r="P977" s="46"/>
      <c r="Q977" s="46"/>
      <c r="R977" s="46"/>
      <c r="S977" s="46"/>
      <c r="T977" s="46"/>
      <c r="U977" s="46"/>
      <c r="V977" s="46"/>
      <c r="W977" s="46"/>
      <c r="X977" s="46"/>
      <c r="Y977" s="46"/>
      <c r="Z977" s="46"/>
      <c r="AA977" s="61"/>
      <c r="AB977" s="62"/>
      <c r="AC977" s="63"/>
      <c r="AD977" s="62"/>
      <c r="AE977" s="62">
        <f>IF(AND(G977&lt;&gt;"NG w CCUS",G977&lt;&gt;"Oil w CCUS",G977&lt;&gt;"Coal w CCUS"),AB977,AD977*10^3/(HoursInYear*IF(G977="NG w CCUS",0.9105,1.9075)))</f>
        <v>0</v>
      </c>
      <c r="AF977" s="64" t="s">
        <v>2899</v>
      </c>
      <c r="AG977" s="49">
        <v>0.5</v>
      </c>
    </row>
    <row r="978" spans="1:33" ht="34.5" customHeight="1" x14ac:dyDescent="0.3">
      <c r="A978" s="46">
        <v>1406</v>
      </c>
      <c r="B978" s="46" t="s">
        <v>2900</v>
      </c>
      <c r="C978" s="46" t="s">
        <v>46</v>
      </c>
      <c r="D978" s="60">
        <v>2026</v>
      </c>
      <c r="E978" s="60"/>
      <c r="F978" s="46" t="s">
        <v>225</v>
      </c>
      <c r="G978" s="46" t="s">
        <v>1</v>
      </c>
      <c r="H978" s="46"/>
      <c r="I978" s="46" t="s">
        <v>169</v>
      </c>
      <c r="J978" s="46" t="s">
        <v>69</v>
      </c>
      <c r="K978" s="46" t="s">
        <v>68</v>
      </c>
      <c r="L978" s="46"/>
      <c r="M978" s="46"/>
      <c r="N978" s="46"/>
      <c r="O978" s="46"/>
      <c r="P978" s="46"/>
      <c r="Q978" s="46"/>
      <c r="R978" s="46"/>
      <c r="S978" s="46"/>
      <c r="T978" s="46"/>
      <c r="U978" s="46"/>
      <c r="V978" s="46"/>
      <c r="W978" s="46"/>
      <c r="X978" s="46"/>
      <c r="Y978" s="46"/>
      <c r="Z978" s="46" t="s">
        <v>1339</v>
      </c>
      <c r="AA978" s="61">
        <v>40</v>
      </c>
      <c r="AB978" s="62">
        <f>IF(OR(G978="ALK",G978="PEM",G978="SOEC",G978="Other Electrolysis"),
AA978/VLOOKUP(G978,ElectrolysisConvF,3,FALSE),
AC978*10^6/(H2dens*HoursInYear))</f>
        <v>7692.3076923076924</v>
      </c>
      <c r="AC978" s="63">
        <f>AB978*H2dens*HoursInYear/10^6</f>
        <v>5.9972307692307689</v>
      </c>
      <c r="AD978" s="62"/>
      <c r="AE978" s="62">
        <f>IF(AND(G978&lt;&gt;"NG w CCUS",G978&lt;&gt;"Oil w CCUS",G978&lt;&gt;"Coal w CCUS"),AB978,AD978*10^3/(HoursInYear*IF(G978="NG w CCUS",0.9105,1.9075)))</f>
        <v>7692.3076923076924</v>
      </c>
      <c r="AF978" s="64" t="s">
        <v>2901</v>
      </c>
      <c r="AG978" s="49">
        <v>0.5</v>
      </c>
    </row>
    <row r="979" spans="1:33" ht="34.5" customHeight="1" x14ac:dyDescent="0.3">
      <c r="A979" s="46">
        <v>1409</v>
      </c>
      <c r="B979" s="46" t="s">
        <v>2902</v>
      </c>
      <c r="C979" s="46" t="s">
        <v>45</v>
      </c>
      <c r="D979" s="60"/>
      <c r="E979" s="60"/>
      <c r="F979" s="46" t="s">
        <v>225</v>
      </c>
      <c r="G979" s="46" t="s">
        <v>159</v>
      </c>
      <c r="H979" s="46" t="s">
        <v>592</v>
      </c>
      <c r="I979" s="46" t="s">
        <v>169</v>
      </c>
      <c r="J979" s="46" t="s">
        <v>244</v>
      </c>
      <c r="K979" s="46" t="s">
        <v>68</v>
      </c>
      <c r="L979" s="46"/>
      <c r="M979" s="46"/>
      <c r="N979" s="46"/>
      <c r="O979" s="46"/>
      <c r="P979" s="46">
        <v>1</v>
      </c>
      <c r="Q979" s="46"/>
      <c r="R979" s="46"/>
      <c r="S979" s="46">
        <v>1</v>
      </c>
      <c r="T979" s="46"/>
      <c r="U979" s="46"/>
      <c r="V979" s="46"/>
      <c r="W979" s="46"/>
      <c r="X979" s="46"/>
      <c r="Y979" s="46"/>
      <c r="Z979" s="46" t="s">
        <v>1350</v>
      </c>
      <c r="AA979" s="61">
        <v>60</v>
      </c>
      <c r="AB979" s="62">
        <f>IF(OR(G979="ALK",G979="PEM",G979="SOEC",G979="Other Electrolysis"),
AA979/VLOOKUP(G979,ElectrolysisConvF,3,FALSE),
AC979*10^6/(H2dens*HoursInYear))</f>
        <v>13333.333333333334</v>
      </c>
      <c r="AC979" s="63">
        <f>AB979*H2dens*HoursInYear/10^6</f>
        <v>10.395200000000001</v>
      </c>
      <c r="AD979" s="62"/>
      <c r="AE979" s="62">
        <f t="shared" ref="AE979:AE986" si="118">IF(AND(G979&lt;&gt;"NG w CCUS",G979&lt;&gt;"Oil w CCUS",G979&lt;&gt;"Coal w CCUS"),AB979,AD979*10^3/(HoursInYear*IF(G979="NG w CCUS",0.9105,1.9075)))</f>
        <v>13333.333333333334</v>
      </c>
      <c r="AF979" s="64" t="s">
        <v>2080</v>
      </c>
      <c r="AG979" s="49">
        <v>0.3</v>
      </c>
    </row>
    <row r="980" spans="1:33" ht="34.5" customHeight="1" x14ac:dyDescent="0.3">
      <c r="A980" s="46">
        <v>1410</v>
      </c>
      <c r="B980" s="46" t="s">
        <v>2903</v>
      </c>
      <c r="C980" s="46" t="s">
        <v>40</v>
      </c>
      <c r="D980" s="60">
        <v>2025</v>
      </c>
      <c r="E980" s="60"/>
      <c r="F980" s="46" t="s">
        <v>225</v>
      </c>
      <c r="G980" s="75" t="s">
        <v>1</v>
      </c>
      <c r="H980" s="75"/>
      <c r="I980" s="46" t="s">
        <v>169</v>
      </c>
      <c r="J980" s="46" t="s">
        <v>247</v>
      </c>
      <c r="K980" s="46" t="s">
        <v>68</v>
      </c>
      <c r="L980" s="46"/>
      <c r="M980" s="46"/>
      <c r="N980" s="46"/>
      <c r="O980" s="46"/>
      <c r="P980" s="46"/>
      <c r="Q980" s="46"/>
      <c r="R980" s="46"/>
      <c r="S980" s="46"/>
      <c r="T980" s="46"/>
      <c r="U980" s="46"/>
      <c r="V980" s="46"/>
      <c r="W980" s="46"/>
      <c r="X980" s="46"/>
      <c r="Y980" s="46"/>
      <c r="Z980" s="46" t="s">
        <v>2904</v>
      </c>
      <c r="AA980" s="61">
        <v>35</v>
      </c>
      <c r="AB980" s="62">
        <f t="shared" ref="AB980" si="119">IF(OR(G980="ALK",G980="PEM",G980="SOEC",G980="Other Electrolysis"),
AA980/VLOOKUP(G980,ElectrolysisConvF,3,FALSE),
AC980*10^6/(H2dens*HoursInYear))</f>
        <v>6730.7692307692314</v>
      </c>
      <c r="AC980" s="63">
        <f>AB980*H2dens*HoursInYear/10^6</f>
        <v>5.2475769230769229</v>
      </c>
      <c r="AD980" s="62"/>
      <c r="AE980" s="62">
        <f t="shared" si="118"/>
        <v>6730.7692307692314</v>
      </c>
      <c r="AF980" s="64" t="s">
        <v>2905</v>
      </c>
      <c r="AG980" s="49">
        <v>0.8</v>
      </c>
    </row>
    <row r="981" spans="1:33" customFormat="1" ht="34.5" customHeight="1" x14ac:dyDescent="0.3">
      <c r="A981" s="46">
        <v>1411</v>
      </c>
      <c r="B981" s="46" t="s">
        <v>2906</v>
      </c>
      <c r="C981" s="46" t="s">
        <v>78</v>
      </c>
      <c r="D981" s="60">
        <v>2024</v>
      </c>
      <c r="E981" s="60"/>
      <c r="F981" s="46" t="s">
        <v>675</v>
      </c>
      <c r="G981" s="46" t="s">
        <v>161</v>
      </c>
      <c r="H981" s="46" t="s">
        <v>2365</v>
      </c>
      <c r="I981" s="46"/>
      <c r="J981" s="46"/>
      <c r="K981" s="46" t="s">
        <v>68</v>
      </c>
      <c r="L981" s="46"/>
      <c r="M981" s="46"/>
      <c r="N981" s="46"/>
      <c r="O981" s="46"/>
      <c r="P981" s="46"/>
      <c r="Q981" s="46">
        <v>1</v>
      </c>
      <c r="R981" s="46"/>
      <c r="S981" s="46"/>
      <c r="T981" s="46"/>
      <c r="U981" s="46"/>
      <c r="V981" s="46"/>
      <c r="W981" s="46"/>
      <c r="X981" s="46"/>
      <c r="Y981" s="46"/>
      <c r="Z981" s="46" t="s">
        <v>2907</v>
      </c>
      <c r="AA981" s="61"/>
      <c r="AB981" s="62">
        <f>IF(OR(G981="ALK",G981="PEM",G981="SOEC",G981="Other Electrolysis"),
AA981/VLOOKUP(G981,ElectrolysisConvF,3,FALSE),
AC981*10^6/(H2dens*HoursInYear))</f>
        <v>2340.8239700374534</v>
      </c>
      <c r="AC981" s="63">
        <f>5*365/1000</f>
        <v>1.825</v>
      </c>
      <c r="AD981" s="62">
        <f>48*365</f>
        <v>17520</v>
      </c>
      <c r="AE981" s="62">
        <f t="shared" si="118"/>
        <v>2196.5952773201539</v>
      </c>
      <c r="AF981" s="64" t="s">
        <v>2908</v>
      </c>
      <c r="AG981" s="49">
        <v>0.9</v>
      </c>
    </row>
    <row r="982" spans="1:33" customFormat="1" ht="34.5" customHeight="1" x14ac:dyDescent="0.3">
      <c r="A982" s="46">
        <v>1412</v>
      </c>
      <c r="B982" s="46" t="s">
        <v>2909</v>
      </c>
      <c r="C982" s="46" t="s">
        <v>39</v>
      </c>
      <c r="D982" s="60"/>
      <c r="E982" s="60"/>
      <c r="F982" s="46" t="s">
        <v>591</v>
      </c>
      <c r="G982" s="46" t="s">
        <v>163</v>
      </c>
      <c r="H982" s="46" t="s">
        <v>1805</v>
      </c>
      <c r="I982" s="46"/>
      <c r="J982" s="46"/>
      <c r="K982" s="46" t="s">
        <v>68</v>
      </c>
      <c r="L982" s="46"/>
      <c r="M982" s="46"/>
      <c r="N982" s="46"/>
      <c r="O982" s="46"/>
      <c r="P982" s="46"/>
      <c r="Q982" s="46"/>
      <c r="R982" s="46"/>
      <c r="S982" s="46"/>
      <c r="T982" s="46"/>
      <c r="U982" s="46"/>
      <c r="V982" s="46"/>
      <c r="W982" s="46"/>
      <c r="X982" s="46"/>
      <c r="Y982" s="46"/>
      <c r="Z982" s="46"/>
      <c r="AA982" s="61"/>
      <c r="AB982" s="62"/>
      <c r="AC982" s="63"/>
      <c r="AD982" s="62"/>
      <c r="AE982" s="62">
        <f t="shared" si="118"/>
        <v>0</v>
      </c>
      <c r="AF982" s="64" t="s">
        <v>2910</v>
      </c>
      <c r="AG982" s="49">
        <v>0.9</v>
      </c>
    </row>
    <row r="983" spans="1:33" customFormat="1" ht="34.5" customHeight="1" x14ac:dyDescent="0.3">
      <c r="A983" s="46">
        <v>1413</v>
      </c>
      <c r="B983" s="46" t="s">
        <v>2911</v>
      </c>
      <c r="C983" s="46" t="s">
        <v>203</v>
      </c>
      <c r="D983" s="60">
        <v>2030</v>
      </c>
      <c r="E983" s="60"/>
      <c r="F983" s="46" t="s">
        <v>225</v>
      </c>
      <c r="G983" s="46" t="s">
        <v>159</v>
      </c>
      <c r="H983" s="46" t="s">
        <v>592</v>
      </c>
      <c r="I983" s="46" t="s">
        <v>169</v>
      </c>
      <c r="J983" s="46" t="s">
        <v>69</v>
      </c>
      <c r="K983" s="46" t="s">
        <v>68</v>
      </c>
      <c r="L983" s="46"/>
      <c r="M983" s="46"/>
      <c r="N983" s="46"/>
      <c r="O983" s="46">
        <v>1</v>
      </c>
      <c r="P983" s="46">
        <v>1</v>
      </c>
      <c r="Q983" s="46"/>
      <c r="R983" s="46"/>
      <c r="S983" s="46"/>
      <c r="T983" s="46"/>
      <c r="U983" s="46"/>
      <c r="V983" s="46"/>
      <c r="W983" s="46"/>
      <c r="X983" s="46"/>
      <c r="Y983" s="46"/>
      <c r="Z983" s="46" t="s">
        <v>2912</v>
      </c>
      <c r="AA983" s="61">
        <v>340</v>
      </c>
      <c r="AB983" s="62">
        <f>IF(OR(G983="ALK",G983="PEM",G983="SOEC",G983="Other Electrolysis"),
AA983/VLOOKUP(G983,ElectrolysisConvF,3,FALSE),
AC983*10^6/(H2dens*HoursInYear))</f>
        <v>75555.555555555562</v>
      </c>
      <c r="AC983" s="63">
        <f>AB983*H2dens*HoursInYear/10^6</f>
        <v>58.906133333333337</v>
      </c>
      <c r="AD983" s="62"/>
      <c r="AE983" s="62">
        <f t="shared" si="118"/>
        <v>75555.555555555562</v>
      </c>
      <c r="AF983" s="64" t="s">
        <v>2034</v>
      </c>
      <c r="AG983" s="49">
        <v>0.5</v>
      </c>
    </row>
    <row r="984" spans="1:33" customFormat="1" ht="34.5" customHeight="1" x14ac:dyDescent="0.3">
      <c r="A984" s="46">
        <v>1414</v>
      </c>
      <c r="B984" s="46" t="s">
        <v>2913</v>
      </c>
      <c r="C984" s="46" t="s">
        <v>63</v>
      </c>
      <c r="D984" s="60">
        <v>2027</v>
      </c>
      <c r="E984" s="60"/>
      <c r="F984" s="46" t="s">
        <v>225</v>
      </c>
      <c r="G984" s="46" t="s">
        <v>159</v>
      </c>
      <c r="H984" s="46" t="s">
        <v>592</v>
      </c>
      <c r="I984" s="46" t="s">
        <v>288</v>
      </c>
      <c r="J984" s="46"/>
      <c r="K984" s="46" t="s">
        <v>167</v>
      </c>
      <c r="L984" s="46"/>
      <c r="M984" s="46"/>
      <c r="N984" s="46"/>
      <c r="O984" s="46"/>
      <c r="P984" s="46"/>
      <c r="Q984" s="46"/>
      <c r="R984" s="46"/>
      <c r="S984" s="46"/>
      <c r="T984" s="46"/>
      <c r="U984" s="46"/>
      <c r="V984" s="46"/>
      <c r="W984" s="46">
        <v>1</v>
      </c>
      <c r="X984" s="46"/>
      <c r="Y984" s="46"/>
      <c r="Z984" s="46" t="s">
        <v>2914</v>
      </c>
      <c r="AA984" s="61">
        <f>AB984*0.0045</f>
        <v>185.31340070548887</v>
      </c>
      <c r="AB984" s="62">
        <f>AC984/(0.089*24*365/10^6)</f>
        <v>41180.755712330865</v>
      </c>
      <c r="AC984" s="63">
        <f>50*0.045/0.73/0.12/H2ProjectDB4578610[[#This Row],[Column33]]</f>
        <v>32.106164383561641</v>
      </c>
      <c r="AD984" s="62"/>
      <c r="AE984" s="62">
        <f t="shared" si="118"/>
        <v>41180.755712330865</v>
      </c>
      <c r="AF984" s="64" t="s">
        <v>2915</v>
      </c>
      <c r="AG984" s="49">
        <v>0.8</v>
      </c>
    </row>
    <row r="985" spans="1:33" customFormat="1" ht="34.5" customHeight="1" x14ac:dyDescent="0.3">
      <c r="A985" s="46">
        <v>1415</v>
      </c>
      <c r="B985" s="46" t="s">
        <v>2916</v>
      </c>
      <c r="C985" s="46" t="s">
        <v>74</v>
      </c>
      <c r="D985" s="60">
        <v>2024</v>
      </c>
      <c r="E985" s="60"/>
      <c r="F985" s="46" t="s">
        <v>225</v>
      </c>
      <c r="G985" s="46" t="s">
        <v>159</v>
      </c>
      <c r="H985" s="46" t="s">
        <v>592</v>
      </c>
      <c r="I985" s="46" t="s">
        <v>169</v>
      </c>
      <c r="J985" s="46" t="s">
        <v>248</v>
      </c>
      <c r="K985" s="46" t="s">
        <v>141</v>
      </c>
      <c r="L985" s="46"/>
      <c r="M985" s="46">
        <v>1</v>
      </c>
      <c r="N985" s="46"/>
      <c r="O985" s="46"/>
      <c r="P985" s="46"/>
      <c r="Q985" s="46"/>
      <c r="R985" s="46"/>
      <c r="S985" s="46"/>
      <c r="T985" s="46"/>
      <c r="U985" s="46"/>
      <c r="V985" s="46"/>
      <c r="W985" s="46"/>
      <c r="X985" s="46"/>
      <c r="Y985" s="46"/>
      <c r="Z985" s="46" t="s">
        <v>2917</v>
      </c>
      <c r="AA985" s="61">
        <v>400</v>
      </c>
      <c r="AB985" s="62">
        <f t="shared" ref="AB985:AB990" si="120">IF(OR(G985="ALK",G985="PEM",G985="SOEC",G985="Other Electrolysis"),
AA985/VLOOKUP(G985,ElectrolysisConvF,3,FALSE),
AC985*10^6/(H2dens*HoursInYear))</f>
        <v>88888.888888888891</v>
      </c>
      <c r="AC985" s="63">
        <f>AB985*H2dens*HoursInYear/10^6</f>
        <v>69.301333333333332</v>
      </c>
      <c r="AD985" s="62"/>
      <c r="AE985" s="62">
        <f t="shared" si="118"/>
        <v>88888.888888888891</v>
      </c>
      <c r="AF985" s="64" t="s">
        <v>2918</v>
      </c>
      <c r="AG985" s="49">
        <v>0.5</v>
      </c>
    </row>
    <row r="986" spans="1:33" customFormat="1" ht="34.5" customHeight="1" x14ac:dyDescent="0.3">
      <c r="A986" s="46">
        <v>1416</v>
      </c>
      <c r="B986" s="46" t="s">
        <v>2919</v>
      </c>
      <c r="C986" s="46" t="s">
        <v>46</v>
      </c>
      <c r="D986" s="60">
        <v>2027</v>
      </c>
      <c r="E986" s="60"/>
      <c r="F986" s="46" t="s">
        <v>225</v>
      </c>
      <c r="G986" s="46" t="s">
        <v>161</v>
      </c>
      <c r="H986" s="46" t="s">
        <v>1951</v>
      </c>
      <c r="I986" s="46"/>
      <c r="J986" s="46"/>
      <c r="K986" s="46" t="s">
        <v>68</v>
      </c>
      <c r="L986" s="46"/>
      <c r="M986" s="46"/>
      <c r="N986" s="46"/>
      <c r="O986" s="46"/>
      <c r="P986" s="46"/>
      <c r="Q986" s="46"/>
      <c r="R986" s="46"/>
      <c r="S986" s="46"/>
      <c r="T986" s="46"/>
      <c r="U986" s="46"/>
      <c r="V986" s="46"/>
      <c r="W986" s="46"/>
      <c r="X986" s="46"/>
      <c r="Y986" s="46"/>
      <c r="Z986" s="46" t="s">
        <v>2920</v>
      </c>
      <c r="AA986" s="61"/>
      <c r="AB986" s="62">
        <f t="shared" si="120"/>
        <v>224157.30337078651</v>
      </c>
      <c r="AC986" s="63">
        <f>700*HoursInYear*0.95*3.6/120/1000</f>
        <v>174.762</v>
      </c>
      <c r="AD986" s="62">
        <v>1200000</v>
      </c>
      <c r="AE986" s="62">
        <f t="shared" si="118"/>
        <v>150451.73132329821</v>
      </c>
      <c r="AF986" s="64" t="s">
        <v>2921</v>
      </c>
      <c r="AG986" s="49">
        <v>0.9</v>
      </c>
    </row>
    <row r="987" spans="1:33" customFormat="1" ht="34.5" customHeight="1" x14ac:dyDescent="0.3">
      <c r="A987" s="46">
        <v>1418</v>
      </c>
      <c r="B987" s="46" t="s">
        <v>2922</v>
      </c>
      <c r="C987" s="46" t="s">
        <v>43</v>
      </c>
      <c r="D987" s="60">
        <v>2023</v>
      </c>
      <c r="E987" s="60"/>
      <c r="F987" s="46" t="s">
        <v>226</v>
      </c>
      <c r="G987" s="46" t="s">
        <v>1</v>
      </c>
      <c r="H987" s="46"/>
      <c r="I987" s="46" t="s">
        <v>1317</v>
      </c>
      <c r="J987" s="46" t="s">
        <v>69</v>
      </c>
      <c r="K987" s="46" t="s">
        <v>140</v>
      </c>
      <c r="L987" s="46"/>
      <c r="M987" s="46"/>
      <c r="N987" s="46">
        <v>1</v>
      </c>
      <c r="O987" s="46"/>
      <c r="P987" s="46"/>
      <c r="Q987" s="46"/>
      <c r="R987" s="46"/>
      <c r="S987" s="46"/>
      <c r="T987" s="46"/>
      <c r="U987" s="46"/>
      <c r="V987" s="46"/>
      <c r="W987" s="46"/>
      <c r="X987" s="46"/>
      <c r="Y987" s="46"/>
      <c r="Z987" s="46" t="s">
        <v>1396</v>
      </c>
      <c r="AA987" s="61">
        <v>5</v>
      </c>
      <c r="AB987" s="62">
        <f t="shared" si="120"/>
        <v>961.53846153846155</v>
      </c>
      <c r="AC987" s="63">
        <f>AB987*H2dens*HoursInYear/10^6</f>
        <v>0.74965384615384612</v>
      </c>
      <c r="AD987" s="62"/>
      <c r="AE987" s="62">
        <f>IF(AND(G987&lt;&gt;"NG w CCUS",G987&lt;&gt;"Oil w CCUS",G987&lt;&gt;"Coal w CCUS"),AB987,AD987*10^3/(HoursInYear*IF(G987="NG w CCUS",0.9105,1.9075)))</f>
        <v>961.53846153846155</v>
      </c>
      <c r="AF987" s="64" t="s">
        <v>2923</v>
      </c>
      <c r="AG987" s="49">
        <v>0.7</v>
      </c>
    </row>
    <row r="988" spans="1:33" customFormat="1" ht="34.5" customHeight="1" x14ac:dyDescent="0.3">
      <c r="A988" s="46">
        <v>1419</v>
      </c>
      <c r="B988" s="46" t="s">
        <v>2924</v>
      </c>
      <c r="C988" s="46" t="s">
        <v>40</v>
      </c>
      <c r="D988" s="60">
        <v>2027</v>
      </c>
      <c r="E988" s="60"/>
      <c r="F988" s="46" t="s">
        <v>591</v>
      </c>
      <c r="G988" s="46" t="s">
        <v>161</v>
      </c>
      <c r="H988" s="46" t="s">
        <v>1951</v>
      </c>
      <c r="I988" s="46"/>
      <c r="J988" s="46"/>
      <c r="K988" s="46" t="s">
        <v>141</v>
      </c>
      <c r="L988" s="46"/>
      <c r="M988" s="46">
        <v>1</v>
      </c>
      <c r="N988" s="46"/>
      <c r="O988" s="46"/>
      <c r="P988" s="46"/>
      <c r="Q988" s="46"/>
      <c r="R988" s="46"/>
      <c r="S988" s="46"/>
      <c r="T988" s="46"/>
      <c r="U988" s="46"/>
      <c r="V988" s="46"/>
      <c r="W988" s="46"/>
      <c r="X988" s="46"/>
      <c r="Y988" s="46"/>
      <c r="Z988" s="46" t="s">
        <v>2925</v>
      </c>
      <c r="AA988" s="61"/>
      <c r="AB988" s="62">
        <f t="shared" si="120"/>
        <v>230968.17609605024</v>
      </c>
      <c r="AC988" s="63">
        <f>1000*3/17/0.98</f>
        <v>180.0720288115246</v>
      </c>
      <c r="AD988" s="62">
        <v>1800000</v>
      </c>
      <c r="AE988" s="62">
        <f>IF(AND(G988&lt;&gt;"NG w CCUS",G988&lt;&gt;"Oil w CCUS",G988&lt;&gt;"Coal w CCUS"),AB988,AD988*10^3/(HoursInYear*IF(G988="NG w CCUS",0.9105,1.9075)))</f>
        <v>225677.5969849473</v>
      </c>
      <c r="AF988" s="64" t="s">
        <v>2926</v>
      </c>
      <c r="AG988" s="49">
        <v>0.9</v>
      </c>
    </row>
    <row r="989" spans="1:33" customFormat="1" ht="34.5" customHeight="1" x14ac:dyDescent="0.3">
      <c r="A989" s="46">
        <v>1420</v>
      </c>
      <c r="B989" s="46" t="s">
        <v>2927</v>
      </c>
      <c r="C989" s="46" t="s">
        <v>39</v>
      </c>
      <c r="D989" s="60"/>
      <c r="E989" s="60"/>
      <c r="F989" s="46" t="s">
        <v>225</v>
      </c>
      <c r="G989" s="46" t="s">
        <v>3</v>
      </c>
      <c r="H989" s="46"/>
      <c r="I989" s="46" t="s">
        <v>169</v>
      </c>
      <c r="J989" s="46" t="s">
        <v>248</v>
      </c>
      <c r="K989" s="46" t="s">
        <v>68</v>
      </c>
      <c r="L989" s="46"/>
      <c r="M989" s="46"/>
      <c r="N989" s="46"/>
      <c r="O989" s="46"/>
      <c r="P989" s="46">
        <v>1</v>
      </c>
      <c r="Q989" s="46">
        <v>1</v>
      </c>
      <c r="R989" s="46"/>
      <c r="S989" s="46"/>
      <c r="T989" s="46"/>
      <c r="U989" s="46"/>
      <c r="V989" s="46"/>
      <c r="W989" s="46"/>
      <c r="X989" s="46"/>
      <c r="Y989" s="46"/>
      <c r="Z989" s="46" t="s">
        <v>2928</v>
      </c>
      <c r="AA989" s="61">
        <v>45</v>
      </c>
      <c r="AB989" s="62">
        <f t="shared" si="120"/>
        <v>9782.608695652174</v>
      </c>
      <c r="AC989" s="63">
        <f>AB989*H2dens*HoursInYear/10^6</f>
        <v>7.626913043478261</v>
      </c>
      <c r="AD989" s="62"/>
      <c r="AE989" s="62">
        <f>AB989</f>
        <v>9782.608695652174</v>
      </c>
      <c r="AF989" s="64" t="s">
        <v>1778</v>
      </c>
      <c r="AG989" s="49">
        <v>0.5</v>
      </c>
    </row>
    <row r="990" spans="1:33" customFormat="1" ht="34.5" customHeight="1" x14ac:dyDescent="0.3">
      <c r="A990" s="46">
        <v>1421</v>
      </c>
      <c r="B990" s="46" t="s">
        <v>2929</v>
      </c>
      <c r="C990" s="46" t="s">
        <v>39</v>
      </c>
      <c r="D990" s="60"/>
      <c r="E990" s="60"/>
      <c r="F990" s="46" t="s">
        <v>591</v>
      </c>
      <c r="G990" s="46" t="s">
        <v>159</v>
      </c>
      <c r="H990" s="46" t="s">
        <v>592</v>
      </c>
      <c r="I990" s="46" t="s">
        <v>169</v>
      </c>
      <c r="J990" s="46" t="s">
        <v>69</v>
      </c>
      <c r="K990" s="46" t="s">
        <v>68</v>
      </c>
      <c r="L990" s="46"/>
      <c r="M990" s="46"/>
      <c r="N990" s="46"/>
      <c r="O990" s="46">
        <v>1</v>
      </c>
      <c r="P990" s="46"/>
      <c r="Q990" s="46"/>
      <c r="R990" s="46"/>
      <c r="S990" s="46"/>
      <c r="T990" s="46"/>
      <c r="U990" s="46"/>
      <c r="V990" s="46"/>
      <c r="W990" s="46"/>
      <c r="X990" s="46"/>
      <c r="Y990" s="46"/>
      <c r="Z990" s="46" t="s">
        <v>1168</v>
      </c>
      <c r="AA990" s="61">
        <v>10</v>
      </c>
      <c r="AB990" s="62">
        <f t="shared" si="120"/>
        <v>2222.2222222222222</v>
      </c>
      <c r="AC990" s="63">
        <f>AB990*H2dens*HoursInYear/10^6</f>
        <v>1.7325333333333333</v>
      </c>
      <c r="AD990" s="62"/>
      <c r="AE990" s="62">
        <f>AB990</f>
        <v>2222.2222222222222</v>
      </c>
      <c r="AF990" s="64" t="s">
        <v>2930</v>
      </c>
      <c r="AG990" s="49">
        <v>0.5</v>
      </c>
    </row>
    <row r="991" spans="1:33" customFormat="1" ht="34.5" customHeight="1" x14ac:dyDescent="0.3">
      <c r="A991" s="46">
        <v>1422</v>
      </c>
      <c r="B991" s="46" t="s">
        <v>2931</v>
      </c>
      <c r="C991" s="46" t="s">
        <v>39</v>
      </c>
      <c r="D991" s="60"/>
      <c r="E991" s="60"/>
      <c r="F991" s="46" t="s">
        <v>225</v>
      </c>
      <c r="G991" s="46" t="s">
        <v>159</v>
      </c>
      <c r="H991" s="46" t="s">
        <v>592</v>
      </c>
      <c r="I991" s="46" t="s">
        <v>169</v>
      </c>
      <c r="J991" s="46" t="s">
        <v>245</v>
      </c>
      <c r="K991" s="46" t="s">
        <v>68</v>
      </c>
      <c r="L991" s="46"/>
      <c r="M991" s="46">
        <v>1</v>
      </c>
      <c r="N991" s="46"/>
      <c r="O991" s="46"/>
      <c r="P991" s="46"/>
      <c r="Q991" s="46"/>
      <c r="R991" s="46"/>
      <c r="S991" s="46">
        <v>1</v>
      </c>
      <c r="T991" s="46"/>
      <c r="U991" s="46"/>
      <c r="V991" s="46"/>
      <c r="W991" s="46"/>
      <c r="X991" s="46"/>
      <c r="Y991" s="46"/>
      <c r="Z991" s="46"/>
      <c r="AA991" s="61"/>
      <c r="AB991" s="62"/>
      <c r="AC991" s="63"/>
      <c r="AD991" s="62"/>
      <c r="AE991" s="62">
        <f t="shared" ref="AE991:AE1003" si="121">IF(AND(G991&lt;&gt;"NG w CCUS",G991&lt;&gt;"Oil w CCUS",G991&lt;&gt;"Coal w CCUS"),AB991,AD991*10^3/(HoursInYear*IF(G991="NG w CCUS",0.9105,1.9075)))</f>
        <v>0</v>
      </c>
      <c r="AF991" s="64" t="s">
        <v>1942</v>
      </c>
      <c r="AG991" s="49">
        <v>0.4</v>
      </c>
    </row>
    <row r="992" spans="1:33" customFormat="1" ht="34.5" customHeight="1" x14ac:dyDescent="0.3">
      <c r="A992" s="46">
        <v>1424</v>
      </c>
      <c r="B992" s="46" t="s">
        <v>2932</v>
      </c>
      <c r="C992" s="46" t="s">
        <v>39</v>
      </c>
      <c r="D992" s="60">
        <v>2025</v>
      </c>
      <c r="E992" s="60"/>
      <c r="F992" s="46" t="s">
        <v>225</v>
      </c>
      <c r="G992" s="46" t="s">
        <v>161</v>
      </c>
      <c r="H992" s="46" t="s">
        <v>1951</v>
      </c>
      <c r="I992" s="46"/>
      <c r="J992" s="46"/>
      <c r="K992" s="46" t="s">
        <v>141</v>
      </c>
      <c r="L992" s="46"/>
      <c r="M992" s="46">
        <v>1</v>
      </c>
      <c r="N992" s="46"/>
      <c r="O992" s="46"/>
      <c r="P992" s="46"/>
      <c r="Q992" s="46"/>
      <c r="R992" s="46"/>
      <c r="S992" s="46"/>
      <c r="T992" s="46"/>
      <c r="U992" s="46"/>
      <c r="V992" s="46"/>
      <c r="W992" s="46"/>
      <c r="X992" s="46"/>
      <c r="Y992" s="46"/>
      <c r="Z992" s="46" t="s">
        <v>2933</v>
      </c>
      <c r="AA992" s="61" t="str">
        <f>IF(OR(G992="ALK",G992="PEM",G992="SOEC",G992="Other Electrolysis"),
AB992*VLOOKUP(G992,ElectrolysisConvF,3,FALSE),
"")</f>
        <v/>
      </c>
      <c r="AB992" s="62">
        <f>AC992/(H2dens*HoursInYear/10^6)</f>
        <v>277161.8113152603</v>
      </c>
      <c r="AC992" s="62">
        <f>1200*3/17/0.98</f>
        <v>216.08643457382954</v>
      </c>
      <c r="AD992" s="62"/>
      <c r="AE992" s="62">
        <f t="shared" si="121"/>
        <v>0</v>
      </c>
      <c r="AF992" s="64" t="s">
        <v>2934</v>
      </c>
      <c r="AG992" s="49">
        <v>0.9</v>
      </c>
    </row>
    <row r="993" spans="1:33" customFormat="1" ht="34.5" customHeight="1" x14ac:dyDescent="0.3">
      <c r="A993" s="46">
        <v>1425</v>
      </c>
      <c r="B993" s="46" t="s">
        <v>2935</v>
      </c>
      <c r="C993" s="46" t="s">
        <v>39</v>
      </c>
      <c r="D993" s="60"/>
      <c r="E993" s="60"/>
      <c r="F993" s="46" t="s">
        <v>225</v>
      </c>
      <c r="G993" s="46" t="s">
        <v>161</v>
      </c>
      <c r="H993" s="46" t="s">
        <v>1951</v>
      </c>
      <c r="I993" s="46"/>
      <c r="J993" s="46"/>
      <c r="K993" s="46" t="s">
        <v>68</v>
      </c>
      <c r="L993" s="46"/>
      <c r="M993" s="46"/>
      <c r="N993" s="46"/>
      <c r="O993" s="46"/>
      <c r="P993" s="46"/>
      <c r="Q993" s="46"/>
      <c r="R993" s="46"/>
      <c r="S993" s="46"/>
      <c r="T993" s="46"/>
      <c r="U993" s="46"/>
      <c r="V993" s="46"/>
      <c r="W993" s="46"/>
      <c r="X993" s="46"/>
      <c r="Y993" s="46"/>
      <c r="Z993" s="46"/>
      <c r="AA993" s="61"/>
      <c r="AB993" s="62"/>
      <c r="AC993" s="62"/>
      <c r="AD993" s="62"/>
      <c r="AE993" s="62">
        <f t="shared" si="121"/>
        <v>0</v>
      </c>
      <c r="AF993" s="64" t="s">
        <v>2936</v>
      </c>
      <c r="AG993" s="49">
        <v>0.9</v>
      </c>
    </row>
    <row r="994" spans="1:33" customFormat="1" ht="34.5" customHeight="1" x14ac:dyDescent="0.3">
      <c r="A994" s="46">
        <v>1426</v>
      </c>
      <c r="B994" s="46" t="s">
        <v>2937</v>
      </c>
      <c r="C994" s="46" t="s">
        <v>46</v>
      </c>
      <c r="D994" s="60">
        <v>2030</v>
      </c>
      <c r="E994" s="60"/>
      <c r="F994" s="46" t="s">
        <v>225</v>
      </c>
      <c r="G994" s="46" t="s">
        <v>161</v>
      </c>
      <c r="H994" s="46" t="s">
        <v>2365</v>
      </c>
      <c r="I994" s="46"/>
      <c r="J994" s="46"/>
      <c r="K994" s="46" t="s">
        <v>68</v>
      </c>
      <c r="L994" s="46">
        <v>1</v>
      </c>
      <c r="M994" s="46"/>
      <c r="N994" s="46"/>
      <c r="O994" s="46"/>
      <c r="P994" s="46"/>
      <c r="Q994" s="46"/>
      <c r="R994" s="46"/>
      <c r="S994" s="46"/>
      <c r="T994" s="46"/>
      <c r="U994" s="46"/>
      <c r="V994" s="46"/>
      <c r="W994" s="46"/>
      <c r="X994" s="46"/>
      <c r="Y994" s="46"/>
      <c r="Z994" s="46" t="s">
        <v>2938</v>
      </c>
      <c r="AA994" s="61" t="str">
        <f t="shared" ref="AA994:AA1001" si="122">IF(OR(G994="ALK",G994="PEM",G994="SOEC",G994="Other Electrolysis"),
AB994*VLOOKUP(G994,ElectrolysisConvF,3,FALSE),
"")</f>
        <v/>
      </c>
      <c r="AB994" s="62">
        <f>IF(OR(G994="ALK",G994="PEM",G994="SOEC",G994="Other Electrolysis"),
AA994/VLOOKUP(G994,ElectrolysisConvF,3,FALSE),
AC994*10^6/(H2dens*HoursInYear))</f>
        <v>243702.22153814582</v>
      </c>
      <c r="AC994" s="62">
        <v>190</v>
      </c>
      <c r="AD994" s="62">
        <v>1000000</v>
      </c>
      <c r="AE994" s="62">
        <f t="shared" si="121"/>
        <v>125376.44276941518</v>
      </c>
      <c r="AF994" s="64" t="s">
        <v>2939</v>
      </c>
      <c r="AG994" s="49">
        <v>0.9</v>
      </c>
    </row>
    <row r="995" spans="1:33" customFormat="1" ht="34.5" customHeight="1" x14ac:dyDescent="0.3">
      <c r="A995" s="46">
        <v>1427</v>
      </c>
      <c r="B995" s="46" t="s">
        <v>2940</v>
      </c>
      <c r="C995" s="46" t="s">
        <v>50</v>
      </c>
      <c r="D995" s="60">
        <v>2024</v>
      </c>
      <c r="E995" s="60"/>
      <c r="F995" s="46" t="s">
        <v>225</v>
      </c>
      <c r="G995" s="46" t="s">
        <v>161</v>
      </c>
      <c r="H995" s="46" t="s">
        <v>1951</v>
      </c>
      <c r="I995" s="46"/>
      <c r="J995" s="46"/>
      <c r="K995" s="46" t="s">
        <v>68</v>
      </c>
      <c r="L995" s="46">
        <v>1</v>
      </c>
      <c r="M995" s="46"/>
      <c r="N995" s="46"/>
      <c r="O995" s="46"/>
      <c r="P995" s="46"/>
      <c r="Q995" s="46"/>
      <c r="R995" s="46"/>
      <c r="S995" s="46"/>
      <c r="T995" s="46"/>
      <c r="U995" s="46"/>
      <c r="V995" s="46"/>
      <c r="W995" s="46"/>
      <c r="X995" s="46"/>
      <c r="Y995" s="46"/>
      <c r="Z995" s="46" t="s">
        <v>2941</v>
      </c>
      <c r="AA995" s="61" t="str">
        <f t="shared" si="122"/>
        <v/>
      </c>
      <c r="AB995" s="62">
        <v>130000</v>
      </c>
      <c r="AC995" s="62">
        <f>H2ProjectDB4578610[[#This Row],[Column28]]*(H2dens*HoursInYear/10^6)</f>
        <v>101.3532</v>
      </c>
      <c r="AD995" s="62">
        <v>500000</v>
      </c>
      <c r="AE995" s="62">
        <f t="shared" si="121"/>
        <v>62688.221384707591</v>
      </c>
      <c r="AF995" s="64" t="s">
        <v>7189</v>
      </c>
      <c r="AG995" s="49">
        <v>0.9</v>
      </c>
    </row>
    <row r="996" spans="1:33" customFormat="1" ht="34.5" customHeight="1" x14ac:dyDescent="0.3">
      <c r="A996" s="46">
        <v>1428</v>
      </c>
      <c r="B996" s="46" t="s">
        <v>2943</v>
      </c>
      <c r="C996" s="46" t="s">
        <v>50</v>
      </c>
      <c r="D996" s="60">
        <v>2024</v>
      </c>
      <c r="E996" s="60"/>
      <c r="F996" s="46" t="s">
        <v>225</v>
      </c>
      <c r="G996" s="46" t="s">
        <v>161</v>
      </c>
      <c r="H996" s="46" t="s">
        <v>2365</v>
      </c>
      <c r="I996" s="46"/>
      <c r="J996" s="46"/>
      <c r="K996" s="46" t="s">
        <v>68</v>
      </c>
      <c r="L996" s="46">
        <v>1</v>
      </c>
      <c r="M996" s="46"/>
      <c r="N996" s="46"/>
      <c r="O996" s="46"/>
      <c r="P996" s="46"/>
      <c r="Q996" s="46"/>
      <c r="R996" s="46"/>
      <c r="S996" s="46"/>
      <c r="T996" s="46"/>
      <c r="U996" s="46"/>
      <c r="V996" s="46"/>
      <c r="W996" s="46"/>
      <c r="X996" s="46"/>
      <c r="Y996" s="46"/>
      <c r="Z996" s="46"/>
      <c r="AA996" s="61" t="str">
        <f t="shared" si="122"/>
        <v/>
      </c>
      <c r="AB996" s="62"/>
      <c r="AC996" s="62"/>
      <c r="AD996" s="62"/>
      <c r="AE996" s="62">
        <f t="shared" si="121"/>
        <v>0</v>
      </c>
      <c r="AF996" s="64" t="s">
        <v>7189</v>
      </c>
      <c r="AG996" s="49">
        <v>0.9</v>
      </c>
    </row>
    <row r="997" spans="1:33" customFormat="1" ht="34.5" customHeight="1" x14ac:dyDescent="0.3">
      <c r="A997" s="46">
        <v>1429</v>
      </c>
      <c r="B997" s="46" t="s">
        <v>2944</v>
      </c>
      <c r="C997" s="46" t="s">
        <v>50</v>
      </c>
      <c r="D997" s="60">
        <v>2024</v>
      </c>
      <c r="E997" s="60"/>
      <c r="F997" s="46" t="s">
        <v>225</v>
      </c>
      <c r="G997" s="46" t="s">
        <v>162</v>
      </c>
      <c r="H997" s="46" t="s">
        <v>1951</v>
      </c>
      <c r="I997" s="46"/>
      <c r="J997" s="46"/>
      <c r="K997" s="46" t="s">
        <v>68</v>
      </c>
      <c r="L997" s="46">
        <v>1</v>
      </c>
      <c r="M997" s="46"/>
      <c r="N997" s="46"/>
      <c r="O997" s="46"/>
      <c r="P997" s="46"/>
      <c r="Q997" s="46"/>
      <c r="R997" s="46"/>
      <c r="S997" s="46"/>
      <c r="T997" s="46"/>
      <c r="U997" s="46"/>
      <c r="V997" s="46"/>
      <c r="W997" s="46"/>
      <c r="X997" s="46"/>
      <c r="Y997" s="46"/>
      <c r="Z997" s="46"/>
      <c r="AA997" s="61" t="str">
        <f t="shared" si="122"/>
        <v/>
      </c>
      <c r="AB997" s="62"/>
      <c r="AC997" s="62"/>
      <c r="AD997" s="62"/>
      <c r="AE997" s="62">
        <f t="shared" si="121"/>
        <v>0</v>
      </c>
      <c r="AF997" s="64" t="s">
        <v>7189</v>
      </c>
      <c r="AG997" s="49">
        <v>0.9</v>
      </c>
    </row>
    <row r="998" spans="1:33" customFormat="1" ht="34.5" customHeight="1" x14ac:dyDescent="0.3">
      <c r="A998" s="46">
        <v>1430</v>
      </c>
      <c r="B998" s="46" t="s">
        <v>2945</v>
      </c>
      <c r="C998" s="46" t="s">
        <v>50</v>
      </c>
      <c r="D998" s="60"/>
      <c r="E998" s="60"/>
      <c r="F998" s="46" t="s">
        <v>225</v>
      </c>
      <c r="G998" s="46" t="s">
        <v>161</v>
      </c>
      <c r="H998" s="46" t="s">
        <v>1951</v>
      </c>
      <c r="I998" s="46"/>
      <c r="J998" s="46"/>
      <c r="K998" s="46" t="s">
        <v>68</v>
      </c>
      <c r="L998" s="46">
        <v>1</v>
      </c>
      <c r="M998" s="46"/>
      <c r="N998" s="46"/>
      <c r="O998" s="46"/>
      <c r="P998" s="46"/>
      <c r="Q998" s="46"/>
      <c r="R998" s="46"/>
      <c r="S998" s="46"/>
      <c r="T998" s="46"/>
      <c r="U998" s="46"/>
      <c r="V998" s="46"/>
      <c r="W998" s="46"/>
      <c r="X998" s="46"/>
      <c r="Y998" s="46"/>
      <c r="Z998" s="46" t="s">
        <v>2045</v>
      </c>
      <c r="AA998" s="61" t="str">
        <f t="shared" si="122"/>
        <v/>
      </c>
      <c r="AB998" s="62"/>
      <c r="AC998" s="62"/>
      <c r="AD998" s="62">
        <v>800000</v>
      </c>
      <c r="AE998" s="62">
        <f t="shared" si="121"/>
        <v>100301.15421553214</v>
      </c>
      <c r="AF998" s="64" t="s">
        <v>2946</v>
      </c>
      <c r="AG998" s="49">
        <v>0.9</v>
      </c>
    </row>
    <row r="999" spans="1:33" customFormat="1" ht="34.5" customHeight="1" x14ac:dyDescent="0.3">
      <c r="A999" s="46">
        <v>1431</v>
      </c>
      <c r="B999" s="46" t="s">
        <v>2947</v>
      </c>
      <c r="C999" s="46" t="s">
        <v>75</v>
      </c>
      <c r="D999" s="60"/>
      <c r="E999" s="60"/>
      <c r="F999" s="46" t="s">
        <v>225</v>
      </c>
      <c r="G999" s="46" t="s">
        <v>159</v>
      </c>
      <c r="H999" s="46" t="s">
        <v>592</v>
      </c>
      <c r="I999" s="46" t="s">
        <v>169</v>
      </c>
      <c r="J999" s="46" t="s">
        <v>248</v>
      </c>
      <c r="K999" s="46" t="s">
        <v>68</v>
      </c>
      <c r="L999" s="46"/>
      <c r="M999" s="46"/>
      <c r="N999" s="46"/>
      <c r="O999" s="46"/>
      <c r="P999" s="46"/>
      <c r="Q999" s="46"/>
      <c r="R999" s="46"/>
      <c r="S999" s="46"/>
      <c r="T999" s="46"/>
      <c r="U999" s="46"/>
      <c r="V999" s="46"/>
      <c r="W999" s="46"/>
      <c r="X999" s="46"/>
      <c r="Y999" s="46"/>
      <c r="Z999" s="46" t="s">
        <v>2948</v>
      </c>
      <c r="AA999" s="61">
        <f t="shared" si="122"/>
        <v>4617.5157765122358</v>
      </c>
      <c r="AB999" s="62">
        <f>AC999*10^6/(H2dens*HoursInYear)</f>
        <v>1026114.6170027192</v>
      </c>
      <c r="AC999" s="62">
        <f>400/H2ProjectDB4578610[[#This Row],[Column33]]</f>
        <v>800</v>
      </c>
      <c r="AD999" s="62"/>
      <c r="AE999" s="62">
        <f t="shared" si="121"/>
        <v>1026114.6170027192</v>
      </c>
      <c r="AF999" s="64" t="s">
        <v>2949</v>
      </c>
      <c r="AG999" s="49">
        <v>0.5</v>
      </c>
    </row>
    <row r="1000" spans="1:33" customFormat="1" ht="35.1" customHeight="1" x14ac:dyDescent="0.3">
      <c r="A1000" s="46">
        <v>1432</v>
      </c>
      <c r="B1000" s="46" t="s">
        <v>2950</v>
      </c>
      <c r="C1000" s="46" t="s">
        <v>74</v>
      </c>
      <c r="D1000" s="60">
        <v>2030</v>
      </c>
      <c r="E1000" s="60"/>
      <c r="F1000" s="46" t="s">
        <v>591</v>
      </c>
      <c r="G1000" s="46" t="s">
        <v>159</v>
      </c>
      <c r="H1000" s="46" t="s">
        <v>592</v>
      </c>
      <c r="I1000" s="46" t="s">
        <v>169</v>
      </c>
      <c r="J1000" s="46" t="s">
        <v>69</v>
      </c>
      <c r="K1000" s="46" t="s">
        <v>68</v>
      </c>
      <c r="L1000" s="46"/>
      <c r="M1000" s="46"/>
      <c r="N1000" s="46"/>
      <c r="O1000" s="46"/>
      <c r="P1000" s="46"/>
      <c r="Q1000" s="46"/>
      <c r="R1000" s="46"/>
      <c r="S1000" s="46"/>
      <c r="T1000" s="46"/>
      <c r="U1000" s="46"/>
      <c r="V1000" s="46"/>
      <c r="W1000" s="46"/>
      <c r="X1000" s="46"/>
      <c r="Y1000" s="46"/>
      <c r="Z1000" s="46" t="s">
        <v>2951</v>
      </c>
      <c r="AA1000" s="61">
        <f t="shared" si="122"/>
        <v>2078.7135848644521</v>
      </c>
      <c r="AB1000" s="62">
        <f>AC1000/(H2dens*HoursInYear/10^6)</f>
        <v>461936.35219210049</v>
      </c>
      <c r="AC1000" s="62">
        <f>1000*3/17/0.98/H2ProjectDB4578610[[#This Row],[Column33]]</f>
        <v>360.14405762304921</v>
      </c>
      <c r="AD1000" s="62"/>
      <c r="AE1000" s="62">
        <f t="shared" si="121"/>
        <v>461936.35219210049</v>
      </c>
      <c r="AF1000" s="64" t="s">
        <v>2952</v>
      </c>
      <c r="AG1000" s="49">
        <v>0.5</v>
      </c>
    </row>
    <row r="1001" spans="1:33" customFormat="1" ht="35.1" customHeight="1" x14ac:dyDescent="0.3">
      <c r="A1001" s="46">
        <v>1433</v>
      </c>
      <c r="B1001" s="46" t="s">
        <v>2953</v>
      </c>
      <c r="C1001" s="46" t="s">
        <v>46</v>
      </c>
      <c r="D1001" s="60">
        <v>2030</v>
      </c>
      <c r="E1001" s="60"/>
      <c r="F1001" s="46" t="s">
        <v>225</v>
      </c>
      <c r="G1001" s="46" t="s">
        <v>161</v>
      </c>
      <c r="H1001" s="46" t="s">
        <v>2365</v>
      </c>
      <c r="I1001" s="46"/>
      <c r="J1001" s="46"/>
      <c r="K1001" s="46" t="s">
        <v>68</v>
      </c>
      <c r="L1001" s="46">
        <v>1</v>
      </c>
      <c r="M1001" s="46"/>
      <c r="N1001" s="46"/>
      <c r="O1001" s="46"/>
      <c r="P1001" s="46"/>
      <c r="Q1001" s="46"/>
      <c r="R1001" s="46"/>
      <c r="S1001" s="46">
        <v>1</v>
      </c>
      <c r="T1001" s="46"/>
      <c r="U1001" s="46"/>
      <c r="V1001" s="46"/>
      <c r="W1001" s="46"/>
      <c r="X1001" s="46"/>
      <c r="Y1001" s="46"/>
      <c r="Z1001" s="46" t="s">
        <v>2954</v>
      </c>
      <c r="AA1001" s="61" t="str">
        <f t="shared" si="122"/>
        <v/>
      </c>
      <c r="AB1001" s="62">
        <f>AC1001/365/24/0.089*10^6</f>
        <v>165460.98199168849</v>
      </c>
      <c r="AC1001" s="62">
        <f>4.3*3.6/0.12</f>
        <v>129</v>
      </c>
      <c r="AD1001" s="62">
        <v>2000000</v>
      </c>
      <c r="AE1001" s="62">
        <f t="shared" si="121"/>
        <v>250752.88553883036</v>
      </c>
      <c r="AF1001" s="64" t="s">
        <v>2955</v>
      </c>
      <c r="AG1001" s="49">
        <v>0.9</v>
      </c>
    </row>
    <row r="1002" spans="1:33" customFormat="1" ht="35.1" customHeight="1" x14ac:dyDescent="0.3">
      <c r="A1002" s="46">
        <v>1434</v>
      </c>
      <c r="B1002" s="46" t="s">
        <v>2956</v>
      </c>
      <c r="C1002" s="46" t="s">
        <v>39</v>
      </c>
      <c r="D1002" s="60">
        <v>2024</v>
      </c>
      <c r="E1002" s="60"/>
      <c r="F1002" s="46" t="s">
        <v>225</v>
      </c>
      <c r="G1002" s="46" t="s">
        <v>159</v>
      </c>
      <c r="H1002" s="46" t="s">
        <v>592</v>
      </c>
      <c r="I1002" s="46" t="s">
        <v>169</v>
      </c>
      <c r="J1002" s="46" t="s">
        <v>69</v>
      </c>
      <c r="K1002" s="46" t="s">
        <v>68</v>
      </c>
      <c r="L1002" s="46"/>
      <c r="M1002" s="46">
        <v>1</v>
      </c>
      <c r="N1002" s="46"/>
      <c r="O1002" s="46"/>
      <c r="P1002" s="46">
        <v>1</v>
      </c>
      <c r="Q1002" s="46"/>
      <c r="R1002" s="46"/>
      <c r="S1002" s="46"/>
      <c r="T1002" s="46"/>
      <c r="U1002" s="46"/>
      <c r="V1002" s="46"/>
      <c r="W1002" s="46"/>
      <c r="X1002" s="46"/>
      <c r="Y1002" s="46"/>
      <c r="Z1002" s="46" t="s">
        <v>2678</v>
      </c>
      <c r="AA1002" s="61">
        <v>85</v>
      </c>
      <c r="AB1002" s="62">
        <f>IF(OR(G1002="ALK",G1002="PEM",G1002="SOEC",G1002="Other Electrolysis"),
AA1002/VLOOKUP(G1002,ElectrolysisConvF,3,FALSE),
AC1002*10^6/(H2dens*HoursInYear))</f>
        <v>18888.888888888891</v>
      </c>
      <c r="AC1002" s="63">
        <f>AB1002*H2dens*HoursInYear/10^6</f>
        <v>14.726533333333334</v>
      </c>
      <c r="AD1002" s="62"/>
      <c r="AE1002" s="62">
        <f t="shared" si="121"/>
        <v>18888.888888888891</v>
      </c>
      <c r="AF1002" s="64" t="s">
        <v>2957</v>
      </c>
      <c r="AG1002" s="49">
        <v>0.5</v>
      </c>
    </row>
    <row r="1003" spans="1:33" customFormat="1" ht="35.1" customHeight="1" x14ac:dyDescent="0.3">
      <c r="A1003" s="46">
        <v>1435</v>
      </c>
      <c r="B1003" s="46" t="s">
        <v>2958</v>
      </c>
      <c r="C1003" s="46" t="s">
        <v>39</v>
      </c>
      <c r="D1003" s="60"/>
      <c r="E1003" s="60"/>
      <c r="F1003" s="46" t="s">
        <v>225</v>
      </c>
      <c r="G1003" s="46" t="s">
        <v>159</v>
      </c>
      <c r="H1003" s="46" t="s">
        <v>592</v>
      </c>
      <c r="I1003" s="46" t="s">
        <v>169</v>
      </c>
      <c r="J1003" s="46" t="s">
        <v>69</v>
      </c>
      <c r="K1003" s="46" t="s">
        <v>68</v>
      </c>
      <c r="L1003" s="46"/>
      <c r="M1003" s="46">
        <v>1</v>
      </c>
      <c r="N1003" s="46"/>
      <c r="O1003" s="46"/>
      <c r="P1003" s="46">
        <v>1</v>
      </c>
      <c r="Q1003" s="46"/>
      <c r="R1003" s="46"/>
      <c r="S1003" s="46"/>
      <c r="T1003" s="46"/>
      <c r="U1003" s="46"/>
      <c r="V1003" s="46"/>
      <c r="W1003" s="46"/>
      <c r="X1003" s="46"/>
      <c r="Y1003" s="46"/>
      <c r="Z1003" s="46" t="s">
        <v>2959</v>
      </c>
      <c r="AA1003" s="61">
        <f>440-85</f>
        <v>355</v>
      </c>
      <c r="AB1003" s="62">
        <f>IF(OR(G1003="ALK",G1003="PEM",G1003="SOEC",G1003="Other Electrolysis"),
AA1003/VLOOKUP(G1003,ElectrolysisConvF,3,FALSE),
AC1003*10^6/(H2dens*HoursInYear))</f>
        <v>78888.888888888891</v>
      </c>
      <c r="AC1003" s="63">
        <f>AB1003*H2dens*HoursInYear/10^6</f>
        <v>61.504933333333334</v>
      </c>
      <c r="AD1003" s="62"/>
      <c r="AE1003" s="62">
        <f t="shared" si="121"/>
        <v>78888.888888888891</v>
      </c>
      <c r="AF1003" s="64" t="s">
        <v>2957</v>
      </c>
      <c r="AG1003" s="49">
        <v>0.5</v>
      </c>
    </row>
    <row r="1004" spans="1:33" customFormat="1" ht="35.1" customHeight="1" x14ac:dyDescent="0.3">
      <c r="A1004" s="46">
        <v>1436</v>
      </c>
      <c r="B1004" s="46" t="s">
        <v>2960</v>
      </c>
      <c r="C1004" s="46" t="s">
        <v>203</v>
      </c>
      <c r="D1004" s="60">
        <v>2026</v>
      </c>
      <c r="E1004" s="60"/>
      <c r="F1004" s="46" t="s">
        <v>225</v>
      </c>
      <c r="G1004" s="46" t="s">
        <v>159</v>
      </c>
      <c r="H1004" s="46" t="s">
        <v>592</v>
      </c>
      <c r="I1004" s="46" t="s">
        <v>169</v>
      </c>
      <c r="J1004" s="46" t="s">
        <v>246</v>
      </c>
      <c r="K1004" s="46" t="s">
        <v>68</v>
      </c>
      <c r="L1004" s="46">
        <v>1</v>
      </c>
      <c r="M1004" s="46"/>
      <c r="N1004" s="46"/>
      <c r="O1004" s="46">
        <v>1</v>
      </c>
      <c r="P1004" s="46">
        <v>1</v>
      </c>
      <c r="Q1004" s="46">
        <v>1</v>
      </c>
      <c r="R1004" s="46">
        <v>1</v>
      </c>
      <c r="S1004" s="46">
        <v>1</v>
      </c>
      <c r="T1004" s="46"/>
      <c r="U1004" s="46"/>
      <c r="V1004" s="46"/>
      <c r="W1004" s="46"/>
      <c r="X1004" s="46"/>
      <c r="Y1004" s="46"/>
      <c r="Z1004" s="46" t="s">
        <v>1847</v>
      </c>
      <c r="AA1004" s="61">
        <f>300-200</f>
        <v>100</v>
      </c>
      <c r="AB1004" s="62">
        <f>IF(OR(G1004="ALK",G1004="PEM",G1004="SOEC",G1004="Other Electrolysis"),
AA1004/VLOOKUP(G1004,ElectrolysisConvF,3,FALSE),
AC1004*10^6/(H2dens*HoursInYear))</f>
        <v>22222.222222222223</v>
      </c>
      <c r="AC1004" s="63">
        <f>AB1004*H2dens*HoursInYear/10^6</f>
        <v>17.325333333333333</v>
      </c>
      <c r="AD1004" s="62"/>
      <c r="AE1004" s="62">
        <f>AB1004</f>
        <v>22222.222222222223</v>
      </c>
      <c r="AF1004" s="64" t="s">
        <v>2961</v>
      </c>
      <c r="AG1004" s="49">
        <v>0.55000000000000004</v>
      </c>
    </row>
    <row r="1005" spans="1:33" customFormat="1" ht="35.1" customHeight="1" x14ac:dyDescent="0.3">
      <c r="A1005" s="46">
        <v>1437</v>
      </c>
      <c r="B1005" s="46" t="s">
        <v>2962</v>
      </c>
      <c r="C1005" s="46" t="s">
        <v>203</v>
      </c>
      <c r="D1005" s="60">
        <v>2035</v>
      </c>
      <c r="E1005" s="60"/>
      <c r="F1005" s="46" t="s">
        <v>225</v>
      </c>
      <c r="G1005" s="46" t="s">
        <v>159</v>
      </c>
      <c r="H1005" s="46" t="s">
        <v>592</v>
      </c>
      <c r="I1005" s="46" t="s">
        <v>169</v>
      </c>
      <c r="J1005" s="46" t="s">
        <v>246</v>
      </c>
      <c r="K1005" s="46" t="s">
        <v>68</v>
      </c>
      <c r="L1005" s="46">
        <v>1</v>
      </c>
      <c r="M1005" s="46"/>
      <c r="N1005" s="46"/>
      <c r="O1005" s="46">
        <v>1</v>
      </c>
      <c r="P1005" s="46"/>
      <c r="Q1005" s="46">
        <v>1</v>
      </c>
      <c r="R1005" s="46">
        <v>1</v>
      </c>
      <c r="S1005" s="46"/>
      <c r="T1005" s="46"/>
      <c r="U1005" s="46"/>
      <c r="V1005" s="46"/>
      <c r="W1005" s="46"/>
      <c r="X1005" s="46"/>
      <c r="Y1005" s="46"/>
      <c r="Z1005" s="46" t="s">
        <v>2963</v>
      </c>
      <c r="AA1005" s="61">
        <v>1800</v>
      </c>
      <c r="AB1005" s="62">
        <f>IF(OR(G1005="ALK",G1005="PEM",G1005="SOEC",G1005="Other Electrolysis"),
AA1005/VLOOKUP(G1005,ElectrolysisConvF,3,FALSE),
AC1005*10^6/(H2dens*HoursInYear))</f>
        <v>400000.00000000006</v>
      </c>
      <c r="AC1005" s="63">
        <f>AB1005*H2dens*HoursInYear/10^6</f>
        <v>311.85599999999999</v>
      </c>
      <c r="AD1005" s="62"/>
      <c r="AE1005" s="62">
        <f>AB1005</f>
        <v>400000.00000000006</v>
      </c>
      <c r="AF1005" s="64" t="s">
        <v>2964</v>
      </c>
      <c r="AG1005" s="49">
        <v>0.55000000000000004</v>
      </c>
    </row>
    <row r="1006" spans="1:33" customFormat="1" ht="35.1" customHeight="1" x14ac:dyDescent="0.3">
      <c r="A1006" s="46">
        <v>1439</v>
      </c>
      <c r="B1006" s="46" t="s">
        <v>2965</v>
      </c>
      <c r="C1006" s="46" t="s">
        <v>40</v>
      </c>
      <c r="D1006" s="60">
        <v>2025</v>
      </c>
      <c r="E1006" s="60"/>
      <c r="F1006" s="46" t="s">
        <v>225</v>
      </c>
      <c r="G1006" s="46" t="s">
        <v>161</v>
      </c>
      <c r="H1006" s="46" t="s">
        <v>1951</v>
      </c>
      <c r="I1006" s="46"/>
      <c r="J1006" s="46"/>
      <c r="K1006" s="46" t="s">
        <v>141</v>
      </c>
      <c r="L1006" s="46"/>
      <c r="M1006" s="46">
        <v>1</v>
      </c>
      <c r="N1006" s="46"/>
      <c r="O1006" s="46"/>
      <c r="P1006" s="46"/>
      <c r="Q1006" s="46"/>
      <c r="R1006" s="46"/>
      <c r="S1006" s="46"/>
      <c r="T1006" s="46"/>
      <c r="U1006" s="46"/>
      <c r="V1006" s="46"/>
      <c r="W1006" s="46"/>
      <c r="X1006" s="46"/>
      <c r="Y1006" s="46"/>
      <c r="Z1006" s="46" t="s">
        <v>2966</v>
      </c>
      <c r="AA1006" s="61" t="str">
        <f>IF(OR(G1006="ALK",G1006="PEM",G1006="SOEC",G1006="Other Electrolysis"),
AB1006*VLOOKUP(G1006,ElectrolysisConvF,3,FALSE),
"")</f>
        <v/>
      </c>
      <c r="AB1006" s="62"/>
      <c r="AC1006" s="62"/>
      <c r="AD1006" s="62">
        <v>104000</v>
      </c>
      <c r="AE1006" s="62">
        <f t="shared" ref="AE1006:AE1016" si="123">IF(AND(G1006&lt;&gt;"NG w CCUS",G1006&lt;&gt;"Oil w CCUS",G1006&lt;&gt;"Coal w CCUS"),AB1006,AD1006*10^3/(HoursInYear*IF(G1006="NG w CCUS",0.9105,1.9075)))</f>
        <v>13039.150048019179</v>
      </c>
      <c r="AF1006" s="64" t="s">
        <v>2967</v>
      </c>
      <c r="AG1006" s="49">
        <v>0.9</v>
      </c>
    </row>
    <row r="1007" spans="1:33" customFormat="1" ht="35.1" customHeight="1" x14ac:dyDescent="0.3">
      <c r="A1007" s="46">
        <v>1440</v>
      </c>
      <c r="B1007" s="46" t="s">
        <v>2968</v>
      </c>
      <c r="C1007" s="46" t="s">
        <v>39</v>
      </c>
      <c r="D1007" s="60">
        <v>2024</v>
      </c>
      <c r="E1007" s="60"/>
      <c r="F1007" s="46" t="s">
        <v>225</v>
      </c>
      <c r="G1007" s="46" t="s">
        <v>159</v>
      </c>
      <c r="H1007" s="46" t="s">
        <v>592</v>
      </c>
      <c r="I1007" s="46" t="s">
        <v>169</v>
      </c>
      <c r="J1007" s="46" t="s">
        <v>244</v>
      </c>
      <c r="K1007" s="46" t="s">
        <v>68</v>
      </c>
      <c r="L1007" s="46"/>
      <c r="M1007" s="46"/>
      <c r="N1007" s="46"/>
      <c r="O1007" s="46"/>
      <c r="P1007" s="46"/>
      <c r="Q1007" s="46"/>
      <c r="R1007" s="46"/>
      <c r="S1007" s="46"/>
      <c r="T1007" s="46"/>
      <c r="U1007" s="46"/>
      <c r="V1007" s="46"/>
      <c r="W1007" s="46"/>
      <c r="X1007" s="46"/>
      <c r="Y1007" s="46"/>
      <c r="Z1007" s="46" t="s">
        <v>2969</v>
      </c>
      <c r="AA1007" s="61">
        <v>400</v>
      </c>
      <c r="AB1007" s="62">
        <f>IF(OR(G1007="ALK",G1007="PEM",G1007="SOEC",G1007="Other Electrolysis"),
AA1007/VLOOKUP(G1007,ElectrolysisConvF,3,FALSE),
AC1007*10^6/(H2dens*HoursInYear))</f>
        <v>88888.888888888891</v>
      </c>
      <c r="AC1007" s="63">
        <f>AB1007*H2dens*HoursInYear/10^6</f>
        <v>69.301333333333332</v>
      </c>
      <c r="AD1007" s="62"/>
      <c r="AE1007" s="62">
        <f t="shared" si="123"/>
        <v>88888.888888888891</v>
      </c>
      <c r="AF1007" s="64" t="s">
        <v>2970</v>
      </c>
      <c r="AG1007" s="49">
        <v>0.3</v>
      </c>
    </row>
    <row r="1008" spans="1:33" customFormat="1" ht="35.1" customHeight="1" x14ac:dyDescent="0.3">
      <c r="A1008" s="46">
        <v>1441</v>
      </c>
      <c r="B1008" s="46" t="s">
        <v>2971</v>
      </c>
      <c r="C1008" s="46" t="s">
        <v>39</v>
      </c>
      <c r="D1008" s="60">
        <v>2027</v>
      </c>
      <c r="E1008" s="60"/>
      <c r="F1008" s="46" t="s">
        <v>591</v>
      </c>
      <c r="G1008" s="46" t="s">
        <v>159</v>
      </c>
      <c r="H1008" s="46" t="s">
        <v>592</v>
      </c>
      <c r="I1008" s="46" t="s">
        <v>169</v>
      </c>
      <c r="J1008" s="46" t="s">
        <v>244</v>
      </c>
      <c r="K1008" s="46" t="s">
        <v>68</v>
      </c>
      <c r="L1008" s="46"/>
      <c r="M1008" s="46"/>
      <c r="N1008" s="46"/>
      <c r="O1008" s="46"/>
      <c r="P1008" s="46"/>
      <c r="Q1008" s="46"/>
      <c r="R1008" s="46"/>
      <c r="S1008" s="46"/>
      <c r="T1008" s="46"/>
      <c r="U1008" s="46"/>
      <c r="V1008" s="46"/>
      <c r="W1008" s="46"/>
      <c r="X1008" s="46"/>
      <c r="Y1008" s="46"/>
      <c r="Z1008" s="46" t="s">
        <v>2880</v>
      </c>
      <c r="AA1008" s="61">
        <v>7600</v>
      </c>
      <c r="AB1008" s="62">
        <f>IF(OR(G1008="ALK",G1008="PEM",G1008="SOEC",G1008="Other Electrolysis"),
AA1008/VLOOKUP(G1008,ElectrolysisConvF,3,FALSE),
AC1008*10^6/(H2dens*HoursInYear))</f>
        <v>1688888.888888889</v>
      </c>
      <c r="AC1008" s="63">
        <f>AB1008*H2dens*HoursInYear/10^6</f>
        <v>1316.7253333333335</v>
      </c>
      <c r="AD1008" s="62"/>
      <c r="AE1008" s="62">
        <f t="shared" si="123"/>
        <v>1688888.888888889</v>
      </c>
      <c r="AF1008" s="64" t="s">
        <v>2972</v>
      </c>
      <c r="AG1008" s="49">
        <v>0.3</v>
      </c>
    </row>
    <row r="1009" spans="1:33" customFormat="1" ht="35.1" customHeight="1" x14ac:dyDescent="0.3">
      <c r="A1009" s="46">
        <v>1442</v>
      </c>
      <c r="B1009" s="46" t="s">
        <v>2973</v>
      </c>
      <c r="C1009" s="46" t="s">
        <v>39</v>
      </c>
      <c r="D1009" s="60"/>
      <c r="E1009" s="60"/>
      <c r="F1009" s="46" t="s">
        <v>591</v>
      </c>
      <c r="G1009" s="46" t="s">
        <v>159</v>
      </c>
      <c r="H1009" s="46" t="s">
        <v>592</v>
      </c>
      <c r="I1009" s="46" t="s">
        <v>169</v>
      </c>
      <c r="J1009" s="46" t="s">
        <v>69</v>
      </c>
      <c r="K1009" s="46" t="s">
        <v>68</v>
      </c>
      <c r="L1009" s="46"/>
      <c r="M1009" s="46"/>
      <c r="N1009" s="46"/>
      <c r="O1009" s="46"/>
      <c r="P1009" s="46"/>
      <c r="Q1009" s="46"/>
      <c r="R1009" s="46"/>
      <c r="S1009" s="46"/>
      <c r="T1009" s="46"/>
      <c r="U1009" s="46"/>
      <c r="V1009" s="46"/>
      <c r="W1009" s="46"/>
      <c r="X1009" s="46"/>
      <c r="Y1009" s="46"/>
      <c r="Z1009" s="46" t="s">
        <v>2974</v>
      </c>
      <c r="AA1009" s="61">
        <v>1075</v>
      </c>
      <c r="AB1009" s="62">
        <f>IF(OR(G1009="ALK",G1009="PEM",G1009="SOEC",G1009="Other Electrolysis"),
AA1009/VLOOKUP(G1009,ElectrolysisConvF,3,FALSE),
AC1009*10^6/(H2dens*HoursInYear))</f>
        <v>238888.88888888891</v>
      </c>
      <c r="AC1009" s="63">
        <f>AB1009*H2dens*HoursInYear/10^6</f>
        <v>186.24733333333333</v>
      </c>
      <c r="AD1009" s="62"/>
      <c r="AE1009" s="62">
        <f t="shared" si="123"/>
        <v>238888.88888888891</v>
      </c>
      <c r="AF1009" s="64" t="s">
        <v>2975</v>
      </c>
      <c r="AG1009" s="49">
        <v>0.5</v>
      </c>
    </row>
    <row r="1010" spans="1:33" customFormat="1" ht="35.1" customHeight="1" x14ac:dyDescent="0.3">
      <c r="A1010" s="46">
        <v>1444</v>
      </c>
      <c r="B1010" s="46" t="s">
        <v>2976</v>
      </c>
      <c r="C1010" s="46" t="s">
        <v>40</v>
      </c>
      <c r="D1010" s="60">
        <v>2015</v>
      </c>
      <c r="E1010" s="60">
        <v>2018</v>
      </c>
      <c r="F1010" s="46" t="s">
        <v>156</v>
      </c>
      <c r="G1010" s="46" t="s">
        <v>153</v>
      </c>
      <c r="H1010" s="46" t="s">
        <v>1715</v>
      </c>
      <c r="I1010" s="46"/>
      <c r="J1010" s="46"/>
      <c r="K1010" s="46" t="s">
        <v>68</v>
      </c>
      <c r="L1010" s="46"/>
      <c r="M1010" s="46"/>
      <c r="N1010" s="46"/>
      <c r="O1010" s="46"/>
      <c r="P1010" s="46"/>
      <c r="Q1010" s="46"/>
      <c r="R1010" s="46"/>
      <c r="S1010" s="46"/>
      <c r="T1010" s="46"/>
      <c r="U1010" s="46"/>
      <c r="V1010" s="46"/>
      <c r="W1010" s="46"/>
      <c r="X1010" s="46"/>
      <c r="Y1010" s="46"/>
      <c r="Z1010" s="46" t="s">
        <v>2977</v>
      </c>
      <c r="AA1010" s="61" t="str">
        <f>IF(OR(G1010="ALK",G1010="PEM",G1010="SOEC",G1010="Other Electrolysis"),
AB1010*VLOOKUP(G1010,ElectrolysisConvF,3,FALSE),
"")</f>
        <v/>
      </c>
      <c r="AB1010" s="62">
        <f>AC1010/(H2dens*HoursInYear/10^6)</f>
        <v>256.52865425067984</v>
      </c>
      <c r="AC1010" s="62">
        <v>0.2</v>
      </c>
      <c r="AD1010" s="62"/>
      <c r="AE1010" s="62">
        <f t="shared" si="123"/>
        <v>256.52865425067984</v>
      </c>
      <c r="AF1010" s="64" t="s">
        <v>2978</v>
      </c>
      <c r="AG1010" s="49">
        <v>0.9</v>
      </c>
    </row>
    <row r="1011" spans="1:33" customFormat="1" ht="35.1" customHeight="1" x14ac:dyDescent="0.3">
      <c r="A1011" s="46">
        <v>1445</v>
      </c>
      <c r="B1011" s="46" t="s">
        <v>2979</v>
      </c>
      <c r="C1011" s="46" t="s">
        <v>43</v>
      </c>
      <c r="D1011" s="60">
        <v>2024</v>
      </c>
      <c r="E1011" s="60"/>
      <c r="F1011" s="46" t="s">
        <v>675</v>
      </c>
      <c r="G1011" s="46" t="s">
        <v>2</v>
      </c>
      <c r="H1011" s="46"/>
      <c r="I1011" s="46" t="s">
        <v>169</v>
      </c>
      <c r="J1011" s="46" t="s">
        <v>244</v>
      </c>
      <c r="K1011" s="46" t="s">
        <v>68</v>
      </c>
      <c r="L1011" s="46"/>
      <c r="M1011" s="46"/>
      <c r="N1011" s="46"/>
      <c r="O1011" s="46"/>
      <c r="P1011" s="46"/>
      <c r="Q1011" s="46"/>
      <c r="R1011" s="46">
        <v>1</v>
      </c>
      <c r="S1011" s="46"/>
      <c r="T1011" s="46"/>
      <c r="U1011" s="46"/>
      <c r="V1011" s="46"/>
      <c r="W1011" s="46"/>
      <c r="X1011" s="46"/>
      <c r="Y1011" s="46"/>
      <c r="Z1011" s="46" t="s">
        <v>2980</v>
      </c>
      <c r="AA1011" s="61">
        <v>0.24</v>
      </c>
      <c r="AB1011" s="62">
        <f>IF(OR(G1011="ALK",G1011="PEM",G1011="SOEC",G1011="Other Electrolysis"),
AA1011/VLOOKUP(G1011,ElectrolysisConvF,3,FALSE),
AC1011*10^6/(H2dens*HoursInYear))</f>
        <v>63.157894736842103</v>
      </c>
      <c r="AC1011" s="63">
        <f>AB1011*H2dens*HoursInYear/10^6</f>
        <v>4.9240421052631572E-2</v>
      </c>
      <c r="AD1011" s="62"/>
      <c r="AE1011" s="62">
        <f t="shared" si="123"/>
        <v>63.157894736842103</v>
      </c>
      <c r="AF1011" s="64" t="s">
        <v>2981</v>
      </c>
      <c r="AG1011" s="49">
        <v>0.3</v>
      </c>
    </row>
    <row r="1012" spans="1:33" customFormat="1" ht="35.1" customHeight="1" x14ac:dyDescent="0.3">
      <c r="A1012" s="46">
        <v>1446</v>
      </c>
      <c r="B1012" s="46" t="s">
        <v>2982</v>
      </c>
      <c r="C1012" s="46" t="s">
        <v>75</v>
      </c>
      <c r="D1012" s="60">
        <v>2025</v>
      </c>
      <c r="E1012" s="60"/>
      <c r="F1012" s="46" t="s">
        <v>225</v>
      </c>
      <c r="G1012" s="46" t="s">
        <v>159</v>
      </c>
      <c r="H1012" s="46" t="s">
        <v>592</v>
      </c>
      <c r="I1012" s="46" t="s">
        <v>169</v>
      </c>
      <c r="J1012" s="46" t="s">
        <v>244</v>
      </c>
      <c r="K1012" s="46" t="s">
        <v>141</v>
      </c>
      <c r="L1012" s="46"/>
      <c r="M1012" s="46">
        <v>1</v>
      </c>
      <c r="N1012" s="46"/>
      <c r="O1012" s="46"/>
      <c r="P1012" s="46"/>
      <c r="Q1012" s="46"/>
      <c r="R1012" s="46"/>
      <c r="S1012" s="46"/>
      <c r="T1012" s="46"/>
      <c r="U1012" s="46"/>
      <c r="V1012" s="46"/>
      <c r="W1012" s="46"/>
      <c r="X1012" s="46"/>
      <c r="Y1012" s="46"/>
      <c r="Z1012" s="46" t="s">
        <v>2983</v>
      </c>
      <c r="AA1012" s="61">
        <f>IF(OR(G1012="ALK",G1012="PEM",G1012="SOEC",G1012="Other Electrolysis"),
AB1012*VLOOKUP(G1012,ElectrolysisConvF,3,FALSE),
"")</f>
        <v>540.46553206475755</v>
      </c>
      <c r="AB1012" s="62">
        <f>AC1012/(H2dens*HoursInYear/10^6)</f>
        <v>120103.45156994613</v>
      </c>
      <c r="AC1012" s="63">
        <f>156*3/17/0.98/H2ProjectDB4578610[[#This Row],[Column33]]</f>
        <v>93.637454981992803</v>
      </c>
      <c r="AD1012" s="62"/>
      <c r="AE1012" s="62">
        <f t="shared" si="123"/>
        <v>120103.45156994613</v>
      </c>
      <c r="AF1012" s="64" t="s">
        <v>2984</v>
      </c>
      <c r="AG1012" s="49">
        <v>0.3</v>
      </c>
    </row>
    <row r="1013" spans="1:33" customFormat="1" ht="35.1" customHeight="1" x14ac:dyDescent="0.3">
      <c r="A1013" s="46">
        <v>1447</v>
      </c>
      <c r="B1013" s="46" t="s">
        <v>2985</v>
      </c>
      <c r="C1013" s="46" t="s">
        <v>78</v>
      </c>
      <c r="D1013" s="60"/>
      <c r="E1013" s="60"/>
      <c r="F1013" s="46" t="s">
        <v>591</v>
      </c>
      <c r="G1013" s="46" t="s">
        <v>2</v>
      </c>
      <c r="H1013" s="46"/>
      <c r="I1013" s="46" t="s">
        <v>288</v>
      </c>
      <c r="J1013" s="46"/>
      <c r="K1013" s="46" t="s">
        <v>68</v>
      </c>
      <c r="L1013" s="46"/>
      <c r="M1013" s="46"/>
      <c r="N1013" s="46"/>
      <c r="O1013" s="46"/>
      <c r="P1013" s="46"/>
      <c r="Q1013" s="46"/>
      <c r="R1013" s="46"/>
      <c r="S1013" s="46"/>
      <c r="T1013" s="46"/>
      <c r="U1013" s="46"/>
      <c r="V1013" s="46"/>
      <c r="W1013" s="46"/>
      <c r="X1013" s="46"/>
      <c r="Y1013" s="46"/>
      <c r="Z1013" s="46"/>
      <c r="AA1013" s="61"/>
      <c r="AB1013" s="62"/>
      <c r="AC1013" s="63"/>
      <c r="AD1013" s="62"/>
      <c r="AE1013" s="62">
        <f t="shared" si="123"/>
        <v>0</v>
      </c>
      <c r="AF1013" s="64" t="s">
        <v>2986</v>
      </c>
      <c r="AG1013" s="49">
        <v>0.8</v>
      </c>
    </row>
    <row r="1014" spans="1:33" customFormat="1" ht="35.1" customHeight="1" x14ac:dyDescent="0.3">
      <c r="A1014" s="46">
        <v>1448</v>
      </c>
      <c r="B1014" s="46" t="s">
        <v>2987</v>
      </c>
      <c r="C1014" s="46" t="s">
        <v>43</v>
      </c>
      <c r="D1014" s="60">
        <v>2023</v>
      </c>
      <c r="E1014" s="60"/>
      <c r="F1014" s="46" t="s">
        <v>225</v>
      </c>
      <c r="G1014" s="46" t="s">
        <v>1</v>
      </c>
      <c r="H1014" s="46"/>
      <c r="I1014" s="46" t="s">
        <v>169</v>
      </c>
      <c r="J1014" s="46" t="s">
        <v>244</v>
      </c>
      <c r="K1014" s="46" t="s">
        <v>68</v>
      </c>
      <c r="L1014" s="46"/>
      <c r="M1014" s="46"/>
      <c r="N1014" s="46"/>
      <c r="O1014" s="46"/>
      <c r="P1014" s="46"/>
      <c r="Q1014" s="46"/>
      <c r="R1014" s="46"/>
      <c r="S1014" s="46"/>
      <c r="T1014" s="46"/>
      <c r="U1014" s="46"/>
      <c r="V1014" s="46"/>
      <c r="W1014" s="46"/>
      <c r="X1014" s="46"/>
      <c r="Y1014" s="46"/>
      <c r="Z1014" s="46"/>
      <c r="AA1014" s="61"/>
      <c r="AB1014" s="62"/>
      <c r="AC1014" s="62"/>
      <c r="AD1014" s="62"/>
      <c r="AE1014" s="62">
        <f t="shared" si="123"/>
        <v>0</v>
      </c>
      <c r="AF1014" s="64" t="s">
        <v>2988</v>
      </c>
      <c r="AG1014" s="49">
        <v>0.3</v>
      </c>
    </row>
    <row r="1015" spans="1:33" customFormat="1" ht="35.1" customHeight="1" x14ac:dyDescent="0.3">
      <c r="A1015" s="46">
        <v>1449</v>
      </c>
      <c r="B1015" s="46" t="s">
        <v>2989</v>
      </c>
      <c r="C1015" s="46" t="s">
        <v>43</v>
      </c>
      <c r="D1015" s="60">
        <v>2023</v>
      </c>
      <c r="E1015" s="60"/>
      <c r="F1015" s="46" t="s">
        <v>675</v>
      </c>
      <c r="G1015" s="46" t="s">
        <v>3</v>
      </c>
      <c r="H1015" s="46"/>
      <c r="I1015" s="46" t="s">
        <v>1317</v>
      </c>
      <c r="J1015" s="46" t="s">
        <v>244</v>
      </c>
      <c r="K1015" s="46" t="s">
        <v>68</v>
      </c>
      <c r="L1015" s="46"/>
      <c r="M1015" s="46"/>
      <c r="N1015" s="46"/>
      <c r="O1015" s="46"/>
      <c r="P1015" s="46"/>
      <c r="Q1015" s="46">
        <v>1</v>
      </c>
      <c r="R1015" s="46"/>
      <c r="S1015" s="46"/>
      <c r="T1015" s="46"/>
      <c r="U1015" s="46"/>
      <c r="V1015" s="46"/>
      <c r="W1015" s="46"/>
      <c r="X1015" s="46"/>
      <c r="Y1015" s="46"/>
      <c r="Z1015" s="46" t="s">
        <v>2990</v>
      </c>
      <c r="AA1015" s="61">
        <v>0.8</v>
      </c>
      <c r="AB1015" s="62">
        <f>IF(OR(G1015="ALK",G1015="PEM",G1015="SOEC",G1015="Other Electrolysis"),
AA1015/VLOOKUP(G1015,ElectrolysisConvF,3,FALSE),
AC1015*10^6/(H2dens*HoursInYear))</f>
        <v>173.91304347826087</v>
      </c>
      <c r="AC1015" s="63">
        <f>AB1015*H2dens*HoursInYear/10^6</f>
        <v>0.13558956521739129</v>
      </c>
      <c r="AD1015" s="62"/>
      <c r="AE1015" s="62">
        <f t="shared" si="123"/>
        <v>173.91304347826087</v>
      </c>
      <c r="AF1015" s="64" t="s">
        <v>2991</v>
      </c>
      <c r="AG1015" s="49">
        <v>0.7</v>
      </c>
    </row>
    <row r="1016" spans="1:33" customFormat="1" ht="35.1" customHeight="1" x14ac:dyDescent="0.3">
      <c r="A1016" s="46">
        <v>1450</v>
      </c>
      <c r="B1016" s="46" t="s">
        <v>2992</v>
      </c>
      <c r="C1016" s="46" t="s">
        <v>52</v>
      </c>
      <c r="D1016" s="60">
        <v>2028</v>
      </c>
      <c r="E1016" s="60"/>
      <c r="F1016" s="46" t="s">
        <v>225</v>
      </c>
      <c r="G1016" s="46" t="s">
        <v>161</v>
      </c>
      <c r="H1016" s="46" t="s">
        <v>882</v>
      </c>
      <c r="I1016" s="46"/>
      <c r="J1016" s="46"/>
      <c r="K1016" s="46" t="s">
        <v>68</v>
      </c>
      <c r="L1016" s="46"/>
      <c r="M1016" s="46"/>
      <c r="N1016" s="46"/>
      <c r="O1016" s="46"/>
      <c r="P1016" s="46">
        <v>1</v>
      </c>
      <c r="Q1016" s="46">
        <v>1</v>
      </c>
      <c r="R1016" s="46"/>
      <c r="S1016" s="46"/>
      <c r="T1016" s="46"/>
      <c r="U1016" s="46"/>
      <c r="V1016" s="46"/>
      <c r="W1016" s="46"/>
      <c r="X1016" s="46"/>
      <c r="Y1016" s="46"/>
      <c r="Z1016" s="46" t="s">
        <v>2993</v>
      </c>
      <c r="AA1016" s="61" t="str">
        <f>IF(OR(G1016="ALK",G1016="PEM",G1016="SOEC",G1016="Other Electrolysis"),
AB1016*VLOOKUP(G1016,ElectrolysisConvF,3,FALSE),
"")</f>
        <v/>
      </c>
      <c r="AB1016" s="62">
        <f>IF(OR(G1016="ALK",G1016="PEM",G1016="SOEC",G1016="Other Electrolysis"),
AA1016/VLOOKUP(G1016,ElectrolysisConvF,3,FALSE),
AC1016*10^6/(H2dens*HoursInYear))</f>
        <v>320224.71910112363</v>
      </c>
      <c r="AC1016" s="63">
        <f>1000*HoursInYear*0.95*3.6/120/1000</f>
        <v>249.66</v>
      </c>
      <c r="AD1016" s="62">
        <v>1800000</v>
      </c>
      <c r="AE1016" s="62">
        <f t="shared" si="123"/>
        <v>225677.5969849473</v>
      </c>
      <c r="AF1016" s="64" t="s">
        <v>2994</v>
      </c>
      <c r="AG1016" s="49">
        <v>0.9</v>
      </c>
    </row>
    <row r="1017" spans="1:33" customFormat="1" ht="35.1" customHeight="1" x14ac:dyDescent="0.3">
      <c r="A1017" s="46">
        <v>1451</v>
      </c>
      <c r="B1017" s="46" t="s">
        <v>2995</v>
      </c>
      <c r="C1017" s="46" t="s">
        <v>41</v>
      </c>
      <c r="D1017" s="60">
        <v>2021</v>
      </c>
      <c r="E1017" s="60"/>
      <c r="F1017" s="46" t="s">
        <v>226</v>
      </c>
      <c r="G1017" s="46" t="s">
        <v>3</v>
      </c>
      <c r="H1017" s="46"/>
      <c r="I1017" s="46" t="s">
        <v>169</v>
      </c>
      <c r="J1017" s="46" t="s">
        <v>244</v>
      </c>
      <c r="K1017" s="46" t="s">
        <v>68</v>
      </c>
      <c r="L1017" s="46"/>
      <c r="M1017" s="46"/>
      <c r="N1017" s="46">
        <v>1</v>
      </c>
      <c r="O1017" s="46"/>
      <c r="P1017" s="46"/>
      <c r="Q1017" s="46"/>
      <c r="R1017" s="46"/>
      <c r="S1017" s="46"/>
      <c r="T1017" s="46"/>
      <c r="U1017" s="46"/>
      <c r="V1017" s="46"/>
      <c r="W1017" s="46"/>
      <c r="X1017" s="46"/>
      <c r="Y1017" s="46"/>
      <c r="Z1017" s="46" t="s">
        <v>1347</v>
      </c>
      <c r="AA1017" s="61">
        <v>120</v>
      </c>
      <c r="AB1017" s="62">
        <f>IF(OR(G1017="ALK",G1017="PEM",G1017="SOEC",G1017="Other Electrolysis"),
AA1017/VLOOKUP(G1017,ElectrolysisConvF,3,FALSE),
AC1017*10^6/(H2dens*HoursInYear))</f>
        <v>26086.956521739132</v>
      </c>
      <c r="AC1017" s="63">
        <f>AB1017*H2dens*HoursInYear/10^6</f>
        <v>20.338434782608694</v>
      </c>
      <c r="AD1017" s="62"/>
      <c r="AE1017" s="62">
        <f>AB1017</f>
        <v>26086.956521739132</v>
      </c>
      <c r="AF1017" s="64" t="s">
        <v>1342</v>
      </c>
      <c r="AG1017" s="49">
        <v>0.3</v>
      </c>
    </row>
    <row r="1018" spans="1:33" customFormat="1" ht="35.1" customHeight="1" x14ac:dyDescent="0.3">
      <c r="A1018" s="46">
        <v>1452</v>
      </c>
      <c r="B1018" s="46" t="s">
        <v>2996</v>
      </c>
      <c r="C1018" s="46" t="s">
        <v>75</v>
      </c>
      <c r="D1018" s="60">
        <v>2026</v>
      </c>
      <c r="E1018" s="60"/>
      <c r="F1018" s="46" t="s">
        <v>225</v>
      </c>
      <c r="G1018" s="46" t="s">
        <v>159</v>
      </c>
      <c r="H1018" s="46" t="s">
        <v>592</v>
      </c>
      <c r="I1018" s="46" t="s">
        <v>169</v>
      </c>
      <c r="J1018" s="46" t="s">
        <v>244</v>
      </c>
      <c r="K1018" s="46" t="s">
        <v>141</v>
      </c>
      <c r="L1018" s="46"/>
      <c r="M1018" s="46">
        <v>1</v>
      </c>
      <c r="N1018" s="46"/>
      <c r="O1018" s="46"/>
      <c r="P1018" s="46"/>
      <c r="Q1018" s="46"/>
      <c r="R1018" s="46"/>
      <c r="S1018" s="46"/>
      <c r="T1018" s="46"/>
      <c r="U1018" s="46"/>
      <c r="V1018" s="46"/>
      <c r="W1018" s="46"/>
      <c r="X1018" s="46"/>
      <c r="Y1018" s="46"/>
      <c r="Z1018" s="46" t="s">
        <v>2997</v>
      </c>
      <c r="AA1018" s="61">
        <f>IF(OR(G1018="ALK",G1018="PEM",G1018="SOEC",G1018="Other Electrolysis"),
AB1018*VLOOKUP(G1018,ElectrolysisConvF,3,FALSE),
"")</f>
        <v>2161.8621282590302</v>
      </c>
      <c r="AB1018" s="62">
        <f>AC1018/(H2dens*HoursInYear/10^6)</f>
        <v>480413.80627978453</v>
      </c>
      <c r="AC1018" s="63">
        <f>(780-156)*3/17/0.98/H2ProjectDB4578610[[#This Row],[Column33]]</f>
        <v>374.54981992797121</v>
      </c>
      <c r="AD1018" s="62"/>
      <c r="AE1018" s="62">
        <f>IF(AND(G1018&lt;&gt;"NG w CCUS",G1018&lt;&gt;"Oil w CCUS",G1018&lt;&gt;"Coal w CCUS"),AB1018,AD1018*10^3/(HoursInYear*IF(G1018="NG w CCUS",0.9105,1.9075)))</f>
        <v>480413.80627978453</v>
      </c>
      <c r="AF1018" s="64" t="s">
        <v>2984</v>
      </c>
      <c r="AG1018" s="49">
        <v>0.3</v>
      </c>
    </row>
    <row r="1019" spans="1:33" customFormat="1" ht="35.1" customHeight="1" x14ac:dyDescent="0.3">
      <c r="A1019" s="46">
        <v>1453</v>
      </c>
      <c r="B1019" s="46" t="s">
        <v>2998</v>
      </c>
      <c r="C1019" s="46" t="s">
        <v>40</v>
      </c>
      <c r="D1019" s="60">
        <v>2026</v>
      </c>
      <c r="E1019" s="60"/>
      <c r="F1019" s="46" t="s">
        <v>225</v>
      </c>
      <c r="G1019" s="46" t="s">
        <v>164</v>
      </c>
      <c r="H1019" s="46"/>
      <c r="I1019" s="46"/>
      <c r="J1019" s="46"/>
      <c r="K1019" s="46" t="s">
        <v>68</v>
      </c>
      <c r="L1019" s="46"/>
      <c r="M1019" s="46"/>
      <c r="N1019" s="46"/>
      <c r="O1019" s="46"/>
      <c r="P1019" s="46"/>
      <c r="Q1019" s="46"/>
      <c r="R1019" s="46"/>
      <c r="S1019" s="46"/>
      <c r="T1019" s="46"/>
      <c r="U1019" s="46"/>
      <c r="V1019" s="46"/>
      <c r="W1019" s="46"/>
      <c r="X1019" s="46"/>
      <c r="Y1019" s="46"/>
      <c r="Z1019" s="46" t="s">
        <v>2999</v>
      </c>
      <c r="AA1019" s="61" t="str">
        <f>IF(OR(G1019="ALK",G1019="PEM",G1019="SOEC",G1019="Other Electrolysis"),
AB1019*VLOOKUP(G1019,ElectrolysisConvF,3,FALSE),
"")</f>
        <v/>
      </c>
      <c r="AB1019" s="62">
        <f>AC1019/(H2dens*HoursInYear/10^6)</f>
        <v>8978.5028987737933</v>
      </c>
      <c r="AC1019" s="62">
        <v>7</v>
      </c>
      <c r="AD1019" s="62">
        <v>140000</v>
      </c>
      <c r="AE1019" s="62">
        <f>IF(AND(G1019&lt;&gt;"NG w CCUS",G1019&lt;&gt;"Oil w CCUS",G1019&lt;&gt;"Coal w CCUS"),AB1019,AD1019*10^3/(HoursInYear*IF(G1019="NG w CCUS",0.9105,1.9075)))</f>
        <v>8978.5028987737933</v>
      </c>
      <c r="AF1019" s="64" t="s">
        <v>3000</v>
      </c>
      <c r="AG1019" s="49">
        <v>0.9</v>
      </c>
    </row>
    <row r="1020" spans="1:33" customFormat="1" ht="35.1" customHeight="1" x14ac:dyDescent="0.3">
      <c r="A1020" s="46">
        <v>1456</v>
      </c>
      <c r="B1020" s="46" t="s">
        <v>3001</v>
      </c>
      <c r="C1020" s="46" t="s">
        <v>40</v>
      </c>
      <c r="D1020" s="60"/>
      <c r="E1020" s="60"/>
      <c r="F1020" s="46" t="s">
        <v>225</v>
      </c>
      <c r="G1020" s="46" t="s">
        <v>161</v>
      </c>
      <c r="H1020" s="46" t="s">
        <v>882</v>
      </c>
      <c r="I1020" s="46"/>
      <c r="J1020" s="46"/>
      <c r="K1020" s="46" t="s">
        <v>68</v>
      </c>
      <c r="L1020" s="46"/>
      <c r="M1020" s="46"/>
      <c r="N1020" s="46"/>
      <c r="O1020" s="46"/>
      <c r="P1020" s="46"/>
      <c r="Q1020" s="46"/>
      <c r="R1020" s="46"/>
      <c r="S1020" s="46"/>
      <c r="T1020" s="46"/>
      <c r="U1020" s="46"/>
      <c r="V1020" s="46"/>
      <c r="W1020" s="46"/>
      <c r="X1020" s="46"/>
      <c r="Y1020" s="46"/>
      <c r="Z1020" s="46" t="s">
        <v>3002</v>
      </c>
      <c r="AA1020" s="61" t="str">
        <f>IF(OR(G1020="ALK",G1020="PEM",G1020="SOEC",G1020="Other Electrolysis"),
AB1020*VLOOKUP(G1020,ElectrolysisConvF,3,FALSE),
"")</f>
        <v/>
      </c>
      <c r="AB1020" s="62">
        <f>100*10^6*0.028/24</f>
        <v>116666.66666666667</v>
      </c>
      <c r="AC1020" s="63">
        <f>AB1020*H2dens*HoursInYear/10^6</f>
        <v>90.957999999999998</v>
      </c>
      <c r="AD1020" s="62"/>
      <c r="AE1020" s="62">
        <f t="shared" ref="AE1020:AE1032" si="124">IF(AND(G1020&lt;&gt;"NG w CCUS",G1020&lt;&gt;"Oil w CCUS",G1020&lt;&gt;"Coal w CCUS"),AB1020,AD1020*10^3/(HoursInYear*IF(G1020="NG w CCUS",0.9105,1.9075)))</f>
        <v>0</v>
      </c>
      <c r="AF1020" s="64" t="s">
        <v>3003</v>
      </c>
      <c r="AG1020" s="49">
        <v>0.9</v>
      </c>
    </row>
    <row r="1021" spans="1:33" customFormat="1" ht="35.1" customHeight="1" x14ac:dyDescent="0.3">
      <c r="A1021" s="46">
        <v>1457</v>
      </c>
      <c r="B1021" s="46" t="s">
        <v>3004</v>
      </c>
      <c r="C1021" s="46" t="s">
        <v>40</v>
      </c>
      <c r="D1021" s="60"/>
      <c r="E1021" s="60"/>
      <c r="F1021" s="46" t="s">
        <v>591</v>
      </c>
      <c r="G1021" s="46" t="s">
        <v>161</v>
      </c>
      <c r="H1021" s="46" t="s">
        <v>2365</v>
      </c>
      <c r="I1021" s="46" t="str">
        <f>IF(AND(G1021&lt;&gt;"ALK",G1021&lt;&gt;"PEM",G1021&lt;&gt;"SOEC",G1021&lt;&gt;"Other electrolysis"),"N/A","")</f>
        <v>N/A</v>
      </c>
      <c r="J1021" s="46" t="str">
        <f>IF(I1021&lt;&gt;"Dedicated renewable","N/A",)</f>
        <v>N/A</v>
      </c>
      <c r="K1021" s="46" t="s">
        <v>141</v>
      </c>
      <c r="L1021" s="46"/>
      <c r="M1021" s="46">
        <v>1</v>
      </c>
      <c r="N1021" s="46"/>
      <c r="O1021" s="46"/>
      <c r="P1021" s="46"/>
      <c r="Q1021" s="46"/>
      <c r="R1021" s="46"/>
      <c r="S1021" s="46"/>
      <c r="T1021" s="46"/>
      <c r="U1021" s="46"/>
      <c r="V1021" s="46"/>
      <c r="W1021" s="46"/>
      <c r="X1021" s="46"/>
      <c r="Y1021" s="46"/>
      <c r="Z1021" s="46"/>
      <c r="AA1021" s="61" t="str">
        <f>IF(OR(G1021="ALK",G1021="PEM",G1021="SOEC",G1021="Other Electrolysis"),
AB1021*VLOOKUP(G1021,ElectrolysisConvF,3,FALSE),
"")</f>
        <v/>
      </c>
      <c r="AB1021" s="62"/>
      <c r="AC1021" s="62"/>
      <c r="AD1021" s="62"/>
      <c r="AE1021" s="62">
        <f t="shared" si="124"/>
        <v>0</v>
      </c>
      <c r="AF1021" s="64" t="s">
        <v>3003</v>
      </c>
      <c r="AG1021" s="49">
        <v>0.9</v>
      </c>
    </row>
    <row r="1022" spans="1:33" customFormat="1" ht="35.1" customHeight="1" x14ac:dyDescent="0.3">
      <c r="A1022" s="46">
        <v>1458</v>
      </c>
      <c r="B1022" s="46" t="s">
        <v>3005</v>
      </c>
      <c r="C1022" s="46" t="s">
        <v>75</v>
      </c>
      <c r="D1022" s="60">
        <v>2024</v>
      </c>
      <c r="E1022" s="60"/>
      <c r="F1022" s="46" t="s">
        <v>225</v>
      </c>
      <c r="G1022" s="46" t="s">
        <v>159</v>
      </c>
      <c r="H1022" s="46" t="s">
        <v>592</v>
      </c>
      <c r="I1022" s="46" t="s">
        <v>169</v>
      </c>
      <c r="J1022" s="46" t="s">
        <v>248</v>
      </c>
      <c r="K1022" s="46" t="s">
        <v>68</v>
      </c>
      <c r="L1022" s="46"/>
      <c r="M1022" s="46"/>
      <c r="N1022" s="46">
        <v>1</v>
      </c>
      <c r="O1022" s="46">
        <v>1</v>
      </c>
      <c r="P1022" s="46"/>
      <c r="Q1022" s="46">
        <v>1</v>
      </c>
      <c r="R1022" s="46">
        <v>1</v>
      </c>
      <c r="S1022" s="46"/>
      <c r="T1022" s="46"/>
      <c r="U1022" s="46"/>
      <c r="V1022" s="46"/>
      <c r="W1022" s="46"/>
      <c r="X1022" s="46"/>
      <c r="Y1022" s="46"/>
      <c r="Z1022" s="46" t="s">
        <v>1350</v>
      </c>
      <c r="AA1022" s="61">
        <v>60</v>
      </c>
      <c r="AB1022" s="62">
        <f>IF(OR(G1022="ALK",G1022="PEM",G1022="SOEC",G1022="Other Electrolysis"),
AA1022/VLOOKUP(G1022,ElectrolysisConvF,3,FALSE),
AC1022*10^6/(H2dens*HoursInYear))</f>
        <v>13333.333333333334</v>
      </c>
      <c r="AC1022" s="63">
        <f>AB1022*H2dens*HoursInYear/10^6</f>
        <v>10.395200000000001</v>
      </c>
      <c r="AD1022" s="62"/>
      <c r="AE1022" s="62">
        <f t="shared" si="124"/>
        <v>13333.333333333334</v>
      </c>
      <c r="AF1022" s="64" t="s">
        <v>3006</v>
      </c>
      <c r="AG1022" s="49">
        <v>0.5</v>
      </c>
    </row>
    <row r="1023" spans="1:33" customFormat="1" ht="35.1" customHeight="1" x14ac:dyDescent="0.3">
      <c r="A1023" s="46">
        <v>1459</v>
      </c>
      <c r="B1023" s="46" t="s">
        <v>3007</v>
      </c>
      <c r="C1023" s="46" t="s">
        <v>135</v>
      </c>
      <c r="D1023" s="60">
        <v>2025</v>
      </c>
      <c r="E1023" s="60"/>
      <c r="F1023" s="46" t="s">
        <v>225</v>
      </c>
      <c r="G1023" s="46" t="s">
        <v>159</v>
      </c>
      <c r="H1023" s="46" t="s">
        <v>592</v>
      </c>
      <c r="I1023" s="46" t="s">
        <v>169</v>
      </c>
      <c r="J1023" s="46" t="s">
        <v>248</v>
      </c>
      <c r="K1023" s="46" t="s">
        <v>68</v>
      </c>
      <c r="L1023" s="46"/>
      <c r="M1023" s="46"/>
      <c r="N1023" s="46"/>
      <c r="O1023" s="46"/>
      <c r="P1023" s="46"/>
      <c r="Q1023" s="46"/>
      <c r="R1023" s="46"/>
      <c r="S1023" s="46"/>
      <c r="T1023" s="46"/>
      <c r="U1023" s="46"/>
      <c r="V1023" s="46"/>
      <c r="W1023" s="46"/>
      <c r="X1023" s="46"/>
      <c r="Y1023" s="46"/>
      <c r="Z1023" s="46" t="s">
        <v>1257</v>
      </c>
      <c r="AA1023" s="61">
        <v>100</v>
      </c>
      <c r="AB1023" s="62">
        <f>IF(OR(G1023="ALK",G1023="PEM",G1023="SOEC",G1023="Other Electrolysis"),
AA1023/VLOOKUP(G1023,ElectrolysisConvF,3,FALSE),
AC1023*10^6/(H2dens*HoursInYear))</f>
        <v>22222.222222222223</v>
      </c>
      <c r="AC1023" s="63">
        <f>AB1023*H2dens*HoursInYear/10^6</f>
        <v>17.325333333333333</v>
      </c>
      <c r="AD1023" s="62"/>
      <c r="AE1023" s="62">
        <f t="shared" si="124"/>
        <v>22222.222222222223</v>
      </c>
      <c r="AF1023" s="64" t="s">
        <v>3008</v>
      </c>
      <c r="AG1023" s="49">
        <v>0.5</v>
      </c>
    </row>
    <row r="1024" spans="1:33" customFormat="1" ht="35.1" customHeight="1" x14ac:dyDescent="0.3">
      <c r="A1024" s="46">
        <v>1460</v>
      </c>
      <c r="B1024" s="46" t="s">
        <v>3009</v>
      </c>
      <c r="C1024" s="46" t="s">
        <v>75</v>
      </c>
      <c r="D1024" s="60"/>
      <c r="E1024" s="60"/>
      <c r="F1024" s="46" t="s">
        <v>225</v>
      </c>
      <c r="G1024" s="46" t="s">
        <v>159</v>
      </c>
      <c r="H1024" s="46" t="s">
        <v>592</v>
      </c>
      <c r="I1024" s="46" t="s">
        <v>169</v>
      </c>
      <c r="J1024" s="46" t="s">
        <v>248</v>
      </c>
      <c r="K1024" s="46" t="s">
        <v>167</v>
      </c>
      <c r="L1024" s="46"/>
      <c r="M1024" s="46"/>
      <c r="N1024" s="46"/>
      <c r="O1024" s="46"/>
      <c r="P1024" s="46"/>
      <c r="Q1024" s="46"/>
      <c r="R1024" s="46"/>
      <c r="S1024" s="46"/>
      <c r="T1024" s="46"/>
      <c r="U1024" s="46"/>
      <c r="V1024" s="46"/>
      <c r="W1024" s="46">
        <v>1</v>
      </c>
      <c r="X1024" s="46"/>
      <c r="Y1024" s="46"/>
      <c r="Z1024" s="46" t="s">
        <v>3010</v>
      </c>
      <c r="AA1024" s="61">
        <f>IF(OR(G1024="ALK",G1024="PEM",G1024="SOEC",G1024="Other Electrolysis"),
AB1024*VLOOKUP(G1024,ElectrolysisConvF,3,FALSE),
"")</f>
        <v>88.95043233863467</v>
      </c>
      <c r="AB1024" s="62">
        <f>AC1024/(0.089*24*365/10^6)</f>
        <v>19766.762741918817</v>
      </c>
      <c r="AC1024" s="63">
        <f>15*0.045/0.73/0.12/H2ProjectDB4578610[[#This Row],[Column33]]</f>
        <v>15.410958904109588</v>
      </c>
      <c r="AD1024" s="62"/>
      <c r="AE1024" s="62">
        <f t="shared" si="124"/>
        <v>19766.762741918817</v>
      </c>
      <c r="AF1024" s="64" t="s">
        <v>3011</v>
      </c>
      <c r="AG1024" s="49">
        <v>0.5</v>
      </c>
    </row>
    <row r="1025" spans="1:33" customFormat="1" ht="35.1" customHeight="1" x14ac:dyDescent="0.3">
      <c r="A1025" s="46">
        <v>1461</v>
      </c>
      <c r="B1025" s="46" t="s">
        <v>3012</v>
      </c>
      <c r="C1025" s="46" t="s">
        <v>75</v>
      </c>
      <c r="D1025" s="60">
        <v>2040</v>
      </c>
      <c r="E1025" s="60"/>
      <c r="F1025" s="46" t="s">
        <v>591</v>
      </c>
      <c r="G1025" s="46" t="s">
        <v>159</v>
      </c>
      <c r="H1025" s="46" t="s">
        <v>592</v>
      </c>
      <c r="I1025" s="46" t="s">
        <v>169</v>
      </c>
      <c r="J1025" s="46" t="s">
        <v>248</v>
      </c>
      <c r="K1025" s="46" t="s">
        <v>167</v>
      </c>
      <c r="L1025" s="46"/>
      <c r="M1025" s="46"/>
      <c r="N1025" s="46"/>
      <c r="O1025" s="46"/>
      <c r="P1025" s="46"/>
      <c r="Q1025" s="46"/>
      <c r="R1025" s="46"/>
      <c r="S1025" s="46"/>
      <c r="T1025" s="46"/>
      <c r="U1025" s="46"/>
      <c r="V1025" s="46"/>
      <c r="W1025" s="46">
        <v>1</v>
      </c>
      <c r="X1025" s="46"/>
      <c r="Y1025" s="46"/>
      <c r="Z1025" s="46" t="s">
        <v>3013</v>
      </c>
      <c r="AA1025" s="61">
        <f>IF(OR(G1025="ALK",G1025="PEM",G1025="SOEC",G1025="Other Electrolysis"),
AB1025*VLOOKUP(G1025,ElectrolysisConvF,3,FALSE),
"")</f>
        <v>14825.072056439112</v>
      </c>
      <c r="AB1025" s="62">
        <f>AC1025/(0.089*24*365/10^6)</f>
        <v>3294460.4569864697</v>
      </c>
      <c r="AC1025" s="63">
        <f>2500*0.045/0.73/0.12/H2ProjectDB4578610[[#This Row],[Column33]]</f>
        <v>2568.4931506849316</v>
      </c>
      <c r="AD1025" s="62"/>
      <c r="AE1025" s="62">
        <f t="shared" si="124"/>
        <v>3294460.4569864697</v>
      </c>
      <c r="AF1025" s="64" t="s">
        <v>3011</v>
      </c>
      <c r="AG1025" s="49">
        <v>0.5</v>
      </c>
    </row>
    <row r="1026" spans="1:33" customFormat="1" ht="35.1" customHeight="1" x14ac:dyDescent="0.3">
      <c r="A1026" s="46">
        <v>1462</v>
      </c>
      <c r="B1026" s="46" t="s">
        <v>3014</v>
      </c>
      <c r="C1026" s="46" t="s">
        <v>83</v>
      </c>
      <c r="D1026" s="60"/>
      <c r="E1026" s="60"/>
      <c r="F1026" s="46" t="s">
        <v>591</v>
      </c>
      <c r="G1026" s="46" t="s">
        <v>159</v>
      </c>
      <c r="H1026" s="46" t="s">
        <v>592</v>
      </c>
      <c r="I1026" s="46" t="s">
        <v>169</v>
      </c>
      <c r="J1026" s="46" t="s">
        <v>248</v>
      </c>
      <c r="K1026" s="46" t="s">
        <v>68</v>
      </c>
      <c r="L1026" s="46"/>
      <c r="M1026" s="46"/>
      <c r="N1026" s="46"/>
      <c r="O1026" s="46"/>
      <c r="P1026" s="46"/>
      <c r="Q1026" s="46"/>
      <c r="R1026" s="46"/>
      <c r="S1026" s="46"/>
      <c r="T1026" s="46"/>
      <c r="U1026" s="46"/>
      <c r="V1026" s="46"/>
      <c r="W1026" s="46"/>
      <c r="X1026" s="46"/>
      <c r="Y1026" s="46"/>
      <c r="Z1026" s="46" t="s">
        <v>3015</v>
      </c>
      <c r="AA1026" s="61">
        <v>150</v>
      </c>
      <c r="AB1026" s="62">
        <f t="shared" ref="AB1026:AB1031" si="125">IF(OR(G1026="ALK",G1026="PEM",G1026="SOEC",G1026="Other Electrolysis"),
AA1026/VLOOKUP(G1026,ElectrolysisConvF,3,FALSE),
AC1026*10^6/(H2dens*HoursInYear))</f>
        <v>33333.333333333336</v>
      </c>
      <c r="AC1026" s="63">
        <f t="shared" ref="AC1026:AC1031" si="126">AB1026*H2dens*HoursInYear/10^6</f>
        <v>25.988</v>
      </c>
      <c r="AD1026" s="62"/>
      <c r="AE1026" s="62">
        <f t="shared" si="124"/>
        <v>33333.333333333336</v>
      </c>
      <c r="AF1026" s="64" t="s">
        <v>3016</v>
      </c>
      <c r="AG1026" s="49">
        <v>0.5</v>
      </c>
    </row>
    <row r="1027" spans="1:33" customFormat="1" ht="35.1" customHeight="1" x14ac:dyDescent="0.3">
      <c r="A1027" s="46">
        <v>1463</v>
      </c>
      <c r="B1027" s="46" t="s">
        <v>3017</v>
      </c>
      <c r="C1027" s="46" t="s">
        <v>64</v>
      </c>
      <c r="D1027" s="60">
        <v>2024</v>
      </c>
      <c r="E1027" s="60"/>
      <c r="F1027" s="46" t="s">
        <v>225</v>
      </c>
      <c r="G1027" s="46" t="s">
        <v>159</v>
      </c>
      <c r="H1027" s="46" t="s">
        <v>592</v>
      </c>
      <c r="I1027" s="46" t="s">
        <v>169</v>
      </c>
      <c r="J1027" s="46" t="s">
        <v>245</v>
      </c>
      <c r="K1027" s="46" t="s">
        <v>167</v>
      </c>
      <c r="L1027" s="46"/>
      <c r="M1027" s="46"/>
      <c r="N1027" s="46"/>
      <c r="O1027" s="46"/>
      <c r="P1027" s="46"/>
      <c r="Q1027" s="46"/>
      <c r="R1027" s="46"/>
      <c r="S1027" s="46"/>
      <c r="T1027" s="46"/>
      <c r="U1027" s="46"/>
      <c r="V1027" s="46"/>
      <c r="W1027" s="46">
        <v>1</v>
      </c>
      <c r="X1027" s="46"/>
      <c r="Y1027" s="46"/>
      <c r="Z1027" s="46" t="s">
        <v>3018</v>
      </c>
      <c r="AA1027" s="61">
        <v>240</v>
      </c>
      <c r="AB1027" s="62">
        <f t="shared" si="125"/>
        <v>53333.333333333336</v>
      </c>
      <c r="AC1027" s="63">
        <f t="shared" si="126"/>
        <v>41.580800000000004</v>
      </c>
      <c r="AD1027" s="62"/>
      <c r="AE1027" s="62">
        <f t="shared" si="124"/>
        <v>53333.333333333336</v>
      </c>
      <c r="AF1027" s="64" t="s">
        <v>3019</v>
      </c>
      <c r="AG1027" s="49">
        <v>0.4</v>
      </c>
    </row>
    <row r="1028" spans="1:33" customFormat="1" ht="35.1" customHeight="1" x14ac:dyDescent="0.3">
      <c r="A1028" s="46">
        <v>1464</v>
      </c>
      <c r="B1028" s="46" t="s">
        <v>3020</v>
      </c>
      <c r="C1028" s="46" t="s">
        <v>64</v>
      </c>
      <c r="D1028" s="60">
        <v>2024</v>
      </c>
      <c r="E1028" s="60"/>
      <c r="F1028" s="46" t="s">
        <v>225</v>
      </c>
      <c r="G1028" s="46" t="s">
        <v>159</v>
      </c>
      <c r="H1028" s="46" t="s">
        <v>592</v>
      </c>
      <c r="I1028" s="46" t="s">
        <v>166</v>
      </c>
      <c r="J1028" s="46"/>
      <c r="K1028" s="46" t="s">
        <v>68</v>
      </c>
      <c r="L1028" s="46">
        <v>1</v>
      </c>
      <c r="M1028" s="46"/>
      <c r="N1028" s="46"/>
      <c r="O1028" s="46"/>
      <c r="P1028" s="46"/>
      <c r="Q1028" s="46"/>
      <c r="R1028" s="46"/>
      <c r="S1028" s="46"/>
      <c r="T1028" s="46"/>
      <c r="U1028" s="46"/>
      <c r="V1028" s="46"/>
      <c r="W1028" s="46"/>
      <c r="X1028" s="46"/>
      <c r="Y1028" s="46"/>
      <c r="Z1028" s="46" t="s">
        <v>1228</v>
      </c>
      <c r="AA1028" s="61">
        <v>20</v>
      </c>
      <c r="AB1028" s="62">
        <f t="shared" si="125"/>
        <v>4444.4444444444443</v>
      </c>
      <c r="AC1028" s="63">
        <f t="shared" si="126"/>
        <v>3.4650666666666665</v>
      </c>
      <c r="AD1028" s="62"/>
      <c r="AE1028" s="62">
        <f t="shared" si="124"/>
        <v>4444.4444444444443</v>
      </c>
      <c r="AF1028" s="64" t="s">
        <v>3019</v>
      </c>
      <c r="AG1028" s="49">
        <v>0.56999999999999995</v>
      </c>
    </row>
    <row r="1029" spans="1:33" customFormat="1" ht="35.1" customHeight="1" x14ac:dyDescent="0.3">
      <c r="A1029" s="46">
        <v>1465</v>
      </c>
      <c r="B1029" s="46" t="s">
        <v>3021</v>
      </c>
      <c r="C1029" s="46" t="s">
        <v>64</v>
      </c>
      <c r="D1029" s="60">
        <v>2025</v>
      </c>
      <c r="E1029" s="60"/>
      <c r="F1029" s="46" t="s">
        <v>225</v>
      </c>
      <c r="G1029" s="46" t="s">
        <v>159</v>
      </c>
      <c r="H1029" s="46" t="s">
        <v>592</v>
      </c>
      <c r="I1029" s="46" t="s">
        <v>169</v>
      </c>
      <c r="J1029" s="46" t="s">
        <v>69</v>
      </c>
      <c r="K1029" s="46" t="s">
        <v>140</v>
      </c>
      <c r="L1029" s="46"/>
      <c r="M1029" s="46"/>
      <c r="N1029" s="46">
        <v>1</v>
      </c>
      <c r="O1029" s="46"/>
      <c r="P1029" s="46"/>
      <c r="Q1029" s="46"/>
      <c r="R1029" s="46"/>
      <c r="S1029" s="46"/>
      <c r="T1029" s="46"/>
      <c r="U1029" s="46"/>
      <c r="V1029" s="46"/>
      <c r="W1029" s="46"/>
      <c r="X1029" s="46"/>
      <c r="Y1029" s="46"/>
      <c r="Z1029" s="46" t="s">
        <v>2596</v>
      </c>
      <c r="AA1029" s="61">
        <v>80</v>
      </c>
      <c r="AB1029" s="62">
        <f t="shared" si="125"/>
        <v>17777.777777777777</v>
      </c>
      <c r="AC1029" s="63">
        <f t="shared" si="126"/>
        <v>13.860266666666666</v>
      </c>
      <c r="AD1029" s="62"/>
      <c r="AE1029" s="62">
        <f t="shared" si="124"/>
        <v>17777.777777777777</v>
      </c>
      <c r="AF1029" s="64" t="s">
        <v>3019</v>
      </c>
      <c r="AG1029" s="49">
        <v>0.5</v>
      </c>
    </row>
    <row r="1030" spans="1:33" customFormat="1" ht="35.1" customHeight="1" x14ac:dyDescent="0.3">
      <c r="A1030" s="46">
        <v>1466</v>
      </c>
      <c r="B1030" s="46" t="s">
        <v>3022</v>
      </c>
      <c r="C1030" s="46" t="s">
        <v>64</v>
      </c>
      <c r="D1030" s="60">
        <v>2025</v>
      </c>
      <c r="E1030" s="60"/>
      <c r="F1030" s="46" t="s">
        <v>225</v>
      </c>
      <c r="G1030" s="46" t="s">
        <v>159</v>
      </c>
      <c r="H1030" s="46" t="s">
        <v>592</v>
      </c>
      <c r="I1030" s="46" t="s">
        <v>166</v>
      </c>
      <c r="J1030" s="46"/>
      <c r="K1030" s="46" t="s">
        <v>68</v>
      </c>
      <c r="L1030" s="46"/>
      <c r="M1030" s="46"/>
      <c r="N1030" s="46"/>
      <c r="O1030" s="46">
        <v>1</v>
      </c>
      <c r="P1030" s="46"/>
      <c r="Q1030" s="46"/>
      <c r="R1030" s="46"/>
      <c r="S1030" s="46"/>
      <c r="T1030" s="46"/>
      <c r="U1030" s="46"/>
      <c r="V1030" s="46"/>
      <c r="W1030" s="46"/>
      <c r="X1030" s="46"/>
      <c r="Y1030" s="46"/>
      <c r="Z1030" s="46" t="s">
        <v>3023</v>
      </c>
      <c r="AA1030" s="61">
        <v>12</v>
      </c>
      <c r="AB1030" s="62">
        <f t="shared" si="125"/>
        <v>2666.666666666667</v>
      </c>
      <c r="AC1030" s="63">
        <f t="shared" si="126"/>
        <v>2.07904</v>
      </c>
      <c r="AD1030" s="62"/>
      <c r="AE1030" s="62">
        <f t="shared" si="124"/>
        <v>2666.666666666667</v>
      </c>
      <c r="AF1030" s="64" t="s">
        <v>3024</v>
      </c>
      <c r="AG1030" s="49">
        <v>0.56999999999999995</v>
      </c>
    </row>
    <row r="1031" spans="1:33" customFormat="1" ht="35.1" customHeight="1" x14ac:dyDescent="0.3">
      <c r="A1031" s="46">
        <v>1467</v>
      </c>
      <c r="B1031" s="46" t="s">
        <v>3025</v>
      </c>
      <c r="C1031" s="46" t="s">
        <v>321</v>
      </c>
      <c r="D1031" s="60">
        <v>2023</v>
      </c>
      <c r="E1031" s="60"/>
      <c r="F1031" s="46" t="s">
        <v>675</v>
      </c>
      <c r="G1031" s="46" t="s">
        <v>159</v>
      </c>
      <c r="H1031" s="46" t="s">
        <v>592</v>
      </c>
      <c r="I1031" s="46" t="s">
        <v>169</v>
      </c>
      <c r="J1031" s="46" t="s">
        <v>244</v>
      </c>
      <c r="K1031" s="46" t="s">
        <v>68</v>
      </c>
      <c r="L1031" s="46"/>
      <c r="M1031" s="46"/>
      <c r="N1031" s="46"/>
      <c r="O1031" s="46"/>
      <c r="P1031" s="46"/>
      <c r="Q1031" s="46"/>
      <c r="R1031" s="46"/>
      <c r="S1031" s="46"/>
      <c r="T1031" s="46"/>
      <c r="U1031" s="46"/>
      <c r="V1031" s="46"/>
      <c r="W1031" s="46"/>
      <c r="X1031" s="46"/>
      <c r="Y1031" s="46"/>
      <c r="Z1031" s="46" t="s">
        <v>1396</v>
      </c>
      <c r="AA1031" s="61">
        <v>5</v>
      </c>
      <c r="AB1031" s="62">
        <f t="shared" si="125"/>
        <v>1111.1111111111111</v>
      </c>
      <c r="AC1031" s="63">
        <f t="shared" si="126"/>
        <v>0.86626666666666663</v>
      </c>
      <c r="AD1031" s="62"/>
      <c r="AE1031" s="62">
        <f t="shared" si="124"/>
        <v>1111.1111111111111</v>
      </c>
      <c r="AF1031" s="64" t="s">
        <v>3026</v>
      </c>
      <c r="AG1031" s="49">
        <v>0.3</v>
      </c>
    </row>
    <row r="1032" spans="1:33" customFormat="1" ht="35.1" customHeight="1" x14ac:dyDescent="0.3">
      <c r="A1032" s="46">
        <v>1468</v>
      </c>
      <c r="B1032" s="46" t="s">
        <v>3027</v>
      </c>
      <c r="C1032" s="46" t="s">
        <v>487</v>
      </c>
      <c r="D1032" s="60"/>
      <c r="E1032" s="60"/>
      <c r="F1032" s="46" t="s">
        <v>591</v>
      </c>
      <c r="G1032" s="46" t="s">
        <v>159</v>
      </c>
      <c r="H1032" s="46" t="s">
        <v>592</v>
      </c>
      <c r="I1032" s="46" t="s">
        <v>169</v>
      </c>
      <c r="J1032" s="46" t="s">
        <v>247</v>
      </c>
      <c r="K1032" s="46" t="s">
        <v>68</v>
      </c>
      <c r="L1032" s="46"/>
      <c r="M1032" s="46"/>
      <c r="N1032" s="46"/>
      <c r="O1032" s="46"/>
      <c r="P1032" s="46">
        <v>1</v>
      </c>
      <c r="Q1032" s="46"/>
      <c r="R1032" s="46"/>
      <c r="S1032" s="46"/>
      <c r="T1032" s="46"/>
      <c r="U1032" s="46">
        <v>1</v>
      </c>
      <c r="V1032" s="46"/>
      <c r="W1032" s="46"/>
      <c r="X1032" s="46"/>
      <c r="Y1032" s="46"/>
      <c r="Z1032" s="46"/>
      <c r="AA1032" s="61"/>
      <c r="AB1032" s="62"/>
      <c r="AC1032" s="62"/>
      <c r="AD1032" s="62"/>
      <c r="AE1032" s="62">
        <f t="shared" si="124"/>
        <v>0</v>
      </c>
      <c r="AF1032" s="64" t="s">
        <v>3028</v>
      </c>
      <c r="AG1032" s="49">
        <v>0.8</v>
      </c>
    </row>
    <row r="1033" spans="1:33" customFormat="1" ht="35.1" customHeight="1" x14ac:dyDescent="0.3">
      <c r="A1033" s="46">
        <v>1469</v>
      </c>
      <c r="B1033" s="46" t="s">
        <v>3029</v>
      </c>
      <c r="C1033" s="46" t="s">
        <v>41</v>
      </c>
      <c r="D1033" s="60">
        <v>2024</v>
      </c>
      <c r="E1033" s="60"/>
      <c r="F1033" s="46" t="s">
        <v>675</v>
      </c>
      <c r="G1033" s="46" t="s">
        <v>3</v>
      </c>
      <c r="H1033" s="46"/>
      <c r="I1033" s="46" t="s">
        <v>169</v>
      </c>
      <c r="J1033" s="46" t="s">
        <v>245</v>
      </c>
      <c r="K1033" s="46" t="s">
        <v>68</v>
      </c>
      <c r="L1033" s="46"/>
      <c r="M1033" s="46"/>
      <c r="N1033" s="46"/>
      <c r="O1033" s="46"/>
      <c r="P1033" s="46"/>
      <c r="Q1033" s="46">
        <v>1</v>
      </c>
      <c r="R1033" s="46"/>
      <c r="S1033" s="46"/>
      <c r="T1033" s="46"/>
      <c r="U1033" s="46"/>
      <c r="V1033" s="46"/>
      <c r="W1033" s="46"/>
      <c r="X1033" s="46"/>
      <c r="Y1033" s="46"/>
      <c r="Z1033" s="46" t="s">
        <v>1350</v>
      </c>
      <c r="AA1033" s="61">
        <v>40</v>
      </c>
      <c r="AB1033" s="62">
        <f>IF(OR(G1033="ALK",G1033="PEM",G1033="SOEC",G1033="Other Electrolysis"),
AA1033/VLOOKUP(G1033,ElectrolysisConvF,3,FALSE),
AC1033*10^6/(H2dens*HoursInYear))</f>
        <v>8695.652173913044</v>
      </c>
      <c r="AC1033" s="63">
        <f>AB1033*H2dens*HoursInYear/10^6</f>
        <v>6.7794782608695652</v>
      </c>
      <c r="AD1033" s="62"/>
      <c r="AE1033" s="62">
        <f>AB1033</f>
        <v>8695.652173913044</v>
      </c>
      <c r="AF1033" s="64" t="s">
        <v>3030</v>
      </c>
      <c r="AG1033" s="49">
        <v>0.4</v>
      </c>
    </row>
    <row r="1034" spans="1:33" customFormat="1" ht="35.1" customHeight="1" x14ac:dyDescent="0.3">
      <c r="A1034" s="46">
        <v>1470</v>
      </c>
      <c r="B1034" s="46" t="s">
        <v>3031</v>
      </c>
      <c r="C1034" s="46" t="s">
        <v>38</v>
      </c>
      <c r="D1034" s="60">
        <v>2027</v>
      </c>
      <c r="E1034" s="60"/>
      <c r="F1034" s="46" t="s">
        <v>591</v>
      </c>
      <c r="G1034" s="46" t="s">
        <v>159</v>
      </c>
      <c r="H1034" s="46" t="s">
        <v>592</v>
      </c>
      <c r="I1034" s="46" t="s">
        <v>169</v>
      </c>
      <c r="J1034" s="46" t="s">
        <v>247</v>
      </c>
      <c r="K1034" s="46" t="s">
        <v>68</v>
      </c>
      <c r="L1034" s="46"/>
      <c r="M1034" s="46"/>
      <c r="N1034" s="46"/>
      <c r="O1034" s="46"/>
      <c r="P1034" s="46"/>
      <c r="Q1034" s="46"/>
      <c r="R1034" s="46"/>
      <c r="S1034" s="46"/>
      <c r="T1034" s="46"/>
      <c r="U1034" s="46"/>
      <c r="V1034" s="46"/>
      <c r="W1034" s="46"/>
      <c r="X1034" s="46"/>
      <c r="Y1034" s="46"/>
      <c r="Z1034" s="46" t="s">
        <v>3032</v>
      </c>
      <c r="AA1034" s="61">
        <f>IF(OR(G1034="ALK",G1034="PEM",G1034="SOEC",G1034="Other Electrolysis"),
AB1034*VLOOKUP(G1034,ElectrolysisConvF,3,FALSE),
"")</f>
        <v>50.504078805602582</v>
      </c>
      <c r="AB1034" s="63">
        <f>AC1034/(0.089*24*365/10^6)</f>
        <v>11223.128623467241</v>
      </c>
      <c r="AC1034" s="62">
        <f>7/H2ProjectDB4578610[[#This Row],[Column33]]</f>
        <v>8.75</v>
      </c>
      <c r="AD1034" s="62"/>
      <c r="AE1034" s="62">
        <f t="shared" ref="AE1034:AE1066" si="127">IF(AND(G1034&lt;&gt;"NG w CCUS",G1034&lt;&gt;"Oil w CCUS",G1034&lt;&gt;"Coal w CCUS"),AB1034,AD1034*10^3/(HoursInYear*IF(G1034="NG w CCUS",0.9105,1.9075)))</f>
        <v>11223.128623467241</v>
      </c>
      <c r="AF1034" s="64" t="s">
        <v>3033</v>
      </c>
      <c r="AG1034" s="49">
        <v>0.8</v>
      </c>
    </row>
    <row r="1035" spans="1:33" customFormat="1" ht="35.1" customHeight="1" x14ac:dyDescent="0.3">
      <c r="A1035" s="46">
        <v>1471</v>
      </c>
      <c r="B1035" s="46" t="s">
        <v>3034</v>
      </c>
      <c r="C1035" s="46" t="s">
        <v>38</v>
      </c>
      <c r="D1035" s="60"/>
      <c r="E1035" s="60"/>
      <c r="F1035" s="46" t="s">
        <v>591</v>
      </c>
      <c r="G1035" s="46" t="s">
        <v>159</v>
      </c>
      <c r="H1035" s="46" t="s">
        <v>592</v>
      </c>
      <c r="I1035" s="46" t="s">
        <v>169</v>
      </c>
      <c r="J1035" s="46" t="s">
        <v>247</v>
      </c>
      <c r="K1035" s="46" t="s">
        <v>141</v>
      </c>
      <c r="L1035" s="46"/>
      <c r="M1035" s="46">
        <v>1</v>
      </c>
      <c r="N1035" s="46"/>
      <c r="O1035" s="46"/>
      <c r="P1035" s="46"/>
      <c r="Q1035" s="46"/>
      <c r="R1035" s="46"/>
      <c r="S1035" s="46"/>
      <c r="T1035" s="46"/>
      <c r="U1035" s="46"/>
      <c r="V1035" s="46"/>
      <c r="W1035" s="46"/>
      <c r="X1035" s="46"/>
      <c r="Y1035" s="46"/>
      <c r="Z1035" s="46" t="s">
        <v>3035</v>
      </c>
      <c r="AA1035" s="61">
        <f>IF(OR(G1035="ALK",G1035="PEM",G1035="SOEC",G1035="Other Electrolysis"),
AB1035*VLOOKUP(G1035,ElectrolysisConvF,3,FALSE),
"")</f>
        <v>818.49334308142215</v>
      </c>
      <c r="AB1035" s="63">
        <f>AC1035/(0.089*24*365/10^6)</f>
        <v>181887.40957364938</v>
      </c>
      <c r="AC1035" s="62">
        <f>630*0.180072/H2ProjectDB4578610[[#This Row],[Column33]]</f>
        <v>141.80670000000001</v>
      </c>
      <c r="AD1035" s="62"/>
      <c r="AE1035" s="62">
        <f t="shared" si="127"/>
        <v>181887.40957364938</v>
      </c>
      <c r="AF1035" s="64" t="s">
        <v>3033</v>
      </c>
      <c r="AG1035" s="49">
        <v>0.8</v>
      </c>
    </row>
    <row r="1036" spans="1:33" customFormat="1" ht="35.1" customHeight="1" x14ac:dyDescent="0.3">
      <c r="A1036" s="46">
        <v>1472</v>
      </c>
      <c r="B1036" s="46" t="s">
        <v>3036</v>
      </c>
      <c r="C1036" s="46" t="s">
        <v>38</v>
      </c>
      <c r="D1036" s="60"/>
      <c r="E1036" s="60"/>
      <c r="F1036" s="46" t="s">
        <v>591</v>
      </c>
      <c r="G1036" s="46" t="s">
        <v>159</v>
      </c>
      <c r="H1036" s="46" t="s">
        <v>592</v>
      </c>
      <c r="I1036" s="46" t="s">
        <v>169</v>
      </c>
      <c r="J1036" s="46" t="s">
        <v>247</v>
      </c>
      <c r="K1036" s="46" t="s">
        <v>140</v>
      </c>
      <c r="L1036" s="46"/>
      <c r="M1036" s="46"/>
      <c r="N1036" s="46"/>
      <c r="O1036" s="46"/>
      <c r="P1036" s="46"/>
      <c r="Q1036" s="46"/>
      <c r="R1036" s="46"/>
      <c r="S1036" s="46"/>
      <c r="T1036" s="46"/>
      <c r="U1036" s="46"/>
      <c r="V1036" s="46"/>
      <c r="W1036" s="46"/>
      <c r="X1036" s="46"/>
      <c r="Y1036" s="46"/>
      <c r="Z1036" s="46" t="s">
        <v>3037</v>
      </c>
      <c r="AA1036" s="61">
        <f>IF(OR(G1036="ALK",G1036="PEM",G1036="SOEC",G1036="Other Electrolysis"),
AB1036*VLOOKUP(G1036,ElectrolysisConvF,3,FALSE),
"")</f>
        <v>634.98359819916868</v>
      </c>
      <c r="AB1036" s="63">
        <f>AC1036/(0.089*24*365/10^6)</f>
        <v>141107.46626648193</v>
      </c>
      <c r="AC1036" s="62">
        <f>460*0.191327/H2ProjectDB4578610[[#This Row],[Column33]]</f>
        <v>110.01302499999998</v>
      </c>
      <c r="AD1036" s="62"/>
      <c r="AE1036" s="62">
        <f t="shared" si="127"/>
        <v>141107.46626648193</v>
      </c>
      <c r="AF1036" s="64" t="s">
        <v>3033</v>
      </c>
      <c r="AG1036" s="49">
        <v>0.8</v>
      </c>
    </row>
    <row r="1037" spans="1:33" customFormat="1" ht="35.1" customHeight="1" x14ac:dyDescent="0.3">
      <c r="A1037" s="46">
        <v>1473</v>
      </c>
      <c r="B1037" s="46" t="s">
        <v>3038</v>
      </c>
      <c r="C1037" s="46" t="s">
        <v>38</v>
      </c>
      <c r="D1037" s="60"/>
      <c r="E1037" s="60"/>
      <c r="F1037" s="46" t="s">
        <v>225</v>
      </c>
      <c r="G1037" s="46" t="s">
        <v>161</v>
      </c>
      <c r="H1037" s="46" t="s">
        <v>1951</v>
      </c>
      <c r="I1037" s="46"/>
      <c r="J1037" s="46"/>
      <c r="K1037" s="46" t="s">
        <v>141</v>
      </c>
      <c r="L1037" s="46"/>
      <c r="M1037" s="46">
        <v>1</v>
      </c>
      <c r="N1037" s="46"/>
      <c r="O1037" s="46"/>
      <c r="P1037" s="46"/>
      <c r="Q1037" s="46"/>
      <c r="R1037" s="46"/>
      <c r="S1037" s="46"/>
      <c r="T1037" s="46"/>
      <c r="U1037" s="46"/>
      <c r="V1037" s="46"/>
      <c r="W1037" s="46"/>
      <c r="X1037" s="46"/>
      <c r="Y1037" s="46"/>
      <c r="Z1037" s="46" t="s">
        <v>3039</v>
      </c>
      <c r="AA1037" s="61" t="str">
        <f>IF(OR(G1037="ALK",G1037="PEM",G1037="SOEC",G1037="Other Electrolysis"),
AB1037*VLOOKUP(G1037,ElectrolysisConvF,3,FALSE),
"")</f>
        <v/>
      </c>
      <c r="AB1037" s="63">
        <f>AC1037/(0.089*24*365/10^6)</f>
        <v>138580.88348468524</v>
      </c>
      <c r="AC1037" s="62">
        <f>600*0.180072</f>
        <v>108.04320000000001</v>
      </c>
      <c r="AD1037" s="62"/>
      <c r="AE1037" s="62">
        <f t="shared" si="127"/>
        <v>0</v>
      </c>
      <c r="AF1037" s="64" t="s">
        <v>3033</v>
      </c>
      <c r="AG1037" s="49">
        <v>0.9</v>
      </c>
    </row>
    <row r="1038" spans="1:33" customFormat="1" ht="35.1" customHeight="1" x14ac:dyDescent="0.3">
      <c r="A1038" s="46">
        <v>1474</v>
      </c>
      <c r="B1038" s="46" t="s">
        <v>3040</v>
      </c>
      <c r="C1038" s="46" t="s">
        <v>47</v>
      </c>
      <c r="D1038" s="60">
        <v>2025</v>
      </c>
      <c r="E1038" s="60"/>
      <c r="F1038" s="46" t="s">
        <v>591</v>
      </c>
      <c r="G1038" s="46" t="s">
        <v>159</v>
      </c>
      <c r="H1038" s="46" t="s">
        <v>592</v>
      </c>
      <c r="I1038" s="46" t="s">
        <v>169</v>
      </c>
      <c r="J1038" s="46" t="s">
        <v>244</v>
      </c>
      <c r="K1038" s="46" t="s">
        <v>141</v>
      </c>
      <c r="L1038" s="46"/>
      <c r="M1038" s="46">
        <v>1</v>
      </c>
      <c r="N1038" s="46"/>
      <c r="O1038" s="46"/>
      <c r="P1038" s="46"/>
      <c r="Q1038" s="46"/>
      <c r="R1038" s="46"/>
      <c r="S1038" s="46"/>
      <c r="T1038" s="46"/>
      <c r="U1038" s="46"/>
      <c r="V1038" s="46"/>
      <c r="W1038" s="46"/>
      <c r="X1038" s="46"/>
      <c r="Y1038" s="46"/>
      <c r="Z1038" s="46" t="s">
        <v>1691</v>
      </c>
      <c r="AA1038" s="61">
        <v>200</v>
      </c>
      <c r="AB1038" s="62">
        <f t="shared" ref="AB1038:AB1043" si="128">IF(OR(G1038="ALK",G1038="PEM",G1038="SOEC",G1038="Other Electrolysis"),
AA1038/VLOOKUP(G1038,ElectrolysisConvF,3,FALSE),
AC1038*10^6/(H2dens*HoursInYear))</f>
        <v>44444.444444444445</v>
      </c>
      <c r="AC1038" s="63">
        <f>AB1038*H2dens*HoursInYear/10^6</f>
        <v>34.650666666666666</v>
      </c>
      <c r="AD1038" s="62"/>
      <c r="AE1038" s="62">
        <f t="shared" si="127"/>
        <v>44444.444444444445</v>
      </c>
      <c r="AF1038" s="64" t="s">
        <v>3041</v>
      </c>
      <c r="AG1038" s="49">
        <v>0.3</v>
      </c>
    </row>
    <row r="1039" spans="1:33" customFormat="1" ht="35.1" customHeight="1" x14ac:dyDescent="0.3">
      <c r="A1039" s="46">
        <v>1475</v>
      </c>
      <c r="B1039" s="46" t="s">
        <v>3042</v>
      </c>
      <c r="C1039" s="46" t="s">
        <v>63</v>
      </c>
      <c r="D1039" s="60">
        <v>1992</v>
      </c>
      <c r="E1039" s="60"/>
      <c r="F1039" s="46" t="s">
        <v>226</v>
      </c>
      <c r="G1039" s="46" t="s">
        <v>3</v>
      </c>
      <c r="H1039" s="46"/>
      <c r="I1039" s="46" t="s">
        <v>288</v>
      </c>
      <c r="J1039" s="46"/>
      <c r="K1039" s="46" t="s">
        <v>68</v>
      </c>
      <c r="L1039" s="46"/>
      <c r="M1039" s="46"/>
      <c r="N1039" s="46"/>
      <c r="O1039" s="46"/>
      <c r="P1039" s="46">
        <v>1</v>
      </c>
      <c r="Q1039" s="46"/>
      <c r="R1039" s="46"/>
      <c r="S1039" s="46"/>
      <c r="T1039" s="46"/>
      <c r="U1039" s="46"/>
      <c r="V1039" s="46"/>
      <c r="W1039" s="46"/>
      <c r="X1039" s="46"/>
      <c r="Y1039" s="46"/>
      <c r="Z1039" s="46" t="s">
        <v>3043</v>
      </c>
      <c r="AA1039" s="61">
        <v>0.7</v>
      </c>
      <c r="AB1039" s="62">
        <f t="shared" si="128"/>
        <v>152.17391304347825</v>
      </c>
      <c r="AC1039" s="63">
        <f>AB1039*H2dens*HoursInYear/10^6</f>
        <v>0.1186408695652174</v>
      </c>
      <c r="AD1039" s="62"/>
      <c r="AE1039" s="62">
        <f t="shared" si="127"/>
        <v>152.17391304347825</v>
      </c>
      <c r="AF1039" s="64" t="s">
        <v>3044</v>
      </c>
      <c r="AG1039" s="49">
        <v>0.8</v>
      </c>
    </row>
    <row r="1040" spans="1:33" customFormat="1" ht="35.1" customHeight="1" x14ac:dyDescent="0.3">
      <c r="A1040" s="46">
        <v>1476</v>
      </c>
      <c r="B1040" s="46" t="s">
        <v>3045</v>
      </c>
      <c r="C1040" s="46" t="s">
        <v>34</v>
      </c>
      <c r="D1040" s="60">
        <v>2026</v>
      </c>
      <c r="E1040" s="60"/>
      <c r="F1040" s="46" t="s">
        <v>225</v>
      </c>
      <c r="G1040" s="46" t="s">
        <v>159</v>
      </c>
      <c r="H1040" s="46" t="s">
        <v>592</v>
      </c>
      <c r="I1040" s="46" t="s">
        <v>157</v>
      </c>
      <c r="J1040" s="46"/>
      <c r="K1040" s="46" t="s">
        <v>68</v>
      </c>
      <c r="L1040" s="46">
        <v>1</v>
      </c>
      <c r="M1040" s="46"/>
      <c r="N1040" s="46"/>
      <c r="O1040" s="46">
        <v>1</v>
      </c>
      <c r="P1040" s="46">
        <v>1</v>
      </c>
      <c r="Q1040" s="46"/>
      <c r="R1040" s="46"/>
      <c r="S1040" s="46"/>
      <c r="T1040" s="46"/>
      <c r="U1040" s="46"/>
      <c r="V1040" s="46"/>
      <c r="W1040" s="46"/>
      <c r="X1040" s="46"/>
      <c r="Y1040" s="46"/>
      <c r="Z1040" s="46" t="s">
        <v>1257</v>
      </c>
      <c r="AA1040" s="61">
        <v>100</v>
      </c>
      <c r="AB1040" s="62">
        <f t="shared" si="128"/>
        <v>22222.222222222223</v>
      </c>
      <c r="AC1040" s="63">
        <f>AB1040*H2dens*HoursInYear/10^6</f>
        <v>17.325333333333333</v>
      </c>
      <c r="AD1040" s="62"/>
      <c r="AE1040" s="62">
        <f t="shared" si="127"/>
        <v>22222.222222222223</v>
      </c>
      <c r="AF1040" s="64" t="s">
        <v>3046</v>
      </c>
      <c r="AG1040" s="49">
        <v>0.56999999999999995</v>
      </c>
    </row>
    <row r="1041" spans="1:33" customFormat="1" ht="35.1" customHeight="1" x14ac:dyDescent="0.3">
      <c r="A1041" s="46">
        <v>1477</v>
      </c>
      <c r="B1041" s="46" t="s">
        <v>3047</v>
      </c>
      <c r="C1041" s="46" t="s">
        <v>34</v>
      </c>
      <c r="D1041" s="60">
        <v>2031</v>
      </c>
      <c r="E1041" s="60"/>
      <c r="F1041" s="46" t="s">
        <v>225</v>
      </c>
      <c r="G1041" s="46" t="s">
        <v>159</v>
      </c>
      <c r="H1041" s="46" t="s">
        <v>592</v>
      </c>
      <c r="I1041" s="46" t="s">
        <v>157</v>
      </c>
      <c r="J1041" s="46"/>
      <c r="K1041" s="46" t="s">
        <v>68</v>
      </c>
      <c r="L1041" s="46">
        <v>1</v>
      </c>
      <c r="M1041" s="46"/>
      <c r="N1041" s="46"/>
      <c r="O1041" s="46">
        <v>1</v>
      </c>
      <c r="P1041" s="46">
        <v>1</v>
      </c>
      <c r="Q1041" s="46"/>
      <c r="R1041" s="46"/>
      <c r="S1041" s="46"/>
      <c r="T1041" s="46"/>
      <c r="U1041" s="46"/>
      <c r="V1041" s="46"/>
      <c r="W1041" s="46"/>
      <c r="X1041" s="46"/>
      <c r="Y1041" s="46"/>
      <c r="Z1041" s="46" t="s">
        <v>1843</v>
      </c>
      <c r="AA1041" s="61">
        <v>100</v>
      </c>
      <c r="AB1041" s="62">
        <f t="shared" si="128"/>
        <v>22222.222222222223</v>
      </c>
      <c r="AC1041" s="63">
        <f>AB1041*H2dens*HoursInYear/10^6</f>
        <v>17.325333333333333</v>
      </c>
      <c r="AD1041" s="62"/>
      <c r="AE1041" s="62">
        <f t="shared" si="127"/>
        <v>22222.222222222223</v>
      </c>
      <c r="AF1041" s="64" t="s">
        <v>3046</v>
      </c>
      <c r="AG1041" s="49">
        <v>0.56999999999999995</v>
      </c>
    </row>
    <row r="1042" spans="1:33" customFormat="1" ht="35.1" customHeight="1" x14ac:dyDescent="0.3">
      <c r="A1042" s="46">
        <v>1478</v>
      </c>
      <c r="B1042" s="46" t="s">
        <v>3048</v>
      </c>
      <c r="C1042" s="46" t="s">
        <v>34</v>
      </c>
      <c r="D1042" s="60">
        <v>2023</v>
      </c>
      <c r="E1042" s="60"/>
      <c r="F1042" s="46" t="s">
        <v>675</v>
      </c>
      <c r="G1042" s="46" t="s">
        <v>3</v>
      </c>
      <c r="H1042" s="46"/>
      <c r="I1042" s="46" t="s">
        <v>166</v>
      </c>
      <c r="J1042" s="46"/>
      <c r="K1042" s="46" t="s">
        <v>68</v>
      </c>
      <c r="L1042" s="46"/>
      <c r="M1042" s="46"/>
      <c r="N1042" s="46"/>
      <c r="O1042" s="46"/>
      <c r="P1042" s="46"/>
      <c r="Q1042" s="46">
        <v>1</v>
      </c>
      <c r="R1042" s="46"/>
      <c r="S1042" s="46"/>
      <c r="T1042" s="46"/>
      <c r="U1042" s="46"/>
      <c r="V1042" s="46"/>
      <c r="W1042" s="46"/>
      <c r="X1042" s="46"/>
      <c r="Y1042" s="46"/>
      <c r="Z1042" s="46" t="s">
        <v>3049</v>
      </c>
      <c r="AA1042" s="61">
        <v>1</v>
      </c>
      <c r="AB1042" s="62">
        <f t="shared" si="128"/>
        <v>217.39130434782609</v>
      </c>
      <c r="AC1042" s="63">
        <f>AB1042*H2dens*HoursInYear/10^6</f>
        <v>0.16948695652173912</v>
      </c>
      <c r="AD1042" s="62"/>
      <c r="AE1042" s="62">
        <f t="shared" si="127"/>
        <v>217.39130434782609</v>
      </c>
      <c r="AF1042" s="64" t="s">
        <v>3050</v>
      </c>
      <c r="AG1042" s="49">
        <v>0.56999999999999995</v>
      </c>
    </row>
    <row r="1043" spans="1:33" customFormat="1" ht="35.1" customHeight="1" x14ac:dyDescent="0.3">
      <c r="A1043" s="46">
        <v>1479</v>
      </c>
      <c r="B1043" s="46" t="s">
        <v>3051</v>
      </c>
      <c r="C1043" s="46" t="s">
        <v>40</v>
      </c>
      <c r="D1043" s="60">
        <v>2021</v>
      </c>
      <c r="E1043" s="60"/>
      <c r="F1043" s="46" t="s">
        <v>285</v>
      </c>
      <c r="G1043" s="46" t="s">
        <v>163</v>
      </c>
      <c r="H1043" s="46" t="s">
        <v>3052</v>
      </c>
      <c r="I1043" s="46"/>
      <c r="J1043" s="46"/>
      <c r="K1043" s="46" t="s">
        <v>68</v>
      </c>
      <c r="L1043" s="46"/>
      <c r="M1043" s="46"/>
      <c r="N1043" s="46"/>
      <c r="O1043" s="46"/>
      <c r="P1043" s="46"/>
      <c r="Q1043" s="46"/>
      <c r="R1043" s="46"/>
      <c r="S1043" s="46"/>
      <c r="T1043" s="46"/>
      <c r="U1043" s="46"/>
      <c r="V1043" s="46"/>
      <c r="W1043" s="46"/>
      <c r="X1043" s="46"/>
      <c r="Y1043" s="46"/>
      <c r="Z1043" s="46" t="s">
        <v>3053</v>
      </c>
      <c r="AA1043" s="61" t="str">
        <f>IF(OR(G1043="ALK",G1043="PEM",G1043="SOEC",G1043="Other Electrolysis"),
AB1043*VLOOKUP(G1043,ElectrolysisConvF,3,FALSE),
"")</f>
        <v/>
      </c>
      <c r="AB1043" s="62">
        <f t="shared" si="128"/>
        <v>468.16479400749063</v>
      </c>
      <c r="AC1043" s="62">
        <v>0.36499999999999999</v>
      </c>
      <c r="AD1043" s="62"/>
      <c r="AE1043" s="62">
        <f t="shared" si="127"/>
        <v>468.16479400749063</v>
      </c>
      <c r="AF1043" s="64" t="s">
        <v>3054</v>
      </c>
      <c r="AG1043" s="49">
        <v>0.9</v>
      </c>
    </row>
    <row r="1044" spans="1:33" customFormat="1" ht="35.1" customHeight="1" x14ac:dyDescent="0.3">
      <c r="A1044" s="46">
        <v>1480</v>
      </c>
      <c r="B1044" s="46" t="s">
        <v>3055</v>
      </c>
      <c r="C1044" s="46" t="s">
        <v>49</v>
      </c>
      <c r="D1044" s="60"/>
      <c r="E1044" s="60"/>
      <c r="F1044" s="46" t="s">
        <v>591</v>
      </c>
      <c r="G1044" s="46" t="s">
        <v>159</v>
      </c>
      <c r="H1044" s="46" t="s">
        <v>592</v>
      </c>
      <c r="I1044" s="46" t="s">
        <v>169</v>
      </c>
      <c r="J1044" s="46" t="s">
        <v>248</v>
      </c>
      <c r="K1044" s="46" t="s">
        <v>68</v>
      </c>
      <c r="L1044" s="46"/>
      <c r="M1044" s="46"/>
      <c r="N1044" s="46"/>
      <c r="O1044" s="46"/>
      <c r="P1044" s="46"/>
      <c r="Q1044" s="46"/>
      <c r="R1044" s="46"/>
      <c r="S1044" s="46"/>
      <c r="T1044" s="46"/>
      <c r="U1044" s="46"/>
      <c r="V1044" s="46"/>
      <c r="W1044" s="46"/>
      <c r="X1044" s="46"/>
      <c r="Y1044" s="46"/>
      <c r="Z1044" s="46"/>
      <c r="AA1044" s="61"/>
      <c r="AB1044" s="62"/>
      <c r="AC1044" s="62"/>
      <c r="AD1044" s="62"/>
      <c r="AE1044" s="62">
        <f t="shared" si="127"/>
        <v>0</v>
      </c>
      <c r="AF1044" s="64" t="s">
        <v>3056</v>
      </c>
      <c r="AG1044" s="49">
        <v>0.5</v>
      </c>
    </row>
    <row r="1045" spans="1:33" customFormat="1" ht="35.1" customHeight="1" x14ac:dyDescent="0.3">
      <c r="A1045" s="46">
        <v>1481</v>
      </c>
      <c r="B1045" s="46" t="s">
        <v>3057</v>
      </c>
      <c r="C1045" s="46" t="s">
        <v>49</v>
      </c>
      <c r="D1045" s="60"/>
      <c r="E1045" s="60"/>
      <c r="F1045" s="46" t="s">
        <v>591</v>
      </c>
      <c r="G1045" s="46" t="s">
        <v>159</v>
      </c>
      <c r="H1045" s="46" t="s">
        <v>592</v>
      </c>
      <c r="I1045" s="46" t="s">
        <v>169</v>
      </c>
      <c r="J1045" s="46" t="s">
        <v>248</v>
      </c>
      <c r="K1045" s="46" t="s">
        <v>140</v>
      </c>
      <c r="L1045" s="46"/>
      <c r="M1045" s="46"/>
      <c r="N1045" s="46">
        <v>1</v>
      </c>
      <c r="O1045" s="46"/>
      <c r="P1045" s="46"/>
      <c r="Q1045" s="46"/>
      <c r="R1045" s="46"/>
      <c r="S1045" s="46"/>
      <c r="T1045" s="46"/>
      <c r="U1045" s="46"/>
      <c r="V1045" s="46"/>
      <c r="W1045" s="46"/>
      <c r="X1045" s="46"/>
      <c r="Y1045" s="46"/>
      <c r="Z1045" s="46"/>
      <c r="AA1045" s="61"/>
      <c r="AB1045" s="62"/>
      <c r="AC1045" s="62"/>
      <c r="AD1045" s="62"/>
      <c r="AE1045" s="62">
        <f t="shared" si="127"/>
        <v>0</v>
      </c>
      <c r="AF1045" s="64" t="s">
        <v>3056</v>
      </c>
      <c r="AG1045" s="49">
        <v>0.5</v>
      </c>
    </row>
    <row r="1046" spans="1:33" customFormat="1" ht="35.1" customHeight="1" x14ac:dyDescent="0.3">
      <c r="A1046" s="46">
        <v>1482</v>
      </c>
      <c r="B1046" s="46" t="s">
        <v>3058</v>
      </c>
      <c r="C1046" s="46" t="s">
        <v>203</v>
      </c>
      <c r="D1046" s="60">
        <v>2023</v>
      </c>
      <c r="E1046" s="60"/>
      <c r="F1046" s="46" t="s">
        <v>225</v>
      </c>
      <c r="G1046" s="46" t="s">
        <v>3</v>
      </c>
      <c r="H1046" s="46"/>
      <c r="I1046" s="46" t="s">
        <v>169</v>
      </c>
      <c r="J1046" s="46" t="s">
        <v>244</v>
      </c>
      <c r="K1046" s="46" t="s">
        <v>68</v>
      </c>
      <c r="L1046" s="46"/>
      <c r="M1046" s="46"/>
      <c r="N1046" s="46"/>
      <c r="O1046" s="46"/>
      <c r="P1046" s="46">
        <v>1</v>
      </c>
      <c r="Q1046" s="46">
        <v>1</v>
      </c>
      <c r="R1046" s="46"/>
      <c r="S1046" s="46"/>
      <c r="T1046" s="46"/>
      <c r="U1046" s="46"/>
      <c r="V1046" s="46"/>
      <c r="W1046" s="46"/>
      <c r="X1046" s="46"/>
      <c r="Y1046" s="46"/>
      <c r="Z1046" s="46" t="s">
        <v>1396</v>
      </c>
      <c r="AA1046" s="61">
        <v>5</v>
      </c>
      <c r="AB1046" s="62">
        <f t="shared" ref="AB1046:AB1054" si="129">IF(OR(G1046="ALK",G1046="PEM",G1046="SOEC",G1046="Other Electrolysis"),
AA1046/VLOOKUP(G1046,ElectrolysisConvF,3,FALSE),
AC1046*10^6/(H2dens*HoursInYear))</f>
        <v>1086.9565217391305</v>
      </c>
      <c r="AC1046" s="62">
        <f t="shared" ref="AC1046:AC1054" si="130">AB1046*H2dens*HoursInYear/10^6</f>
        <v>0.84743478260869565</v>
      </c>
      <c r="AD1046" s="62"/>
      <c r="AE1046" s="62">
        <f t="shared" si="127"/>
        <v>1086.9565217391305</v>
      </c>
      <c r="AF1046" s="64" t="s">
        <v>3059</v>
      </c>
      <c r="AG1046" s="49">
        <v>0.3</v>
      </c>
    </row>
    <row r="1047" spans="1:33" customFormat="1" ht="35.1" customHeight="1" x14ac:dyDescent="0.3">
      <c r="A1047" s="46">
        <v>1483</v>
      </c>
      <c r="B1047" s="46" t="s">
        <v>3060</v>
      </c>
      <c r="C1047" s="46" t="s">
        <v>51</v>
      </c>
      <c r="D1047" s="60"/>
      <c r="E1047" s="60"/>
      <c r="F1047" s="46" t="s">
        <v>591</v>
      </c>
      <c r="G1047" s="46" t="s">
        <v>159</v>
      </c>
      <c r="H1047" s="46" t="s">
        <v>592</v>
      </c>
      <c r="I1047" s="46" t="s">
        <v>169</v>
      </c>
      <c r="J1047" s="46" t="s">
        <v>247</v>
      </c>
      <c r="K1047" s="46" t="s">
        <v>68</v>
      </c>
      <c r="L1047" s="46"/>
      <c r="M1047" s="46">
        <v>1</v>
      </c>
      <c r="N1047" s="46"/>
      <c r="O1047" s="46"/>
      <c r="P1047" s="46">
        <v>1</v>
      </c>
      <c r="Q1047" s="46"/>
      <c r="R1047" s="46"/>
      <c r="S1047" s="46"/>
      <c r="T1047" s="46"/>
      <c r="U1047" s="46"/>
      <c r="V1047" s="46"/>
      <c r="W1047" s="46"/>
      <c r="X1047" s="46"/>
      <c r="Y1047" s="46"/>
      <c r="Z1047" s="46" t="s">
        <v>1843</v>
      </c>
      <c r="AA1047" s="61">
        <v>600</v>
      </c>
      <c r="AB1047" s="62">
        <f t="shared" si="129"/>
        <v>133333.33333333334</v>
      </c>
      <c r="AC1047" s="63">
        <f t="shared" si="130"/>
        <v>103.952</v>
      </c>
      <c r="AD1047" s="62"/>
      <c r="AE1047" s="62">
        <f t="shared" si="127"/>
        <v>133333.33333333334</v>
      </c>
      <c r="AF1047" s="64" t="s">
        <v>3061</v>
      </c>
      <c r="AG1047" s="49">
        <v>0.8</v>
      </c>
    </row>
    <row r="1048" spans="1:33" customFormat="1" ht="35.1" customHeight="1" x14ac:dyDescent="0.3">
      <c r="A1048" s="46">
        <v>1484</v>
      </c>
      <c r="B1048" s="46" t="s">
        <v>3062</v>
      </c>
      <c r="C1048" s="46" t="s">
        <v>51</v>
      </c>
      <c r="D1048" s="60">
        <v>2026</v>
      </c>
      <c r="E1048" s="60"/>
      <c r="F1048" s="46" t="s">
        <v>225</v>
      </c>
      <c r="G1048" s="46" t="s">
        <v>159</v>
      </c>
      <c r="H1048" s="46" t="s">
        <v>592</v>
      </c>
      <c r="I1048" s="46" t="s">
        <v>169</v>
      </c>
      <c r="J1048" s="46" t="s">
        <v>247</v>
      </c>
      <c r="K1048" s="46" t="s">
        <v>141</v>
      </c>
      <c r="L1048" s="46"/>
      <c r="M1048" s="46">
        <v>1</v>
      </c>
      <c r="N1048" s="46"/>
      <c r="O1048" s="46"/>
      <c r="P1048" s="46"/>
      <c r="Q1048" s="46"/>
      <c r="R1048" s="46"/>
      <c r="S1048" s="46"/>
      <c r="T1048" s="46"/>
      <c r="U1048" s="46"/>
      <c r="V1048" s="46"/>
      <c r="W1048" s="46"/>
      <c r="X1048" s="46"/>
      <c r="Y1048" s="46"/>
      <c r="Z1048" s="46" t="s">
        <v>3063</v>
      </c>
      <c r="AA1048" s="61">
        <v>350</v>
      </c>
      <c r="AB1048" s="62">
        <f t="shared" si="129"/>
        <v>77777.777777777781</v>
      </c>
      <c r="AC1048" s="63">
        <f t="shared" si="130"/>
        <v>60.638666666666673</v>
      </c>
      <c r="AD1048" s="62"/>
      <c r="AE1048" s="62">
        <f t="shared" si="127"/>
        <v>77777.777777777781</v>
      </c>
      <c r="AF1048" s="64" t="s">
        <v>3064</v>
      </c>
      <c r="AG1048" s="49">
        <v>0.8</v>
      </c>
    </row>
    <row r="1049" spans="1:33" customFormat="1" ht="35.1" customHeight="1" x14ac:dyDescent="0.3">
      <c r="A1049" s="46">
        <v>1485</v>
      </c>
      <c r="B1049" s="46" t="s">
        <v>3065</v>
      </c>
      <c r="C1049" s="46" t="s">
        <v>51</v>
      </c>
      <c r="D1049" s="60"/>
      <c r="E1049" s="60"/>
      <c r="F1049" s="46" t="s">
        <v>225</v>
      </c>
      <c r="G1049" s="46" t="s">
        <v>159</v>
      </c>
      <c r="H1049" s="46" t="s">
        <v>592</v>
      </c>
      <c r="I1049" s="46" t="s">
        <v>169</v>
      </c>
      <c r="J1049" s="46" t="s">
        <v>247</v>
      </c>
      <c r="K1049" s="46" t="s">
        <v>68</v>
      </c>
      <c r="L1049" s="46"/>
      <c r="M1049" s="46"/>
      <c r="N1049" s="46"/>
      <c r="O1049" s="46"/>
      <c r="P1049" s="46"/>
      <c r="Q1049" s="46"/>
      <c r="R1049" s="46"/>
      <c r="S1049" s="46"/>
      <c r="T1049" s="46"/>
      <c r="U1049" s="46"/>
      <c r="V1049" s="46"/>
      <c r="W1049" s="46"/>
      <c r="X1049" s="46"/>
      <c r="Y1049" s="46"/>
      <c r="Z1049" s="46" t="s">
        <v>3066</v>
      </c>
      <c r="AA1049" s="61">
        <v>75</v>
      </c>
      <c r="AB1049" s="62">
        <f t="shared" si="129"/>
        <v>16666.666666666668</v>
      </c>
      <c r="AC1049" s="63">
        <f t="shared" si="130"/>
        <v>12.994</v>
      </c>
      <c r="AD1049" s="62"/>
      <c r="AE1049" s="62">
        <f t="shared" si="127"/>
        <v>16666.666666666668</v>
      </c>
      <c r="AF1049" s="64" t="s">
        <v>3067</v>
      </c>
      <c r="AG1049" s="49">
        <v>0.8</v>
      </c>
    </row>
    <row r="1050" spans="1:33" customFormat="1" ht="35.1" customHeight="1" x14ac:dyDescent="0.3">
      <c r="A1050" s="46">
        <v>1486</v>
      </c>
      <c r="B1050" s="46" t="s">
        <v>3068</v>
      </c>
      <c r="C1050" s="46" t="s">
        <v>51</v>
      </c>
      <c r="D1050" s="60"/>
      <c r="E1050" s="60"/>
      <c r="F1050" s="46" t="s">
        <v>591</v>
      </c>
      <c r="G1050" s="46" t="s">
        <v>159</v>
      </c>
      <c r="H1050" s="46" t="s">
        <v>592</v>
      </c>
      <c r="I1050" s="46" t="s">
        <v>169</v>
      </c>
      <c r="J1050" s="46" t="s">
        <v>247</v>
      </c>
      <c r="K1050" s="46" t="s">
        <v>68</v>
      </c>
      <c r="L1050" s="46"/>
      <c r="M1050" s="46"/>
      <c r="N1050" s="46"/>
      <c r="O1050" s="46"/>
      <c r="P1050" s="46"/>
      <c r="Q1050" s="46"/>
      <c r="R1050" s="46"/>
      <c r="S1050" s="46"/>
      <c r="T1050" s="46"/>
      <c r="U1050" s="46"/>
      <c r="V1050" s="46"/>
      <c r="W1050" s="46"/>
      <c r="X1050" s="46"/>
      <c r="Y1050" s="46"/>
      <c r="Z1050" s="46" t="s">
        <v>1847</v>
      </c>
      <c r="AA1050" s="61">
        <f>300-AA1049</f>
        <v>225</v>
      </c>
      <c r="AB1050" s="62">
        <f t="shared" si="129"/>
        <v>50000.000000000007</v>
      </c>
      <c r="AC1050" s="63">
        <f t="shared" si="130"/>
        <v>38.981999999999999</v>
      </c>
      <c r="AD1050" s="62"/>
      <c r="AE1050" s="62">
        <f t="shared" si="127"/>
        <v>50000.000000000007</v>
      </c>
      <c r="AF1050" s="64" t="s">
        <v>3067</v>
      </c>
      <c r="AG1050" s="49">
        <v>0.8</v>
      </c>
    </row>
    <row r="1051" spans="1:33" customFormat="1" ht="35.1" customHeight="1" x14ac:dyDescent="0.3">
      <c r="A1051" s="46">
        <v>1487</v>
      </c>
      <c r="B1051" s="46" t="s">
        <v>3069</v>
      </c>
      <c r="C1051" s="46" t="s">
        <v>46</v>
      </c>
      <c r="D1051" s="60">
        <v>2023</v>
      </c>
      <c r="E1051" s="60"/>
      <c r="F1051" s="46" t="s">
        <v>675</v>
      </c>
      <c r="G1051" s="46" t="s">
        <v>159</v>
      </c>
      <c r="H1051" s="46" t="s">
        <v>592</v>
      </c>
      <c r="I1051" s="46" t="s">
        <v>169</v>
      </c>
      <c r="J1051" s="46" t="s">
        <v>244</v>
      </c>
      <c r="K1051" s="46" t="s">
        <v>68</v>
      </c>
      <c r="L1051" s="46"/>
      <c r="M1051" s="46"/>
      <c r="N1051" s="46"/>
      <c r="O1051" s="46"/>
      <c r="P1051" s="46"/>
      <c r="Q1051" s="46"/>
      <c r="R1051" s="46"/>
      <c r="S1051" s="46"/>
      <c r="T1051" s="46"/>
      <c r="U1051" s="46"/>
      <c r="V1051" s="46"/>
      <c r="W1051" s="46"/>
      <c r="X1051" s="46"/>
      <c r="Y1051" s="46"/>
      <c r="Z1051" s="46" t="s">
        <v>2286</v>
      </c>
      <c r="AA1051" s="61">
        <v>0.9</v>
      </c>
      <c r="AB1051" s="62">
        <f t="shared" si="129"/>
        <v>200.00000000000003</v>
      </c>
      <c r="AC1051" s="63">
        <f t="shared" si="130"/>
        <v>0.15592800000000001</v>
      </c>
      <c r="AD1051" s="62"/>
      <c r="AE1051" s="62">
        <f t="shared" si="127"/>
        <v>200.00000000000003</v>
      </c>
      <c r="AF1051" s="64" t="s">
        <v>3070</v>
      </c>
      <c r="AG1051" s="49">
        <v>0.3</v>
      </c>
    </row>
    <row r="1052" spans="1:33" customFormat="1" ht="35.1" customHeight="1" x14ac:dyDescent="0.3">
      <c r="A1052" s="46">
        <v>1488</v>
      </c>
      <c r="B1052" s="46" t="s">
        <v>3071</v>
      </c>
      <c r="C1052" s="46" t="s">
        <v>318</v>
      </c>
      <c r="D1052" s="60">
        <v>2025</v>
      </c>
      <c r="E1052" s="60"/>
      <c r="F1052" s="46" t="s">
        <v>225</v>
      </c>
      <c r="G1052" s="46" t="s">
        <v>3</v>
      </c>
      <c r="H1052" s="46"/>
      <c r="I1052" s="46" t="s">
        <v>169</v>
      </c>
      <c r="J1052" s="46" t="s">
        <v>244</v>
      </c>
      <c r="K1052" s="46" t="s">
        <v>68</v>
      </c>
      <c r="L1052" s="46"/>
      <c r="M1052" s="46"/>
      <c r="N1052" s="46"/>
      <c r="O1052" s="46"/>
      <c r="P1052" s="46"/>
      <c r="Q1052" s="46"/>
      <c r="R1052" s="46"/>
      <c r="S1052" s="46"/>
      <c r="T1052" s="46"/>
      <c r="U1052" s="46"/>
      <c r="V1052" s="46"/>
      <c r="W1052" s="46"/>
      <c r="X1052" s="46"/>
      <c r="Y1052" s="46"/>
      <c r="Z1052" s="46" t="s">
        <v>1257</v>
      </c>
      <c r="AA1052" s="61">
        <v>100</v>
      </c>
      <c r="AB1052" s="62">
        <f t="shared" si="129"/>
        <v>21739.130434782608</v>
      </c>
      <c r="AC1052" s="63">
        <f t="shared" si="130"/>
        <v>16.94869565217391</v>
      </c>
      <c r="AD1052" s="62"/>
      <c r="AE1052" s="62">
        <f t="shared" si="127"/>
        <v>21739.130434782608</v>
      </c>
      <c r="AF1052" s="64" t="s">
        <v>3072</v>
      </c>
      <c r="AG1052" s="49">
        <v>0.3</v>
      </c>
    </row>
    <row r="1053" spans="1:33" customFormat="1" ht="35.1" customHeight="1" x14ac:dyDescent="0.3">
      <c r="A1053" s="46">
        <v>1489</v>
      </c>
      <c r="B1053" s="46" t="s">
        <v>3073</v>
      </c>
      <c r="C1053" s="46" t="s">
        <v>321</v>
      </c>
      <c r="D1053" s="60">
        <v>2027</v>
      </c>
      <c r="E1053" s="60"/>
      <c r="F1053" s="46" t="s">
        <v>225</v>
      </c>
      <c r="G1053" s="46" t="s">
        <v>159</v>
      </c>
      <c r="H1053" s="46" t="s">
        <v>592</v>
      </c>
      <c r="I1053" s="46" t="s">
        <v>169</v>
      </c>
      <c r="J1053" s="46" t="s">
        <v>248</v>
      </c>
      <c r="K1053" s="46" t="s">
        <v>68</v>
      </c>
      <c r="L1053" s="46"/>
      <c r="M1053" s="46">
        <v>1</v>
      </c>
      <c r="N1053" s="46"/>
      <c r="O1053" s="46"/>
      <c r="P1053" s="46"/>
      <c r="Q1053" s="46"/>
      <c r="R1053" s="46"/>
      <c r="S1053" s="46">
        <v>1</v>
      </c>
      <c r="T1053" s="46"/>
      <c r="U1053" s="46"/>
      <c r="V1053" s="46"/>
      <c r="W1053" s="46"/>
      <c r="X1053" s="46"/>
      <c r="Y1053" s="46"/>
      <c r="Z1053" s="46" t="s">
        <v>3074</v>
      </c>
      <c r="AA1053" s="61">
        <v>500</v>
      </c>
      <c r="AB1053" s="62">
        <f t="shared" si="129"/>
        <v>111111.11111111112</v>
      </c>
      <c r="AC1053" s="63">
        <f t="shared" si="130"/>
        <v>86.626666666666665</v>
      </c>
      <c r="AD1053" s="62"/>
      <c r="AE1053" s="62">
        <f t="shared" si="127"/>
        <v>111111.11111111112</v>
      </c>
      <c r="AF1053" s="64" t="s">
        <v>3075</v>
      </c>
      <c r="AG1053" s="49">
        <v>0.5</v>
      </c>
    </row>
    <row r="1054" spans="1:33" customFormat="1" ht="35.1" customHeight="1" x14ac:dyDescent="0.3">
      <c r="A1054" s="46">
        <v>1490</v>
      </c>
      <c r="B1054" s="46" t="s">
        <v>3076</v>
      </c>
      <c r="C1054" s="46" t="s">
        <v>321</v>
      </c>
      <c r="D1054" s="60">
        <v>2030</v>
      </c>
      <c r="E1054" s="60"/>
      <c r="F1054" s="46" t="s">
        <v>225</v>
      </c>
      <c r="G1054" s="46" t="s">
        <v>159</v>
      </c>
      <c r="H1054" s="46" t="s">
        <v>592</v>
      </c>
      <c r="I1054" s="46" t="s">
        <v>169</v>
      </c>
      <c r="J1054" s="46" t="s">
        <v>248</v>
      </c>
      <c r="K1054" s="46" t="s">
        <v>68</v>
      </c>
      <c r="L1054" s="46"/>
      <c r="M1054" s="46">
        <v>1</v>
      </c>
      <c r="N1054" s="46"/>
      <c r="O1054" s="46"/>
      <c r="P1054" s="46"/>
      <c r="Q1054" s="46"/>
      <c r="R1054" s="46"/>
      <c r="S1054" s="46">
        <v>1</v>
      </c>
      <c r="T1054" s="46"/>
      <c r="U1054" s="46"/>
      <c r="V1054" s="46"/>
      <c r="W1054" s="46"/>
      <c r="X1054" s="46"/>
      <c r="Y1054" s="46"/>
      <c r="Z1054" s="46" t="s">
        <v>2845</v>
      </c>
      <c r="AA1054" s="61">
        <v>1500</v>
      </c>
      <c r="AB1054" s="62">
        <f t="shared" si="129"/>
        <v>333333.33333333337</v>
      </c>
      <c r="AC1054" s="63">
        <f t="shared" si="130"/>
        <v>259.88</v>
      </c>
      <c r="AD1054" s="62"/>
      <c r="AE1054" s="62">
        <f t="shared" si="127"/>
        <v>333333.33333333337</v>
      </c>
      <c r="AF1054" s="64" t="s">
        <v>3075</v>
      </c>
      <c r="AG1054" s="49">
        <v>0.5</v>
      </c>
    </row>
    <row r="1055" spans="1:33" customFormat="1" ht="35.1" customHeight="1" x14ac:dyDescent="0.3">
      <c r="A1055" s="46">
        <v>1491</v>
      </c>
      <c r="B1055" s="46" t="s">
        <v>3077</v>
      </c>
      <c r="C1055" s="46" t="s">
        <v>65</v>
      </c>
      <c r="D1055" s="60">
        <v>2021</v>
      </c>
      <c r="E1055" s="60"/>
      <c r="F1055" s="46" t="s">
        <v>226</v>
      </c>
      <c r="G1055" s="46" t="s">
        <v>159</v>
      </c>
      <c r="H1055" s="46" t="s">
        <v>592</v>
      </c>
      <c r="I1055" s="46" t="s">
        <v>157</v>
      </c>
      <c r="J1055" s="46"/>
      <c r="K1055" s="46" t="s">
        <v>68</v>
      </c>
      <c r="L1055" s="46">
        <v>1</v>
      </c>
      <c r="M1055" s="46"/>
      <c r="N1055" s="46"/>
      <c r="O1055" s="46"/>
      <c r="P1055" s="46"/>
      <c r="Q1055" s="46">
        <v>1</v>
      </c>
      <c r="R1055" s="46"/>
      <c r="S1055" s="46"/>
      <c r="T1055" s="46"/>
      <c r="U1055" s="46"/>
      <c r="V1055" s="46"/>
      <c r="W1055" s="46"/>
      <c r="X1055" s="46"/>
      <c r="Y1055" s="46"/>
      <c r="Z1055" s="46" t="s">
        <v>3078</v>
      </c>
      <c r="AA1055" s="61">
        <f>IF(OR(G1055="ALK",G1055="PEM",G1055="SOEC",G1055="Other Electrolysis"),
AB1055*VLOOKUP(G1055,ElectrolysisConvF,3,FALSE),
"")</f>
        <v>2.0201631522241033</v>
      </c>
      <c r="AB1055" s="63">
        <f>AC1055/(H2dens*HoursInYear/10^6)</f>
        <v>448.92514493868964</v>
      </c>
      <c r="AC1055" s="62">
        <v>0.35</v>
      </c>
      <c r="AD1055" s="62"/>
      <c r="AE1055" s="62">
        <f t="shared" si="127"/>
        <v>448.92514493868964</v>
      </c>
      <c r="AF1055" s="64" t="s">
        <v>3079</v>
      </c>
      <c r="AG1055" s="49">
        <v>0.56999999999999995</v>
      </c>
    </row>
    <row r="1056" spans="1:33" customFormat="1" ht="35.1" customHeight="1" x14ac:dyDescent="0.3">
      <c r="A1056" s="54">
        <v>1492</v>
      </c>
      <c r="B1056" s="53" t="s">
        <v>3080</v>
      </c>
      <c r="C1056" s="54" t="s">
        <v>65</v>
      </c>
      <c r="D1056" s="54">
        <v>2028</v>
      </c>
      <c r="E1056" s="54"/>
      <c r="F1056" s="54" t="s">
        <v>225</v>
      </c>
      <c r="G1056" s="54" t="s">
        <v>159</v>
      </c>
      <c r="H1056" s="54" t="s">
        <v>592</v>
      </c>
      <c r="I1056" s="54" t="s">
        <v>169</v>
      </c>
      <c r="J1056" s="54" t="s">
        <v>246</v>
      </c>
      <c r="K1056" s="54" t="s">
        <v>68</v>
      </c>
      <c r="L1056" s="54"/>
      <c r="M1056" s="54"/>
      <c r="N1056" s="54"/>
      <c r="O1056" s="54"/>
      <c r="P1056" s="54"/>
      <c r="Q1056" s="54"/>
      <c r="R1056" s="54"/>
      <c r="S1056" s="54"/>
      <c r="T1056" s="54"/>
      <c r="U1056" s="54"/>
      <c r="V1056" s="54"/>
      <c r="W1056" s="54"/>
      <c r="X1056" s="54"/>
      <c r="Y1056" s="54"/>
      <c r="Z1056" s="54"/>
      <c r="AA1056" s="78"/>
      <c r="AB1056" s="79"/>
      <c r="AC1056" s="79"/>
      <c r="AD1056" s="79"/>
      <c r="AE1056" s="79">
        <f t="shared" si="127"/>
        <v>0</v>
      </c>
      <c r="AF1056" s="80"/>
      <c r="AG1056" s="49">
        <v>0.55000000000000004</v>
      </c>
    </row>
    <row r="1057" spans="1:33" customFormat="1" ht="35.1" customHeight="1" x14ac:dyDescent="0.3">
      <c r="A1057" s="46">
        <v>1493</v>
      </c>
      <c r="B1057" s="46" t="s">
        <v>3081</v>
      </c>
      <c r="C1057" s="46" t="s">
        <v>46</v>
      </c>
      <c r="D1057" s="60">
        <v>2027</v>
      </c>
      <c r="E1057" s="60"/>
      <c r="F1057" s="46" t="s">
        <v>225</v>
      </c>
      <c r="G1057" s="46" t="s">
        <v>159</v>
      </c>
      <c r="H1057" s="46" t="s">
        <v>592</v>
      </c>
      <c r="I1057" s="46" t="s">
        <v>166</v>
      </c>
      <c r="J1057" s="46" t="s">
        <v>246</v>
      </c>
      <c r="K1057" s="46" t="s">
        <v>68</v>
      </c>
      <c r="L1057" s="46">
        <v>1</v>
      </c>
      <c r="M1057" s="46"/>
      <c r="N1057" s="46"/>
      <c r="O1057" s="46"/>
      <c r="P1057" s="46"/>
      <c r="Q1057" s="46">
        <v>1</v>
      </c>
      <c r="R1057" s="46">
        <v>1</v>
      </c>
      <c r="S1057" s="46"/>
      <c r="T1057" s="46"/>
      <c r="U1057" s="46"/>
      <c r="V1057" s="46"/>
      <c r="W1057" s="46"/>
      <c r="X1057" s="46"/>
      <c r="Y1057" s="46"/>
      <c r="Z1057" s="46" t="s">
        <v>3082</v>
      </c>
      <c r="AA1057" s="61">
        <v>110</v>
      </c>
      <c r="AB1057" s="62">
        <f>IF(OR(G1057="ALK",G1057="PEM",G1057="SOEC",G1057="Other Electrolysis"),
AA1057/VLOOKUP(G1057,ElectrolysisConvF,3,FALSE),
AC1057*10^6/(H2dens*HoursInYear))</f>
        <v>24444.444444444445</v>
      </c>
      <c r="AC1057" s="62">
        <f>AB1057*H2dens*HoursInYear/10^6</f>
        <v>19.057866666666669</v>
      </c>
      <c r="AD1057" s="62"/>
      <c r="AE1057" s="62">
        <f t="shared" si="127"/>
        <v>24444.444444444445</v>
      </c>
      <c r="AF1057" s="64" t="s">
        <v>3083</v>
      </c>
      <c r="AG1057" s="49">
        <v>0.56999999999999995</v>
      </c>
    </row>
    <row r="1058" spans="1:33" customFormat="1" ht="35.1" customHeight="1" x14ac:dyDescent="0.3">
      <c r="A1058" s="46">
        <v>1494</v>
      </c>
      <c r="B1058" s="46" t="s">
        <v>3084</v>
      </c>
      <c r="C1058" s="46" t="s">
        <v>41</v>
      </c>
      <c r="D1058" s="60">
        <v>2025</v>
      </c>
      <c r="E1058" s="60"/>
      <c r="F1058" s="46" t="s">
        <v>225</v>
      </c>
      <c r="G1058" s="46" t="s">
        <v>160</v>
      </c>
      <c r="H1058" s="46"/>
      <c r="I1058" s="46"/>
      <c r="J1058" s="46"/>
      <c r="K1058" s="46" t="s">
        <v>68</v>
      </c>
      <c r="L1058" s="46">
        <v>1</v>
      </c>
      <c r="M1058" s="46"/>
      <c r="N1058" s="46"/>
      <c r="O1058" s="46"/>
      <c r="P1058" s="46"/>
      <c r="Q1058" s="46"/>
      <c r="R1058" s="46"/>
      <c r="S1058" s="46"/>
      <c r="T1058" s="46"/>
      <c r="U1058" s="46"/>
      <c r="V1058" s="46"/>
      <c r="W1058" s="46"/>
      <c r="X1058" s="46"/>
      <c r="Y1058" s="46"/>
      <c r="Z1058" s="46" t="s">
        <v>3085</v>
      </c>
      <c r="AA1058" s="61" t="str">
        <f>IF(OR(G1058="ALK",G1058="PEM",G1058="SOEC",G1058="Other Electrolysis"),
AB1058*VLOOKUP(G1058,ElectrolysisConvF,3,FALSE),
"")</f>
        <v/>
      </c>
      <c r="AB1058" s="62"/>
      <c r="AC1058" s="62"/>
      <c r="AD1058" s="62">
        <v>1500000</v>
      </c>
      <c r="AE1058" s="62">
        <f t="shared" si="127"/>
        <v>89768.218459936441</v>
      </c>
      <c r="AF1058" s="64" t="s">
        <v>3086</v>
      </c>
      <c r="AG1058" s="49">
        <v>0.9</v>
      </c>
    </row>
    <row r="1059" spans="1:33" customFormat="1" ht="35.1" customHeight="1" x14ac:dyDescent="0.3">
      <c r="A1059" s="46">
        <v>1497</v>
      </c>
      <c r="B1059" s="46" t="s">
        <v>3087</v>
      </c>
      <c r="C1059" s="46" t="s">
        <v>39</v>
      </c>
      <c r="D1059" s="60">
        <v>2025</v>
      </c>
      <c r="E1059" s="60"/>
      <c r="F1059" s="46" t="s">
        <v>225</v>
      </c>
      <c r="G1059" s="46" t="s">
        <v>159</v>
      </c>
      <c r="H1059" s="46" t="s">
        <v>592</v>
      </c>
      <c r="I1059" s="46" t="s">
        <v>169</v>
      </c>
      <c r="J1059" s="46" t="s">
        <v>69</v>
      </c>
      <c r="K1059" s="46" t="s">
        <v>68</v>
      </c>
      <c r="L1059" s="46"/>
      <c r="M1059" s="46"/>
      <c r="N1059" s="46"/>
      <c r="O1059" s="46"/>
      <c r="P1059" s="46"/>
      <c r="Q1059" s="46"/>
      <c r="R1059" s="46"/>
      <c r="S1059" s="46"/>
      <c r="T1059" s="46"/>
      <c r="U1059" s="46"/>
      <c r="V1059" s="46"/>
      <c r="W1059" s="46"/>
      <c r="X1059" s="46"/>
      <c r="Y1059" s="46"/>
      <c r="Z1059" s="46" t="s">
        <v>3088</v>
      </c>
      <c r="AA1059" s="61">
        <f>IF(OR(G1059="ALK",G1059="PEM",G1059="SOEC",G1059="Other Electrolysis"),
AB1059*VLOOKUP(G1059,ElectrolysisConvF,3,FALSE),
"")</f>
        <v>716.29213483146066</v>
      </c>
      <c r="AB1059" s="62">
        <f>AC1059/(H2dens*HoursInYear/10^6)</f>
        <v>159176.02996254683</v>
      </c>
      <c r="AC1059" s="62">
        <f>170*365/1000/H2ProjectDB4578610[[#This Row],[Column33]]</f>
        <v>124.1</v>
      </c>
      <c r="AD1059" s="62"/>
      <c r="AE1059" s="62">
        <f t="shared" si="127"/>
        <v>159176.02996254683</v>
      </c>
      <c r="AF1059" s="64" t="s">
        <v>3089</v>
      </c>
      <c r="AG1059" s="49">
        <v>0.5</v>
      </c>
    </row>
    <row r="1060" spans="1:33" customFormat="1" ht="35.1" customHeight="1" x14ac:dyDescent="0.3">
      <c r="A1060" s="46">
        <v>1498</v>
      </c>
      <c r="B1060" s="46" t="s">
        <v>3090</v>
      </c>
      <c r="C1060" s="46" t="s">
        <v>318</v>
      </c>
      <c r="D1060" s="60">
        <v>2026</v>
      </c>
      <c r="E1060" s="60"/>
      <c r="F1060" s="46" t="s">
        <v>225</v>
      </c>
      <c r="G1060" s="46" t="s">
        <v>3</v>
      </c>
      <c r="H1060" s="46"/>
      <c r="I1060" s="46" t="s">
        <v>169</v>
      </c>
      <c r="J1060" s="46" t="s">
        <v>69</v>
      </c>
      <c r="K1060" s="46" t="s">
        <v>141</v>
      </c>
      <c r="L1060" s="46"/>
      <c r="M1060" s="46">
        <v>1</v>
      </c>
      <c r="N1060" s="46"/>
      <c r="O1060" s="46"/>
      <c r="P1060" s="46"/>
      <c r="Q1060" s="46"/>
      <c r="R1060" s="46"/>
      <c r="S1060" s="46"/>
      <c r="T1060" s="46"/>
      <c r="U1060" s="46"/>
      <c r="V1060" s="46"/>
      <c r="W1060" s="46"/>
      <c r="X1060" s="46"/>
      <c r="Y1060" s="46"/>
      <c r="Z1060" s="46" t="s">
        <v>3091</v>
      </c>
      <c r="AA1060" s="61">
        <v>40</v>
      </c>
      <c r="AB1060" s="62">
        <f>IF(OR(G1060="ALK",G1060="PEM",G1060="SOEC",G1060="Other Electrolysis"),
AA1060/VLOOKUP(G1060,ElectrolysisConvF,3,FALSE),
AC1060*10^6/(H2dens*HoursInYear))</f>
        <v>8695.652173913044</v>
      </c>
      <c r="AC1060" s="63">
        <f>AB1060*H2dens*HoursInYear/10^6</f>
        <v>6.7794782608695652</v>
      </c>
      <c r="AD1060" s="62"/>
      <c r="AE1060" s="62">
        <f t="shared" si="127"/>
        <v>8695.652173913044</v>
      </c>
      <c r="AF1060" s="64" t="s">
        <v>3092</v>
      </c>
      <c r="AG1060" s="49">
        <v>0.5</v>
      </c>
    </row>
    <row r="1061" spans="1:33" customFormat="1" ht="35.1" customHeight="1" x14ac:dyDescent="0.3">
      <c r="A1061" s="46">
        <v>1499</v>
      </c>
      <c r="B1061" s="46" t="s">
        <v>3093</v>
      </c>
      <c r="C1061" s="46" t="s">
        <v>35</v>
      </c>
      <c r="D1061" s="60">
        <v>2027</v>
      </c>
      <c r="E1061" s="60"/>
      <c r="F1061" s="46" t="s">
        <v>225</v>
      </c>
      <c r="G1061" s="46" t="s">
        <v>159</v>
      </c>
      <c r="H1061" s="46" t="s">
        <v>592</v>
      </c>
      <c r="I1061" s="46" t="s">
        <v>169</v>
      </c>
      <c r="J1061" s="46" t="s">
        <v>69</v>
      </c>
      <c r="K1061" s="46" t="s">
        <v>141</v>
      </c>
      <c r="L1061" s="46"/>
      <c r="M1061" s="46">
        <v>1</v>
      </c>
      <c r="N1061" s="46"/>
      <c r="O1061" s="46"/>
      <c r="P1061" s="46"/>
      <c r="Q1061" s="46">
        <v>1</v>
      </c>
      <c r="R1061" s="46"/>
      <c r="S1061" s="46"/>
      <c r="T1061" s="46"/>
      <c r="U1061" s="46"/>
      <c r="V1061" s="46"/>
      <c r="W1061" s="46"/>
      <c r="X1061" s="46"/>
      <c r="Y1061" s="46"/>
      <c r="Z1061" s="46" t="s">
        <v>1847</v>
      </c>
      <c r="AA1061" s="61">
        <v>300</v>
      </c>
      <c r="AB1061" s="62">
        <f>IF(OR(G1061="ALK",G1061="PEM",G1061="SOEC",G1061="Other Electrolysis"),
AA1061/VLOOKUP(G1061,ElectrolysisConvF,3,FALSE),
AC1061*10^6/(H2dens*HoursInYear))</f>
        <v>66666.666666666672</v>
      </c>
      <c r="AC1061" s="63">
        <f>AB1061*H2dens*HoursInYear/10^6</f>
        <v>51.975999999999999</v>
      </c>
      <c r="AD1061" s="62"/>
      <c r="AE1061" s="62">
        <f t="shared" si="127"/>
        <v>66666.666666666672</v>
      </c>
      <c r="AF1061" s="64" t="s">
        <v>3094</v>
      </c>
      <c r="AG1061" s="49">
        <v>0.5</v>
      </c>
    </row>
    <row r="1062" spans="1:33" customFormat="1" ht="35.1" customHeight="1" x14ac:dyDescent="0.3">
      <c r="A1062" s="46">
        <v>1500</v>
      </c>
      <c r="B1062" s="46" t="s">
        <v>3095</v>
      </c>
      <c r="C1062" s="46" t="s">
        <v>313</v>
      </c>
      <c r="D1062" s="60">
        <v>2025</v>
      </c>
      <c r="E1062" s="60"/>
      <c r="F1062" s="46" t="s">
        <v>225</v>
      </c>
      <c r="G1062" s="46" t="s">
        <v>159</v>
      </c>
      <c r="H1062" s="46" t="s">
        <v>592</v>
      </c>
      <c r="I1062" s="46" t="s">
        <v>169</v>
      </c>
      <c r="J1062" s="46" t="s">
        <v>245</v>
      </c>
      <c r="K1062" s="46" t="s">
        <v>68</v>
      </c>
      <c r="L1062" s="46"/>
      <c r="M1062" s="46"/>
      <c r="N1062" s="46"/>
      <c r="O1062" s="46"/>
      <c r="P1062" s="46"/>
      <c r="Q1062" s="46">
        <v>1</v>
      </c>
      <c r="R1062" s="46"/>
      <c r="S1062" s="46"/>
      <c r="T1062" s="46"/>
      <c r="U1062" s="46"/>
      <c r="V1062" s="46"/>
      <c r="W1062" s="46"/>
      <c r="X1062" s="46"/>
      <c r="Y1062" s="46"/>
      <c r="Z1062" s="46"/>
      <c r="AA1062" s="61"/>
      <c r="AB1062" s="62"/>
      <c r="AC1062" s="62"/>
      <c r="AD1062" s="62"/>
      <c r="AE1062" s="62">
        <f t="shared" si="127"/>
        <v>0</v>
      </c>
      <c r="AF1062" s="64" t="s">
        <v>3096</v>
      </c>
      <c r="AG1062" s="49">
        <v>0.4</v>
      </c>
    </row>
    <row r="1063" spans="1:33" customFormat="1" ht="35.1" customHeight="1" x14ac:dyDescent="0.3">
      <c r="A1063" s="46">
        <v>1501</v>
      </c>
      <c r="B1063" s="46" t="s">
        <v>3097</v>
      </c>
      <c r="C1063" s="46" t="s">
        <v>321</v>
      </c>
      <c r="D1063" s="60">
        <v>2024</v>
      </c>
      <c r="E1063" s="60"/>
      <c r="F1063" s="46" t="s">
        <v>675</v>
      </c>
      <c r="G1063" s="46" t="s">
        <v>159</v>
      </c>
      <c r="H1063" s="46" t="s">
        <v>592</v>
      </c>
      <c r="I1063" s="46" t="s">
        <v>169</v>
      </c>
      <c r="J1063" s="46" t="s">
        <v>69</v>
      </c>
      <c r="K1063" s="46" t="s">
        <v>68</v>
      </c>
      <c r="L1063" s="46"/>
      <c r="M1063" s="46"/>
      <c r="N1063" s="46"/>
      <c r="O1063" s="46"/>
      <c r="P1063" s="46"/>
      <c r="Q1063" s="46">
        <v>1</v>
      </c>
      <c r="R1063" s="46"/>
      <c r="S1063" s="46"/>
      <c r="T1063" s="46"/>
      <c r="U1063" s="46"/>
      <c r="V1063" s="46"/>
      <c r="W1063" s="46"/>
      <c r="X1063" s="46"/>
      <c r="Y1063" s="46"/>
      <c r="Z1063" s="46" t="s">
        <v>3098</v>
      </c>
      <c r="AA1063" s="61">
        <v>10</v>
      </c>
      <c r="AB1063" s="62">
        <f>AA1063/0.0045</f>
        <v>2222.2222222222222</v>
      </c>
      <c r="AC1063" s="63">
        <f>AB1063*H2dens*HoursInYear/10^6</f>
        <v>1.7325333333333333</v>
      </c>
      <c r="AD1063" s="62"/>
      <c r="AE1063" s="62">
        <f t="shared" si="127"/>
        <v>2222.2222222222222</v>
      </c>
      <c r="AF1063" s="64" t="s">
        <v>3099</v>
      </c>
      <c r="AG1063" s="49">
        <v>0.5</v>
      </c>
    </row>
    <row r="1064" spans="1:33" customFormat="1" ht="35.1" customHeight="1" x14ac:dyDescent="0.3">
      <c r="A1064" s="46">
        <v>1502</v>
      </c>
      <c r="B1064" s="46" t="s">
        <v>3100</v>
      </c>
      <c r="C1064" s="46" t="s">
        <v>39</v>
      </c>
      <c r="D1064" s="60">
        <v>2024</v>
      </c>
      <c r="E1064" s="60"/>
      <c r="F1064" s="46" t="s">
        <v>675</v>
      </c>
      <c r="G1064" s="46" t="s">
        <v>159</v>
      </c>
      <c r="H1064" s="46" t="s">
        <v>592</v>
      </c>
      <c r="I1064" s="46" t="s">
        <v>169</v>
      </c>
      <c r="J1064" s="46" t="s">
        <v>69</v>
      </c>
      <c r="K1064" s="46" t="s">
        <v>68</v>
      </c>
      <c r="L1064" s="46"/>
      <c r="M1064" s="46"/>
      <c r="N1064" s="46"/>
      <c r="O1064" s="46"/>
      <c r="P1064" s="46"/>
      <c r="Q1064" s="46"/>
      <c r="R1064" s="46"/>
      <c r="S1064" s="46"/>
      <c r="T1064" s="46"/>
      <c r="U1064" s="46"/>
      <c r="V1064" s="46"/>
      <c r="W1064" s="46"/>
      <c r="X1064" s="46"/>
      <c r="Y1064" s="46"/>
      <c r="Z1064" s="46"/>
      <c r="AA1064" s="61"/>
      <c r="AB1064" s="62"/>
      <c r="AC1064" s="62"/>
      <c r="AD1064" s="62"/>
      <c r="AE1064" s="62">
        <f t="shared" si="127"/>
        <v>0</v>
      </c>
      <c r="AF1064" s="64" t="s">
        <v>3101</v>
      </c>
      <c r="AG1064" s="49">
        <v>0.5</v>
      </c>
    </row>
    <row r="1065" spans="1:33" customFormat="1" ht="35.1" customHeight="1" x14ac:dyDescent="0.3">
      <c r="A1065" s="46">
        <v>1503</v>
      </c>
      <c r="B1065" s="46" t="s">
        <v>3102</v>
      </c>
      <c r="C1065" s="46" t="s">
        <v>49</v>
      </c>
      <c r="D1065" s="60">
        <v>2024</v>
      </c>
      <c r="E1065" s="60"/>
      <c r="F1065" s="46" t="s">
        <v>225</v>
      </c>
      <c r="G1065" s="46" t="s">
        <v>159</v>
      </c>
      <c r="H1065" s="46" t="s">
        <v>592</v>
      </c>
      <c r="I1065" s="46" t="s">
        <v>169</v>
      </c>
      <c r="J1065" s="46" t="s">
        <v>248</v>
      </c>
      <c r="K1065" s="46" t="s">
        <v>140</v>
      </c>
      <c r="L1065" s="46"/>
      <c r="M1065" s="46"/>
      <c r="N1065" s="46">
        <v>1</v>
      </c>
      <c r="O1065" s="46"/>
      <c r="P1065" s="46"/>
      <c r="Q1065" s="46"/>
      <c r="R1065" s="46"/>
      <c r="S1065" s="46"/>
      <c r="T1065" s="46"/>
      <c r="U1065" s="46"/>
      <c r="V1065" s="46"/>
      <c r="W1065" s="46"/>
      <c r="X1065" s="46"/>
      <c r="Y1065" s="46"/>
      <c r="Z1065" s="46" t="s">
        <v>3103</v>
      </c>
      <c r="AA1065" s="61">
        <v>120</v>
      </c>
      <c r="AB1065" s="62">
        <f>IF(OR(G1065="ALK",G1065="PEM",G1065="SOEC",G1065="Other Electrolysis"),
AA1065/VLOOKUP(G1065,ElectrolysisConvF,3,FALSE),
AC1065*10^6/(H2dens*HoursInYear))</f>
        <v>26666.666666666668</v>
      </c>
      <c r="AC1065" s="63">
        <f>AB1065*H2dens*HoursInYear/10^6</f>
        <v>20.790400000000002</v>
      </c>
      <c r="AD1065" s="62"/>
      <c r="AE1065" s="62">
        <f t="shared" si="127"/>
        <v>26666.666666666668</v>
      </c>
      <c r="AF1065" s="64" t="s">
        <v>3104</v>
      </c>
      <c r="AG1065" s="49">
        <v>0.5</v>
      </c>
    </row>
    <row r="1066" spans="1:33" customFormat="1" ht="35.1" customHeight="1" x14ac:dyDescent="0.3">
      <c r="A1066" s="46">
        <v>1504</v>
      </c>
      <c r="B1066" s="46" t="s">
        <v>3105</v>
      </c>
      <c r="C1066" s="46" t="s">
        <v>49</v>
      </c>
      <c r="D1066" s="60"/>
      <c r="E1066" s="60"/>
      <c r="F1066" s="46" t="s">
        <v>225</v>
      </c>
      <c r="G1066" s="46" t="s">
        <v>159</v>
      </c>
      <c r="H1066" s="46" t="s">
        <v>592</v>
      </c>
      <c r="I1066" s="46" t="s">
        <v>169</v>
      </c>
      <c r="J1066" s="46" t="s">
        <v>248</v>
      </c>
      <c r="K1066" s="46" t="s">
        <v>68</v>
      </c>
      <c r="L1066" s="46"/>
      <c r="M1066" s="46"/>
      <c r="N1066" s="46"/>
      <c r="O1066" s="46"/>
      <c r="P1066" s="46"/>
      <c r="Q1066" s="46">
        <v>1</v>
      </c>
      <c r="R1066" s="46"/>
      <c r="S1066" s="46"/>
      <c r="T1066" s="46"/>
      <c r="U1066" s="46"/>
      <c r="V1066" s="46"/>
      <c r="W1066" s="46"/>
      <c r="X1066" s="46"/>
      <c r="Y1066" s="46"/>
      <c r="Z1066" s="46" t="s">
        <v>1274</v>
      </c>
      <c r="AA1066" s="61">
        <v>50</v>
      </c>
      <c r="AB1066" s="62">
        <f>IF(OR(G1066="ALK",G1066="PEM",G1066="SOEC",G1066="Other Electrolysis"),
AA1066/VLOOKUP(G1066,ElectrolysisConvF,3,FALSE),
AC1066*10^6/(H2dens*HoursInYear))</f>
        <v>11111.111111111111</v>
      </c>
      <c r="AC1066" s="63">
        <f>AB1066*H2dens*HoursInYear/10^6</f>
        <v>8.6626666666666665</v>
      </c>
      <c r="AD1066" s="62"/>
      <c r="AE1066" s="62">
        <f t="shared" si="127"/>
        <v>11111.111111111111</v>
      </c>
      <c r="AF1066" s="64" t="s">
        <v>3104</v>
      </c>
      <c r="AG1066" s="49">
        <v>0.5</v>
      </c>
    </row>
    <row r="1067" spans="1:33" customFormat="1" ht="35.1" customHeight="1" x14ac:dyDescent="0.3">
      <c r="A1067" s="46">
        <v>1505</v>
      </c>
      <c r="B1067" s="46" t="s">
        <v>3106</v>
      </c>
      <c r="C1067" s="46" t="s">
        <v>49</v>
      </c>
      <c r="D1067" s="60">
        <v>2027</v>
      </c>
      <c r="E1067" s="60"/>
      <c r="F1067" s="46" t="s">
        <v>591</v>
      </c>
      <c r="G1067" s="46" t="s">
        <v>159</v>
      </c>
      <c r="H1067" s="46" t="s">
        <v>592</v>
      </c>
      <c r="I1067" s="46" t="s">
        <v>169</v>
      </c>
      <c r="J1067" s="46" t="s">
        <v>248</v>
      </c>
      <c r="K1067" s="46" t="s">
        <v>140</v>
      </c>
      <c r="L1067" s="46"/>
      <c r="M1067" s="46"/>
      <c r="N1067" s="46">
        <v>1</v>
      </c>
      <c r="O1067" s="46"/>
      <c r="P1067" s="46"/>
      <c r="Q1067" s="46"/>
      <c r="R1067" s="46"/>
      <c r="S1067" s="46"/>
      <c r="T1067" s="46"/>
      <c r="U1067" s="46"/>
      <c r="V1067" s="46"/>
      <c r="W1067" s="46"/>
      <c r="X1067" s="46"/>
      <c r="Y1067" s="46"/>
      <c r="Z1067" s="46" t="s">
        <v>1260</v>
      </c>
      <c r="AA1067" s="61">
        <f>250-24</f>
        <v>226</v>
      </c>
      <c r="AB1067" s="62">
        <f>AA1067/0.0045</f>
        <v>50222.222222222226</v>
      </c>
      <c r="AC1067" s="63">
        <f>AB1067*H2dens*HoursInYear/10^6</f>
        <v>39.155253333333334</v>
      </c>
      <c r="AD1067" s="62"/>
      <c r="AE1067" s="62">
        <f>AB1067</f>
        <v>50222.222222222226</v>
      </c>
      <c r="AF1067" s="64" t="s">
        <v>1851</v>
      </c>
      <c r="AG1067" s="49">
        <v>0.5</v>
      </c>
    </row>
    <row r="1068" spans="1:33" customFormat="1" ht="35.1" customHeight="1" x14ac:dyDescent="0.3">
      <c r="A1068" s="46">
        <v>1506</v>
      </c>
      <c r="B1068" s="46" t="s">
        <v>3107</v>
      </c>
      <c r="C1068" s="46" t="s">
        <v>49</v>
      </c>
      <c r="D1068" s="60">
        <v>2023</v>
      </c>
      <c r="E1068" s="60"/>
      <c r="F1068" s="46" t="s">
        <v>675</v>
      </c>
      <c r="G1068" s="46" t="s">
        <v>159</v>
      </c>
      <c r="H1068" s="46" t="s">
        <v>592</v>
      </c>
      <c r="I1068" s="46" t="s">
        <v>169</v>
      </c>
      <c r="J1068" s="46" t="s">
        <v>246</v>
      </c>
      <c r="K1068" s="46" t="s">
        <v>68</v>
      </c>
      <c r="L1068" s="46"/>
      <c r="M1068" s="46"/>
      <c r="N1068" s="46"/>
      <c r="O1068" s="46"/>
      <c r="P1068" s="46"/>
      <c r="Q1068" s="46"/>
      <c r="R1068" s="46"/>
      <c r="S1068" s="46"/>
      <c r="T1068" s="46"/>
      <c r="U1068" s="46"/>
      <c r="V1068" s="46"/>
      <c r="W1068" s="46"/>
      <c r="X1068" s="46"/>
      <c r="Y1068" s="46"/>
      <c r="Z1068" s="46" t="s">
        <v>1850</v>
      </c>
      <c r="AA1068" s="61">
        <v>3</v>
      </c>
      <c r="AB1068" s="62">
        <f t="shared" ref="AB1068:AB1073" si="131">IF(OR(G1068="ALK",G1068="PEM",G1068="SOEC",G1068="Other Electrolysis"),
AA1068/VLOOKUP(G1068,ElectrolysisConvF,3,FALSE),
AC1068*10^6/(H2dens*HoursInYear))</f>
        <v>666.66666666666674</v>
      </c>
      <c r="AC1068" s="63">
        <f t="shared" ref="AC1068:AC1073" si="132">AB1068*H2dens*HoursInYear/10^6</f>
        <v>0.51976</v>
      </c>
      <c r="AD1068" s="62"/>
      <c r="AE1068" s="62">
        <f t="shared" ref="AE1068:AE1122" si="133">IF(AND(G1068&lt;&gt;"NG w CCUS",G1068&lt;&gt;"Oil w CCUS",G1068&lt;&gt;"Coal w CCUS"),AB1068,AD1068*10^3/(HoursInYear*IF(G1068="NG w CCUS",0.9105,1.9075)))</f>
        <v>666.66666666666674</v>
      </c>
      <c r="AF1068" s="64" t="s">
        <v>3108</v>
      </c>
      <c r="AG1068" s="49">
        <v>0.55000000000000004</v>
      </c>
    </row>
    <row r="1069" spans="1:33" customFormat="1" ht="35.1" customHeight="1" x14ac:dyDescent="0.3">
      <c r="A1069" s="46">
        <v>1507</v>
      </c>
      <c r="B1069" s="46" t="s">
        <v>3109</v>
      </c>
      <c r="C1069" s="46" t="s">
        <v>49</v>
      </c>
      <c r="D1069" s="60">
        <v>2023</v>
      </c>
      <c r="E1069" s="60"/>
      <c r="F1069" s="46" t="s">
        <v>675</v>
      </c>
      <c r="G1069" s="46" t="s">
        <v>159</v>
      </c>
      <c r="H1069" s="46" t="s">
        <v>592</v>
      </c>
      <c r="I1069" s="46" t="s">
        <v>169</v>
      </c>
      <c r="J1069" s="46" t="s">
        <v>246</v>
      </c>
      <c r="K1069" s="46" t="s">
        <v>68</v>
      </c>
      <c r="L1069" s="46"/>
      <c r="M1069" s="46"/>
      <c r="N1069" s="46"/>
      <c r="O1069" s="46"/>
      <c r="P1069" s="46"/>
      <c r="Q1069" s="46"/>
      <c r="R1069" s="46"/>
      <c r="S1069" s="46"/>
      <c r="T1069" s="46"/>
      <c r="U1069" s="46"/>
      <c r="V1069" s="46"/>
      <c r="W1069" s="46"/>
      <c r="X1069" s="46"/>
      <c r="Y1069" s="46"/>
      <c r="Z1069" s="46" t="s">
        <v>3023</v>
      </c>
      <c r="AA1069" s="61">
        <v>9</v>
      </c>
      <c r="AB1069" s="62">
        <f t="shared" si="131"/>
        <v>2000.0000000000002</v>
      </c>
      <c r="AC1069" s="63">
        <f t="shared" si="132"/>
        <v>1.55928</v>
      </c>
      <c r="AD1069" s="62"/>
      <c r="AE1069" s="62">
        <f t="shared" si="133"/>
        <v>2000.0000000000002</v>
      </c>
      <c r="AF1069" s="64" t="s">
        <v>3108</v>
      </c>
      <c r="AG1069" s="49">
        <v>0.55000000000000004</v>
      </c>
    </row>
    <row r="1070" spans="1:33" customFormat="1" ht="35.1" customHeight="1" x14ac:dyDescent="0.3">
      <c r="A1070" s="46">
        <v>1508</v>
      </c>
      <c r="B1070" s="46" t="s">
        <v>3110</v>
      </c>
      <c r="C1070" s="46" t="s">
        <v>49</v>
      </c>
      <c r="D1070" s="60"/>
      <c r="E1070" s="60"/>
      <c r="F1070" s="46" t="s">
        <v>591</v>
      </c>
      <c r="G1070" s="46" t="s">
        <v>159</v>
      </c>
      <c r="H1070" s="46" t="s">
        <v>592</v>
      </c>
      <c r="I1070" s="46" t="s">
        <v>169</v>
      </c>
      <c r="J1070" s="46" t="s">
        <v>248</v>
      </c>
      <c r="K1070" s="46" t="s">
        <v>68</v>
      </c>
      <c r="L1070" s="46"/>
      <c r="M1070" s="46"/>
      <c r="N1070" s="46"/>
      <c r="O1070" s="46"/>
      <c r="P1070" s="46"/>
      <c r="Q1070" s="46"/>
      <c r="R1070" s="46"/>
      <c r="S1070" s="46"/>
      <c r="T1070" s="46"/>
      <c r="U1070" s="46"/>
      <c r="V1070" s="46"/>
      <c r="W1070" s="46"/>
      <c r="X1070" s="46"/>
      <c r="Y1070" s="46"/>
      <c r="Z1070" s="46" t="s">
        <v>3111</v>
      </c>
      <c r="AA1070" s="61">
        <v>43</v>
      </c>
      <c r="AB1070" s="62">
        <f t="shared" si="131"/>
        <v>9555.5555555555566</v>
      </c>
      <c r="AC1070" s="63">
        <f t="shared" si="132"/>
        <v>7.4498933333333328</v>
      </c>
      <c r="AD1070" s="62"/>
      <c r="AE1070" s="62">
        <f t="shared" si="133"/>
        <v>9555.5555555555566</v>
      </c>
      <c r="AF1070" s="64" t="s">
        <v>3104</v>
      </c>
      <c r="AG1070" s="49">
        <v>0.5</v>
      </c>
    </row>
    <row r="1071" spans="1:33" customFormat="1" ht="35.1" customHeight="1" x14ac:dyDescent="0.3">
      <c r="A1071" s="46">
        <v>1509</v>
      </c>
      <c r="B1071" s="46" t="s">
        <v>3112</v>
      </c>
      <c r="C1071" s="46" t="s">
        <v>49</v>
      </c>
      <c r="D1071" s="60"/>
      <c r="E1071" s="60"/>
      <c r="F1071" s="46" t="s">
        <v>591</v>
      </c>
      <c r="G1071" s="46" t="s">
        <v>159</v>
      </c>
      <c r="H1071" s="46" t="s">
        <v>592</v>
      </c>
      <c r="I1071" s="46" t="s">
        <v>169</v>
      </c>
      <c r="J1071" s="46" t="s">
        <v>248</v>
      </c>
      <c r="K1071" s="46" t="s">
        <v>68</v>
      </c>
      <c r="L1071" s="46"/>
      <c r="M1071" s="46"/>
      <c r="N1071" s="46"/>
      <c r="O1071" s="46"/>
      <c r="P1071" s="46"/>
      <c r="Q1071" s="46"/>
      <c r="R1071" s="46"/>
      <c r="S1071" s="46"/>
      <c r="T1071" s="46"/>
      <c r="U1071" s="46"/>
      <c r="V1071" s="46"/>
      <c r="W1071" s="46"/>
      <c r="X1071" s="46"/>
      <c r="Y1071" s="46"/>
      <c r="Z1071" s="46" t="s">
        <v>3111</v>
      </c>
      <c r="AA1071" s="61">
        <v>43</v>
      </c>
      <c r="AB1071" s="62">
        <f t="shared" si="131"/>
        <v>9555.5555555555566</v>
      </c>
      <c r="AC1071" s="63">
        <f t="shared" si="132"/>
        <v>7.4498933333333328</v>
      </c>
      <c r="AD1071" s="62"/>
      <c r="AE1071" s="62">
        <f t="shared" si="133"/>
        <v>9555.5555555555566</v>
      </c>
      <c r="AF1071" s="64" t="s">
        <v>3104</v>
      </c>
      <c r="AG1071" s="49">
        <v>0.5</v>
      </c>
    </row>
    <row r="1072" spans="1:33" customFormat="1" ht="35.1" customHeight="1" x14ac:dyDescent="0.3">
      <c r="A1072" s="46">
        <v>1510</v>
      </c>
      <c r="B1072" s="46" t="s">
        <v>3113</v>
      </c>
      <c r="C1072" s="46" t="s">
        <v>49</v>
      </c>
      <c r="D1072" s="60">
        <v>2025</v>
      </c>
      <c r="E1072" s="60"/>
      <c r="F1072" s="46" t="s">
        <v>225</v>
      </c>
      <c r="G1072" s="46" t="s">
        <v>159</v>
      </c>
      <c r="H1072" s="46" t="s">
        <v>592</v>
      </c>
      <c r="I1072" s="46" t="s">
        <v>169</v>
      </c>
      <c r="J1072" s="46" t="s">
        <v>248</v>
      </c>
      <c r="K1072" s="46" t="s">
        <v>68</v>
      </c>
      <c r="L1072" s="46"/>
      <c r="M1072" s="46"/>
      <c r="N1072" s="46"/>
      <c r="O1072" s="46"/>
      <c r="P1072" s="46"/>
      <c r="Q1072" s="46"/>
      <c r="R1072" s="46"/>
      <c r="S1072" s="46"/>
      <c r="T1072" s="46"/>
      <c r="U1072" s="46"/>
      <c r="V1072" s="46"/>
      <c r="W1072" s="46"/>
      <c r="X1072" s="46"/>
      <c r="Y1072" s="46"/>
      <c r="Z1072" s="46" t="s">
        <v>1257</v>
      </c>
      <c r="AA1072" s="61">
        <v>100</v>
      </c>
      <c r="AB1072" s="62">
        <f t="shared" si="131"/>
        <v>22222.222222222223</v>
      </c>
      <c r="AC1072" s="63">
        <f t="shared" si="132"/>
        <v>17.325333333333333</v>
      </c>
      <c r="AD1072" s="62"/>
      <c r="AE1072" s="62">
        <f t="shared" si="133"/>
        <v>22222.222222222223</v>
      </c>
      <c r="AF1072" s="64" t="s">
        <v>3104</v>
      </c>
      <c r="AG1072" s="49">
        <v>0.5</v>
      </c>
    </row>
    <row r="1073" spans="1:33" customFormat="1" ht="35.1" customHeight="1" x14ac:dyDescent="0.3">
      <c r="A1073" s="46">
        <v>1511</v>
      </c>
      <c r="B1073" s="46" t="s">
        <v>3114</v>
      </c>
      <c r="C1073" s="46" t="s">
        <v>49</v>
      </c>
      <c r="D1073" s="60">
        <v>2023</v>
      </c>
      <c r="E1073" s="60"/>
      <c r="F1073" s="46" t="s">
        <v>675</v>
      </c>
      <c r="G1073" s="46" t="s">
        <v>1</v>
      </c>
      <c r="H1073" s="46"/>
      <c r="I1073" s="46" t="s">
        <v>169</v>
      </c>
      <c r="J1073" s="46" t="s">
        <v>244</v>
      </c>
      <c r="K1073" s="46" t="s">
        <v>140</v>
      </c>
      <c r="L1073" s="46"/>
      <c r="M1073" s="46"/>
      <c r="N1073" s="46">
        <v>1</v>
      </c>
      <c r="O1073" s="46"/>
      <c r="P1073" s="46"/>
      <c r="Q1073" s="46"/>
      <c r="R1073" s="46"/>
      <c r="S1073" s="46"/>
      <c r="T1073" s="46"/>
      <c r="U1073" s="46"/>
      <c r="V1073" s="46"/>
      <c r="W1073" s="46">
        <v>1</v>
      </c>
      <c r="X1073" s="46"/>
      <c r="Y1073" s="46"/>
      <c r="Z1073" s="46" t="s">
        <v>3115</v>
      </c>
      <c r="AA1073" s="61">
        <v>50</v>
      </c>
      <c r="AB1073" s="62">
        <f t="shared" si="131"/>
        <v>9615.3846153846152</v>
      </c>
      <c r="AC1073" s="63">
        <f t="shared" si="132"/>
        <v>7.4965384615384609</v>
      </c>
      <c r="AD1073" s="62"/>
      <c r="AE1073" s="62">
        <f t="shared" si="133"/>
        <v>9615.3846153846152</v>
      </c>
      <c r="AF1073" s="64" t="s">
        <v>3116</v>
      </c>
      <c r="AG1073" s="49">
        <v>0.3</v>
      </c>
    </row>
    <row r="1074" spans="1:33" customFormat="1" ht="35.1" customHeight="1" x14ac:dyDescent="0.3">
      <c r="A1074" s="46">
        <v>1512</v>
      </c>
      <c r="B1074" s="46" t="s">
        <v>3117</v>
      </c>
      <c r="C1074" s="46" t="s">
        <v>49</v>
      </c>
      <c r="D1074" s="60">
        <v>2025</v>
      </c>
      <c r="E1074" s="60"/>
      <c r="F1074" s="46" t="s">
        <v>225</v>
      </c>
      <c r="G1074" s="46" t="s">
        <v>159</v>
      </c>
      <c r="H1074" s="46" t="s">
        <v>592</v>
      </c>
      <c r="I1074" s="46" t="s">
        <v>169</v>
      </c>
      <c r="J1074" s="46" t="s">
        <v>248</v>
      </c>
      <c r="K1074" s="46" t="s">
        <v>140</v>
      </c>
      <c r="L1074" s="46"/>
      <c r="M1074" s="46"/>
      <c r="N1074" s="46">
        <v>1</v>
      </c>
      <c r="O1074" s="46"/>
      <c r="P1074" s="46"/>
      <c r="Q1074" s="46"/>
      <c r="R1074" s="46"/>
      <c r="S1074" s="46"/>
      <c r="T1074" s="46"/>
      <c r="U1074" s="46"/>
      <c r="V1074" s="46"/>
      <c r="W1074" s="46"/>
      <c r="X1074" s="46"/>
      <c r="Y1074" s="46"/>
      <c r="Z1074" s="46" t="s">
        <v>3118</v>
      </c>
      <c r="AA1074" s="61">
        <f>IF(OR(G1074="ALK",G1074="PEM",G1074="SOEC",G1074="Other Electrolysis"),
AB1074*VLOOKUP(G1074,ElectrolysisConvF,3,FALSE),
"")</f>
        <v>220.86386024318918</v>
      </c>
      <c r="AB1074" s="63">
        <f>AC1074/(H2dens*HoursInYear/10^6)</f>
        <v>49080.85783181982</v>
      </c>
      <c r="AC1074" s="63">
        <f>0.191327*100/H2ProjectDB4578610[[#This Row],[Column33]]</f>
        <v>38.2654</v>
      </c>
      <c r="AD1074" s="62"/>
      <c r="AE1074" s="62">
        <f t="shared" si="133"/>
        <v>49080.85783181982</v>
      </c>
      <c r="AF1074" s="64" t="s">
        <v>3104</v>
      </c>
      <c r="AG1074" s="49">
        <v>0.5</v>
      </c>
    </row>
    <row r="1075" spans="1:33" customFormat="1" ht="35.1" customHeight="1" x14ac:dyDescent="0.3">
      <c r="A1075" s="46">
        <v>1513</v>
      </c>
      <c r="B1075" s="46" t="s">
        <v>3119</v>
      </c>
      <c r="C1075" s="46" t="s">
        <v>49</v>
      </c>
      <c r="D1075" s="60">
        <v>2028</v>
      </c>
      <c r="E1075" s="60"/>
      <c r="F1075" s="46" t="s">
        <v>225</v>
      </c>
      <c r="G1075" s="46" t="s">
        <v>159</v>
      </c>
      <c r="H1075" s="46" t="s">
        <v>592</v>
      </c>
      <c r="I1075" s="46" t="s">
        <v>169</v>
      </c>
      <c r="J1075" s="46" t="s">
        <v>248</v>
      </c>
      <c r="K1075" s="46" t="s">
        <v>140</v>
      </c>
      <c r="L1075" s="46"/>
      <c r="M1075" s="46"/>
      <c r="N1075" s="46">
        <v>1</v>
      </c>
      <c r="O1075" s="46"/>
      <c r="P1075" s="46"/>
      <c r="Q1075" s="46"/>
      <c r="R1075" s="46"/>
      <c r="S1075" s="46"/>
      <c r="T1075" s="46"/>
      <c r="U1075" s="46"/>
      <c r="V1075" s="46"/>
      <c r="W1075" s="46"/>
      <c r="X1075" s="46"/>
      <c r="Y1075" s="46"/>
      <c r="Z1075" s="46" t="s">
        <v>3120</v>
      </c>
      <c r="AA1075" s="61">
        <v>350</v>
      </c>
      <c r="AB1075" s="62">
        <f>IF(OR(G1075="ALK",G1075="PEM",G1075="SOEC",G1075="Other Electrolysis"),
AA1075/VLOOKUP(G1075,ElectrolysisConvF,3,FALSE),
AC1075*10^6/(H2dens*HoursInYear))</f>
        <v>77777.777777777781</v>
      </c>
      <c r="AC1075" s="63">
        <f>AB1075*H2dens*HoursInYear/10^6</f>
        <v>60.638666666666673</v>
      </c>
      <c r="AD1075" s="62"/>
      <c r="AE1075" s="62">
        <f t="shared" si="133"/>
        <v>77777.777777777781</v>
      </c>
      <c r="AF1075" s="64" t="s">
        <v>3104</v>
      </c>
      <c r="AG1075" s="49">
        <v>0.5</v>
      </c>
    </row>
    <row r="1076" spans="1:33" customFormat="1" ht="35.1" customHeight="1" x14ac:dyDescent="0.3">
      <c r="A1076" s="46">
        <v>1514</v>
      </c>
      <c r="B1076" s="46" t="s">
        <v>3121</v>
      </c>
      <c r="C1076" s="46" t="s">
        <v>49</v>
      </c>
      <c r="D1076" s="60">
        <v>2026</v>
      </c>
      <c r="E1076" s="60"/>
      <c r="F1076" s="46" t="s">
        <v>591</v>
      </c>
      <c r="G1076" s="46" t="s">
        <v>159</v>
      </c>
      <c r="H1076" s="46" t="s">
        <v>592</v>
      </c>
      <c r="I1076" s="46" t="s">
        <v>169</v>
      </c>
      <c r="J1076" s="46" t="s">
        <v>248</v>
      </c>
      <c r="K1076" s="46" t="s">
        <v>72</v>
      </c>
      <c r="L1076" s="46"/>
      <c r="M1076" s="46"/>
      <c r="N1076" s="46"/>
      <c r="O1076" s="46"/>
      <c r="P1076" s="46"/>
      <c r="Q1076" s="46"/>
      <c r="R1076" s="46"/>
      <c r="S1076" s="46"/>
      <c r="T1076" s="46"/>
      <c r="U1076" s="46"/>
      <c r="V1076" s="46"/>
      <c r="W1076" s="46"/>
      <c r="X1076" s="46">
        <v>1</v>
      </c>
      <c r="Y1076" s="46">
        <v>1</v>
      </c>
      <c r="Z1076" s="46" t="s">
        <v>3122</v>
      </c>
      <c r="AA1076" s="46">
        <f>11*36</f>
        <v>396</v>
      </c>
      <c r="AB1076" s="62">
        <f>IF(OR(G1076="ALK",G1076="PEM",G1076="SOEC",G1076="Other Electrolysis"),
AA1076/VLOOKUP(G1076,ElectrolysisConvF,3,FALSE),
AC1076*10^6/(H2dens*HoursInYear))</f>
        <v>88000</v>
      </c>
      <c r="AC1076" s="63">
        <f>AB1076*H2dens*HoursInYear/10^6</f>
        <v>68.608320000000006</v>
      </c>
      <c r="AD1076" s="62"/>
      <c r="AE1076" s="62">
        <f t="shared" si="133"/>
        <v>88000</v>
      </c>
      <c r="AF1076" s="64" t="s">
        <v>3104</v>
      </c>
      <c r="AG1076" s="49">
        <v>0.5</v>
      </c>
    </row>
    <row r="1077" spans="1:33" customFormat="1" ht="35.1" customHeight="1" x14ac:dyDescent="0.3">
      <c r="A1077" s="46">
        <v>1515</v>
      </c>
      <c r="B1077" s="46" t="s">
        <v>3123</v>
      </c>
      <c r="C1077" s="46" t="s">
        <v>39</v>
      </c>
      <c r="D1077" s="60"/>
      <c r="E1077" s="60"/>
      <c r="F1077" s="46" t="s">
        <v>591</v>
      </c>
      <c r="G1077" s="46" t="s">
        <v>159</v>
      </c>
      <c r="H1077" s="46" t="s">
        <v>592</v>
      </c>
      <c r="I1077" s="46" t="s">
        <v>169</v>
      </c>
      <c r="J1077" s="46" t="s">
        <v>69</v>
      </c>
      <c r="K1077" s="46" t="s">
        <v>141</v>
      </c>
      <c r="L1077" s="46"/>
      <c r="M1077" s="46">
        <v>1</v>
      </c>
      <c r="N1077" s="46"/>
      <c r="O1077" s="46"/>
      <c r="P1077" s="46"/>
      <c r="Q1077" s="46"/>
      <c r="R1077" s="46"/>
      <c r="S1077" s="46"/>
      <c r="T1077" s="46"/>
      <c r="U1077" s="46"/>
      <c r="V1077" s="46"/>
      <c r="W1077" s="46"/>
      <c r="X1077" s="46"/>
      <c r="Y1077" s="46"/>
      <c r="Z1077" s="46" t="s">
        <v>3124</v>
      </c>
      <c r="AA1077" s="61">
        <f>IF(OR(G1077="ALK",G1077="PEM",G1077="SOEC",G1077="Other Electrolysis"),
AB1077*VLOOKUP(G1077,ElectrolysisConvF,3,FALSE),
"")</f>
        <v>577.18947206402959</v>
      </c>
      <c r="AB1077" s="62">
        <f>AC1077/(H2dens*HoursInYear/10^6)</f>
        <v>128264.32712533991</v>
      </c>
      <c r="AC1077" s="62">
        <f>50/H2ProjectDB4578610[[#This Row],[Column33]]</f>
        <v>100</v>
      </c>
      <c r="AD1077" s="62"/>
      <c r="AE1077" s="62">
        <f t="shared" si="133"/>
        <v>128264.32712533991</v>
      </c>
      <c r="AF1077" s="64" t="s">
        <v>3125</v>
      </c>
      <c r="AG1077" s="49">
        <v>0.5</v>
      </c>
    </row>
    <row r="1078" spans="1:33" customFormat="1" ht="35.1" customHeight="1" x14ac:dyDescent="0.3">
      <c r="A1078" s="46">
        <v>1516</v>
      </c>
      <c r="B1078" s="46" t="s">
        <v>3126</v>
      </c>
      <c r="C1078" s="46" t="s">
        <v>53</v>
      </c>
      <c r="D1078" s="60"/>
      <c r="E1078" s="60"/>
      <c r="F1078" s="46" t="s">
        <v>225</v>
      </c>
      <c r="G1078" s="46" t="s">
        <v>159</v>
      </c>
      <c r="H1078" s="46" t="s">
        <v>592</v>
      </c>
      <c r="I1078" s="46" t="s">
        <v>169</v>
      </c>
      <c r="J1078" s="46" t="s">
        <v>69</v>
      </c>
      <c r="K1078" s="46" t="s">
        <v>68</v>
      </c>
      <c r="L1078" s="46"/>
      <c r="M1078" s="46"/>
      <c r="N1078" s="46"/>
      <c r="O1078" s="46"/>
      <c r="P1078" s="46"/>
      <c r="Q1078" s="46"/>
      <c r="R1078" s="46"/>
      <c r="S1078" s="46"/>
      <c r="T1078" s="46"/>
      <c r="U1078" s="46"/>
      <c r="V1078" s="46"/>
      <c r="W1078" s="46">
        <v>1</v>
      </c>
      <c r="X1078" s="46"/>
      <c r="Y1078" s="46"/>
      <c r="Z1078" s="46" t="s">
        <v>1664</v>
      </c>
      <c r="AA1078" s="61">
        <v>300</v>
      </c>
      <c r="AB1078" s="62">
        <f>AA1078/0.0045</f>
        <v>66666.666666666672</v>
      </c>
      <c r="AC1078" s="63">
        <f>AB1078*H2dens*HoursInYear/10^6</f>
        <v>51.975999999999999</v>
      </c>
      <c r="AD1078" s="62"/>
      <c r="AE1078" s="62">
        <f t="shared" si="133"/>
        <v>66666.666666666672</v>
      </c>
      <c r="AF1078" s="64" t="s">
        <v>3127</v>
      </c>
      <c r="AG1078" s="49">
        <v>0.5</v>
      </c>
    </row>
    <row r="1079" spans="1:33" customFormat="1" ht="35.1" customHeight="1" x14ac:dyDescent="0.3">
      <c r="A1079" s="46">
        <v>1517</v>
      </c>
      <c r="B1079" s="46" t="s">
        <v>3128</v>
      </c>
      <c r="C1079" s="46" t="s">
        <v>321</v>
      </c>
      <c r="D1079" s="60"/>
      <c r="E1079" s="60"/>
      <c r="F1079" s="46" t="s">
        <v>591</v>
      </c>
      <c r="G1079" s="46" t="s">
        <v>159</v>
      </c>
      <c r="H1079" s="46" t="s">
        <v>592</v>
      </c>
      <c r="I1079" s="46" t="s">
        <v>169</v>
      </c>
      <c r="J1079" s="46" t="s">
        <v>248</v>
      </c>
      <c r="K1079" s="46" t="s">
        <v>68</v>
      </c>
      <c r="L1079" s="46"/>
      <c r="M1079" s="46"/>
      <c r="N1079" s="46"/>
      <c r="O1079" s="46"/>
      <c r="P1079" s="46"/>
      <c r="Q1079" s="46"/>
      <c r="R1079" s="46"/>
      <c r="S1079" s="46"/>
      <c r="T1079" s="46"/>
      <c r="U1079" s="46"/>
      <c r="V1079" s="46"/>
      <c r="W1079" s="46"/>
      <c r="X1079" s="46"/>
      <c r="Y1079" s="46"/>
      <c r="Z1079" s="46" t="s">
        <v>964</v>
      </c>
      <c r="AA1079" s="61">
        <v>30</v>
      </c>
      <c r="AB1079" s="62">
        <f>IF(OR(G1079="ALK",G1079="PEM",G1079="SOEC",G1079="Other Electrolysis"),
AA1079/VLOOKUP(G1079,ElectrolysisConvF,3,FALSE),
AC1079*10^6/(H2dens*HoursInYear))</f>
        <v>6666.666666666667</v>
      </c>
      <c r="AC1079" s="63">
        <f>AB1079*H2dens*HoursInYear/10^6</f>
        <v>5.1976000000000004</v>
      </c>
      <c r="AD1079" s="62"/>
      <c r="AE1079" s="62">
        <f t="shared" si="133"/>
        <v>6666.666666666667</v>
      </c>
      <c r="AF1079" s="64" t="s">
        <v>3129</v>
      </c>
      <c r="AG1079" s="49">
        <v>0.5</v>
      </c>
    </row>
    <row r="1080" spans="1:33" customFormat="1" ht="35.1" customHeight="1" x14ac:dyDescent="0.3">
      <c r="A1080" s="46">
        <v>1518</v>
      </c>
      <c r="B1080" s="46" t="s">
        <v>3130</v>
      </c>
      <c r="C1080" s="46" t="s">
        <v>39</v>
      </c>
      <c r="D1080" s="60">
        <v>2025</v>
      </c>
      <c r="E1080" s="60"/>
      <c r="F1080" s="46" t="s">
        <v>225</v>
      </c>
      <c r="G1080" s="46" t="s">
        <v>159</v>
      </c>
      <c r="H1080" s="46" t="s">
        <v>592</v>
      </c>
      <c r="I1080" s="46" t="s">
        <v>169</v>
      </c>
      <c r="J1080" s="46" t="s">
        <v>248</v>
      </c>
      <c r="K1080" s="46" t="s">
        <v>141</v>
      </c>
      <c r="L1080" s="46"/>
      <c r="M1080" s="46">
        <v>1</v>
      </c>
      <c r="N1080" s="46"/>
      <c r="O1080" s="46"/>
      <c r="P1080" s="46"/>
      <c r="Q1080" s="46"/>
      <c r="R1080" s="46"/>
      <c r="S1080" s="46"/>
      <c r="T1080" s="46"/>
      <c r="U1080" s="46"/>
      <c r="V1080" s="46"/>
      <c r="W1080" s="46"/>
      <c r="X1080" s="46"/>
      <c r="Y1080" s="46"/>
      <c r="Z1080" s="46" t="s">
        <v>3131</v>
      </c>
      <c r="AA1080" s="61">
        <f>IF(OR(G1080="ALK",G1080="PEM",G1080="SOEC",G1080="Other Electrolysis"),
AB1080*VLOOKUP(G1080,ElectrolysisConvF,3,FALSE),
"")</f>
        <v>1662.9706018162228</v>
      </c>
      <c r="AB1080" s="62">
        <f>AC1080/(H2dens*HoursInYear/10^6)</f>
        <v>369549.02262582735</v>
      </c>
      <c r="AC1080" s="62">
        <f>800*0.180072/H2ProjectDB4578610[[#This Row],[Column33]]</f>
        <v>288.11520000000002</v>
      </c>
      <c r="AD1080" s="62"/>
      <c r="AE1080" s="62">
        <f t="shared" si="133"/>
        <v>369549.02262582735</v>
      </c>
      <c r="AF1080" s="64" t="s">
        <v>3132</v>
      </c>
      <c r="AG1080" s="49">
        <v>0.5</v>
      </c>
    </row>
    <row r="1081" spans="1:33" customFormat="1" ht="35.1" customHeight="1" x14ac:dyDescent="0.3">
      <c r="A1081" s="46">
        <v>1519</v>
      </c>
      <c r="B1081" s="46" t="s">
        <v>3133</v>
      </c>
      <c r="C1081" s="46" t="s">
        <v>39</v>
      </c>
      <c r="D1081" s="60"/>
      <c r="E1081" s="60"/>
      <c r="F1081" s="46" t="s">
        <v>225</v>
      </c>
      <c r="G1081" s="46" t="s">
        <v>159</v>
      </c>
      <c r="H1081" s="46" t="s">
        <v>592</v>
      </c>
      <c r="I1081" s="46" t="s">
        <v>169</v>
      </c>
      <c r="J1081" s="46" t="s">
        <v>248</v>
      </c>
      <c r="K1081" s="46" t="s">
        <v>68</v>
      </c>
      <c r="L1081" s="46"/>
      <c r="M1081" s="46"/>
      <c r="N1081" s="46"/>
      <c r="O1081" s="46"/>
      <c r="P1081" s="46"/>
      <c r="Q1081" s="46"/>
      <c r="R1081" s="46"/>
      <c r="S1081" s="46"/>
      <c r="T1081" s="46"/>
      <c r="U1081" s="46"/>
      <c r="V1081" s="46"/>
      <c r="W1081" s="46"/>
      <c r="X1081" s="46"/>
      <c r="Y1081" s="46"/>
      <c r="Z1081" s="46" t="s">
        <v>3134</v>
      </c>
      <c r="AA1081" s="61">
        <f>IF(OR(G1081="ALK",G1081="PEM",G1081="SOEC",G1081="Other Electrolysis"),
AB1081*VLOOKUP(G1081,ElectrolysisConvF,3,FALSE),
"")</f>
        <v>3578.5747267969828</v>
      </c>
      <c r="AB1081" s="62">
        <f>AC1081/(H2dens*HoursInYear/10^6)</f>
        <v>795238.82817710738</v>
      </c>
      <c r="AC1081" s="62">
        <f>310/H2ProjectDB4578610[[#This Row],[Column33]]</f>
        <v>620</v>
      </c>
      <c r="AD1081" s="62"/>
      <c r="AE1081" s="62">
        <f t="shared" si="133"/>
        <v>795238.82817710738</v>
      </c>
      <c r="AF1081" s="64" t="s">
        <v>3132</v>
      </c>
      <c r="AG1081" s="49">
        <v>0.5</v>
      </c>
    </row>
    <row r="1082" spans="1:33" customFormat="1" ht="35.1" customHeight="1" x14ac:dyDescent="0.3">
      <c r="A1082" s="46">
        <v>1520</v>
      </c>
      <c r="B1082" s="46" t="s">
        <v>3135</v>
      </c>
      <c r="C1082" s="46" t="s">
        <v>34</v>
      </c>
      <c r="D1082" s="60">
        <v>2026</v>
      </c>
      <c r="E1082" s="60"/>
      <c r="F1082" s="46" t="s">
        <v>591</v>
      </c>
      <c r="G1082" s="46" t="s">
        <v>159</v>
      </c>
      <c r="H1082" s="46" t="s">
        <v>592</v>
      </c>
      <c r="I1082" s="46" t="s">
        <v>169</v>
      </c>
      <c r="J1082" s="46" t="s">
        <v>248</v>
      </c>
      <c r="K1082" s="46" t="s">
        <v>141</v>
      </c>
      <c r="L1082" s="46"/>
      <c r="M1082" s="46">
        <v>1</v>
      </c>
      <c r="N1082" s="46"/>
      <c r="O1082" s="46"/>
      <c r="P1082" s="46"/>
      <c r="Q1082" s="46"/>
      <c r="R1082" s="46"/>
      <c r="S1082" s="46"/>
      <c r="T1082" s="46"/>
      <c r="U1082" s="46"/>
      <c r="V1082" s="46"/>
      <c r="W1082" s="46"/>
      <c r="X1082" s="46"/>
      <c r="Y1082" s="46"/>
      <c r="Z1082" s="46" t="s">
        <v>964</v>
      </c>
      <c r="AA1082" s="61">
        <v>30</v>
      </c>
      <c r="AB1082" s="62">
        <f>IF(OR(G1082="ALK",G1082="PEM",G1082="SOEC",G1082="Other Electrolysis"),
AA1082/VLOOKUP(G1082,ElectrolysisConvF,3,FALSE),
AC1082*10^6/(H2dens*HoursInYear))</f>
        <v>6666.666666666667</v>
      </c>
      <c r="AC1082" s="63">
        <f>AB1082*H2dens*HoursInYear/10^6</f>
        <v>5.1976000000000004</v>
      </c>
      <c r="AD1082" s="62"/>
      <c r="AE1082" s="62">
        <f t="shared" si="133"/>
        <v>6666.666666666667</v>
      </c>
      <c r="AF1082" s="64" t="s">
        <v>3136</v>
      </c>
      <c r="AG1082" s="49">
        <v>0.5</v>
      </c>
    </row>
    <row r="1083" spans="1:33" customFormat="1" ht="35.1" customHeight="1" x14ac:dyDescent="0.3">
      <c r="A1083" s="46">
        <v>1521</v>
      </c>
      <c r="B1083" s="46" t="s">
        <v>3137</v>
      </c>
      <c r="C1083" s="46" t="s">
        <v>40</v>
      </c>
      <c r="D1083" s="60">
        <v>2023</v>
      </c>
      <c r="E1083" s="60"/>
      <c r="F1083" s="46" t="s">
        <v>226</v>
      </c>
      <c r="G1083" s="46" t="s">
        <v>159</v>
      </c>
      <c r="H1083" s="46" t="s">
        <v>592</v>
      </c>
      <c r="I1083" s="46" t="s">
        <v>169</v>
      </c>
      <c r="J1083" s="46" t="s">
        <v>69</v>
      </c>
      <c r="K1083" s="46" t="s">
        <v>68</v>
      </c>
      <c r="L1083" s="46"/>
      <c r="M1083" s="46"/>
      <c r="N1083" s="46"/>
      <c r="O1083" s="46"/>
      <c r="P1083" s="46"/>
      <c r="Q1083" s="46"/>
      <c r="R1083" s="46"/>
      <c r="S1083" s="46"/>
      <c r="T1083" s="46"/>
      <c r="U1083" s="46"/>
      <c r="V1083" s="46"/>
      <c r="W1083" s="46">
        <v>1</v>
      </c>
      <c r="X1083" s="46"/>
      <c r="Y1083" s="46"/>
      <c r="Z1083" s="46"/>
      <c r="AA1083" s="61"/>
      <c r="AB1083" s="62"/>
      <c r="AC1083" s="62"/>
      <c r="AD1083" s="62"/>
      <c r="AE1083" s="62">
        <f t="shared" si="133"/>
        <v>0</v>
      </c>
      <c r="AF1083" s="64" t="s">
        <v>3138</v>
      </c>
      <c r="AG1083" s="49">
        <v>0.5</v>
      </c>
    </row>
    <row r="1084" spans="1:33" customFormat="1" ht="35.1" customHeight="1" x14ac:dyDescent="0.3">
      <c r="A1084" s="46">
        <v>1522</v>
      </c>
      <c r="B1084" s="46" t="s">
        <v>3139</v>
      </c>
      <c r="C1084" s="46" t="s">
        <v>40</v>
      </c>
      <c r="D1084" s="60"/>
      <c r="E1084" s="60"/>
      <c r="F1084" s="46" t="s">
        <v>591</v>
      </c>
      <c r="G1084" s="46" t="s">
        <v>161</v>
      </c>
      <c r="H1084" s="46" t="s">
        <v>2365</v>
      </c>
      <c r="I1084" s="46" t="str">
        <f>IF(AND(G1084&lt;&gt;"ALK",G1084&lt;&gt;"PEM",G1084&lt;&gt;"SOEC",G1084&lt;&gt;"Other electrolysis"),"N/A","")</f>
        <v>N/A</v>
      </c>
      <c r="J1084" s="46" t="str">
        <f>IF(I1084&lt;&gt;"Dedicated renewable","N/A",)</f>
        <v>N/A</v>
      </c>
      <c r="K1084" s="46" t="s">
        <v>68</v>
      </c>
      <c r="L1084" s="46">
        <v>1</v>
      </c>
      <c r="M1084" s="46"/>
      <c r="N1084" s="46"/>
      <c r="O1084" s="46">
        <v>1</v>
      </c>
      <c r="P1084" s="46">
        <v>1</v>
      </c>
      <c r="Q1084" s="46"/>
      <c r="R1084" s="46"/>
      <c r="S1084" s="46"/>
      <c r="T1084" s="46"/>
      <c r="U1084" s="46"/>
      <c r="V1084" s="46"/>
      <c r="W1084" s="46"/>
      <c r="X1084" s="46"/>
      <c r="Y1084" s="46"/>
      <c r="Z1084" s="46"/>
      <c r="AA1084" s="61" t="str">
        <f>IF(OR(G1084="ALK",G1084="PEM",G1084="SOEC",G1084="Other Electrolysis"),
AB1084*VLOOKUP(G1084,ElectrolysisConvF,3,FALSE),
"")</f>
        <v/>
      </c>
      <c r="AB1084" s="62"/>
      <c r="AC1084" s="62"/>
      <c r="AD1084" s="62"/>
      <c r="AE1084" s="62">
        <f t="shared" si="133"/>
        <v>0</v>
      </c>
      <c r="AF1084" s="64" t="s">
        <v>3140</v>
      </c>
      <c r="AG1084" s="49">
        <v>0.9</v>
      </c>
    </row>
    <row r="1085" spans="1:33" customFormat="1" ht="35.1" customHeight="1" x14ac:dyDescent="0.3">
      <c r="A1085" s="46">
        <v>1524</v>
      </c>
      <c r="B1085" s="46" t="s">
        <v>3141</v>
      </c>
      <c r="C1085" s="46" t="s">
        <v>37</v>
      </c>
      <c r="D1085" s="60"/>
      <c r="E1085" s="60"/>
      <c r="F1085" s="46" t="s">
        <v>591</v>
      </c>
      <c r="G1085" s="46" t="s">
        <v>159</v>
      </c>
      <c r="H1085" s="46" t="s">
        <v>592</v>
      </c>
      <c r="I1085" s="46" t="s">
        <v>169</v>
      </c>
      <c r="J1085" s="46" t="s">
        <v>69</v>
      </c>
      <c r="K1085" s="46" t="s">
        <v>141</v>
      </c>
      <c r="L1085" s="46"/>
      <c r="M1085" s="46">
        <v>1</v>
      </c>
      <c r="N1085" s="46"/>
      <c r="O1085" s="46"/>
      <c r="P1085" s="46"/>
      <c r="Q1085" s="46"/>
      <c r="R1085" s="46"/>
      <c r="S1085" s="46"/>
      <c r="T1085" s="46"/>
      <c r="U1085" s="46"/>
      <c r="V1085" s="46"/>
      <c r="W1085" s="46"/>
      <c r="X1085" s="46"/>
      <c r="Y1085" s="46"/>
      <c r="Z1085" s="46"/>
      <c r="AA1085" s="61"/>
      <c r="AB1085" s="62"/>
      <c r="AC1085" s="62"/>
      <c r="AD1085" s="62"/>
      <c r="AE1085" s="62">
        <f t="shared" si="133"/>
        <v>0</v>
      </c>
      <c r="AF1085" s="64" t="s">
        <v>3142</v>
      </c>
      <c r="AG1085" s="49">
        <v>0.5</v>
      </c>
    </row>
    <row r="1086" spans="1:33" customFormat="1" ht="35.1" customHeight="1" x14ac:dyDescent="0.3">
      <c r="A1086" s="46">
        <v>1525</v>
      </c>
      <c r="B1086" s="46" t="s">
        <v>3143</v>
      </c>
      <c r="C1086" s="46" t="s">
        <v>40</v>
      </c>
      <c r="D1086" s="60"/>
      <c r="E1086" s="60"/>
      <c r="F1086" s="46" t="s">
        <v>591</v>
      </c>
      <c r="G1086" s="46" t="s">
        <v>159</v>
      </c>
      <c r="H1086" s="46" t="s">
        <v>592</v>
      </c>
      <c r="I1086" s="46" t="s">
        <v>169</v>
      </c>
      <c r="J1086" s="46" t="s">
        <v>69</v>
      </c>
      <c r="K1086" s="46" t="s">
        <v>141</v>
      </c>
      <c r="L1086" s="46"/>
      <c r="M1086" s="46">
        <v>1</v>
      </c>
      <c r="N1086" s="46"/>
      <c r="O1086" s="46"/>
      <c r="P1086" s="46"/>
      <c r="Q1086" s="46"/>
      <c r="R1086" s="46"/>
      <c r="S1086" s="46"/>
      <c r="T1086" s="46"/>
      <c r="U1086" s="46"/>
      <c r="V1086" s="46"/>
      <c r="W1086" s="46"/>
      <c r="X1086" s="46"/>
      <c r="Y1086" s="46"/>
      <c r="Z1086" s="46" t="s">
        <v>3144</v>
      </c>
      <c r="AA1086" s="61">
        <f>IF(OR(G1086="ALK",G1086="PEM",G1086="SOEC",G1086="Other Electrolysis"),
AB1086*VLOOKUP(G1086,ElectrolysisConvF,3,FALSE),
"")</f>
        <v>3034.9213483146073</v>
      </c>
      <c r="AB1086" s="62">
        <f>AC1086/(H2dens*HoursInYear/10^6)</f>
        <v>674426.96629213495</v>
      </c>
      <c r="AC1086" s="62">
        <f>4*365*0.180072/H2ProjectDB4578610[[#This Row],[Column33]]</f>
        <v>525.81024000000002</v>
      </c>
      <c r="AD1086" s="62"/>
      <c r="AE1086" s="62">
        <f t="shared" si="133"/>
        <v>674426.96629213495</v>
      </c>
      <c r="AF1086" s="64" t="s">
        <v>3145</v>
      </c>
      <c r="AG1086" s="49">
        <v>0.5</v>
      </c>
    </row>
    <row r="1087" spans="1:33" customFormat="1" ht="35.1" customHeight="1" x14ac:dyDescent="0.3">
      <c r="A1087" s="46">
        <v>1526</v>
      </c>
      <c r="B1087" s="46" t="s">
        <v>3146</v>
      </c>
      <c r="C1087" s="46" t="s">
        <v>321</v>
      </c>
      <c r="D1087" s="60">
        <v>2026</v>
      </c>
      <c r="E1087" s="60"/>
      <c r="F1087" s="46" t="s">
        <v>225</v>
      </c>
      <c r="G1087" s="46" t="s">
        <v>1</v>
      </c>
      <c r="H1087" s="46"/>
      <c r="I1087" s="46" t="s">
        <v>169</v>
      </c>
      <c r="J1087" s="46" t="s">
        <v>244</v>
      </c>
      <c r="K1087" s="46" t="s">
        <v>141</v>
      </c>
      <c r="L1087" s="46"/>
      <c r="M1087" s="46">
        <v>1</v>
      </c>
      <c r="N1087" s="46"/>
      <c r="O1087" s="46"/>
      <c r="P1087" s="46"/>
      <c r="Q1087" s="46"/>
      <c r="R1087" s="46"/>
      <c r="S1087" s="46"/>
      <c r="T1087" s="46"/>
      <c r="U1087" s="46"/>
      <c r="V1087" s="46"/>
      <c r="W1087" s="46"/>
      <c r="X1087" s="46"/>
      <c r="Y1087" s="46"/>
      <c r="Z1087" s="46" t="s">
        <v>3147</v>
      </c>
      <c r="AA1087" s="61">
        <f>IF(OR(G1087="ALK",G1087="PEM",G1087="SOEC",G1087="Other Electrolysis"),
AB1087*VLOOKUP(G1087,ElectrolysisConvF,3,FALSE),
"")</f>
        <v>50.023087578882567</v>
      </c>
      <c r="AB1087" s="62">
        <f>AC1087/(H2dens*HoursInYear/10^6)</f>
        <v>9619.8245344004936</v>
      </c>
      <c r="AC1087" s="63">
        <v>7.5</v>
      </c>
      <c r="AD1087" s="62"/>
      <c r="AE1087" s="62">
        <f t="shared" si="133"/>
        <v>9619.8245344004936</v>
      </c>
      <c r="AF1087" s="64" t="s">
        <v>3148</v>
      </c>
      <c r="AG1087" s="49">
        <v>0.3</v>
      </c>
    </row>
    <row r="1088" spans="1:33" customFormat="1" ht="35.1" customHeight="1" x14ac:dyDescent="0.3">
      <c r="A1088" s="46">
        <v>1527</v>
      </c>
      <c r="B1088" s="46" t="s">
        <v>3149</v>
      </c>
      <c r="C1088" s="46" t="s">
        <v>90</v>
      </c>
      <c r="D1088" s="60">
        <v>2026</v>
      </c>
      <c r="E1088" s="60"/>
      <c r="F1088" s="46" t="s">
        <v>591</v>
      </c>
      <c r="G1088" s="46" t="s">
        <v>159</v>
      </c>
      <c r="H1088" s="46" t="s">
        <v>592</v>
      </c>
      <c r="I1088" s="46" t="s">
        <v>169</v>
      </c>
      <c r="J1088" s="46" t="s">
        <v>248</v>
      </c>
      <c r="K1088" s="46" t="s">
        <v>68</v>
      </c>
      <c r="L1088" s="46"/>
      <c r="M1088" s="46"/>
      <c r="N1088" s="46"/>
      <c r="O1088" s="46"/>
      <c r="P1088" s="46"/>
      <c r="Q1088" s="46"/>
      <c r="R1088" s="46"/>
      <c r="S1088" s="46"/>
      <c r="T1088" s="46"/>
      <c r="U1088" s="46"/>
      <c r="V1088" s="46"/>
      <c r="W1088" s="46"/>
      <c r="X1088" s="46"/>
      <c r="Y1088" s="46"/>
      <c r="Z1088" s="46" t="s">
        <v>3150</v>
      </c>
      <c r="AA1088" s="61">
        <f>IF(OR(G1088="ALK",G1088="PEM",G1088="SOEC",G1088="Other Electrolysis"),
AB1088*VLOOKUP(G1088,ElectrolysisConvF,3,FALSE),
"")</f>
        <v>1454.5174696013544</v>
      </c>
      <c r="AB1088" s="62">
        <f>AC1088/(H2dens*HoursInYear/10^6)</f>
        <v>323226.10435585654</v>
      </c>
      <c r="AC1088" s="62">
        <f>12*10.5/H2ProjectDB4578610[[#This Row],[Column33]]</f>
        <v>252</v>
      </c>
      <c r="AD1088" s="62"/>
      <c r="AE1088" s="62">
        <f t="shared" si="133"/>
        <v>323226.10435585654</v>
      </c>
      <c r="AF1088" s="64" t="s">
        <v>3151</v>
      </c>
      <c r="AG1088" s="49">
        <v>0.5</v>
      </c>
    </row>
    <row r="1089" spans="1:33" customFormat="1" ht="35.1" customHeight="1" x14ac:dyDescent="0.3">
      <c r="A1089" s="46">
        <v>1528</v>
      </c>
      <c r="B1089" s="46" t="s">
        <v>3152</v>
      </c>
      <c r="C1089" s="46" t="s">
        <v>90</v>
      </c>
      <c r="D1089" s="60"/>
      <c r="E1089" s="60"/>
      <c r="F1089" s="46" t="s">
        <v>591</v>
      </c>
      <c r="G1089" s="46" t="s">
        <v>159</v>
      </c>
      <c r="H1089" s="46" t="s">
        <v>592</v>
      </c>
      <c r="I1089" s="46" t="s">
        <v>169</v>
      </c>
      <c r="J1089" s="46" t="s">
        <v>69</v>
      </c>
      <c r="K1089" s="46" t="s">
        <v>68</v>
      </c>
      <c r="L1089" s="46"/>
      <c r="M1089" s="46"/>
      <c r="N1089" s="46"/>
      <c r="O1089" s="46"/>
      <c r="P1089" s="46"/>
      <c r="Q1089" s="46"/>
      <c r="R1089" s="46"/>
      <c r="S1089" s="46"/>
      <c r="T1089" s="46"/>
      <c r="U1089" s="46"/>
      <c r="V1089" s="46"/>
      <c r="W1089" s="46"/>
      <c r="X1089" s="46"/>
      <c r="Y1089" s="46"/>
      <c r="Z1089" s="46"/>
      <c r="AA1089" s="61"/>
      <c r="AB1089" s="62"/>
      <c r="AC1089" s="62"/>
      <c r="AD1089" s="62"/>
      <c r="AE1089" s="62">
        <f t="shared" si="133"/>
        <v>0</v>
      </c>
      <c r="AF1089" s="64" t="s">
        <v>3153</v>
      </c>
      <c r="AG1089" s="49">
        <v>0.5</v>
      </c>
    </row>
    <row r="1090" spans="1:33" customFormat="1" ht="35.1" customHeight="1" x14ac:dyDescent="0.3">
      <c r="A1090" s="46">
        <v>1529</v>
      </c>
      <c r="B1090" s="46" t="s">
        <v>3154</v>
      </c>
      <c r="C1090" s="46" t="s">
        <v>34</v>
      </c>
      <c r="D1090" s="60">
        <v>2030</v>
      </c>
      <c r="E1090" s="60"/>
      <c r="F1090" s="46" t="s">
        <v>225</v>
      </c>
      <c r="G1090" s="46" t="s">
        <v>159</v>
      </c>
      <c r="H1090" s="46" t="s">
        <v>592</v>
      </c>
      <c r="I1090" s="46" t="s">
        <v>166</v>
      </c>
      <c r="J1090" s="46"/>
      <c r="K1090" s="46" t="s">
        <v>167</v>
      </c>
      <c r="L1090" s="46"/>
      <c r="M1090" s="46"/>
      <c r="N1090" s="46"/>
      <c r="O1090" s="46"/>
      <c r="P1090" s="46"/>
      <c r="Q1090" s="46"/>
      <c r="R1090" s="46"/>
      <c r="S1090" s="46"/>
      <c r="T1090" s="46"/>
      <c r="U1090" s="46"/>
      <c r="V1090" s="46"/>
      <c r="W1090" s="46">
        <v>1</v>
      </c>
      <c r="X1090" s="46"/>
      <c r="Y1090" s="46"/>
      <c r="Z1090" s="46" t="s">
        <v>2917</v>
      </c>
      <c r="AA1090" s="61">
        <v>400</v>
      </c>
      <c r="AB1090" s="62">
        <f>IF(OR(G1090="ALK",G1090="PEM",G1090="SOEC",G1090="Other Electrolysis"),
AA1090/VLOOKUP(G1090,ElectrolysisConvF,3,FALSE),
AC1090*10^6/(H2dens*HoursInYear))</f>
        <v>88888.888888888891</v>
      </c>
      <c r="AC1090" s="63">
        <f>AB1090*H2dens*HoursInYear/10^6</f>
        <v>69.301333333333332</v>
      </c>
      <c r="AD1090" s="62"/>
      <c r="AE1090" s="62">
        <f t="shared" si="133"/>
        <v>88888.888888888891</v>
      </c>
      <c r="AF1090" s="64" t="s">
        <v>3155</v>
      </c>
      <c r="AG1090" s="49">
        <v>0.56999999999999995</v>
      </c>
    </row>
    <row r="1091" spans="1:33" customFormat="1" ht="35.1" customHeight="1" x14ac:dyDescent="0.3">
      <c r="A1091" s="46">
        <v>1530</v>
      </c>
      <c r="B1091" s="46" t="s">
        <v>3156</v>
      </c>
      <c r="C1091" s="46" t="s">
        <v>46</v>
      </c>
      <c r="D1091" s="60">
        <v>2024</v>
      </c>
      <c r="E1091" s="60"/>
      <c r="F1091" s="46" t="s">
        <v>675</v>
      </c>
      <c r="G1091" s="46" t="s">
        <v>159</v>
      </c>
      <c r="H1091" s="46" t="s">
        <v>592</v>
      </c>
      <c r="I1091" s="46" t="s">
        <v>169</v>
      </c>
      <c r="J1091" s="46" t="s">
        <v>248</v>
      </c>
      <c r="K1091" s="46" t="s">
        <v>68</v>
      </c>
      <c r="L1091" s="46"/>
      <c r="M1091" s="46"/>
      <c r="N1091" s="46"/>
      <c r="O1091" s="46"/>
      <c r="P1091" s="46"/>
      <c r="Q1091" s="46"/>
      <c r="R1091" s="46"/>
      <c r="S1091" s="46"/>
      <c r="T1091" s="46"/>
      <c r="U1091" s="46"/>
      <c r="V1091" s="46"/>
      <c r="W1091" s="46"/>
      <c r="X1091" s="46"/>
      <c r="Y1091" s="46"/>
      <c r="Z1091" s="46" t="s">
        <v>1379</v>
      </c>
      <c r="AA1091" s="61">
        <v>15</v>
      </c>
      <c r="AB1091" s="62">
        <f>IF(OR(G1091="ALK",G1091="PEM",G1091="SOEC",G1091="Other Electrolysis"),
AA1091/VLOOKUP(G1091,ElectrolysisConvF,3,FALSE),
AC1091*10^6/(H2dens*HoursInYear))</f>
        <v>3333.3333333333335</v>
      </c>
      <c r="AC1091" s="63">
        <f>AB1091*H2dens*HoursInYear/10^6</f>
        <v>2.5988000000000002</v>
      </c>
      <c r="AD1091" s="62"/>
      <c r="AE1091" s="62">
        <f t="shared" si="133"/>
        <v>3333.3333333333335</v>
      </c>
      <c r="AF1091" s="64" t="s">
        <v>3157</v>
      </c>
      <c r="AG1091" s="49">
        <v>0.5</v>
      </c>
    </row>
    <row r="1092" spans="1:33" customFormat="1" ht="35.1" customHeight="1" x14ac:dyDescent="0.3">
      <c r="A1092" s="46">
        <v>1531</v>
      </c>
      <c r="B1092" s="46" t="s">
        <v>3158</v>
      </c>
      <c r="C1092" s="46" t="s">
        <v>64</v>
      </c>
      <c r="D1092" s="60">
        <v>2023</v>
      </c>
      <c r="E1092" s="60"/>
      <c r="F1092" s="46" t="s">
        <v>225</v>
      </c>
      <c r="G1092" s="46" t="s">
        <v>159</v>
      </c>
      <c r="H1092" s="46" t="s">
        <v>592</v>
      </c>
      <c r="I1092" s="46" t="s">
        <v>169</v>
      </c>
      <c r="J1092" s="46" t="s">
        <v>244</v>
      </c>
      <c r="K1092" s="46" t="s">
        <v>68</v>
      </c>
      <c r="L1092" s="46"/>
      <c r="M1092" s="46"/>
      <c r="N1092" s="46"/>
      <c r="O1092" s="46"/>
      <c r="P1092" s="46"/>
      <c r="Q1092" s="46">
        <v>1</v>
      </c>
      <c r="R1092" s="46"/>
      <c r="S1092" s="46"/>
      <c r="T1092" s="46"/>
      <c r="U1092" s="46"/>
      <c r="V1092" s="46"/>
      <c r="W1092" s="46"/>
      <c r="X1092" s="46"/>
      <c r="Y1092" s="46"/>
      <c r="Z1092" s="46" t="s">
        <v>1168</v>
      </c>
      <c r="AA1092" s="61">
        <v>10</v>
      </c>
      <c r="AB1092" s="62">
        <f>IF(OR(G1092="ALK",G1092="PEM",G1092="SOEC",G1092="Other Electrolysis"),
AA1092/VLOOKUP(G1092,ElectrolysisConvF,3,FALSE),
AC1092*10^6/(H2dens*HoursInYear))</f>
        <v>2222.2222222222222</v>
      </c>
      <c r="AC1092" s="63">
        <f>AB1092*H2dens*HoursInYear/10^6</f>
        <v>1.7325333333333333</v>
      </c>
      <c r="AD1092" s="62"/>
      <c r="AE1092" s="62">
        <f t="shared" si="133"/>
        <v>2222.2222222222222</v>
      </c>
      <c r="AF1092" s="64" t="s">
        <v>3159</v>
      </c>
      <c r="AG1092" s="49">
        <v>0.3</v>
      </c>
    </row>
    <row r="1093" spans="1:33" customFormat="1" ht="35.1" customHeight="1" x14ac:dyDescent="0.3">
      <c r="A1093" s="46">
        <v>1532</v>
      </c>
      <c r="B1093" s="46" t="s">
        <v>3160</v>
      </c>
      <c r="C1093" s="46" t="s">
        <v>64</v>
      </c>
      <c r="D1093" s="60">
        <v>2027</v>
      </c>
      <c r="E1093" s="60"/>
      <c r="F1093" s="46" t="s">
        <v>591</v>
      </c>
      <c r="G1093" s="46" t="s">
        <v>159</v>
      </c>
      <c r="H1093" s="46" t="s">
        <v>592</v>
      </c>
      <c r="I1093" s="46" t="s">
        <v>169</v>
      </c>
      <c r="J1093" s="46" t="s">
        <v>244</v>
      </c>
      <c r="K1093" s="46" t="s">
        <v>68</v>
      </c>
      <c r="L1093" s="46"/>
      <c r="M1093" s="46"/>
      <c r="N1093" s="46"/>
      <c r="O1093" s="46"/>
      <c r="P1093" s="46"/>
      <c r="Q1093" s="46">
        <v>1</v>
      </c>
      <c r="R1093" s="46"/>
      <c r="S1093" s="46"/>
      <c r="T1093" s="46"/>
      <c r="U1093" s="46"/>
      <c r="V1093" s="46"/>
      <c r="W1093" s="46"/>
      <c r="X1093" s="46"/>
      <c r="Y1093" s="46"/>
      <c r="Z1093" s="46" t="s">
        <v>3161</v>
      </c>
      <c r="AA1093" s="61">
        <v>2000</v>
      </c>
      <c r="AB1093" s="62">
        <f>IF(OR(G1093="ALK",G1093="PEM",G1093="SOEC",G1093="Other Electrolysis"),
AA1093/VLOOKUP(G1093,ElectrolysisConvF,3,FALSE),
AC1093*10^6/(H2dens*HoursInYear))</f>
        <v>444444.4444444445</v>
      </c>
      <c r="AC1093" s="63">
        <f>AB1093*H2dens*HoursInYear/10^6</f>
        <v>346.50666666666666</v>
      </c>
      <c r="AD1093" s="62"/>
      <c r="AE1093" s="62">
        <f t="shared" si="133"/>
        <v>444444.4444444445</v>
      </c>
      <c r="AF1093" s="64" t="s">
        <v>3159</v>
      </c>
      <c r="AG1093" s="49">
        <v>0.3</v>
      </c>
    </row>
    <row r="1094" spans="1:33" customFormat="1" ht="35.1" customHeight="1" x14ac:dyDescent="0.3">
      <c r="A1094" s="46">
        <v>1533</v>
      </c>
      <c r="B1094" s="46" t="s">
        <v>3162</v>
      </c>
      <c r="C1094" s="46" t="s">
        <v>64</v>
      </c>
      <c r="D1094" s="60">
        <v>2027</v>
      </c>
      <c r="E1094" s="60"/>
      <c r="F1094" s="46" t="s">
        <v>225</v>
      </c>
      <c r="G1094" s="46" t="s">
        <v>159</v>
      </c>
      <c r="H1094" s="46" t="s">
        <v>592</v>
      </c>
      <c r="I1094" s="46" t="s">
        <v>1317</v>
      </c>
      <c r="J1094" s="46" t="s">
        <v>248</v>
      </c>
      <c r="K1094" s="46" t="s">
        <v>141</v>
      </c>
      <c r="L1094" s="46"/>
      <c r="M1094" s="46">
        <v>1</v>
      </c>
      <c r="N1094" s="46"/>
      <c r="O1094" s="46"/>
      <c r="P1094" s="46"/>
      <c r="Q1094" s="46"/>
      <c r="R1094" s="46"/>
      <c r="S1094" s="46"/>
      <c r="T1094" s="46"/>
      <c r="U1094" s="46"/>
      <c r="V1094" s="46"/>
      <c r="W1094" s="46"/>
      <c r="X1094" s="46"/>
      <c r="Y1094" s="46"/>
      <c r="Z1094" s="46" t="s">
        <v>3163</v>
      </c>
      <c r="AA1094" s="61">
        <v>2000</v>
      </c>
      <c r="AB1094" s="62">
        <f>IF(OR(G1094="ALK",G1094="PEM",G1094="SOEC",G1094="Other Electrolysis"),
AA1094/VLOOKUP(G1094,ElectrolysisConvF,3,FALSE),
AC1094*10^6/(H2dens*HoursInYear))</f>
        <v>444444.4444444445</v>
      </c>
      <c r="AC1094" s="63">
        <f>AB1094*H2dens*HoursInYear/10^6</f>
        <v>346.50666666666666</v>
      </c>
      <c r="AD1094" s="62"/>
      <c r="AE1094" s="62">
        <f t="shared" si="133"/>
        <v>444444.4444444445</v>
      </c>
      <c r="AF1094" s="64" t="s">
        <v>3159</v>
      </c>
      <c r="AG1094" s="49">
        <v>0.7</v>
      </c>
    </row>
    <row r="1095" spans="1:33" customFormat="1" ht="35.1" customHeight="1" x14ac:dyDescent="0.3">
      <c r="A1095" s="46">
        <v>1534</v>
      </c>
      <c r="B1095" s="46" t="s">
        <v>3164</v>
      </c>
      <c r="C1095" s="46" t="s">
        <v>64</v>
      </c>
      <c r="D1095" s="60">
        <v>2028</v>
      </c>
      <c r="E1095" s="60"/>
      <c r="F1095" s="46" t="s">
        <v>225</v>
      </c>
      <c r="G1095" s="46" t="s">
        <v>159</v>
      </c>
      <c r="H1095" s="46" t="s">
        <v>592</v>
      </c>
      <c r="I1095" s="46" t="s">
        <v>169</v>
      </c>
      <c r="J1095" s="46" t="s">
        <v>245</v>
      </c>
      <c r="K1095" s="46" t="s">
        <v>141</v>
      </c>
      <c r="L1095" s="46"/>
      <c r="M1095" s="46">
        <v>1</v>
      </c>
      <c r="N1095" s="46"/>
      <c r="O1095" s="46"/>
      <c r="P1095" s="46"/>
      <c r="Q1095" s="46"/>
      <c r="R1095" s="46"/>
      <c r="S1095" s="46"/>
      <c r="T1095" s="46"/>
      <c r="U1095" s="46"/>
      <c r="V1095" s="46"/>
      <c r="W1095" s="46"/>
      <c r="X1095" s="46"/>
      <c r="Y1095" s="46"/>
      <c r="Z1095" s="46" t="s">
        <v>3165</v>
      </c>
      <c r="AA1095" s="61">
        <f>IF(OR(G1095="ALK",G1095="PEM",G1095="SOEC",G1095="Other Electrolysis"),
AB1095*VLOOKUP(G1095,ElectrolysisConvF,3,FALSE),
"")</f>
        <v>981.22210250885018</v>
      </c>
      <c r="AB1095" s="62">
        <f>AC1095/(H2dens*HoursInYear/10^6)</f>
        <v>218049.35611307784</v>
      </c>
      <c r="AC1095" s="63">
        <v>170</v>
      </c>
      <c r="AD1095" s="62"/>
      <c r="AE1095" s="62">
        <f t="shared" si="133"/>
        <v>218049.35611307784</v>
      </c>
      <c r="AF1095" s="64" t="s">
        <v>3159</v>
      </c>
      <c r="AG1095" s="49">
        <v>0.4</v>
      </c>
    </row>
    <row r="1096" spans="1:33" customFormat="1" ht="35.1" customHeight="1" x14ac:dyDescent="0.3">
      <c r="A1096" s="46">
        <v>1535</v>
      </c>
      <c r="B1096" s="46" t="s">
        <v>3166</v>
      </c>
      <c r="C1096" s="46" t="s">
        <v>64</v>
      </c>
      <c r="D1096" s="60">
        <v>2024</v>
      </c>
      <c r="E1096" s="60"/>
      <c r="F1096" s="46" t="s">
        <v>225</v>
      </c>
      <c r="G1096" s="46" t="s">
        <v>159</v>
      </c>
      <c r="H1096" s="46" t="s">
        <v>592</v>
      </c>
      <c r="I1096" s="46" t="s">
        <v>169</v>
      </c>
      <c r="J1096" s="46" t="s">
        <v>244</v>
      </c>
      <c r="K1096" s="46" t="s">
        <v>68</v>
      </c>
      <c r="L1096" s="46"/>
      <c r="M1096" s="46"/>
      <c r="N1096" s="46"/>
      <c r="O1096" s="46"/>
      <c r="P1096" s="46"/>
      <c r="Q1096" s="46"/>
      <c r="R1096" s="46">
        <v>1</v>
      </c>
      <c r="S1096" s="46"/>
      <c r="T1096" s="46"/>
      <c r="U1096" s="46"/>
      <c r="V1096" s="46"/>
      <c r="W1096" s="46"/>
      <c r="X1096" s="46"/>
      <c r="Y1096" s="46"/>
      <c r="Z1096" s="46" t="s">
        <v>1198</v>
      </c>
      <c r="AA1096" s="61">
        <v>2</v>
      </c>
      <c r="AB1096" s="62">
        <f>IF(OR(G1096="ALK",G1096="PEM",G1096="SOEC",G1096="Other Electrolysis"),
AA1096/VLOOKUP(G1096,ElectrolysisConvF,3,FALSE),
AC1096*10^6/(H2dens*HoursInYear))</f>
        <v>444.44444444444446</v>
      </c>
      <c r="AC1096" s="63">
        <f>AB1096*H2dens*HoursInYear/10^6</f>
        <v>0.34650666666666669</v>
      </c>
      <c r="AD1096" s="62"/>
      <c r="AE1096" s="62">
        <f t="shared" si="133"/>
        <v>444.44444444444446</v>
      </c>
      <c r="AF1096" s="64" t="s">
        <v>3159</v>
      </c>
      <c r="AG1096" s="49">
        <v>0.3</v>
      </c>
    </row>
    <row r="1097" spans="1:33" customFormat="1" ht="35.1" customHeight="1" x14ac:dyDescent="0.3">
      <c r="A1097" s="46">
        <v>1536</v>
      </c>
      <c r="B1097" s="46" t="s">
        <v>3167</v>
      </c>
      <c r="C1097" s="46" t="s">
        <v>64</v>
      </c>
      <c r="D1097" s="60">
        <v>2026</v>
      </c>
      <c r="E1097" s="60"/>
      <c r="F1097" s="46" t="s">
        <v>591</v>
      </c>
      <c r="G1097" s="46" t="s">
        <v>159</v>
      </c>
      <c r="H1097" s="46" t="s">
        <v>592</v>
      </c>
      <c r="I1097" s="46" t="s">
        <v>169</v>
      </c>
      <c r="J1097" s="46" t="s">
        <v>245</v>
      </c>
      <c r="K1097" s="46" t="s">
        <v>141</v>
      </c>
      <c r="L1097" s="46"/>
      <c r="M1097" s="46">
        <v>1</v>
      </c>
      <c r="N1097" s="46"/>
      <c r="O1097" s="46"/>
      <c r="P1097" s="46"/>
      <c r="Q1097" s="46"/>
      <c r="R1097" s="46"/>
      <c r="S1097" s="46"/>
      <c r="T1097" s="46"/>
      <c r="U1097" s="46"/>
      <c r="V1097" s="46"/>
      <c r="W1097" s="46"/>
      <c r="X1097" s="46"/>
      <c r="Y1097" s="46"/>
      <c r="Z1097" s="46" t="s">
        <v>3168</v>
      </c>
      <c r="AA1097" s="61">
        <f>IF(OR(G1097="ALK",G1097="PEM",G1097="SOEC",G1097="Other Electrolysis"),
AB1097*VLOOKUP(G1097,ElectrolysisConvF,3,FALSE),
"")</f>
        <v>490.61105125442509</v>
      </c>
      <c r="AB1097" s="62">
        <f>AC1097/(H2dens*HoursInYear/10^6)</f>
        <v>109024.67805653892</v>
      </c>
      <c r="AC1097" s="63">
        <v>85</v>
      </c>
      <c r="AD1097" s="62"/>
      <c r="AE1097" s="62">
        <f t="shared" si="133"/>
        <v>109024.67805653892</v>
      </c>
      <c r="AF1097" s="64" t="s">
        <v>3159</v>
      </c>
      <c r="AG1097" s="49">
        <v>0.4</v>
      </c>
    </row>
    <row r="1098" spans="1:33" customFormat="1" ht="35.1" customHeight="1" x14ac:dyDescent="0.3">
      <c r="A1098" s="46">
        <v>1537</v>
      </c>
      <c r="B1098" s="46" t="s">
        <v>3169</v>
      </c>
      <c r="C1098" s="46" t="s">
        <v>35</v>
      </c>
      <c r="D1098" s="60"/>
      <c r="E1098" s="60"/>
      <c r="F1098" s="46" t="s">
        <v>225</v>
      </c>
      <c r="G1098" s="46" t="s">
        <v>159</v>
      </c>
      <c r="H1098" s="46" t="s">
        <v>592</v>
      </c>
      <c r="I1098" s="46" t="s">
        <v>169</v>
      </c>
      <c r="J1098" s="46" t="s">
        <v>69</v>
      </c>
      <c r="K1098" s="46" t="s">
        <v>141</v>
      </c>
      <c r="L1098" s="46"/>
      <c r="M1098" s="46">
        <v>1</v>
      </c>
      <c r="N1098" s="46"/>
      <c r="O1098" s="46"/>
      <c r="P1098" s="46"/>
      <c r="Q1098" s="46"/>
      <c r="R1098" s="46"/>
      <c r="S1098" s="46"/>
      <c r="T1098" s="46"/>
      <c r="U1098" s="46"/>
      <c r="V1098" s="46"/>
      <c r="W1098" s="46"/>
      <c r="X1098" s="46"/>
      <c r="Y1098" s="46"/>
      <c r="Z1098" s="46" t="s">
        <v>1257</v>
      </c>
      <c r="AA1098" s="61">
        <v>100</v>
      </c>
      <c r="AB1098" s="62">
        <f>IF(OR(G1098="ALK",G1098="PEM",G1098="SOEC",G1098="Other Electrolysis"),
AA1098/VLOOKUP(G1098,ElectrolysisConvF,3,FALSE),
AC1098*10^6/(H2dens*HoursInYear))</f>
        <v>22222.222222222223</v>
      </c>
      <c r="AC1098" s="63">
        <f>AB1098*H2dens*HoursInYear/10^6</f>
        <v>17.325333333333333</v>
      </c>
      <c r="AD1098" s="62"/>
      <c r="AE1098" s="62">
        <f t="shared" si="133"/>
        <v>22222.222222222223</v>
      </c>
      <c r="AF1098" s="64" t="s">
        <v>3170</v>
      </c>
      <c r="AG1098" s="49">
        <v>0.5</v>
      </c>
    </row>
    <row r="1099" spans="1:33" customFormat="1" ht="35.1" customHeight="1" x14ac:dyDescent="0.3">
      <c r="A1099" s="46">
        <v>1538</v>
      </c>
      <c r="B1099" s="46" t="s">
        <v>3171</v>
      </c>
      <c r="C1099" s="46" t="s">
        <v>35</v>
      </c>
      <c r="D1099" s="60"/>
      <c r="E1099" s="60"/>
      <c r="F1099" s="46" t="s">
        <v>225</v>
      </c>
      <c r="G1099" s="46" t="s">
        <v>159</v>
      </c>
      <c r="H1099" s="46" t="s">
        <v>592</v>
      </c>
      <c r="I1099" s="46" t="s">
        <v>169</v>
      </c>
      <c r="J1099" s="46" t="s">
        <v>69</v>
      </c>
      <c r="K1099" s="46" t="s">
        <v>68</v>
      </c>
      <c r="L1099" s="46"/>
      <c r="M1099" s="46"/>
      <c r="N1099" s="46"/>
      <c r="O1099" s="46"/>
      <c r="P1099" s="46"/>
      <c r="Q1099" s="46"/>
      <c r="R1099" s="46"/>
      <c r="S1099" s="46"/>
      <c r="T1099" s="46"/>
      <c r="U1099" s="46"/>
      <c r="V1099" s="46"/>
      <c r="W1099" s="46"/>
      <c r="X1099" s="46"/>
      <c r="Y1099" s="46"/>
      <c r="Z1099" s="46" t="s">
        <v>981</v>
      </c>
      <c r="AA1099" s="61">
        <v>20</v>
      </c>
      <c r="AB1099" s="62">
        <f>IF(OR(G1099="ALK",G1099="PEM",G1099="SOEC",G1099="Other Electrolysis"),
AA1099/VLOOKUP(G1099,ElectrolysisConvF,3,FALSE),
AC1099*10^6/(H2dens*HoursInYear))</f>
        <v>4444.4444444444443</v>
      </c>
      <c r="AC1099" s="63">
        <f>AB1099*H2dens*HoursInYear/10^6</f>
        <v>3.4650666666666665</v>
      </c>
      <c r="AD1099" s="62"/>
      <c r="AE1099" s="62">
        <f t="shared" si="133"/>
        <v>4444.4444444444443</v>
      </c>
      <c r="AF1099" s="64" t="s">
        <v>3172</v>
      </c>
      <c r="AG1099" s="49">
        <v>0.5</v>
      </c>
    </row>
    <row r="1100" spans="1:33" customFormat="1" ht="35.1" customHeight="1" x14ac:dyDescent="0.3">
      <c r="A1100" s="46">
        <v>1539</v>
      </c>
      <c r="B1100" s="46" t="s">
        <v>3173</v>
      </c>
      <c r="C1100" s="46" t="s">
        <v>35</v>
      </c>
      <c r="D1100" s="60"/>
      <c r="E1100" s="60"/>
      <c r="F1100" s="46" t="s">
        <v>591</v>
      </c>
      <c r="G1100" s="46" t="s">
        <v>159</v>
      </c>
      <c r="H1100" s="46" t="s">
        <v>592</v>
      </c>
      <c r="I1100" s="46" t="s">
        <v>169</v>
      </c>
      <c r="J1100" s="46" t="s">
        <v>69</v>
      </c>
      <c r="K1100" s="46" t="s">
        <v>68</v>
      </c>
      <c r="L1100" s="46"/>
      <c r="M1100" s="46"/>
      <c r="N1100" s="46"/>
      <c r="O1100" s="46"/>
      <c r="P1100" s="46"/>
      <c r="Q1100" s="46"/>
      <c r="R1100" s="46"/>
      <c r="S1100" s="46"/>
      <c r="T1100" s="46"/>
      <c r="U1100" s="46"/>
      <c r="V1100" s="46"/>
      <c r="W1100" s="46"/>
      <c r="X1100" s="46"/>
      <c r="Y1100" s="46"/>
      <c r="Z1100" s="46" t="s">
        <v>981</v>
      </c>
      <c r="AA1100" s="61">
        <v>20</v>
      </c>
      <c r="AB1100" s="62">
        <f>IF(OR(G1100="ALK",G1100="PEM",G1100="SOEC",G1100="Other Electrolysis"),
AA1100/VLOOKUP(G1100,ElectrolysisConvF,3,FALSE),
AC1100*10^6/(H2dens*HoursInYear))</f>
        <v>4444.4444444444443</v>
      </c>
      <c r="AC1100" s="63">
        <f>AB1100*H2dens*HoursInYear/10^6</f>
        <v>3.4650666666666665</v>
      </c>
      <c r="AD1100" s="62"/>
      <c r="AE1100" s="62">
        <f t="shared" si="133"/>
        <v>4444.4444444444443</v>
      </c>
      <c r="AF1100" s="64" t="s">
        <v>3172</v>
      </c>
      <c r="AG1100" s="49">
        <v>0.5</v>
      </c>
    </row>
    <row r="1101" spans="1:33" customFormat="1" ht="35.1" customHeight="1" x14ac:dyDescent="0.3">
      <c r="A1101" s="46">
        <v>1540</v>
      </c>
      <c r="B1101" s="46" t="s">
        <v>3174</v>
      </c>
      <c r="C1101" s="46" t="s">
        <v>40</v>
      </c>
      <c r="D1101" s="60"/>
      <c r="E1101" s="60"/>
      <c r="F1101" s="46" t="s">
        <v>591</v>
      </c>
      <c r="G1101" s="46" t="s">
        <v>2</v>
      </c>
      <c r="H1101" s="46"/>
      <c r="I1101" s="46" t="s">
        <v>169</v>
      </c>
      <c r="J1101" s="46" t="s">
        <v>244</v>
      </c>
      <c r="K1101" s="46" t="s">
        <v>68</v>
      </c>
      <c r="L1101" s="46"/>
      <c r="M1101" s="46"/>
      <c r="N1101" s="46"/>
      <c r="O1101" s="46"/>
      <c r="P1101" s="46">
        <v>1</v>
      </c>
      <c r="Q1101" s="46"/>
      <c r="R1101" s="46"/>
      <c r="S1101" s="46">
        <v>1</v>
      </c>
      <c r="T1101" s="46"/>
      <c r="U1101" s="46"/>
      <c r="V1101" s="46"/>
      <c r="W1101" s="46"/>
      <c r="X1101" s="46"/>
      <c r="Y1101" s="46"/>
      <c r="Z1101" s="46" t="s">
        <v>3175</v>
      </c>
      <c r="AA1101" s="61">
        <f>IF(OR(G1101="ALK",G1101="PEM",G1101="SOEC",G1101="Other Electrolysis"),
AB1101*VLOOKUP(G1101,ElectrolysisConvF,3,FALSE),
"")</f>
        <v>324.93629538419441</v>
      </c>
      <c r="AB1101" s="62">
        <f>AC1101/(H2dens*HoursInYear/10^6)</f>
        <v>85509.551416893271</v>
      </c>
      <c r="AC1101" s="62">
        <f>20/H2ProjectDB4578610[[#This Row],[Column33]]</f>
        <v>66.666666666666671</v>
      </c>
      <c r="AD1101" s="62"/>
      <c r="AE1101" s="62">
        <f t="shared" si="133"/>
        <v>85509.551416893271</v>
      </c>
      <c r="AF1101" s="64" t="s">
        <v>3176</v>
      </c>
      <c r="AG1101" s="49">
        <v>0.3</v>
      </c>
    </row>
    <row r="1102" spans="1:33" customFormat="1" ht="35.1" customHeight="1" x14ac:dyDescent="0.3">
      <c r="A1102" s="46">
        <v>1541</v>
      </c>
      <c r="B1102" s="46" t="s">
        <v>3177</v>
      </c>
      <c r="C1102" s="46" t="s">
        <v>321</v>
      </c>
      <c r="D1102" s="60">
        <v>2028</v>
      </c>
      <c r="E1102" s="60"/>
      <c r="F1102" s="46" t="s">
        <v>591</v>
      </c>
      <c r="G1102" s="46" t="s">
        <v>159</v>
      </c>
      <c r="H1102" s="46" t="s">
        <v>592</v>
      </c>
      <c r="I1102" s="46" t="s">
        <v>169</v>
      </c>
      <c r="J1102" s="46" t="s">
        <v>244</v>
      </c>
      <c r="K1102" s="46" t="s">
        <v>68</v>
      </c>
      <c r="L1102" s="46">
        <v>1</v>
      </c>
      <c r="M1102" s="46"/>
      <c r="N1102" s="46"/>
      <c r="O1102" s="46"/>
      <c r="P1102" s="46"/>
      <c r="Q1102" s="46"/>
      <c r="R1102" s="46"/>
      <c r="S1102" s="46"/>
      <c r="T1102" s="46"/>
      <c r="U1102" s="46"/>
      <c r="V1102" s="46"/>
      <c r="W1102" s="46"/>
      <c r="X1102" s="46"/>
      <c r="Y1102" s="46"/>
      <c r="Z1102" s="46" t="s">
        <v>3178</v>
      </c>
      <c r="AA1102" s="61">
        <v>175</v>
      </c>
      <c r="AB1102" s="62">
        <f>IF(OR(G1102="ALK",G1102="PEM",G1102="SOEC",G1102="Other Electrolysis"),
AA1102/VLOOKUP(G1102,ElectrolysisConvF,3,FALSE),
AC1102*10^6/(H2dens*HoursInYear))</f>
        <v>38888.888888888891</v>
      </c>
      <c r="AC1102" s="63">
        <f>AB1102*H2dens*HoursInYear/10^6</f>
        <v>30.319333333333336</v>
      </c>
      <c r="AD1102" s="62"/>
      <c r="AE1102" s="62">
        <f t="shared" si="133"/>
        <v>38888.888888888891</v>
      </c>
      <c r="AF1102" s="64" t="s">
        <v>3179</v>
      </c>
      <c r="AG1102" s="49">
        <v>0.3</v>
      </c>
    </row>
    <row r="1103" spans="1:33" customFormat="1" ht="35.1" customHeight="1" x14ac:dyDescent="0.3">
      <c r="A1103" s="46">
        <v>1542</v>
      </c>
      <c r="B1103" s="46" t="s">
        <v>3180</v>
      </c>
      <c r="C1103" s="46" t="s">
        <v>203</v>
      </c>
      <c r="D1103" s="60"/>
      <c r="E1103" s="60"/>
      <c r="F1103" s="46" t="s">
        <v>591</v>
      </c>
      <c r="G1103" s="46" t="s">
        <v>159</v>
      </c>
      <c r="H1103" s="46" t="s">
        <v>592</v>
      </c>
      <c r="I1103" s="46" t="s">
        <v>169</v>
      </c>
      <c r="J1103" s="46" t="s">
        <v>69</v>
      </c>
      <c r="K1103" s="46" t="s">
        <v>68</v>
      </c>
      <c r="L1103" s="46"/>
      <c r="M1103" s="46"/>
      <c r="N1103" s="46"/>
      <c r="O1103" s="46">
        <v>1</v>
      </c>
      <c r="P1103" s="46">
        <v>1</v>
      </c>
      <c r="Q1103" s="46"/>
      <c r="R1103" s="46"/>
      <c r="S1103" s="46"/>
      <c r="T1103" s="46"/>
      <c r="U1103" s="46"/>
      <c r="V1103" s="46"/>
      <c r="W1103" s="46"/>
      <c r="X1103" s="46"/>
      <c r="Y1103" s="46"/>
      <c r="Z1103" s="46" t="s">
        <v>672</v>
      </c>
      <c r="AA1103" s="61">
        <v>590</v>
      </c>
      <c r="AB1103" s="62">
        <f>IF(OR(G1103="ALK",G1103="PEM",G1103="SOEC",G1103="Other Electrolysis"),
AA1103/VLOOKUP(G1103,ElectrolysisConvF,3,FALSE),
AC1103*10^6/(H2dens*HoursInYear))</f>
        <v>131111.11111111112</v>
      </c>
      <c r="AC1103" s="63">
        <f>AB1103*H2dens*HoursInYear/10^6</f>
        <v>102.21946666666668</v>
      </c>
      <c r="AD1103" s="62"/>
      <c r="AE1103" s="62">
        <f t="shared" si="133"/>
        <v>131111.11111111112</v>
      </c>
      <c r="AF1103" s="64" t="s">
        <v>2034</v>
      </c>
      <c r="AG1103" s="49">
        <v>0.5</v>
      </c>
    </row>
    <row r="1104" spans="1:33" customFormat="1" ht="35.1" customHeight="1" x14ac:dyDescent="0.3">
      <c r="A1104" s="46">
        <v>1543</v>
      </c>
      <c r="B1104" s="46" t="s">
        <v>3181</v>
      </c>
      <c r="C1104" s="46" t="s">
        <v>41</v>
      </c>
      <c r="D1104" s="60">
        <v>2025</v>
      </c>
      <c r="E1104" s="60"/>
      <c r="F1104" s="46" t="s">
        <v>675</v>
      </c>
      <c r="G1104" s="46" t="s">
        <v>159</v>
      </c>
      <c r="H1104" s="46" t="s">
        <v>592</v>
      </c>
      <c r="I1104" s="46" t="s">
        <v>169</v>
      </c>
      <c r="J1104" s="46" t="s">
        <v>244</v>
      </c>
      <c r="K1104" s="46" t="s">
        <v>140</v>
      </c>
      <c r="L1104" s="46"/>
      <c r="M1104" s="46"/>
      <c r="N1104" s="46">
        <v>1</v>
      </c>
      <c r="O1104" s="46"/>
      <c r="P1104" s="46"/>
      <c r="Q1104" s="46"/>
      <c r="R1104" s="46"/>
      <c r="S1104" s="46"/>
      <c r="T1104" s="46"/>
      <c r="U1104" s="46"/>
      <c r="V1104" s="46"/>
      <c r="W1104" s="46"/>
      <c r="X1104" s="46"/>
      <c r="Y1104" s="46"/>
      <c r="Z1104" s="46" t="s">
        <v>3118</v>
      </c>
      <c r="AA1104" s="61">
        <f>IF(OR(G1104="ALK",G1104="PEM",G1104="SOEC",G1104="Other Electrolysis"),
AB1104*VLOOKUP(G1104,ElectrolysisConvF,3,FALSE),
"")</f>
        <v>368.1064337386486</v>
      </c>
      <c r="AB1104" s="62">
        <f>AC1104/(H2dens*HoursInYear/10^6)</f>
        <v>81801.429719699692</v>
      </c>
      <c r="AC1104" s="62">
        <f>0.191327*100/H2ProjectDB4578610[[#This Row],[Column33]]</f>
        <v>63.775666666666666</v>
      </c>
      <c r="AD1104" s="62"/>
      <c r="AE1104" s="62">
        <f t="shared" si="133"/>
        <v>81801.429719699692</v>
      </c>
      <c r="AF1104" s="64" t="s">
        <v>3182</v>
      </c>
      <c r="AG1104" s="49">
        <v>0.3</v>
      </c>
    </row>
    <row r="1105" spans="1:33" customFormat="1" ht="35.1" customHeight="1" x14ac:dyDescent="0.3">
      <c r="A1105" s="46">
        <v>1544</v>
      </c>
      <c r="B1105" s="46" t="s">
        <v>3183</v>
      </c>
      <c r="C1105" s="46" t="s">
        <v>318</v>
      </c>
      <c r="D1105" s="60">
        <v>2025</v>
      </c>
      <c r="E1105" s="60"/>
      <c r="F1105" s="46" t="s">
        <v>225</v>
      </c>
      <c r="G1105" s="46" t="s">
        <v>159</v>
      </c>
      <c r="H1105" s="46" t="s">
        <v>592</v>
      </c>
      <c r="I1105" s="46" t="s">
        <v>169</v>
      </c>
      <c r="J1105" s="46" t="s">
        <v>244</v>
      </c>
      <c r="K1105" s="46" t="s">
        <v>68</v>
      </c>
      <c r="L1105" s="46"/>
      <c r="M1105" s="46"/>
      <c r="N1105" s="46"/>
      <c r="O1105" s="46"/>
      <c r="P1105" s="46">
        <v>1</v>
      </c>
      <c r="Q1105" s="46"/>
      <c r="R1105" s="46"/>
      <c r="S1105" s="46"/>
      <c r="T1105" s="46"/>
      <c r="U1105" s="46"/>
      <c r="V1105" s="46"/>
      <c r="W1105" s="46"/>
      <c r="X1105" s="46"/>
      <c r="Y1105" s="46"/>
      <c r="Z1105" s="46" t="s">
        <v>1339</v>
      </c>
      <c r="AA1105" s="61">
        <v>40</v>
      </c>
      <c r="AB1105" s="62">
        <f>IF(OR(G1105="ALK",G1105="PEM",G1105="SOEC",G1105="Other Electrolysis"),
AA1105/VLOOKUP(G1105,ElectrolysisConvF,3,FALSE),
AC1105*10^6/(H2dens*HoursInYear))</f>
        <v>8888.8888888888887</v>
      </c>
      <c r="AC1105" s="63">
        <f>AB1105*H2dens*HoursInYear/10^6</f>
        <v>6.930133333333333</v>
      </c>
      <c r="AD1105" s="62"/>
      <c r="AE1105" s="62">
        <f t="shared" si="133"/>
        <v>8888.8888888888887</v>
      </c>
      <c r="AF1105" s="64" t="s">
        <v>3184</v>
      </c>
      <c r="AG1105" s="49">
        <v>0.3</v>
      </c>
    </row>
    <row r="1106" spans="1:33" customFormat="1" ht="35.1" customHeight="1" x14ac:dyDescent="0.3">
      <c r="A1106" s="46">
        <v>1545</v>
      </c>
      <c r="B1106" s="46" t="s">
        <v>3185</v>
      </c>
      <c r="C1106" s="46" t="s">
        <v>318</v>
      </c>
      <c r="D1106" s="60"/>
      <c r="E1106" s="60"/>
      <c r="F1106" s="46" t="s">
        <v>591</v>
      </c>
      <c r="G1106" s="46" t="s">
        <v>159</v>
      </c>
      <c r="H1106" s="46" t="s">
        <v>592</v>
      </c>
      <c r="I1106" s="46" t="s">
        <v>169</v>
      </c>
      <c r="J1106" s="46" t="s">
        <v>244</v>
      </c>
      <c r="K1106" s="46" t="s">
        <v>68</v>
      </c>
      <c r="L1106" s="46"/>
      <c r="M1106" s="46"/>
      <c r="N1106" s="46"/>
      <c r="O1106" s="46"/>
      <c r="P1106" s="46">
        <v>1</v>
      </c>
      <c r="Q1106" s="46"/>
      <c r="R1106" s="46"/>
      <c r="S1106" s="46"/>
      <c r="T1106" s="46"/>
      <c r="U1106" s="46"/>
      <c r="V1106" s="46"/>
      <c r="W1106" s="46"/>
      <c r="X1106" s="46"/>
      <c r="Y1106" s="46"/>
      <c r="Z1106" s="46" t="s">
        <v>1843</v>
      </c>
      <c r="AA1106" s="61">
        <v>540</v>
      </c>
      <c r="AB1106" s="62">
        <f>IF(OR(G1106="ALK",G1106="PEM",G1106="SOEC",G1106="Other Electrolysis"),
AA1106/VLOOKUP(G1106,ElectrolysisConvF,3,FALSE),
AC1106*10^6/(H2dens*HoursInYear))</f>
        <v>120000.00000000001</v>
      </c>
      <c r="AC1106" s="63">
        <f>AB1106*H2dens*HoursInYear/10^6</f>
        <v>93.556799999999996</v>
      </c>
      <c r="AD1106" s="62"/>
      <c r="AE1106" s="62">
        <f t="shared" si="133"/>
        <v>120000.00000000001</v>
      </c>
      <c r="AF1106" s="64" t="s">
        <v>3184</v>
      </c>
      <c r="AG1106" s="49">
        <v>0.3</v>
      </c>
    </row>
    <row r="1107" spans="1:33" customFormat="1" ht="35.1" customHeight="1" x14ac:dyDescent="0.3">
      <c r="A1107" s="46">
        <v>1546</v>
      </c>
      <c r="B1107" s="46" t="s">
        <v>3186</v>
      </c>
      <c r="C1107" s="46" t="s">
        <v>41</v>
      </c>
      <c r="D1107" s="60">
        <v>2022</v>
      </c>
      <c r="E1107" s="60"/>
      <c r="F1107" s="46" t="s">
        <v>285</v>
      </c>
      <c r="G1107" s="46" t="s">
        <v>1</v>
      </c>
      <c r="H1107" s="46"/>
      <c r="I1107" s="46" t="s">
        <v>169</v>
      </c>
      <c r="J1107" s="46" t="s">
        <v>248</v>
      </c>
      <c r="K1107" s="46" t="s">
        <v>68</v>
      </c>
      <c r="L1107" s="46"/>
      <c r="M1107" s="46"/>
      <c r="N1107" s="46"/>
      <c r="O1107" s="46"/>
      <c r="P1107" s="46"/>
      <c r="Q1107" s="46"/>
      <c r="R1107" s="46"/>
      <c r="S1107" s="46"/>
      <c r="T1107" s="46"/>
      <c r="U1107" s="46"/>
      <c r="V1107" s="46"/>
      <c r="W1107" s="46"/>
      <c r="X1107" s="46"/>
      <c r="Y1107" s="46"/>
      <c r="Z1107" s="46" t="s">
        <v>676</v>
      </c>
      <c r="AA1107" s="61">
        <v>2.5</v>
      </c>
      <c r="AB1107" s="62">
        <f>IF(OR(G1107="ALK",G1107="PEM",G1107="SOEC",G1107="Other Electrolysis"),
AA1107/VLOOKUP(G1107,ElectrolysisConvF,3,FALSE),
AC1107*10^6/(H2dens*HoursInYear))</f>
        <v>480.76923076923077</v>
      </c>
      <c r="AC1107" s="63">
        <f>AB1107*H2dens*HoursInYear/10^6</f>
        <v>0.37482692307692306</v>
      </c>
      <c r="AD1107" s="62"/>
      <c r="AE1107" s="62">
        <f t="shared" si="133"/>
        <v>480.76923076923077</v>
      </c>
      <c r="AF1107" s="64" t="s">
        <v>3187</v>
      </c>
      <c r="AG1107" s="49">
        <v>0.5</v>
      </c>
    </row>
    <row r="1108" spans="1:33" customFormat="1" ht="35.1" customHeight="1" x14ac:dyDescent="0.3">
      <c r="A1108" s="46">
        <v>1547</v>
      </c>
      <c r="B1108" s="46" t="s">
        <v>3188</v>
      </c>
      <c r="C1108" s="46" t="s">
        <v>321</v>
      </c>
      <c r="D1108" s="60"/>
      <c r="E1108" s="60"/>
      <c r="F1108" s="46" t="s">
        <v>225</v>
      </c>
      <c r="G1108" s="46" t="s">
        <v>159</v>
      </c>
      <c r="H1108" s="46" t="s">
        <v>592</v>
      </c>
      <c r="I1108" s="46" t="s">
        <v>157</v>
      </c>
      <c r="J1108" s="46"/>
      <c r="K1108" s="46" t="s">
        <v>68</v>
      </c>
      <c r="L1108" s="46"/>
      <c r="M1108" s="46"/>
      <c r="N1108" s="46"/>
      <c r="O1108" s="46"/>
      <c r="P1108" s="46">
        <v>1</v>
      </c>
      <c r="Q1108" s="46">
        <v>1</v>
      </c>
      <c r="R1108" s="46"/>
      <c r="S1108" s="46"/>
      <c r="T1108" s="46"/>
      <c r="U1108" s="46"/>
      <c r="V1108" s="46"/>
      <c r="W1108" s="46"/>
      <c r="X1108" s="46"/>
      <c r="Y1108" s="46"/>
      <c r="Z1108" s="46" t="s">
        <v>3189</v>
      </c>
      <c r="AA1108" s="61">
        <f>IF(OR(G1108="ALK",G1108="PEM",G1108="SOEC",G1108="Other Electrolysis"),
AB1108*VLOOKUP(G1108,ElectrolysisConvF,3,FALSE),
"")</f>
        <v>144.2973680160074</v>
      </c>
      <c r="AB1108" s="62">
        <f>AC1108/(H2dens*HoursInYear/10^6)</f>
        <v>32066.081781334979</v>
      </c>
      <c r="AC1108" s="62">
        <v>25</v>
      </c>
      <c r="AD1108" s="62"/>
      <c r="AE1108" s="62">
        <f t="shared" si="133"/>
        <v>32066.081781334979</v>
      </c>
      <c r="AF1108" s="64"/>
      <c r="AG1108" s="49">
        <v>0.56999999999999995</v>
      </c>
    </row>
    <row r="1109" spans="1:33" ht="35.1" customHeight="1" x14ac:dyDescent="0.3">
      <c r="A1109" s="46">
        <v>1548</v>
      </c>
      <c r="B1109" s="46" t="s">
        <v>3190</v>
      </c>
      <c r="C1109" s="64" t="s">
        <v>2017</v>
      </c>
      <c r="D1109" s="60">
        <v>2030</v>
      </c>
      <c r="E1109" s="60"/>
      <c r="F1109" s="46" t="s">
        <v>591</v>
      </c>
      <c r="G1109" s="46" t="s">
        <v>159</v>
      </c>
      <c r="H1109" s="46" t="s">
        <v>592</v>
      </c>
      <c r="I1109" s="46" t="s">
        <v>169</v>
      </c>
      <c r="J1109" s="46" t="s">
        <v>244</v>
      </c>
      <c r="K1109" s="46" t="s">
        <v>68</v>
      </c>
      <c r="L1109" s="46"/>
      <c r="M1109" s="46"/>
      <c r="N1109" s="46"/>
      <c r="O1109" s="46"/>
      <c r="P1109" s="46"/>
      <c r="Q1109" s="46"/>
      <c r="R1109" s="46">
        <v>1</v>
      </c>
      <c r="S1109" s="46">
        <v>1</v>
      </c>
      <c r="T1109" s="46"/>
      <c r="U1109" s="46"/>
      <c r="V1109" s="46"/>
      <c r="W1109" s="46"/>
      <c r="X1109" s="46"/>
      <c r="Y1109" s="46"/>
      <c r="Z1109" s="46" t="s">
        <v>3191</v>
      </c>
      <c r="AA1109" s="61">
        <f>IF(OR(G1109="ALK",G1109="PEM",G1109="SOEC",G1109="Other Electrolysis"),
AB1109*VLOOKUP(G1109,ElectrolysisConvF,3,FALSE),
"")</f>
        <v>19239.649068800987</v>
      </c>
      <c r="AB1109" s="62">
        <f>AC1109/(H2dens*HoursInYear/10^6)</f>
        <v>4275477.5708446642</v>
      </c>
      <c r="AC1109" s="62">
        <f>1000/H2ProjectDB4578610[[#This Row],[Column33]]</f>
        <v>3333.3333333333335</v>
      </c>
      <c r="AD1109" s="62"/>
      <c r="AE1109" s="62">
        <f t="shared" si="133"/>
        <v>4275477.5708446642</v>
      </c>
      <c r="AF1109" s="64"/>
      <c r="AG1109" s="49">
        <v>0.3</v>
      </c>
    </row>
    <row r="1110" spans="1:33" ht="35.1" customHeight="1" x14ac:dyDescent="0.3">
      <c r="A1110" s="46">
        <v>1549</v>
      </c>
      <c r="B1110" s="46" t="s">
        <v>3192</v>
      </c>
      <c r="C1110" s="46" t="s">
        <v>321</v>
      </c>
      <c r="D1110" s="60">
        <v>2028</v>
      </c>
      <c r="E1110" s="60"/>
      <c r="F1110" s="46" t="s">
        <v>225</v>
      </c>
      <c r="G1110" s="46" t="s">
        <v>159</v>
      </c>
      <c r="H1110" s="46" t="s">
        <v>592</v>
      </c>
      <c r="I1110" s="46" t="s">
        <v>169</v>
      </c>
      <c r="J1110" s="46" t="s">
        <v>244</v>
      </c>
      <c r="K1110" s="46" t="s">
        <v>68</v>
      </c>
      <c r="L1110" s="46"/>
      <c r="M1110" s="46">
        <v>1</v>
      </c>
      <c r="N1110" s="46"/>
      <c r="O1110" s="46">
        <v>1</v>
      </c>
      <c r="P1110" s="46">
        <v>1</v>
      </c>
      <c r="Q1110" s="46"/>
      <c r="R1110" s="46"/>
      <c r="S1110" s="46"/>
      <c r="T1110" s="46"/>
      <c r="U1110" s="46"/>
      <c r="V1110" s="46"/>
      <c r="W1110" s="46"/>
      <c r="X1110" s="46"/>
      <c r="Y1110" s="46"/>
      <c r="Z1110" s="46" t="s">
        <v>3193</v>
      </c>
      <c r="AA1110" s="61">
        <v>3300</v>
      </c>
      <c r="AB1110" s="62">
        <f>IF(OR(G1110="ALK",G1110="PEM",G1110="SOEC",G1110="Other Electrolysis"),
AA1110/VLOOKUP(G1110,ElectrolysisConvF,3,FALSE),
AC1110*10^6/(H2dens*HoursInYear))</f>
        <v>733333.33333333337</v>
      </c>
      <c r="AC1110" s="63">
        <f>AB1110*H2dens*HoursInYear/10^6</f>
        <v>571.73599999999999</v>
      </c>
      <c r="AD1110" s="62"/>
      <c r="AE1110" s="62">
        <f t="shared" si="133"/>
        <v>733333.33333333337</v>
      </c>
      <c r="AF1110" s="64" t="s">
        <v>3194</v>
      </c>
      <c r="AG1110" s="49">
        <v>0.3</v>
      </c>
    </row>
    <row r="1111" spans="1:33" ht="35.1" customHeight="1" x14ac:dyDescent="0.3">
      <c r="A1111" s="46">
        <v>1550</v>
      </c>
      <c r="B1111" s="46" t="s">
        <v>3195</v>
      </c>
      <c r="C1111" s="46" t="s">
        <v>321</v>
      </c>
      <c r="D1111" s="60"/>
      <c r="E1111" s="60"/>
      <c r="F1111" s="46" t="s">
        <v>225</v>
      </c>
      <c r="G1111" s="46" t="s">
        <v>159</v>
      </c>
      <c r="H1111" s="46" t="s">
        <v>592</v>
      </c>
      <c r="I1111" s="46" t="s">
        <v>169</v>
      </c>
      <c r="J1111" s="46" t="s">
        <v>244</v>
      </c>
      <c r="K1111" s="46" t="s">
        <v>68</v>
      </c>
      <c r="L1111" s="46"/>
      <c r="M1111" s="46">
        <v>1</v>
      </c>
      <c r="N1111" s="46"/>
      <c r="O1111" s="46">
        <v>1</v>
      </c>
      <c r="P1111" s="46">
        <v>1</v>
      </c>
      <c r="Q1111" s="46"/>
      <c r="R1111" s="46"/>
      <c r="S1111" s="46"/>
      <c r="T1111" s="46"/>
      <c r="U1111" s="46"/>
      <c r="V1111" s="46"/>
      <c r="W1111" s="46"/>
      <c r="X1111" s="46"/>
      <c r="Y1111" s="46"/>
      <c r="Z1111" s="46" t="s">
        <v>3196</v>
      </c>
      <c r="AA1111" s="61">
        <f>7400-AA1110</f>
        <v>4100</v>
      </c>
      <c r="AB1111" s="62">
        <f>IF(OR(G1111="ALK",G1111="PEM",G1111="SOEC",G1111="Other Electrolysis"),
AA1111/VLOOKUP(G1111,ElectrolysisConvF,3,FALSE),
AC1111*10^6/(H2dens*HoursInYear))</f>
        <v>911111.11111111112</v>
      </c>
      <c r="AC1111" s="63">
        <f>AB1111*H2dens*HoursInYear/10^6</f>
        <v>710.33866666666665</v>
      </c>
      <c r="AD1111" s="62"/>
      <c r="AE1111" s="62">
        <f t="shared" si="133"/>
        <v>911111.11111111112</v>
      </c>
      <c r="AF1111" s="64" t="s">
        <v>3197</v>
      </c>
      <c r="AG1111" s="49">
        <v>0.3</v>
      </c>
    </row>
    <row r="1112" spans="1:33" ht="35.1" customHeight="1" x14ac:dyDescent="0.3">
      <c r="A1112" s="46">
        <v>1551</v>
      </c>
      <c r="B1112" s="46" t="s">
        <v>3198</v>
      </c>
      <c r="C1112" s="46" t="s">
        <v>39</v>
      </c>
      <c r="D1112" s="60">
        <v>2026</v>
      </c>
      <c r="E1112" s="60"/>
      <c r="F1112" s="46" t="s">
        <v>675</v>
      </c>
      <c r="G1112" s="46" t="s">
        <v>159</v>
      </c>
      <c r="H1112" s="46" t="s">
        <v>592</v>
      </c>
      <c r="I1112" s="46" t="s">
        <v>166</v>
      </c>
      <c r="J1112" s="46"/>
      <c r="K1112" s="46" t="s">
        <v>68</v>
      </c>
      <c r="L1112" s="46"/>
      <c r="M1112" s="46">
        <v>1</v>
      </c>
      <c r="N1112" s="46"/>
      <c r="O1112" s="46"/>
      <c r="P1112" s="46"/>
      <c r="Q1112" s="46">
        <v>1</v>
      </c>
      <c r="R1112" s="46"/>
      <c r="S1112" s="46"/>
      <c r="T1112" s="46"/>
      <c r="U1112" s="46"/>
      <c r="V1112" s="46"/>
      <c r="W1112" s="46"/>
      <c r="X1112" s="46"/>
      <c r="Y1112" s="46"/>
      <c r="Z1112" s="46" t="s">
        <v>3199</v>
      </c>
      <c r="AA1112" s="61">
        <v>55</v>
      </c>
      <c r="AB1112" s="62">
        <f>IF(OR(G1112="ALK",G1112="PEM",G1112="SOEC",G1112="Other Electrolysis"),
AA1112/VLOOKUP(G1112,ElectrolysisConvF,3,FALSE),
AC1112*10^6/(H2dens*HoursInYear))</f>
        <v>12222.222222222223</v>
      </c>
      <c r="AC1112" s="63">
        <f>AB1112*H2dens*HoursInYear/10^6</f>
        <v>9.5289333333333346</v>
      </c>
      <c r="AD1112" s="62"/>
      <c r="AE1112" s="62">
        <f t="shared" si="133"/>
        <v>12222.222222222223</v>
      </c>
      <c r="AF1112" s="64" t="s">
        <v>3200</v>
      </c>
      <c r="AG1112" s="49">
        <v>0.56999999999999995</v>
      </c>
    </row>
    <row r="1113" spans="1:33" ht="35.1" customHeight="1" x14ac:dyDescent="0.3">
      <c r="A1113" s="46">
        <v>1552</v>
      </c>
      <c r="B1113" s="46" t="s">
        <v>3201</v>
      </c>
      <c r="C1113" s="46" t="s">
        <v>503</v>
      </c>
      <c r="D1113" s="60">
        <v>2023</v>
      </c>
      <c r="E1113" s="60"/>
      <c r="F1113" s="46" t="s">
        <v>675</v>
      </c>
      <c r="G1113" s="46" t="s">
        <v>159</v>
      </c>
      <c r="H1113" s="46" t="s">
        <v>592</v>
      </c>
      <c r="I1113" s="46" t="s">
        <v>169</v>
      </c>
      <c r="J1113" s="46" t="s">
        <v>244</v>
      </c>
      <c r="K1113" s="46" t="s">
        <v>68</v>
      </c>
      <c r="L1113" s="46"/>
      <c r="M1113" s="46"/>
      <c r="N1113" s="46"/>
      <c r="O1113" s="46"/>
      <c r="P1113" s="46"/>
      <c r="Q1113" s="46">
        <v>1</v>
      </c>
      <c r="R1113" s="46"/>
      <c r="S1113" s="46"/>
      <c r="T1113" s="46"/>
      <c r="U1113" s="46"/>
      <c r="V1113" s="46"/>
      <c r="W1113" s="46"/>
      <c r="X1113" s="46"/>
      <c r="Y1113" s="46"/>
      <c r="Z1113" s="46" t="s">
        <v>1828</v>
      </c>
      <c r="AA1113" s="61">
        <v>4</v>
      </c>
      <c r="AB1113" s="62">
        <f>IF(OR(G1113="ALK",G1113="PEM",G1113="SOEC",G1113="Other Electrolysis"),
AA1113/VLOOKUP(G1113,ElectrolysisConvF,3,FALSE),
AC1113*10^6/(H2dens*HoursInYear))</f>
        <v>888.88888888888891</v>
      </c>
      <c r="AC1113" s="63">
        <f>AB1113*H2dens*HoursInYear/10^6</f>
        <v>0.69301333333333337</v>
      </c>
      <c r="AD1113" s="62"/>
      <c r="AE1113" s="62">
        <f t="shared" si="133"/>
        <v>888.88888888888891</v>
      </c>
      <c r="AF1113" s="64" t="s">
        <v>3202</v>
      </c>
      <c r="AG1113" s="49">
        <v>0.3</v>
      </c>
    </row>
    <row r="1114" spans="1:33" ht="35.1" customHeight="1" x14ac:dyDescent="0.3">
      <c r="A1114" s="46">
        <v>1553</v>
      </c>
      <c r="B1114" s="46" t="s">
        <v>3203</v>
      </c>
      <c r="C1114" s="46" t="s">
        <v>90</v>
      </c>
      <c r="D1114" s="60"/>
      <c r="E1114" s="60"/>
      <c r="F1114" s="46" t="s">
        <v>591</v>
      </c>
      <c r="G1114" s="46" t="s">
        <v>159</v>
      </c>
      <c r="H1114" s="46" t="s">
        <v>592</v>
      </c>
      <c r="I1114" s="46" t="s">
        <v>169</v>
      </c>
      <c r="J1114" s="46" t="s">
        <v>246</v>
      </c>
      <c r="K1114" s="46" t="s">
        <v>68</v>
      </c>
      <c r="L1114" s="46"/>
      <c r="M1114" s="46">
        <v>1</v>
      </c>
      <c r="N1114" s="46"/>
      <c r="O1114" s="46"/>
      <c r="P1114" s="46">
        <v>1</v>
      </c>
      <c r="Q1114" s="46"/>
      <c r="R1114" s="46"/>
      <c r="S1114" s="46"/>
      <c r="T1114" s="46"/>
      <c r="U1114" s="46"/>
      <c r="V1114" s="46"/>
      <c r="W1114" s="46"/>
      <c r="X1114" s="46"/>
      <c r="Y1114" s="46"/>
      <c r="Z1114" s="46"/>
      <c r="AA1114" s="61"/>
      <c r="AB1114" s="62"/>
      <c r="AC1114" s="62"/>
      <c r="AD1114" s="62"/>
      <c r="AE1114" s="62">
        <f t="shared" si="133"/>
        <v>0</v>
      </c>
      <c r="AF1114" s="64" t="s">
        <v>3204</v>
      </c>
      <c r="AG1114" s="49">
        <v>0.55000000000000004</v>
      </c>
    </row>
    <row r="1115" spans="1:33" ht="35.1" customHeight="1" x14ac:dyDescent="0.3">
      <c r="A1115" s="46">
        <v>1554</v>
      </c>
      <c r="B1115" s="46" t="s">
        <v>3205</v>
      </c>
      <c r="C1115" s="46" t="s">
        <v>37</v>
      </c>
      <c r="D1115" s="60">
        <v>2025</v>
      </c>
      <c r="E1115" s="60"/>
      <c r="F1115" s="46" t="s">
        <v>225</v>
      </c>
      <c r="G1115" s="46" t="s">
        <v>153</v>
      </c>
      <c r="H1115" s="46" t="s">
        <v>1715</v>
      </c>
      <c r="I1115" s="46"/>
      <c r="J1115" s="46"/>
      <c r="K1115" s="46" t="s">
        <v>68</v>
      </c>
      <c r="L1115" s="46"/>
      <c r="M1115" s="46"/>
      <c r="N1115" s="46"/>
      <c r="O1115" s="46"/>
      <c r="P1115" s="46"/>
      <c r="Q1115" s="46"/>
      <c r="R1115" s="46"/>
      <c r="S1115" s="46"/>
      <c r="T1115" s="46"/>
      <c r="U1115" s="46"/>
      <c r="V1115" s="46"/>
      <c r="W1115" s="46"/>
      <c r="X1115" s="46"/>
      <c r="Y1115" s="46"/>
      <c r="Z1115" s="46" t="s">
        <v>3206</v>
      </c>
      <c r="AA1115" s="61" t="str">
        <f>IF(OR(G1115="ALK",G1115="PEM",G1115="SOEC",G1115="Other Electrolysis"),
AB1115*VLOOKUP(G1115,ElectrolysisConvF,3,FALSE),
"")</f>
        <v/>
      </c>
      <c r="AB1115" s="62">
        <f>AC1115/(H2dens*HoursInYear/10^6)</f>
        <v>3206.6081781334979</v>
      </c>
      <c r="AC1115" s="62">
        <v>2.5</v>
      </c>
      <c r="AD1115" s="62"/>
      <c r="AE1115" s="62">
        <f t="shared" si="133"/>
        <v>3206.6081781334979</v>
      </c>
      <c r="AF1115" s="64" t="s">
        <v>3207</v>
      </c>
      <c r="AG1115" s="49">
        <v>0.9</v>
      </c>
    </row>
    <row r="1116" spans="1:33" ht="35.1" customHeight="1" x14ac:dyDescent="0.3">
      <c r="A1116" s="46">
        <v>1555</v>
      </c>
      <c r="B1116" s="46" t="s">
        <v>3208</v>
      </c>
      <c r="C1116" s="46" t="s">
        <v>46</v>
      </c>
      <c r="D1116" s="60"/>
      <c r="E1116" s="60"/>
      <c r="F1116" s="46" t="s">
        <v>225</v>
      </c>
      <c r="G1116" s="46" t="s">
        <v>159</v>
      </c>
      <c r="H1116" s="46" t="s">
        <v>592</v>
      </c>
      <c r="I1116" s="46" t="s">
        <v>169</v>
      </c>
      <c r="J1116" s="46" t="s">
        <v>246</v>
      </c>
      <c r="K1116" s="46" t="s">
        <v>68</v>
      </c>
      <c r="L1116" s="46"/>
      <c r="M1116" s="46"/>
      <c r="N1116" s="46"/>
      <c r="O1116" s="46"/>
      <c r="P1116" s="46"/>
      <c r="Q1116" s="46"/>
      <c r="R1116" s="46"/>
      <c r="S1116" s="46">
        <v>1</v>
      </c>
      <c r="T1116" s="46"/>
      <c r="U1116" s="46"/>
      <c r="V1116" s="46"/>
      <c r="W1116" s="46"/>
      <c r="X1116" s="46"/>
      <c r="Y1116" s="46"/>
      <c r="Z1116" s="46" t="s">
        <v>981</v>
      </c>
      <c r="AA1116" s="61">
        <v>20</v>
      </c>
      <c r="AB1116" s="62">
        <f>IF(OR(G1116="ALK",G1116="PEM",G1116="SOEC",G1116="Other Electrolysis"),
AA1116/VLOOKUP(G1116,ElectrolysisConvF,3,FALSE),
AC1116*10^6/(H2dens*HoursInYear))</f>
        <v>4444.4444444444443</v>
      </c>
      <c r="AC1116" s="63">
        <f>AB1116*H2dens*HoursInYear/10^6</f>
        <v>3.4650666666666665</v>
      </c>
      <c r="AD1116" s="62"/>
      <c r="AE1116" s="62">
        <f t="shared" si="133"/>
        <v>4444.4444444444443</v>
      </c>
      <c r="AF1116" s="64" t="s">
        <v>3209</v>
      </c>
      <c r="AG1116" s="49">
        <v>0.55000000000000004</v>
      </c>
    </row>
    <row r="1117" spans="1:33" ht="35.1" customHeight="1" x14ac:dyDescent="0.3">
      <c r="A1117" s="53">
        <v>1567</v>
      </c>
      <c r="B1117" s="53" t="s">
        <v>3210</v>
      </c>
      <c r="C1117" s="53" t="s">
        <v>46</v>
      </c>
      <c r="D1117" s="54">
        <v>2030</v>
      </c>
      <c r="E1117" s="54"/>
      <c r="F1117" s="53" t="s">
        <v>591</v>
      </c>
      <c r="G1117" s="53" t="s">
        <v>159</v>
      </c>
      <c r="H1117" s="53" t="s">
        <v>592</v>
      </c>
      <c r="I1117" s="53" t="s">
        <v>157</v>
      </c>
      <c r="J1117" s="53"/>
      <c r="K1117" s="53" t="s">
        <v>68</v>
      </c>
      <c r="L1117" s="53"/>
      <c r="M1117" s="53"/>
      <c r="N1117" s="53"/>
      <c r="O1117" s="53"/>
      <c r="P1117" s="53">
        <v>1</v>
      </c>
      <c r="Q1117" s="53">
        <v>1</v>
      </c>
      <c r="R1117" s="53"/>
      <c r="S1117" s="53">
        <v>1</v>
      </c>
      <c r="T1117" s="53"/>
      <c r="U1117" s="53"/>
      <c r="V1117" s="53"/>
      <c r="W1117" s="53"/>
      <c r="X1117" s="53"/>
      <c r="Y1117" s="53"/>
      <c r="Z1117" s="53" t="s">
        <v>672</v>
      </c>
      <c r="AA1117" s="55"/>
      <c r="AB1117" s="56"/>
      <c r="AC1117" s="57"/>
      <c r="AD1117" s="56"/>
      <c r="AE1117" s="56">
        <f t="shared" si="133"/>
        <v>0</v>
      </c>
      <c r="AF1117" s="58" t="s">
        <v>3211</v>
      </c>
      <c r="AG1117" s="49">
        <v>0.56999999999999995</v>
      </c>
    </row>
    <row r="1118" spans="1:33" ht="35.1" customHeight="1" x14ac:dyDescent="0.3">
      <c r="A1118" s="46">
        <v>1577</v>
      </c>
      <c r="B1118" s="46" t="s">
        <v>3212</v>
      </c>
      <c r="C1118" s="46" t="s">
        <v>39</v>
      </c>
      <c r="D1118" s="60"/>
      <c r="E1118" s="60"/>
      <c r="F1118" s="46" t="s">
        <v>591</v>
      </c>
      <c r="G1118" s="46" t="s">
        <v>159</v>
      </c>
      <c r="H1118" s="46" t="s">
        <v>592</v>
      </c>
      <c r="I1118" s="46" t="s">
        <v>166</v>
      </c>
      <c r="J1118" s="46"/>
      <c r="K1118" s="46" t="s">
        <v>68</v>
      </c>
      <c r="L1118" s="46"/>
      <c r="M1118" s="46"/>
      <c r="N1118" s="46"/>
      <c r="O1118" s="46">
        <v>1</v>
      </c>
      <c r="P1118" s="46"/>
      <c r="Q1118" s="46"/>
      <c r="R1118" s="46"/>
      <c r="S1118" s="46"/>
      <c r="T1118" s="46"/>
      <c r="U1118" s="46"/>
      <c r="V1118" s="46"/>
      <c r="W1118" s="46"/>
      <c r="X1118" s="46"/>
      <c r="Y1118" s="46"/>
      <c r="Z1118" s="46"/>
      <c r="AA1118" s="61"/>
      <c r="AB1118" s="62"/>
      <c r="AC1118" s="62"/>
      <c r="AD1118" s="62"/>
      <c r="AE1118" s="62">
        <f t="shared" si="133"/>
        <v>0</v>
      </c>
      <c r="AF1118" s="64" t="s">
        <v>3213</v>
      </c>
      <c r="AG1118" s="49">
        <v>0.56999999999999995</v>
      </c>
    </row>
    <row r="1119" spans="1:33" ht="35.1" customHeight="1" x14ac:dyDescent="0.3">
      <c r="A1119" s="46">
        <v>1578</v>
      </c>
      <c r="B1119" s="46" t="s">
        <v>3214</v>
      </c>
      <c r="C1119" s="46" t="s">
        <v>36</v>
      </c>
      <c r="D1119" s="60"/>
      <c r="E1119" s="60"/>
      <c r="F1119" s="46" t="s">
        <v>591</v>
      </c>
      <c r="G1119" s="46" t="s">
        <v>159</v>
      </c>
      <c r="H1119" s="46" t="s">
        <v>592</v>
      </c>
      <c r="I1119" s="46" t="s">
        <v>157</v>
      </c>
      <c r="J1119" s="46"/>
      <c r="K1119" s="46" t="s">
        <v>68</v>
      </c>
      <c r="L1119" s="46"/>
      <c r="M1119" s="46"/>
      <c r="N1119" s="46"/>
      <c r="O1119" s="46"/>
      <c r="P1119" s="46">
        <v>1</v>
      </c>
      <c r="Q1119" s="46"/>
      <c r="R1119" s="46"/>
      <c r="S1119" s="46"/>
      <c r="T1119" s="46"/>
      <c r="U1119" s="46"/>
      <c r="V1119" s="46"/>
      <c r="W1119" s="46"/>
      <c r="X1119" s="46"/>
      <c r="Y1119" s="46"/>
      <c r="Z1119" s="46"/>
      <c r="AA1119" s="61"/>
      <c r="AB1119" s="62"/>
      <c r="AC1119" s="62"/>
      <c r="AD1119" s="62"/>
      <c r="AE1119" s="62">
        <f t="shared" si="133"/>
        <v>0</v>
      </c>
      <c r="AF1119" s="64" t="s">
        <v>3215</v>
      </c>
      <c r="AG1119" s="49">
        <v>0.56999999999999995</v>
      </c>
    </row>
    <row r="1120" spans="1:33" customFormat="1" ht="35.1" customHeight="1" x14ac:dyDescent="0.3">
      <c r="A1120" s="46">
        <v>1579</v>
      </c>
      <c r="B1120" s="46" t="s">
        <v>3216</v>
      </c>
      <c r="C1120" s="46" t="s">
        <v>40</v>
      </c>
      <c r="D1120" s="60">
        <v>2029</v>
      </c>
      <c r="E1120" s="60"/>
      <c r="F1120" s="46" t="s">
        <v>225</v>
      </c>
      <c r="G1120" s="46" t="s">
        <v>161</v>
      </c>
      <c r="H1120" s="46" t="s">
        <v>1951</v>
      </c>
      <c r="I1120" s="46"/>
      <c r="J1120" s="46"/>
      <c r="K1120" s="46" t="s">
        <v>68</v>
      </c>
      <c r="L1120" s="46">
        <v>1</v>
      </c>
      <c r="M1120" s="46"/>
      <c r="N1120" s="46"/>
      <c r="O1120" s="46"/>
      <c r="P1120" s="46">
        <v>1</v>
      </c>
      <c r="Q1120" s="46"/>
      <c r="R1120" s="46"/>
      <c r="S1120" s="46"/>
      <c r="T1120" s="46"/>
      <c r="U1120" s="46"/>
      <c r="V1120" s="46"/>
      <c r="W1120" s="46"/>
      <c r="X1120" s="46"/>
      <c r="Y1120" s="46"/>
      <c r="Z1120" s="46" t="s">
        <v>3217</v>
      </c>
      <c r="AA1120" s="61" t="str">
        <f>IF(OR(G1120="ALK",G1120="PEM",G1120="SOEC",G1120="Other Electrolysis"),
AB1120*VLOOKUP(G1120,ElectrolysisConvF,3,FALSE),
"")</f>
        <v/>
      </c>
      <c r="AB1120" s="62">
        <f>10^9/24*0.0283</f>
        <v>1179166.6666666665</v>
      </c>
      <c r="AC1120" s="63">
        <f>AB1120*H2dens*HoursInYear/10^6</f>
        <v>919.32549999999992</v>
      </c>
      <c r="AD1120" s="62">
        <v>7000000</v>
      </c>
      <c r="AE1120" s="62">
        <f t="shared" si="133"/>
        <v>877635.09938590624</v>
      </c>
      <c r="AF1120" s="64" t="s">
        <v>3218</v>
      </c>
      <c r="AG1120" s="49">
        <v>0.9</v>
      </c>
    </row>
    <row r="1121" spans="1:33" customFormat="1" ht="35.1" customHeight="1" x14ac:dyDescent="0.3">
      <c r="A1121" s="46">
        <v>1588</v>
      </c>
      <c r="B1121" s="46" t="s">
        <v>3219</v>
      </c>
      <c r="C1121" s="46" t="s">
        <v>40</v>
      </c>
      <c r="D1121" s="60">
        <v>2025</v>
      </c>
      <c r="E1121" s="60"/>
      <c r="F1121" s="46" t="s">
        <v>225</v>
      </c>
      <c r="G1121" s="46" t="s">
        <v>1</v>
      </c>
      <c r="H1121" s="46"/>
      <c r="I1121" s="46" t="s">
        <v>169</v>
      </c>
      <c r="J1121" s="46" t="s">
        <v>69</v>
      </c>
      <c r="K1121" s="46" t="s">
        <v>68</v>
      </c>
      <c r="L1121" s="46"/>
      <c r="M1121" s="46"/>
      <c r="N1121" s="46"/>
      <c r="O1121" s="46"/>
      <c r="P1121" s="46"/>
      <c r="Q1121" s="46"/>
      <c r="R1121" s="46"/>
      <c r="S1121" s="46"/>
      <c r="T1121" s="46"/>
      <c r="U1121" s="46"/>
      <c r="V1121" s="46"/>
      <c r="W1121" s="46"/>
      <c r="X1121" s="46"/>
      <c r="Y1121" s="46"/>
      <c r="Z1121" s="46" t="s">
        <v>1257</v>
      </c>
      <c r="AA1121" s="61">
        <v>100</v>
      </c>
      <c r="AB1121" s="62">
        <f>IF(OR(G1121="ALK",G1121="PEM",G1121="SOEC",G1121="Other Electrolysis"),
AA1121/VLOOKUP(G1121,ElectrolysisConvF,3,FALSE),
AC1121*10^6/(H2dens*HoursInYear))</f>
        <v>19230.76923076923</v>
      </c>
      <c r="AC1121" s="62">
        <f>AB1121*H2dens*HoursInYear/10^6</f>
        <v>14.993076923076922</v>
      </c>
      <c r="AD1121" s="62"/>
      <c r="AE1121" s="62">
        <f t="shared" si="133"/>
        <v>19230.76923076923</v>
      </c>
      <c r="AF1121" s="64" t="s">
        <v>3220</v>
      </c>
      <c r="AG1121" s="49">
        <v>0.5</v>
      </c>
    </row>
    <row r="1122" spans="1:33" customFormat="1" ht="35.1" customHeight="1" x14ac:dyDescent="0.3">
      <c r="A1122" s="46">
        <v>1589</v>
      </c>
      <c r="B1122" s="46" t="s">
        <v>3221</v>
      </c>
      <c r="C1122" s="46" t="s">
        <v>40</v>
      </c>
      <c r="D1122" s="60"/>
      <c r="E1122" s="60"/>
      <c r="F1122" s="46" t="s">
        <v>591</v>
      </c>
      <c r="G1122" s="46" t="s">
        <v>159</v>
      </c>
      <c r="H1122" s="46" t="s">
        <v>592</v>
      </c>
      <c r="I1122" s="46" t="s">
        <v>169</v>
      </c>
      <c r="J1122" s="46" t="s">
        <v>69</v>
      </c>
      <c r="K1122" s="46" t="s">
        <v>68</v>
      </c>
      <c r="L1122" s="46"/>
      <c r="M1122" s="46"/>
      <c r="N1122" s="46"/>
      <c r="O1122" s="46"/>
      <c r="P1122" s="46"/>
      <c r="Q1122" s="46"/>
      <c r="R1122" s="46"/>
      <c r="S1122" s="46"/>
      <c r="T1122" s="46"/>
      <c r="U1122" s="46"/>
      <c r="V1122" s="46"/>
      <c r="W1122" s="46"/>
      <c r="X1122" s="46"/>
      <c r="Y1122" s="46"/>
      <c r="Z1122" s="46" t="s">
        <v>1691</v>
      </c>
      <c r="AA1122" s="61">
        <v>100</v>
      </c>
      <c r="AB1122" s="62">
        <f>IF(OR(G1122="ALK",G1122="PEM",G1122="SOEC",G1122="Other Electrolysis"),
AA1122/VLOOKUP(G1122,ElectrolysisConvF,3,FALSE),
AC1122*10^6/(H2dens*HoursInYear))</f>
        <v>22222.222222222223</v>
      </c>
      <c r="AC1122" s="62">
        <f>AB1122*H2dens*HoursInYear/10^6</f>
        <v>17.325333333333333</v>
      </c>
      <c r="AD1122" s="62"/>
      <c r="AE1122" s="62">
        <f t="shared" si="133"/>
        <v>22222.222222222223</v>
      </c>
      <c r="AF1122" s="64" t="s">
        <v>3220</v>
      </c>
      <c r="AG1122" s="49">
        <v>0.5</v>
      </c>
    </row>
    <row r="1123" spans="1:33" customFormat="1" ht="35.1" customHeight="1" x14ac:dyDescent="0.3">
      <c r="A1123" s="46">
        <v>1598</v>
      </c>
      <c r="B1123" s="46" t="s">
        <v>3222</v>
      </c>
      <c r="C1123" s="46" t="s">
        <v>35</v>
      </c>
      <c r="D1123" s="60">
        <v>2029</v>
      </c>
      <c r="E1123" s="60"/>
      <c r="F1123" s="46" t="s">
        <v>591</v>
      </c>
      <c r="G1123" s="46" t="s">
        <v>2</v>
      </c>
      <c r="H1123" s="46"/>
      <c r="I1123" s="46" t="s">
        <v>169</v>
      </c>
      <c r="J1123" s="46" t="s">
        <v>248</v>
      </c>
      <c r="K1123" s="46" t="s">
        <v>167</v>
      </c>
      <c r="L1123" s="46"/>
      <c r="M1123" s="46"/>
      <c r="N1123" s="46"/>
      <c r="O1123" s="46"/>
      <c r="P1123" s="46"/>
      <c r="Q1123" s="46"/>
      <c r="R1123" s="46"/>
      <c r="S1123" s="46"/>
      <c r="T1123" s="46"/>
      <c r="U1123" s="46"/>
      <c r="V1123" s="46"/>
      <c r="W1123" s="46">
        <v>1</v>
      </c>
      <c r="X1123" s="46"/>
      <c r="Y1123" s="46"/>
      <c r="Z1123" s="65" t="s">
        <v>3223</v>
      </c>
      <c r="AA1123" s="61">
        <f>IF(OR(G1123="ALK",G1123="PEM",G1123="SOEC",G1123="Other Electrolysis"),
AB1123*VLOOKUP(G1123,ElectrolysisConvF,3,FALSE),
"")</f>
        <v>301.58149915345552</v>
      </c>
      <c r="AB1123" s="62">
        <f>AC1123/(H2dens*HoursInYear/10^6)</f>
        <v>79363.552408804084</v>
      </c>
      <c r="AC1123" s="63">
        <f>75*0.803*0.045/0.73/0.12/H2ProjectDB4578610[[#This Row],[Column33]]</f>
        <v>61.875000000000007</v>
      </c>
      <c r="AD1123" s="62"/>
      <c r="AE1123" s="62">
        <f>AB1123</f>
        <v>79363.552408804084</v>
      </c>
      <c r="AF1123" s="64" t="s">
        <v>688</v>
      </c>
      <c r="AG1123" s="49">
        <v>0.5</v>
      </c>
    </row>
    <row r="1124" spans="1:33" customFormat="1" ht="35.1" customHeight="1" x14ac:dyDescent="0.3">
      <c r="A1124" s="46">
        <v>1602</v>
      </c>
      <c r="B1124" s="46" t="s">
        <v>3224</v>
      </c>
      <c r="C1124" s="46" t="s">
        <v>34</v>
      </c>
      <c r="D1124" s="60">
        <v>2027</v>
      </c>
      <c r="E1124" s="60"/>
      <c r="F1124" s="46" t="s">
        <v>225</v>
      </c>
      <c r="G1124" s="46" t="s">
        <v>159</v>
      </c>
      <c r="H1124" s="46" t="s">
        <v>592</v>
      </c>
      <c r="I1124" s="46" t="s">
        <v>169</v>
      </c>
      <c r="J1124" s="46" t="s">
        <v>69</v>
      </c>
      <c r="K1124" s="46" t="s">
        <v>68</v>
      </c>
      <c r="L1124" s="46"/>
      <c r="M1124" s="46"/>
      <c r="N1124" s="46"/>
      <c r="O1124" s="46">
        <v>1</v>
      </c>
      <c r="P1124" s="46"/>
      <c r="Q1124" s="46"/>
      <c r="R1124" s="46"/>
      <c r="S1124" s="46"/>
      <c r="T1124" s="46"/>
      <c r="U1124" s="46"/>
      <c r="V1124" s="46"/>
      <c r="W1124" s="46"/>
      <c r="X1124" s="46"/>
      <c r="Y1124" s="46"/>
      <c r="Z1124" s="46" t="s">
        <v>2917</v>
      </c>
      <c r="AA1124" s="61">
        <v>400</v>
      </c>
      <c r="AB1124" s="62">
        <f>IF(OR(G1124="ALK",G1124="PEM",G1124="SOEC",G1124="Other Electrolysis"),
AA1124/VLOOKUP(G1124,ElectrolysisConvF,3,FALSE),
AC1124*10^6/(H2dens*HoursInYear))</f>
        <v>88888.888888888891</v>
      </c>
      <c r="AC1124" s="63">
        <f>AB1124*H2dens*HoursInYear/10^6</f>
        <v>69.301333333333332</v>
      </c>
      <c r="AD1124" s="62"/>
      <c r="AE1124" s="62">
        <f t="shared" ref="AE1124:AE1187" si="134">IF(AND(G1124&lt;&gt;"NG w CCUS",G1124&lt;&gt;"Oil w CCUS",G1124&lt;&gt;"Coal w CCUS"),AB1124,AD1124*10^3/(HoursInYear*IF(G1124="NG w CCUS",0.9105,1.9075)))</f>
        <v>88888.888888888891</v>
      </c>
      <c r="AF1124" s="64" t="s">
        <v>3225</v>
      </c>
      <c r="AG1124" s="49">
        <v>0.5</v>
      </c>
    </row>
    <row r="1125" spans="1:33" customFormat="1" ht="35.1" customHeight="1" x14ac:dyDescent="0.3">
      <c r="A1125" s="46">
        <v>1603</v>
      </c>
      <c r="B1125" s="46" t="s">
        <v>3226</v>
      </c>
      <c r="C1125" s="46" t="s">
        <v>503</v>
      </c>
      <c r="D1125" s="60">
        <v>2025</v>
      </c>
      <c r="E1125" s="60"/>
      <c r="F1125" s="46" t="s">
        <v>225</v>
      </c>
      <c r="G1125" s="46" t="s">
        <v>159</v>
      </c>
      <c r="H1125" s="46" t="s">
        <v>592</v>
      </c>
      <c r="I1125" s="46" t="s">
        <v>169</v>
      </c>
      <c r="J1125" s="46" t="s">
        <v>244</v>
      </c>
      <c r="K1125" s="46" t="s">
        <v>68</v>
      </c>
      <c r="L1125" s="46"/>
      <c r="M1125" s="46"/>
      <c r="N1125" s="46"/>
      <c r="O1125" s="46"/>
      <c r="P1125" s="46"/>
      <c r="Q1125" s="46"/>
      <c r="R1125" s="46">
        <v>1</v>
      </c>
      <c r="S1125" s="46"/>
      <c r="T1125" s="46"/>
      <c r="U1125" s="46"/>
      <c r="V1125" s="46"/>
      <c r="W1125" s="46"/>
      <c r="X1125" s="46"/>
      <c r="Y1125" s="46"/>
      <c r="Z1125" s="46" t="s">
        <v>1228</v>
      </c>
      <c r="AA1125" s="61">
        <v>24</v>
      </c>
      <c r="AB1125" s="62">
        <f>IF(OR(G1125="ALK",G1125="PEM",G1125="SOEC",G1125="Other Electrolysis"),
AA1125/VLOOKUP(G1125,ElectrolysisConvF,3,FALSE),
AC1125*10^6/(H2dens*HoursInYear))</f>
        <v>5333.3333333333339</v>
      </c>
      <c r="AC1125" s="63">
        <f>AB1125*H2dens*HoursInYear/10^6</f>
        <v>4.15808</v>
      </c>
      <c r="AD1125" s="62"/>
      <c r="AE1125" s="62">
        <f t="shared" si="134"/>
        <v>5333.3333333333339</v>
      </c>
      <c r="AF1125" s="64" t="s">
        <v>3227</v>
      </c>
      <c r="AG1125" s="49">
        <v>0.3</v>
      </c>
    </row>
    <row r="1126" spans="1:33" customFormat="1" ht="35.1" customHeight="1" x14ac:dyDescent="0.3">
      <c r="A1126" s="46">
        <v>1604</v>
      </c>
      <c r="B1126" s="46" t="s">
        <v>3228</v>
      </c>
      <c r="C1126" s="46" t="s">
        <v>475</v>
      </c>
      <c r="D1126" s="60">
        <v>2024</v>
      </c>
      <c r="E1126" s="60"/>
      <c r="F1126" s="46" t="s">
        <v>591</v>
      </c>
      <c r="G1126" s="46" t="s">
        <v>159</v>
      </c>
      <c r="H1126" s="46" t="s">
        <v>592</v>
      </c>
      <c r="I1126" s="46" t="s">
        <v>169</v>
      </c>
      <c r="J1126" s="46" t="s">
        <v>69</v>
      </c>
      <c r="K1126" s="46" t="s">
        <v>141</v>
      </c>
      <c r="L1126" s="46"/>
      <c r="M1126" s="46">
        <v>1</v>
      </c>
      <c r="N1126" s="46"/>
      <c r="O1126" s="46"/>
      <c r="P1126" s="46"/>
      <c r="Q1126" s="46"/>
      <c r="R1126" s="46"/>
      <c r="S1126" s="46"/>
      <c r="T1126" s="46"/>
      <c r="U1126" s="46"/>
      <c r="V1126" s="46"/>
      <c r="W1126" s="46"/>
      <c r="X1126" s="46"/>
      <c r="Y1126" s="46"/>
      <c r="Z1126" s="46" t="s">
        <v>3229</v>
      </c>
      <c r="AA1126" s="61">
        <f>IF(OR(G1126="ALK",G1126="PEM",G1126="SOEC",G1126="Other Electrolysis"),
AB1126*VLOOKUP(G1126,ElectrolysisConvF,3,FALSE),
"")</f>
        <v>582.03980376204663</v>
      </c>
      <c r="AB1126" s="62">
        <f>AC1126/(H2dens*HoursInYear/10^6)</f>
        <v>129342.17861378814</v>
      </c>
      <c r="AC1126" s="62">
        <v>100.84033613445378</v>
      </c>
      <c r="AD1126" s="62"/>
      <c r="AE1126" s="62">
        <f t="shared" si="134"/>
        <v>129342.17861378814</v>
      </c>
      <c r="AF1126" s="64" t="s">
        <v>3230</v>
      </c>
      <c r="AG1126" s="49">
        <v>0.5</v>
      </c>
    </row>
    <row r="1127" spans="1:33" customFormat="1" ht="35.1" customHeight="1" x14ac:dyDescent="0.3">
      <c r="A1127" s="46">
        <v>1605</v>
      </c>
      <c r="B1127" s="46" t="s">
        <v>3231</v>
      </c>
      <c r="C1127" s="46" t="s">
        <v>38</v>
      </c>
      <c r="D1127" s="60">
        <v>2027</v>
      </c>
      <c r="E1127" s="60"/>
      <c r="F1127" s="46" t="s">
        <v>591</v>
      </c>
      <c r="G1127" s="46" t="s">
        <v>159</v>
      </c>
      <c r="H1127" s="46" t="s">
        <v>592</v>
      </c>
      <c r="I1127" s="46" t="s">
        <v>169</v>
      </c>
      <c r="J1127" s="46" t="s">
        <v>69</v>
      </c>
      <c r="K1127" s="46" t="s">
        <v>71</v>
      </c>
      <c r="L1127" s="46"/>
      <c r="M1127" s="46"/>
      <c r="N1127" s="46"/>
      <c r="O1127" s="46"/>
      <c r="P1127" s="46"/>
      <c r="Q1127" s="46"/>
      <c r="R1127" s="46"/>
      <c r="S1127" s="46"/>
      <c r="T1127" s="46"/>
      <c r="U1127" s="46"/>
      <c r="V1127" s="46"/>
      <c r="W1127" s="46"/>
      <c r="X1127" s="46"/>
      <c r="Y1127" s="46"/>
      <c r="Z1127" s="46" t="s">
        <v>3232</v>
      </c>
      <c r="AA1127" s="61">
        <f>IF(OR(G1127="ALK",G1127="PEM",G1127="SOEC",G1127="Other Electrolysis"),
AB1127*VLOOKUP(G1127,ElectrolysisConvF,3,FALSE),
"")</f>
        <v>288.59473603201479</v>
      </c>
      <c r="AB1127" s="62">
        <f>AC1127/(H2dens*HoursInYear/10^6)</f>
        <v>64132.163562669957</v>
      </c>
      <c r="AC1127" s="62">
        <v>50</v>
      </c>
      <c r="AD1127" s="62"/>
      <c r="AE1127" s="62">
        <f t="shared" si="134"/>
        <v>64132.163562669957</v>
      </c>
      <c r="AF1127" s="64" t="s">
        <v>3233</v>
      </c>
      <c r="AG1127" s="49">
        <v>0.5</v>
      </c>
    </row>
    <row r="1128" spans="1:33" customFormat="1" ht="35.1" customHeight="1" x14ac:dyDescent="0.3">
      <c r="A1128" s="46">
        <v>1606</v>
      </c>
      <c r="B1128" s="46" t="s">
        <v>3234</v>
      </c>
      <c r="C1128" s="46" t="s">
        <v>74</v>
      </c>
      <c r="D1128" s="60">
        <v>2025</v>
      </c>
      <c r="E1128" s="60"/>
      <c r="F1128" s="46" t="s">
        <v>675</v>
      </c>
      <c r="G1128" s="46" t="s">
        <v>159</v>
      </c>
      <c r="H1128" s="46" t="s">
        <v>592</v>
      </c>
      <c r="I1128" s="46" t="s">
        <v>169</v>
      </c>
      <c r="J1128" s="46" t="s">
        <v>244</v>
      </c>
      <c r="K1128" s="46" t="s">
        <v>141</v>
      </c>
      <c r="L1128" s="46"/>
      <c r="M1128" s="46">
        <v>1</v>
      </c>
      <c r="N1128" s="46"/>
      <c r="O1128" s="46"/>
      <c r="P1128" s="46"/>
      <c r="Q1128" s="46"/>
      <c r="R1128" s="46"/>
      <c r="S1128" s="46"/>
      <c r="T1128" s="46"/>
      <c r="U1128" s="46"/>
      <c r="V1128" s="46"/>
      <c r="W1128" s="46"/>
      <c r="X1128" s="46"/>
      <c r="Y1128" s="46"/>
      <c r="Z1128" s="46" t="s">
        <v>3235</v>
      </c>
      <c r="AA1128" s="61">
        <v>320</v>
      </c>
      <c r="AB1128" s="62">
        <f>IF(OR(G1128="ALK",G1128="PEM",G1128="SOEC",G1128="Other Electrolysis"),
AA1128/VLOOKUP(G1128,ElectrolysisConvF,3,FALSE),
AC1128*10^6/(H2dens*HoursInYear))</f>
        <v>71111.111111111109</v>
      </c>
      <c r="AC1128" s="63">
        <f>AB1128*H2dens*HoursInYear/10^6</f>
        <v>55.441066666666664</v>
      </c>
      <c r="AD1128" s="62"/>
      <c r="AE1128" s="62">
        <f t="shared" si="134"/>
        <v>71111.111111111109</v>
      </c>
      <c r="AF1128" s="64" t="s">
        <v>3236</v>
      </c>
      <c r="AG1128" s="49">
        <v>0.3</v>
      </c>
    </row>
    <row r="1129" spans="1:33" customFormat="1" ht="35.1" customHeight="1" x14ac:dyDescent="0.3">
      <c r="A1129" s="46">
        <v>1607</v>
      </c>
      <c r="B1129" s="46" t="s">
        <v>3237</v>
      </c>
      <c r="C1129" s="46" t="s">
        <v>74</v>
      </c>
      <c r="D1129" s="60"/>
      <c r="E1129" s="60"/>
      <c r="F1129" s="46" t="s">
        <v>591</v>
      </c>
      <c r="G1129" s="46" t="s">
        <v>159</v>
      </c>
      <c r="H1129" s="46" t="s">
        <v>592</v>
      </c>
      <c r="I1129" s="46" t="s">
        <v>169</v>
      </c>
      <c r="J1129" s="46" t="s">
        <v>244</v>
      </c>
      <c r="K1129" s="46" t="s">
        <v>141</v>
      </c>
      <c r="L1129" s="46"/>
      <c r="M1129" s="46">
        <v>1</v>
      </c>
      <c r="N1129" s="46"/>
      <c r="O1129" s="46"/>
      <c r="P1129" s="46"/>
      <c r="Q1129" s="46"/>
      <c r="R1129" s="46"/>
      <c r="S1129" s="46"/>
      <c r="T1129" s="46"/>
      <c r="U1129" s="46"/>
      <c r="V1129" s="46"/>
      <c r="W1129" s="46"/>
      <c r="X1129" s="46"/>
      <c r="Y1129" s="46"/>
      <c r="Z1129" s="46" t="s">
        <v>3238</v>
      </c>
      <c r="AA1129" s="62">
        <f>IF(OR(G1129="ALK",G1129="PEM",G1129="SOEC",G1129="Other Electrolysis"),
AB1129*VLOOKUP(G1129,ElectrolysisConvF,3,FALSE),
"")</f>
        <v>4157.427169728905</v>
      </c>
      <c r="AB1129" s="62">
        <f>AC1129/(H2dens*HoursInYear/10^6)</f>
        <v>923872.70438420109</v>
      </c>
      <c r="AC1129" s="63">
        <f>1200*3/17/0.98/H2ProjectDB4578610[[#This Row],[Column33]]</f>
        <v>720.28811524609853</v>
      </c>
      <c r="AD1129" s="62"/>
      <c r="AE1129" s="62">
        <f t="shared" si="134"/>
        <v>923872.70438420109</v>
      </c>
      <c r="AF1129" s="64" t="s">
        <v>3239</v>
      </c>
      <c r="AG1129" s="49">
        <v>0.3</v>
      </c>
    </row>
    <row r="1130" spans="1:33" customFormat="1" ht="35.1" customHeight="1" x14ac:dyDescent="0.3">
      <c r="A1130" s="46">
        <v>1608</v>
      </c>
      <c r="B1130" s="46" t="s">
        <v>3240</v>
      </c>
      <c r="C1130" s="46" t="s">
        <v>203</v>
      </c>
      <c r="D1130" s="60">
        <v>2030</v>
      </c>
      <c r="E1130" s="60"/>
      <c r="F1130" s="46" t="s">
        <v>591</v>
      </c>
      <c r="G1130" s="46" t="s">
        <v>159</v>
      </c>
      <c r="H1130" s="46" t="s">
        <v>592</v>
      </c>
      <c r="I1130" s="46" t="s">
        <v>169</v>
      </c>
      <c r="J1130" s="46" t="s">
        <v>69</v>
      </c>
      <c r="K1130" s="46" t="s">
        <v>68</v>
      </c>
      <c r="L1130" s="46">
        <v>1</v>
      </c>
      <c r="M1130" s="46"/>
      <c r="N1130" s="46"/>
      <c r="O1130" s="46">
        <v>1</v>
      </c>
      <c r="P1130" s="46">
        <v>1</v>
      </c>
      <c r="Q1130" s="46"/>
      <c r="R1130" s="46"/>
      <c r="S1130" s="46"/>
      <c r="T1130" s="46"/>
      <c r="U1130" s="46"/>
      <c r="V1130" s="46"/>
      <c r="W1130" s="46"/>
      <c r="X1130" s="46"/>
      <c r="Y1130" s="46"/>
      <c r="Z1130" s="46" t="s">
        <v>672</v>
      </c>
      <c r="AA1130" s="61">
        <v>1000</v>
      </c>
      <c r="AB1130" s="62">
        <f>IF(OR(G1130="ALK",G1130="PEM",G1130="SOEC",G1130="Other Electrolysis"),
AA1130/VLOOKUP(G1130,ElectrolysisConvF,3,FALSE),
AC1130*10^6/(H2dens*HoursInYear))</f>
        <v>222222.22222222225</v>
      </c>
      <c r="AC1130" s="63">
        <f>AB1130*H2dens*HoursInYear/10^6</f>
        <v>173.25333333333333</v>
      </c>
      <c r="AD1130" s="62"/>
      <c r="AE1130" s="62">
        <f t="shared" si="134"/>
        <v>222222.22222222225</v>
      </c>
      <c r="AF1130" s="64" t="s">
        <v>3241</v>
      </c>
      <c r="AG1130" s="49">
        <v>0.5</v>
      </c>
    </row>
    <row r="1131" spans="1:33" customFormat="1" ht="35.1" customHeight="1" x14ac:dyDescent="0.3">
      <c r="A1131" s="46">
        <v>1609</v>
      </c>
      <c r="B1131" s="46" t="s">
        <v>3242</v>
      </c>
      <c r="C1131" s="46" t="s">
        <v>121</v>
      </c>
      <c r="D1131" s="60">
        <v>2022</v>
      </c>
      <c r="E1131" s="60"/>
      <c r="F1131" s="46" t="s">
        <v>226</v>
      </c>
      <c r="G1131" s="46" t="s">
        <v>1</v>
      </c>
      <c r="H1131" s="46"/>
      <c r="I1131" s="46" t="s">
        <v>169</v>
      </c>
      <c r="J1131" s="46" t="s">
        <v>244</v>
      </c>
      <c r="K1131" s="46" t="s">
        <v>68</v>
      </c>
      <c r="L1131" s="46"/>
      <c r="M1131" s="46"/>
      <c r="N1131" s="46"/>
      <c r="O1131" s="46"/>
      <c r="P1131" s="46"/>
      <c r="Q1131" s="46"/>
      <c r="R1131" s="46"/>
      <c r="S1131" s="46">
        <v>1</v>
      </c>
      <c r="T1131" s="46"/>
      <c r="U1131" s="46"/>
      <c r="V1131" s="46"/>
      <c r="W1131" s="46"/>
      <c r="X1131" s="46"/>
      <c r="Y1131" s="46"/>
      <c r="Z1131" s="46" t="s">
        <v>3243</v>
      </c>
      <c r="AA1131" s="61">
        <v>2.1999999999999999E-2</v>
      </c>
      <c r="AB1131" s="62">
        <f>IF(OR(G1131="ALK",G1131="PEM",G1131="SOEC",G1131="Other Electrolysis"),
AA1131/VLOOKUP(G1131,ElectrolysisConvF,3,FALSE),
AC1131*10^6/(H2dens*HoursInYear))</f>
        <v>4.2307692307692308</v>
      </c>
      <c r="AC1131" s="63">
        <f>AB1131*H2dens*HoursInYear/10^6</f>
        <v>3.2984769230769229E-3</v>
      </c>
      <c r="AD1131" s="62"/>
      <c r="AE1131" s="62">
        <f t="shared" si="134"/>
        <v>4.2307692307692308</v>
      </c>
      <c r="AF1131" s="64" t="s">
        <v>3244</v>
      </c>
      <c r="AG1131" s="49">
        <v>0.3</v>
      </c>
    </row>
    <row r="1132" spans="1:33" customFormat="1" ht="35.1" customHeight="1" x14ac:dyDescent="0.3">
      <c r="A1132" s="46">
        <v>1610</v>
      </c>
      <c r="B1132" s="46" t="s">
        <v>3245</v>
      </c>
      <c r="C1132" s="46" t="s">
        <v>40</v>
      </c>
      <c r="D1132" s="60">
        <v>2023</v>
      </c>
      <c r="E1132" s="60"/>
      <c r="F1132" s="46" t="s">
        <v>675</v>
      </c>
      <c r="G1132" s="46" t="s">
        <v>3</v>
      </c>
      <c r="H1132" s="46"/>
      <c r="I1132" s="46" t="s">
        <v>157</v>
      </c>
      <c r="J1132" s="46"/>
      <c r="K1132" s="46" t="s">
        <v>68</v>
      </c>
      <c r="L1132" s="46"/>
      <c r="M1132" s="46"/>
      <c r="N1132" s="46"/>
      <c r="O1132" s="46"/>
      <c r="P1132" s="46"/>
      <c r="Q1132" s="46">
        <v>1</v>
      </c>
      <c r="R1132" s="46"/>
      <c r="S1132" s="46"/>
      <c r="T1132" s="46"/>
      <c r="U1132" s="46"/>
      <c r="V1132" s="46"/>
      <c r="W1132" s="46"/>
      <c r="X1132" s="46"/>
      <c r="Y1132" s="46"/>
      <c r="Z1132" s="46" t="s">
        <v>3246</v>
      </c>
      <c r="AA1132" s="61">
        <f>IF(OR(G1132="ALK",G1132="PEM",G1132="SOEC",G1132="Other Electrolysis"),
AB1132*VLOOKUP(G1132,ElectrolysisConvF,3,FALSE),
"")</f>
        <v>37.781720218148372</v>
      </c>
      <c r="AB1132" s="62">
        <f>AC1132/(H2dens*HoursInYear/10^6)</f>
        <v>8213.4174387279072</v>
      </c>
      <c r="AC1132" s="62">
        <f>10*365/1000/H2ProjectDB4578610[[#This Row],[Column33]]</f>
        <v>6.4035087719298254</v>
      </c>
      <c r="AD1132" s="62"/>
      <c r="AE1132" s="62">
        <f t="shared" si="134"/>
        <v>8213.4174387279072</v>
      </c>
      <c r="AF1132" s="64" t="s">
        <v>3247</v>
      </c>
      <c r="AG1132" s="49">
        <v>0.56999999999999995</v>
      </c>
    </row>
    <row r="1133" spans="1:33" customFormat="1" ht="35.1" customHeight="1" x14ac:dyDescent="0.3">
      <c r="A1133" s="46">
        <v>1611</v>
      </c>
      <c r="B1133" s="46" t="s">
        <v>3248</v>
      </c>
      <c r="C1133" s="46" t="s">
        <v>321</v>
      </c>
      <c r="D1133" s="60">
        <v>2024</v>
      </c>
      <c r="E1133" s="60"/>
      <c r="F1133" s="46" t="s">
        <v>225</v>
      </c>
      <c r="G1133" s="46" t="s">
        <v>159</v>
      </c>
      <c r="H1133" s="46" t="s">
        <v>592</v>
      </c>
      <c r="I1133" s="46" t="s">
        <v>157</v>
      </c>
      <c r="J1133" s="46"/>
      <c r="K1133" s="46" t="s">
        <v>68</v>
      </c>
      <c r="L1133" s="46"/>
      <c r="M1133" s="46"/>
      <c r="N1133" s="46"/>
      <c r="O1133" s="46"/>
      <c r="P1133" s="46"/>
      <c r="Q1133" s="46">
        <v>1</v>
      </c>
      <c r="R1133" s="46"/>
      <c r="S1133" s="46">
        <v>1</v>
      </c>
      <c r="T1133" s="46"/>
      <c r="U1133" s="46"/>
      <c r="V1133" s="46"/>
      <c r="W1133" s="46"/>
      <c r="X1133" s="46"/>
      <c r="Y1133" s="46"/>
      <c r="Z1133" s="46" t="s">
        <v>699</v>
      </c>
      <c r="AA1133" s="61">
        <v>2.5</v>
      </c>
      <c r="AB1133" s="62">
        <f t="shared" ref="AB1133:AB1138" si="135">IF(OR(G1133="ALK",G1133="PEM",G1133="SOEC",G1133="Other Electrolysis"),
AA1133/VLOOKUP(G1133,ElectrolysisConvF,3,FALSE),
AC1133*10^6/(H2dens*HoursInYear))</f>
        <v>555.55555555555554</v>
      </c>
      <c r="AC1133" s="63">
        <f t="shared" ref="AC1133:AC1138" si="136">AB1133*H2dens*HoursInYear/10^6</f>
        <v>0.43313333333333331</v>
      </c>
      <c r="AD1133" s="62"/>
      <c r="AE1133" s="62">
        <f t="shared" si="134"/>
        <v>555.55555555555554</v>
      </c>
      <c r="AF1133" s="64" t="s">
        <v>3249</v>
      </c>
      <c r="AG1133" s="49">
        <v>0.56999999999999995</v>
      </c>
    </row>
    <row r="1134" spans="1:33" customFormat="1" ht="35.1" customHeight="1" x14ac:dyDescent="0.3">
      <c r="A1134" s="46">
        <v>1612</v>
      </c>
      <c r="B1134" s="46" t="s">
        <v>3250</v>
      </c>
      <c r="C1134" s="46" t="s">
        <v>321</v>
      </c>
      <c r="D1134" s="60">
        <v>2025</v>
      </c>
      <c r="E1134" s="60"/>
      <c r="F1134" s="46" t="s">
        <v>225</v>
      </c>
      <c r="G1134" s="46" t="s">
        <v>159</v>
      </c>
      <c r="H1134" s="46" t="s">
        <v>592</v>
      </c>
      <c r="I1134" s="46" t="s">
        <v>169</v>
      </c>
      <c r="J1134" s="46" t="s">
        <v>69</v>
      </c>
      <c r="K1134" s="46" t="s">
        <v>68</v>
      </c>
      <c r="L1134" s="46"/>
      <c r="M1134" s="46"/>
      <c r="N1134" s="46"/>
      <c r="O1134" s="46"/>
      <c r="P1134" s="46"/>
      <c r="Q1134" s="46"/>
      <c r="R1134" s="46"/>
      <c r="S1134" s="46"/>
      <c r="T1134" s="46"/>
      <c r="U1134" s="46"/>
      <c r="V1134" s="46"/>
      <c r="W1134" s="46"/>
      <c r="X1134" s="46"/>
      <c r="Y1134" s="46"/>
      <c r="Z1134" s="46" t="s">
        <v>2072</v>
      </c>
      <c r="AA1134" s="61">
        <v>200</v>
      </c>
      <c r="AB1134" s="62">
        <f t="shared" si="135"/>
        <v>44444.444444444445</v>
      </c>
      <c r="AC1134" s="63">
        <f t="shared" si="136"/>
        <v>34.650666666666666</v>
      </c>
      <c r="AD1134" s="62"/>
      <c r="AE1134" s="62">
        <f t="shared" si="134"/>
        <v>44444.444444444445</v>
      </c>
      <c r="AF1134" s="64" t="s">
        <v>3251</v>
      </c>
      <c r="AG1134" s="49">
        <v>0.5</v>
      </c>
    </row>
    <row r="1135" spans="1:33" customFormat="1" ht="35.1" customHeight="1" x14ac:dyDescent="0.3">
      <c r="A1135" s="46">
        <v>1613</v>
      </c>
      <c r="B1135" s="46" t="s">
        <v>3252</v>
      </c>
      <c r="C1135" s="46" t="s">
        <v>321</v>
      </c>
      <c r="D1135" s="60">
        <v>2024</v>
      </c>
      <c r="E1135" s="60"/>
      <c r="F1135" s="46" t="s">
        <v>591</v>
      </c>
      <c r="G1135" s="46" t="s">
        <v>159</v>
      </c>
      <c r="H1135" s="46" t="s">
        <v>592</v>
      </c>
      <c r="I1135" s="46" t="s">
        <v>157</v>
      </c>
      <c r="J1135" s="46"/>
      <c r="K1135" s="46" t="s">
        <v>68</v>
      </c>
      <c r="L1135" s="46"/>
      <c r="M1135" s="46"/>
      <c r="N1135" s="46"/>
      <c r="O1135" s="46"/>
      <c r="P1135" s="46"/>
      <c r="Q1135" s="46">
        <v>1</v>
      </c>
      <c r="R1135" s="46"/>
      <c r="S1135" s="46">
        <v>1</v>
      </c>
      <c r="T1135" s="46"/>
      <c r="U1135" s="46"/>
      <c r="V1135" s="46"/>
      <c r="W1135" s="46"/>
      <c r="X1135" s="46"/>
      <c r="Y1135" s="46"/>
      <c r="Z1135" s="46" t="s">
        <v>711</v>
      </c>
      <c r="AA1135" s="61">
        <f>10-AA1133</f>
        <v>7.5</v>
      </c>
      <c r="AB1135" s="62">
        <f t="shared" si="135"/>
        <v>1666.6666666666667</v>
      </c>
      <c r="AC1135" s="63">
        <f t="shared" si="136"/>
        <v>1.2994000000000001</v>
      </c>
      <c r="AD1135" s="62"/>
      <c r="AE1135" s="62">
        <f t="shared" si="134"/>
        <v>1666.6666666666667</v>
      </c>
      <c r="AF1135" s="64" t="s">
        <v>3253</v>
      </c>
      <c r="AG1135" s="49">
        <v>0.56999999999999995</v>
      </c>
    </row>
    <row r="1136" spans="1:33" customFormat="1" ht="35.1" customHeight="1" x14ac:dyDescent="0.3">
      <c r="A1136" s="46">
        <v>1614</v>
      </c>
      <c r="B1136" s="46" t="s">
        <v>3254</v>
      </c>
      <c r="C1136" s="46" t="s">
        <v>321</v>
      </c>
      <c r="D1136" s="60">
        <v>2025</v>
      </c>
      <c r="E1136" s="60"/>
      <c r="F1136" s="46" t="s">
        <v>591</v>
      </c>
      <c r="G1136" s="46" t="s">
        <v>159</v>
      </c>
      <c r="H1136" s="46" t="s">
        <v>592</v>
      </c>
      <c r="I1136" s="46" t="s">
        <v>157</v>
      </c>
      <c r="J1136" s="46"/>
      <c r="K1136" s="46" t="s">
        <v>68</v>
      </c>
      <c r="L1136" s="46"/>
      <c r="M1136" s="46"/>
      <c r="N1136" s="46"/>
      <c r="O1136" s="46"/>
      <c r="P1136" s="46"/>
      <c r="Q1136" s="46"/>
      <c r="R1136" s="46"/>
      <c r="S1136" s="46"/>
      <c r="T1136" s="46"/>
      <c r="U1136" s="46"/>
      <c r="V1136" s="46"/>
      <c r="W1136" s="46"/>
      <c r="X1136" s="46"/>
      <c r="Y1136" s="46"/>
      <c r="Z1136" s="46" t="s">
        <v>3255</v>
      </c>
      <c r="AA1136" s="61">
        <v>150</v>
      </c>
      <c r="AB1136" s="62">
        <f t="shared" si="135"/>
        <v>33333.333333333336</v>
      </c>
      <c r="AC1136" s="63">
        <f t="shared" si="136"/>
        <v>25.988</v>
      </c>
      <c r="AD1136" s="62"/>
      <c r="AE1136" s="62">
        <f t="shared" si="134"/>
        <v>33333.333333333336</v>
      </c>
      <c r="AF1136" s="64" t="s">
        <v>3256</v>
      </c>
      <c r="AG1136" s="49">
        <v>0.56999999999999995</v>
      </c>
    </row>
    <row r="1137" spans="1:33" customFormat="1" ht="35.1" customHeight="1" x14ac:dyDescent="0.3">
      <c r="A1137" s="46">
        <v>1615</v>
      </c>
      <c r="B1137" s="46" t="s">
        <v>3257</v>
      </c>
      <c r="C1137" s="46" t="s">
        <v>321</v>
      </c>
      <c r="D1137" s="60">
        <v>2024</v>
      </c>
      <c r="E1137" s="60"/>
      <c r="F1137" s="46" t="s">
        <v>591</v>
      </c>
      <c r="G1137" s="46" t="s">
        <v>159</v>
      </c>
      <c r="H1137" s="46" t="s">
        <v>592</v>
      </c>
      <c r="I1137" s="46" t="s">
        <v>169</v>
      </c>
      <c r="J1137" s="46" t="s">
        <v>244</v>
      </c>
      <c r="K1137" s="46" t="s">
        <v>68</v>
      </c>
      <c r="L1137" s="46"/>
      <c r="M1137" s="46"/>
      <c r="N1137" s="46"/>
      <c r="O1137" s="46"/>
      <c r="P1137" s="46"/>
      <c r="Q1137" s="46">
        <v>1</v>
      </c>
      <c r="R1137" s="46"/>
      <c r="S1137" s="46"/>
      <c r="T1137" s="46"/>
      <c r="U1137" s="46"/>
      <c r="V1137" s="46"/>
      <c r="W1137" s="46"/>
      <c r="X1137" s="46"/>
      <c r="Y1137" s="46"/>
      <c r="Z1137" s="46" t="s">
        <v>711</v>
      </c>
      <c r="AA1137" s="61">
        <v>10</v>
      </c>
      <c r="AB1137" s="62">
        <f t="shared" si="135"/>
        <v>2222.2222222222222</v>
      </c>
      <c r="AC1137" s="63">
        <f t="shared" si="136"/>
        <v>1.7325333333333333</v>
      </c>
      <c r="AD1137" s="62"/>
      <c r="AE1137" s="62">
        <f t="shared" si="134"/>
        <v>2222.2222222222222</v>
      </c>
      <c r="AF1137" s="64" t="s">
        <v>3258</v>
      </c>
      <c r="AG1137" s="49">
        <v>0.3</v>
      </c>
    </row>
    <row r="1138" spans="1:33" customFormat="1" ht="35.1" customHeight="1" x14ac:dyDescent="0.3">
      <c r="A1138" s="46">
        <v>1616</v>
      </c>
      <c r="B1138" s="46" t="s">
        <v>3259</v>
      </c>
      <c r="C1138" s="46" t="s">
        <v>321</v>
      </c>
      <c r="D1138" s="60">
        <v>2024</v>
      </c>
      <c r="E1138" s="60"/>
      <c r="F1138" s="46" t="s">
        <v>591</v>
      </c>
      <c r="G1138" s="46" t="s">
        <v>159</v>
      </c>
      <c r="H1138" s="46" t="s">
        <v>592</v>
      </c>
      <c r="I1138" s="46" t="s">
        <v>169</v>
      </c>
      <c r="J1138" s="46" t="s">
        <v>244</v>
      </c>
      <c r="K1138" s="46" t="s">
        <v>68</v>
      </c>
      <c r="L1138" s="46"/>
      <c r="M1138" s="46"/>
      <c r="N1138" s="46"/>
      <c r="O1138" s="46"/>
      <c r="P1138" s="46"/>
      <c r="Q1138" s="46"/>
      <c r="R1138" s="46"/>
      <c r="S1138" s="46"/>
      <c r="T1138" s="46"/>
      <c r="U1138" s="46"/>
      <c r="V1138" s="46"/>
      <c r="W1138" s="46"/>
      <c r="X1138" s="46"/>
      <c r="Y1138" s="46"/>
      <c r="Z1138" s="46" t="s">
        <v>3260</v>
      </c>
      <c r="AA1138" s="61">
        <v>55</v>
      </c>
      <c r="AB1138" s="62">
        <f t="shared" si="135"/>
        <v>12222.222222222223</v>
      </c>
      <c r="AC1138" s="63">
        <f t="shared" si="136"/>
        <v>9.5289333333333346</v>
      </c>
      <c r="AD1138" s="62"/>
      <c r="AE1138" s="62">
        <f t="shared" si="134"/>
        <v>12222.222222222223</v>
      </c>
      <c r="AF1138" s="64" t="s">
        <v>3261</v>
      </c>
      <c r="AG1138" s="49">
        <v>0.3</v>
      </c>
    </row>
    <row r="1139" spans="1:33" customFormat="1" ht="35.1" customHeight="1" x14ac:dyDescent="0.3">
      <c r="A1139" s="46">
        <v>1617</v>
      </c>
      <c r="B1139" s="46" t="s">
        <v>3262</v>
      </c>
      <c r="C1139" s="46" t="s">
        <v>321</v>
      </c>
      <c r="D1139" s="60">
        <v>2025</v>
      </c>
      <c r="E1139" s="60"/>
      <c r="F1139" s="46"/>
      <c r="G1139" s="46" t="s">
        <v>164</v>
      </c>
      <c r="H1139" s="46" t="s">
        <v>3052</v>
      </c>
      <c r="I1139" s="46"/>
      <c r="J1139" s="46"/>
      <c r="K1139" s="46" t="s">
        <v>68</v>
      </c>
      <c r="L1139" s="46"/>
      <c r="M1139" s="46"/>
      <c r="N1139" s="46"/>
      <c r="O1139" s="46"/>
      <c r="P1139" s="46"/>
      <c r="Q1139" s="46"/>
      <c r="R1139" s="46"/>
      <c r="S1139" s="46"/>
      <c r="T1139" s="46"/>
      <c r="U1139" s="46"/>
      <c r="V1139" s="46"/>
      <c r="W1139" s="46"/>
      <c r="X1139" s="46"/>
      <c r="Y1139" s="46"/>
      <c r="Z1139" s="46" t="s">
        <v>3263</v>
      </c>
      <c r="AA1139" s="61" t="str">
        <f>IF(OR(G1139="ALK",G1139="PEM",G1139="SOEC",G1139="Other Electrolysis"),
AB1139*VLOOKUP(G1139,ElectrolysisConvF,3,FALSE),
"")</f>
        <v/>
      </c>
      <c r="AB1139" s="62">
        <f>AC1139/(H2dens*HoursInYear/10^6)</f>
        <v>19239.649068800987</v>
      </c>
      <c r="AC1139" s="62">
        <v>15</v>
      </c>
      <c r="AD1139" s="62"/>
      <c r="AE1139" s="62">
        <f t="shared" si="134"/>
        <v>19239.649068800987</v>
      </c>
      <c r="AF1139" s="64" t="s">
        <v>3264</v>
      </c>
      <c r="AG1139" s="49">
        <v>0.9</v>
      </c>
    </row>
    <row r="1140" spans="1:33" customFormat="1" ht="35.1" customHeight="1" x14ac:dyDescent="0.3">
      <c r="A1140" s="46">
        <v>1618</v>
      </c>
      <c r="B1140" s="46" t="s">
        <v>3265</v>
      </c>
      <c r="C1140" s="46" t="s">
        <v>86</v>
      </c>
      <c r="D1140" s="60">
        <v>2024</v>
      </c>
      <c r="E1140" s="60"/>
      <c r="F1140" s="46" t="s">
        <v>591</v>
      </c>
      <c r="G1140" s="46" t="s">
        <v>3</v>
      </c>
      <c r="H1140" s="46"/>
      <c r="I1140" s="46" t="s">
        <v>169</v>
      </c>
      <c r="J1140" s="46" t="s">
        <v>248</v>
      </c>
      <c r="K1140" s="46" t="s">
        <v>141</v>
      </c>
      <c r="L1140" s="46"/>
      <c r="M1140" s="46">
        <v>1</v>
      </c>
      <c r="N1140" s="46"/>
      <c r="O1140" s="46"/>
      <c r="P1140" s="46"/>
      <c r="Q1140" s="46"/>
      <c r="R1140" s="46"/>
      <c r="S1140" s="46"/>
      <c r="T1140" s="46"/>
      <c r="U1140" s="46"/>
      <c r="V1140" s="46"/>
      <c r="W1140" s="46"/>
      <c r="X1140" s="46"/>
      <c r="Y1140" s="46"/>
      <c r="Z1140" s="46" t="s">
        <v>3266</v>
      </c>
      <c r="AA1140" s="61">
        <v>46</v>
      </c>
      <c r="AB1140" s="62">
        <f>IF(OR(G1140="ALK",G1140="PEM",G1140="SOEC",G1140="Other Electrolysis"),
AA1140/VLOOKUP(G1140,ElectrolysisConvF,3,FALSE),
AC1140*10^6/(H2dens*HoursInYear))</f>
        <v>10000</v>
      </c>
      <c r="AC1140" s="63">
        <f>AB1140*H2dens*HoursInYear/10^6</f>
        <v>7.7964000000000002</v>
      </c>
      <c r="AD1140" s="62"/>
      <c r="AE1140" s="62">
        <f t="shared" si="134"/>
        <v>10000</v>
      </c>
      <c r="AF1140" s="64" t="s">
        <v>3267</v>
      </c>
      <c r="AG1140" s="49">
        <v>0.5</v>
      </c>
    </row>
    <row r="1141" spans="1:33" customFormat="1" ht="35.1" customHeight="1" x14ac:dyDescent="0.3">
      <c r="A1141" s="46">
        <v>1619</v>
      </c>
      <c r="B1141" s="46" t="s">
        <v>3268</v>
      </c>
      <c r="C1141" s="46" t="s">
        <v>86</v>
      </c>
      <c r="D1141" s="60"/>
      <c r="E1141" s="60"/>
      <c r="F1141" s="46" t="s">
        <v>591</v>
      </c>
      <c r="G1141" s="46" t="s">
        <v>2</v>
      </c>
      <c r="H1141" s="46"/>
      <c r="I1141" s="46" t="s">
        <v>169</v>
      </c>
      <c r="J1141" s="46" t="s">
        <v>248</v>
      </c>
      <c r="K1141" s="46" t="s">
        <v>141</v>
      </c>
      <c r="L1141" s="46"/>
      <c r="M1141" s="46">
        <v>1</v>
      </c>
      <c r="N1141" s="46"/>
      <c r="O1141" s="46"/>
      <c r="P1141" s="46"/>
      <c r="Q1141" s="46"/>
      <c r="R1141" s="46"/>
      <c r="S1141" s="46"/>
      <c r="T1141" s="46"/>
      <c r="U1141" s="46"/>
      <c r="V1141" s="46"/>
      <c r="W1141" s="46"/>
      <c r="X1141" s="46"/>
      <c r="Y1141" s="46"/>
      <c r="Z1141" s="46" t="s">
        <v>3269</v>
      </c>
      <c r="AA1141" s="61">
        <f>92-46</f>
        <v>46</v>
      </c>
      <c r="AB1141" s="62">
        <f>IF(OR(G1141="ALK",G1141="PEM",G1141="SOEC",G1141="Other Electrolysis"),
AA1141/VLOOKUP(G1141,ElectrolysisConvF,3,FALSE),
AC1141*10^6/(H2dens*HoursInYear))</f>
        <v>12105.263157894737</v>
      </c>
      <c r="AC1141" s="63">
        <f>AB1141*H2dens*HoursInYear/10^6</f>
        <v>9.4377473684210518</v>
      </c>
      <c r="AD1141" s="62"/>
      <c r="AE1141" s="62">
        <f t="shared" si="134"/>
        <v>12105.263157894737</v>
      </c>
      <c r="AF1141" s="64" t="s">
        <v>3267</v>
      </c>
      <c r="AG1141" s="49">
        <v>0.5</v>
      </c>
    </row>
    <row r="1142" spans="1:33" customFormat="1" ht="35.1" customHeight="1" x14ac:dyDescent="0.3">
      <c r="A1142" s="46">
        <v>1620</v>
      </c>
      <c r="B1142" s="46" t="s">
        <v>3270</v>
      </c>
      <c r="C1142" s="46" t="s">
        <v>86</v>
      </c>
      <c r="D1142" s="60"/>
      <c r="E1142" s="60"/>
      <c r="F1142" s="46" t="s">
        <v>591</v>
      </c>
      <c r="G1142" s="46" t="s">
        <v>2</v>
      </c>
      <c r="H1142" s="46"/>
      <c r="I1142" s="46" t="s">
        <v>169</v>
      </c>
      <c r="J1142" s="46" t="s">
        <v>248</v>
      </c>
      <c r="K1142" s="46" t="s">
        <v>141</v>
      </c>
      <c r="L1142" s="46"/>
      <c r="M1142" s="46">
        <v>1</v>
      </c>
      <c r="N1142" s="46"/>
      <c r="O1142" s="46"/>
      <c r="P1142" s="46"/>
      <c r="Q1142" s="46"/>
      <c r="R1142" s="46"/>
      <c r="S1142" s="46"/>
      <c r="T1142" s="46"/>
      <c r="U1142" s="46"/>
      <c r="V1142" s="46"/>
      <c r="W1142" s="46"/>
      <c r="X1142" s="46"/>
      <c r="Y1142" s="46"/>
      <c r="Z1142" s="46" t="s">
        <v>3271</v>
      </c>
      <c r="AA1142" s="61">
        <f>184-92</f>
        <v>92</v>
      </c>
      <c r="AB1142" s="62">
        <f>IF(OR(G1142="ALK",G1142="PEM",G1142="SOEC",G1142="Other Electrolysis"),
AA1142/VLOOKUP(G1142,ElectrolysisConvF,3,FALSE),
AC1142*10^6/(H2dens*HoursInYear))</f>
        <v>24210.526315789473</v>
      </c>
      <c r="AC1142" s="63">
        <f>AB1142*H2dens*HoursInYear/10^6</f>
        <v>18.875494736842104</v>
      </c>
      <c r="AD1142" s="62"/>
      <c r="AE1142" s="62">
        <f t="shared" si="134"/>
        <v>24210.526315789473</v>
      </c>
      <c r="AF1142" s="64" t="s">
        <v>3267</v>
      </c>
      <c r="AG1142" s="49">
        <v>0.5</v>
      </c>
    </row>
    <row r="1143" spans="1:33" customFormat="1" ht="35.1" customHeight="1" x14ac:dyDescent="0.3">
      <c r="A1143" s="46">
        <v>1621</v>
      </c>
      <c r="B1143" s="46" t="s">
        <v>3272</v>
      </c>
      <c r="C1143" s="46" t="s">
        <v>35</v>
      </c>
      <c r="D1143" s="60">
        <v>2024</v>
      </c>
      <c r="E1143" s="60"/>
      <c r="F1143" s="46"/>
      <c r="G1143" s="46" t="s">
        <v>164</v>
      </c>
      <c r="H1143" s="46" t="s">
        <v>3052</v>
      </c>
      <c r="I1143" s="46"/>
      <c r="J1143" s="46"/>
      <c r="K1143" s="46" t="s">
        <v>68</v>
      </c>
      <c r="L1143" s="46"/>
      <c r="M1143" s="46"/>
      <c r="N1143" s="46"/>
      <c r="O1143" s="46"/>
      <c r="P1143" s="46"/>
      <c r="Q1143" s="46"/>
      <c r="R1143" s="46"/>
      <c r="S1143" s="46"/>
      <c r="T1143" s="46"/>
      <c r="U1143" s="46"/>
      <c r="V1143" s="46"/>
      <c r="W1143" s="46"/>
      <c r="X1143" s="46"/>
      <c r="Y1143" s="46"/>
      <c r="Z1143" s="46" t="s">
        <v>3273</v>
      </c>
      <c r="AA1143" s="61" t="str">
        <f>IF(OR(G1143="ALK",G1143="PEM",G1143="SOEC",G1143="Other Electrolysis"),
AB1143*VLOOKUP(G1143,ElectrolysisConvF,3,FALSE),
"")</f>
        <v/>
      </c>
      <c r="AB1143" s="62">
        <f>AC1143/(H2dens*HoursInYear/10^6)</f>
        <v>4489.2514493868966</v>
      </c>
      <c r="AC1143" s="63">
        <v>3.5</v>
      </c>
      <c r="AD1143" s="62"/>
      <c r="AE1143" s="62">
        <f t="shared" si="134"/>
        <v>4489.2514493868966</v>
      </c>
      <c r="AF1143" s="64" t="s">
        <v>3264</v>
      </c>
      <c r="AG1143" s="49">
        <v>0.9</v>
      </c>
    </row>
    <row r="1144" spans="1:33" customFormat="1" ht="35.1" customHeight="1" x14ac:dyDescent="0.3">
      <c r="A1144" s="46">
        <v>1622</v>
      </c>
      <c r="B1144" s="64" t="s">
        <v>3274</v>
      </c>
      <c r="C1144" s="46" t="s">
        <v>103</v>
      </c>
      <c r="D1144" s="60"/>
      <c r="E1144" s="60"/>
      <c r="F1144" s="46" t="s">
        <v>225</v>
      </c>
      <c r="G1144" s="46" t="s">
        <v>159</v>
      </c>
      <c r="H1144" s="46" t="s">
        <v>592</v>
      </c>
      <c r="I1144" s="46" t="s">
        <v>169</v>
      </c>
      <c r="J1144" s="46" t="s">
        <v>244</v>
      </c>
      <c r="K1144" s="46" t="s">
        <v>68</v>
      </c>
      <c r="L1144" s="46"/>
      <c r="M1144" s="46"/>
      <c r="N1144" s="46"/>
      <c r="O1144" s="46"/>
      <c r="P1144" s="46"/>
      <c r="Q1144" s="46">
        <v>1</v>
      </c>
      <c r="R1144" s="46"/>
      <c r="S1144" s="46"/>
      <c r="T1144" s="46"/>
      <c r="U1144" s="46"/>
      <c r="V1144" s="46"/>
      <c r="W1144" s="46"/>
      <c r="X1144" s="46"/>
      <c r="Y1144" s="46"/>
      <c r="Z1144" s="46"/>
      <c r="AA1144" s="61"/>
      <c r="AB1144" s="62"/>
      <c r="AC1144" s="62"/>
      <c r="AD1144" s="62"/>
      <c r="AE1144" s="62">
        <f t="shared" si="134"/>
        <v>0</v>
      </c>
      <c r="AF1144" s="64" t="s">
        <v>3275</v>
      </c>
      <c r="AG1144" s="49">
        <v>0.3</v>
      </c>
    </row>
    <row r="1145" spans="1:33" customFormat="1" ht="35.1" customHeight="1" x14ac:dyDescent="0.3">
      <c r="A1145" s="46">
        <v>1623</v>
      </c>
      <c r="B1145" s="46" t="s">
        <v>3276</v>
      </c>
      <c r="C1145" s="46" t="s">
        <v>34</v>
      </c>
      <c r="D1145" s="60">
        <v>2026</v>
      </c>
      <c r="E1145" s="60"/>
      <c r="F1145" s="46" t="s">
        <v>225</v>
      </c>
      <c r="G1145" s="46" t="s">
        <v>159</v>
      </c>
      <c r="H1145" s="46" t="s">
        <v>592</v>
      </c>
      <c r="I1145" s="46" t="s">
        <v>166</v>
      </c>
      <c r="J1145" s="46"/>
      <c r="K1145" s="46" t="s">
        <v>68</v>
      </c>
      <c r="L1145" s="46"/>
      <c r="M1145" s="46"/>
      <c r="N1145" s="46"/>
      <c r="O1145" s="46"/>
      <c r="P1145" s="46">
        <v>1</v>
      </c>
      <c r="Q1145" s="46">
        <v>1</v>
      </c>
      <c r="R1145" s="46"/>
      <c r="S1145" s="46"/>
      <c r="T1145" s="46"/>
      <c r="U1145" s="46"/>
      <c r="V1145" s="46"/>
      <c r="W1145" s="46"/>
      <c r="X1145" s="46"/>
      <c r="Y1145" s="46"/>
      <c r="Z1145" s="46" t="s">
        <v>1177</v>
      </c>
      <c r="AA1145" s="61">
        <v>100</v>
      </c>
      <c r="AB1145" s="62">
        <f t="shared" ref="AB1145:AB1155" si="137">IF(OR(G1145="ALK",G1145="PEM",G1145="SOEC",G1145="Other Electrolysis"),
AA1145/VLOOKUP(G1145,ElectrolysisConvF,3,FALSE),
AC1145*10^6/(H2dens*HoursInYear))</f>
        <v>22222.222222222223</v>
      </c>
      <c r="AC1145" s="63">
        <f t="shared" ref="AC1145:AC1155" si="138">AB1145*H2dens*HoursInYear/10^6</f>
        <v>17.325333333333333</v>
      </c>
      <c r="AD1145" s="62"/>
      <c r="AE1145" s="62">
        <f t="shared" si="134"/>
        <v>22222.222222222223</v>
      </c>
      <c r="AF1145" s="64" t="s">
        <v>3277</v>
      </c>
      <c r="AG1145" s="49">
        <v>0.56999999999999995</v>
      </c>
    </row>
    <row r="1146" spans="1:33" customFormat="1" ht="35.1" customHeight="1" x14ac:dyDescent="0.3">
      <c r="A1146" s="46">
        <v>1624</v>
      </c>
      <c r="B1146" s="46" t="s">
        <v>3278</v>
      </c>
      <c r="C1146" s="46" t="s">
        <v>34</v>
      </c>
      <c r="D1146" s="60">
        <v>2030</v>
      </c>
      <c r="E1146" s="60"/>
      <c r="F1146" s="46" t="s">
        <v>225</v>
      </c>
      <c r="G1146" s="46" t="s">
        <v>159</v>
      </c>
      <c r="H1146" s="46" t="s">
        <v>592</v>
      </c>
      <c r="I1146" s="46" t="s">
        <v>166</v>
      </c>
      <c r="J1146" s="46"/>
      <c r="K1146" s="46" t="s">
        <v>68</v>
      </c>
      <c r="L1146" s="46"/>
      <c r="M1146" s="46"/>
      <c r="N1146" s="46"/>
      <c r="O1146" s="46"/>
      <c r="P1146" s="46">
        <v>1</v>
      </c>
      <c r="Q1146" s="46">
        <v>1</v>
      </c>
      <c r="R1146" s="46"/>
      <c r="S1146" s="46"/>
      <c r="T1146" s="46"/>
      <c r="U1146" s="46"/>
      <c r="V1146" s="46"/>
      <c r="W1146" s="46"/>
      <c r="X1146" s="46"/>
      <c r="Y1146" s="46"/>
      <c r="Z1146" s="46" t="s">
        <v>3279</v>
      </c>
      <c r="AA1146" s="61">
        <f>400-100</f>
        <v>300</v>
      </c>
      <c r="AB1146" s="62">
        <f t="shared" si="137"/>
        <v>66666.666666666672</v>
      </c>
      <c r="AC1146" s="63">
        <f t="shared" si="138"/>
        <v>51.975999999999999</v>
      </c>
      <c r="AD1146" s="62"/>
      <c r="AE1146" s="62">
        <f t="shared" si="134"/>
        <v>66666.666666666672</v>
      </c>
      <c r="AF1146" s="64" t="s">
        <v>3277</v>
      </c>
      <c r="AG1146" s="49">
        <v>0.56999999999999995</v>
      </c>
    </row>
    <row r="1147" spans="1:33" customFormat="1" ht="35.1" customHeight="1" x14ac:dyDescent="0.3">
      <c r="A1147" s="46">
        <v>1625</v>
      </c>
      <c r="B1147" s="46" t="s">
        <v>3280</v>
      </c>
      <c r="C1147" s="46" t="s">
        <v>34</v>
      </c>
      <c r="D1147" s="60">
        <v>2028</v>
      </c>
      <c r="E1147" s="60"/>
      <c r="F1147" s="46" t="s">
        <v>591</v>
      </c>
      <c r="G1147" s="46" t="s">
        <v>159</v>
      </c>
      <c r="H1147" s="46" t="s">
        <v>592</v>
      </c>
      <c r="I1147" s="46" t="s">
        <v>157</v>
      </c>
      <c r="J1147" s="46"/>
      <c r="K1147" s="46" t="s">
        <v>68</v>
      </c>
      <c r="L1147" s="46"/>
      <c r="M1147" s="46"/>
      <c r="N1147" s="46"/>
      <c r="O1147" s="46"/>
      <c r="P1147" s="46"/>
      <c r="Q1147" s="46">
        <v>1</v>
      </c>
      <c r="R1147" s="46"/>
      <c r="S1147" s="46"/>
      <c r="T1147" s="46"/>
      <c r="U1147" s="46"/>
      <c r="V1147" s="46"/>
      <c r="W1147" s="46"/>
      <c r="X1147" s="46"/>
      <c r="Y1147" s="46"/>
      <c r="Z1147" s="46" t="s">
        <v>1177</v>
      </c>
      <c r="AA1147" s="61">
        <v>100</v>
      </c>
      <c r="AB1147" s="62">
        <f t="shared" si="137"/>
        <v>22222.222222222223</v>
      </c>
      <c r="AC1147" s="63">
        <f t="shared" si="138"/>
        <v>17.325333333333333</v>
      </c>
      <c r="AD1147" s="62"/>
      <c r="AE1147" s="62">
        <f t="shared" si="134"/>
        <v>22222.222222222223</v>
      </c>
      <c r="AF1147" s="64" t="s">
        <v>3281</v>
      </c>
      <c r="AG1147" s="49">
        <v>0.56999999999999995</v>
      </c>
    </row>
    <row r="1148" spans="1:33" customFormat="1" ht="35.1" customHeight="1" x14ac:dyDescent="0.3">
      <c r="A1148" s="46">
        <v>1626</v>
      </c>
      <c r="B1148" s="46" t="s">
        <v>3282</v>
      </c>
      <c r="C1148" s="46" t="s">
        <v>34</v>
      </c>
      <c r="D1148" s="60">
        <v>2030</v>
      </c>
      <c r="E1148" s="60"/>
      <c r="F1148" s="46" t="s">
        <v>591</v>
      </c>
      <c r="G1148" s="46" t="s">
        <v>159</v>
      </c>
      <c r="H1148" s="46" t="s">
        <v>592</v>
      </c>
      <c r="I1148" s="46" t="s">
        <v>166</v>
      </c>
      <c r="J1148" s="46"/>
      <c r="K1148" s="46" t="s">
        <v>68</v>
      </c>
      <c r="L1148" s="46"/>
      <c r="M1148" s="46"/>
      <c r="N1148" s="46"/>
      <c r="O1148" s="46"/>
      <c r="P1148" s="46"/>
      <c r="Q1148" s="46">
        <v>1</v>
      </c>
      <c r="R1148" s="46"/>
      <c r="S1148" s="46"/>
      <c r="T1148" s="46"/>
      <c r="U1148" s="46"/>
      <c r="V1148" s="46"/>
      <c r="W1148" s="46"/>
      <c r="X1148" s="46"/>
      <c r="Y1148" s="46"/>
      <c r="Z1148" s="46" t="s">
        <v>1664</v>
      </c>
      <c r="AA1148" s="61">
        <f>300-100-100</f>
        <v>100</v>
      </c>
      <c r="AB1148" s="62">
        <f t="shared" si="137"/>
        <v>22222.222222222223</v>
      </c>
      <c r="AC1148" s="63">
        <f t="shared" si="138"/>
        <v>17.325333333333333</v>
      </c>
      <c r="AD1148" s="62"/>
      <c r="AE1148" s="62">
        <f t="shared" si="134"/>
        <v>22222.222222222223</v>
      </c>
      <c r="AF1148" s="64" t="s">
        <v>3281</v>
      </c>
      <c r="AG1148" s="49">
        <v>0.56999999999999995</v>
      </c>
    </row>
    <row r="1149" spans="1:33" customFormat="1" ht="35.1" customHeight="1" x14ac:dyDescent="0.3">
      <c r="A1149" s="46">
        <v>1627</v>
      </c>
      <c r="B1149" s="46" t="s">
        <v>3283</v>
      </c>
      <c r="C1149" s="46" t="s">
        <v>34</v>
      </c>
      <c r="D1149" s="60">
        <v>2025</v>
      </c>
      <c r="E1149" s="60"/>
      <c r="F1149" s="46" t="s">
        <v>591</v>
      </c>
      <c r="G1149" s="46" t="s">
        <v>159</v>
      </c>
      <c r="H1149" s="46" t="s">
        <v>592</v>
      </c>
      <c r="I1149" s="46" t="s">
        <v>166</v>
      </c>
      <c r="J1149" s="46"/>
      <c r="K1149" s="46" t="s">
        <v>68</v>
      </c>
      <c r="L1149" s="46"/>
      <c r="M1149" s="46"/>
      <c r="N1149" s="46"/>
      <c r="O1149" s="46"/>
      <c r="P1149" s="46"/>
      <c r="Q1149" s="46"/>
      <c r="R1149" s="46"/>
      <c r="S1149" s="46"/>
      <c r="T1149" s="46"/>
      <c r="U1149" s="46"/>
      <c r="V1149" s="46"/>
      <c r="W1149" s="46"/>
      <c r="X1149" s="46"/>
      <c r="Y1149" s="46"/>
      <c r="Z1149" s="46" t="s">
        <v>696</v>
      </c>
      <c r="AA1149" s="61">
        <v>20</v>
      </c>
      <c r="AB1149" s="62">
        <f t="shared" si="137"/>
        <v>4444.4444444444443</v>
      </c>
      <c r="AC1149" s="63">
        <f t="shared" si="138"/>
        <v>3.4650666666666665</v>
      </c>
      <c r="AD1149" s="62"/>
      <c r="AE1149" s="62">
        <f t="shared" si="134"/>
        <v>4444.4444444444443</v>
      </c>
      <c r="AF1149" s="64" t="s">
        <v>3284</v>
      </c>
      <c r="AG1149" s="49">
        <v>0.56999999999999995</v>
      </c>
    </row>
    <row r="1150" spans="1:33" customFormat="1" ht="35.1" customHeight="1" x14ac:dyDescent="0.3">
      <c r="A1150" s="46">
        <v>1628</v>
      </c>
      <c r="B1150" s="46" t="s">
        <v>3285</v>
      </c>
      <c r="C1150" s="46" t="s">
        <v>34</v>
      </c>
      <c r="D1150" s="60">
        <v>2024</v>
      </c>
      <c r="E1150" s="60"/>
      <c r="F1150" s="46" t="s">
        <v>225</v>
      </c>
      <c r="G1150" s="46" t="s">
        <v>3</v>
      </c>
      <c r="H1150" s="46"/>
      <c r="I1150" s="46" t="s">
        <v>157</v>
      </c>
      <c r="J1150" s="46"/>
      <c r="K1150" s="46" t="s">
        <v>68</v>
      </c>
      <c r="L1150" s="46"/>
      <c r="M1150" s="46"/>
      <c r="N1150" s="46"/>
      <c r="O1150" s="46"/>
      <c r="P1150" s="46"/>
      <c r="Q1150" s="46">
        <v>1</v>
      </c>
      <c r="R1150" s="46"/>
      <c r="S1150" s="46"/>
      <c r="T1150" s="46"/>
      <c r="U1150" s="46"/>
      <c r="V1150" s="46"/>
      <c r="W1150" s="46"/>
      <c r="X1150" s="46"/>
      <c r="Y1150" s="46"/>
      <c r="Z1150" s="46" t="s">
        <v>3286</v>
      </c>
      <c r="AA1150" s="61">
        <v>45</v>
      </c>
      <c r="AB1150" s="62">
        <f t="shared" si="137"/>
        <v>9782.608695652174</v>
      </c>
      <c r="AC1150" s="63">
        <f t="shared" si="138"/>
        <v>7.626913043478261</v>
      </c>
      <c r="AD1150" s="62"/>
      <c r="AE1150" s="62">
        <f t="shared" si="134"/>
        <v>9782.608695652174</v>
      </c>
      <c r="AF1150" s="64" t="s">
        <v>3287</v>
      </c>
      <c r="AG1150" s="49">
        <v>0.56999999999999995</v>
      </c>
    </row>
    <row r="1151" spans="1:33" customFormat="1" ht="35.1" customHeight="1" x14ac:dyDescent="0.3">
      <c r="A1151" s="46">
        <v>1629</v>
      </c>
      <c r="B1151" s="46" t="s">
        <v>3288</v>
      </c>
      <c r="C1151" s="46" t="s">
        <v>34</v>
      </c>
      <c r="D1151" s="60">
        <v>2024</v>
      </c>
      <c r="E1151" s="60"/>
      <c r="F1151" s="46" t="s">
        <v>675</v>
      </c>
      <c r="G1151" s="46" t="s">
        <v>159</v>
      </c>
      <c r="H1151" s="46" t="s">
        <v>592</v>
      </c>
      <c r="I1151" s="46" t="s">
        <v>157</v>
      </c>
      <c r="J1151" s="46"/>
      <c r="K1151" s="46" t="s">
        <v>68</v>
      </c>
      <c r="L1151" s="46"/>
      <c r="M1151" s="46"/>
      <c r="N1151" s="46"/>
      <c r="O1151" s="46"/>
      <c r="P1151" s="46"/>
      <c r="Q1151" s="46">
        <v>1</v>
      </c>
      <c r="R1151" s="46"/>
      <c r="S1151" s="46"/>
      <c r="T1151" s="46"/>
      <c r="U1151" s="46"/>
      <c r="V1151" s="46"/>
      <c r="W1151" s="46"/>
      <c r="X1151" s="46"/>
      <c r="Y1151" s="46"/>
      <c r="Z1151" s="46" t="s">
        <v>1001</v>
      </c>
      <c r="AA1151" s="61">
        <v>5</v>
      </c>
      <c r="AB1151" s="62">
        <f t="shared" si="137"/>
        <v>1111.1111111111111</v>
      </c>
      <c r="AC1151" s="63">
        <f t="shared" si="138"/>
        <v>0.86626666666666663</v>
      </c>
      <c r="AD1151" s="62"/>
      <c r="AE1151" s="62">
        <f t="shared" si="134"/>
        <v>1111.1111111111111</v>
      </c>
      <c r="AF1151" s="64" t="s">
        <v>3287</v>
      </c>
      <c r="AG1151" s="49">
        <v>0.56999999999999995</v>
      </c>
    </row>
    <row r="1152" spans="1:33" customFormat="1" ht="35.1" customHeight="1" x14ac:dyDescent="0.3">
      <c r="A1152" s="46">
        <v>1630</v>
      </c>
      <c r="B1152" s="46" t="s">
        <v>3289</v>
      </c>
      <c r="C1152" s="46" t="s">
        <v>34</v>
      </c>
      <c r="D1152" s="60">
        <v>2025</v>
      </c>
      <c r="E1152" s="60"/>
      <c r="F1152" s="46" t="s">
        <v>591</v>
      </c>
      <c r="G1152" s="46" t="s">
        <v>159</v>
      </c>
      <c r="H1152" s="46" t="s">
        <v>592</v>
      </c>
      <c r="I1152" s="46" t="s">
        <v>157</v>
      </c>
      <c r="J1152" s="46"/>
      <c r="K1152" s="46" t="s">
        <v>68</v>
      </c>
      <c r="L1152" s="46"/>
      <c r="M1152" s="46"/>
      <c r="N1152" s="46"/>
      <c r="O1152" s="46"/>
      <c r="P1152" s="46"/>
      <c r="Q1152" s="46"/>
      <c r="R1152" s="46"/>
      <c r="S1152" s="46"/>
      <c r="T1152" s="46"/>
      <c r="U1152" s="46"/>
      <c r="V1152" s="46"/>
      <c r="W1152" s="46"/>
      <c r="X1152" s="46"/>
      <c r="Y1152" s="46"/>
      <c r="Z1152" s="46" t="s">
        <v>2072</v>
      </c>
      <c r="AA1152" s="61">
        <v>200</v>
      </c>
      <c r="AB1152" s="62">
        <f t="shared" si="137"/>
        <v>44444.444444444445</v>
      </c>
      <c r="AC1152" s="63">
        <f t="shared" si="138"/>
        <v>34.650666666666666</v>
      </c>
      <c r="AD1152" s="62"/>
      <c r="AE1152" s="62">
        <f t="shared" si="134"/>
        <v>44444.444444444445</v>
      </c>
      <c r="AF1152" s="64" t="s">
        <v>3290</v>
      </c>
      <c r="AG1152" s="49">
        <v>0.56999999999999995</v>
      </c>
    </row>
    <row r="1153" spans="1:33" customFormat="1" ht="35.1" customHeight="1" x14ac:dyDescent="0.3">
      <c r="A1153" s="46">
        <v>1631</v>
      </c>
      <c r="B1153" s="46" t="s">
        <v>3291</v>
      </c>
      <c r="C1153" s="46" t="s">
        <v>203</v>
      </c>
      <c r="D1153" s="60">
        <v>2024</v>
      </c>
      <c r="E1153" s="60"/>
      <c r="F1153" s="46" t="s">
        <v>675</v>
      </c>
      <c r="G1153" s="46" t="s">
        <v>1</v>
      </c>
      <c r="H1153" s="46"/>
      <c r="I1153" s="46" t="s">
        <v>169</v>
      </c>
      <c r="J1153" s="46" t="s">
        <v>246</v>
      </c>
      <c r="K1153" s="46" t="s">
        <v>68</v>
      </c>
      <c r="L1153" s="46">
        <v>1</v>
      </c>
      <c r="M1153" s="46"/>
      <c r="N1153" s="46"/>
      <c r="O1153" s="46">
        <v>1</v>
      </c>
      <c r="P1153" s="46"/>
      <c r="Q1153" s="46"/>
      <c r="R1153" s="46">
        <v>1</v>
      </c>
      <c r="S1153" s="46"/>
      <c r="T1153" s="46"/>
      <c r="U1153" s="46"/>
      <c r="V1153" s="46"/>
      <c r="W1153" s="46"/>
      <c r="X1153" s="46"/>
      <c r="Y1153" s="46"/>
      <c r="Z1153" s="46" t="s">
        <v>748</v>
      </c>
      <c r="AA1153" s="61">
        <v>4</v>
      </c>
      <c r="AB1153" s="62">
        <f t="shared" si="137"/>
        <v>769.23076923076928</v>
      </c>
      <c r="AC1153" s="63">
        <f t="shared" si="138"/>
        <v>0.59972307692307703</v>
      </c>
      <c r="AD1153" s="62"/>
      <c r="AE1153" s="62">
        <f t="shared" si="134"/>
        <v>769.23076923076928</v>
      </c>
      <c r="AF1153" s="64" t="s">
        <v>3292</v>
      </c>
      <c r="AG1153" s="49">
        <v>0.55000000000000004</v>
      </c>
    </row>
    <row r="1154" spans="1:33" customFormat="1" ht="35.1" customHeight="1" x14ac:dyDescent="0.3">
      <c r="A1154" s="46">
        <v>1632</v>
      </c>
      <c r="B1154" s="46" t="s">
        <v>3293</v>
      </c>
      <c r="C1154" s="46" t="s">
        <v>203</v>
      </c>
      <c r="D1154" s="60">
        <v>2024</v>
      </c>
      <c r="E1154" s="60"/>
      <c r="F1154" s="46" t="s">
        <v>225</v>
      </c>
      <c r="G1154" s="46" t="s">
        <v>1</v>
      </c>
      <c r="H1154" s="46"/>
      <c r="I1154" s="46" t="s">
        <v>169</v>
      </c>
      <c r="J1154" s="46" t="s">
        <v>246</v>
      </c>
      <c r="K1154" s="46" t="s">
        <v>68</v>
      </c>
      <c r="L1154" s="46">
        <v>1</v>
      </c>
      <c r="M1154" s="46"/>
      <c r="N1154" s="46"/>
      <c r="O1154" s="46">
        <v>1</v>
      </c>
      <c r="P1154" s="46">
        <v>1</v>
      </c>
      <c r="Q1154" s="46">
        <v>1</v>
      </c>
      <c r="R1154" s="46">
        <v>1</v>
      </c>
      <c r="S1154" s="46">
        <v>1</v>
      </c>
      <c r="T1154" s="46"/>
      <c r="U1154" s="46"/>
      <c r="V1154" s="46"/>
      <c r="W1154" s="46"/>
      <c r="X1154" s="46"/>
      <c r="Y1154" s="46"/>
      <c r="Z1154" s="46" t="s">
        <v>1177</v>
      </c>
      <c r="AA1154" s="61">
        <f>100-10-4</f>
        <v>86</v>
      </c>
      <c r="AB1154" s="62">
        <f t="shared" si="137"/>
        <v>16538.461538461539</v>
      </c>
      <c r="AC1154" s="63">
        <f t="shared" si="138"/>
        <v>12.894046153846155</v>
      </c>
      <c r="AD1154" s="62"/>
      <c r="AE1154" s="62">
        <f t="shared" si="134"/>
        <v>16538.461538461539</v>
      </c>
      <c r="AF1154" s="64" t="s">
        <v>3292</v>
      </c>
      <c r="AG1154" s="49">
        <v>0.55000000000000004</v>
      </c>
    </row>
    <row r="1155" spans="1:33" customFormat="1" ht="35.1" customHeight="1" x14ac:dyDescent="0.3">
      <c r="A1155" s="46">
        <v>1633</v>
      </c>
      <c r="B1155" s="46" t="s">
        <v>3294</v>
      </c>
      <c r="C1155" s="46" t="s">
        <v>39</v>
      </c>
      <c r="D1155" s="60">
        <v>2024</v>
      </c>
      <c r="E1155" s="60"/>
      <c r="F1155" s="46" t="s">
        <v>225</v>
      </c>
      <c r="G1155" s="46" t="s">
        <v>159</v>
      </c>
      <c r="H1155" s="46" t="s">
        <v>592</v>
      </c>
      <c r="I1155" s="46" t="s">
        <v>169</v>
      </c>
      <c r="J1155" s="46" t="s">
        <v>244</v>
      </c>
      <c r="K1155" s="46" t="s">
        <v>68</v>
      </c>
      <c r="L1155" s="46"/>
      <c r="M1155" s="46"/>
      <c r="N1155" s="46"/>
      <c r="O1155" s="46"/>
      <c r="P1155" s="46"/>
      <c r="Q1155" s="46">
        <v>1</v>
      </c>
      <c r="R1155" s="46"/>
      <c r="S1155" s="46"/>
      <c r="T1155" s="46"/>
      <c r="U1155" s="46"/>
      <c r="V1155" s="46"/>
      <c r="W1155" s="46"/>
      <c r="X1155" s="46"/>
      <c r="Y1155" s="46"/>
      <c r="Z1155" s="46" t="s">
        <v>3295</v>
      </c>
      <c r="AA1155" s="61">
        <v>1.25</v>
      </c>
      <c r="AB1155" s="62">
        <f t="shared" si="137"/>
        <v>277.77777777777777</v>
      </c>
      <c r="AC1155" s="63">
        <f t="shared" si="138"/>
        <v>0.21656666666666666</v>
      </c>
      <c r="AD1155" s="62"/>
      <c r="AE1155" s="62">
        <f t="shared" si="134"/>
        <v>277.77777777777777</v>
      </c>
      <c r="AF1155" s="64" t="s">
        <v>3296</v>
      </c>
      <c r="AG1155" s="49">
        <v>0.3</v>
      </c>
    </row>
    <row r="1156" spans="1:33" customFormat="1" ht="35.1" customHeight="1" x14ac:dyDescent="0.3">
      <c r="A1156" s="46">
        <v>1634</v>
      </c>
      <c r="B1156" s="46" t="s">
        <v>3297</v>
      </c>
      <c r="C1156" s="46" t="s">
        <v>39</v>
      </c>
      <c r="D1156" s="60"/>
      <c r="E1156" s="60"/>
      <c r="F1156" s="46" t="s">
        <v>591</v>
      </c>
      <c r="G1156" s="46" t="s">
        <v>159</v>
      </c>
      <c r="H1156" s="46" t="s">
        <v>592</v>
      </c>
      <c r="I1156" s="46" t="s">
        <v>169</v>
      </c>
      <c r="J1156" s="46" t="s">
        <v>244</v>
      </c>
      <c r="K1156" s="46" t="s">
        <v>68</v>
      </c>
      <c r="L1156" s="46"/>
      <c r="M1156" s="46"/>
      <c r="N1156" s="46"/>
      <c r="O1156" s="46"/>
      <c r="P1156" s="46"/>
      <c r="Q1156" s="46">
        <v>1</v>
      </c>
      <c r="R1156" s="46"/>
      <c r="S1156" s="46"/>
      <c r="T1156" s="46"/>
      <c r="U1156" s="46"/>
      <c r="V1156" s="46"/>
      <c r="W1156" s="46"/>
      <c r="X1156" s="46"/>
      <c r="Y1156" s="46"/>
      <c r="Z1156" s="46"/>
      <c r="AA1156" s="61">
        <f>IF(OR(G1156="ALK",G1156="PEM",G1156="SOEC",G1156="Other Electrolysis"),
AB1156*VLOOKUP(G1156,ElectrolysisConvF,3,FALSE),
"")</f>
        <v>0</v>
      </c>
      <c r="AB1156" s="62"/>
      <c r="AC1156" s="62"/>
      <c r="AD1156" s="62"/>
      <c r="AE1156" s="62">
        <f t="shared" si="134"/>
        <v>0</v>
      </c>
      <c r="AF1156" s="64" t="s">
        <v>3296</v>
      </c>
      <c r="AG1156" s="49">
        <v>0.3</v>
      </c>
    </row>
    <row r="1157" spans="1:33" customFormat="1" ht="35.1" customHeight="1" x14ac:dyDescent="0.3">
      <c r="A1157" s="46">
        <v>1635</v>
      </c>
      <c r="B1157" s="46" t="s">
        <v>3298</v>
      </c>
      <c r="C1157" s="46" t="s">
        <v>39</v>
      </c>
      <c r="D1157" s="60"/>
      <c r="E1157" s="60"/>
      <c r="F1157" s="46" t="s">
        <v>591</v>
      </c>
      <c r="G1157" s="46" t="s">
        <v>159</v>
      </c>
      <c r="H1157" s="46" t="s">
        <v>592</v>
      </c>
      <c r="I1157" s="46" t="s">
        <v>169</v>
      </c>
      <c r="J1157" s="46" t="s">
        <v>244</v>
      </c>
      <c r="K1157" s="46" t="s">
        <v>68</v>
      </c>
      <c r="L1157" s="46"/>
      <c r="M1157" s="46"/>
      <c r="N1157" s="46"/>
      <c r="O1157" s="46"/>
      <c r="P1157" s="46"/>
      <c r="Q1157" s="46"/>
      <c r="R1157" s="46"/>
      <c r="S1157" s="46"/>
      <c r="T1157" s="46">
        <v>1</v>
      </c>
      <c r="U1157" s="46"/>
      <c r="V1157" s="46"/>
      <c r="W1157" s="46"/>
      <c r="X1157" s="46"/>
      <c r="Y1157" s="46"/>
      <c r="Z1157" s="46"/>
      <c r="AA1157" s="61">
        <f>IF(OR(G1157="ALK",G1157="PEM",G1157="SOEC",G1157="Other Electrolysis"),
AB1157*VLOOKUP(G1157,ElectrolysisConvF,3,FALSE),
"")</f>
        <v>0</v>
      </c>
      <c r="AB1157" s="62"/>
      <c r="AC1157" s="62"/>
      <c r="AD1157" s="62"/>
      <c r="AE1157" s="62">
        <f t="shared" si="134"/>
        <v>0</v>
      </c>
      <c r="AF1157" s="64" t="s">
        <v>3296</v>
      </c>
      <c r="AG1157" s="49">
        <v>0.3</v>
      </c>
    </row>
    <row r="1158" spans="1:33" customFormat="1" ht="35.1" customHeight="1" x14ac:dyDescent="0.3">
      <c r="A1158" s="46">
        <v>1636</v>
      </c>
      <c r="B1158" s="46" t="s">
        <v>3299</v>
      </c>
      <c r="C1158" s="46" t="s">
        <v>39</v>
      </c>
      <c r="D1158" s="60"/>
      <c r="E1158" s="60"/>
      <c r="F1158" s="46" t="s">
        <v>591</v>
      </c>
      <c r="G1158" s="46" t="s">
        <v>159</v>
      </c>
      <c r="H1158" s="46" t="s">
        <v>592</v>
      </c>
      <c r="I1158" s="46" t="s">
        <v>157</v>
      </c>
      <c r="J1158" s="46"/>
      <c r="K1158" s="46" t="s">
        <v>68</v>
      </c>
      <c r="L1158" s="46"/>
      <c r="M1158" s="46"/>
      <c r="N1158" s="46"/>
      <c r="O1158" s="46"/>
      <c r="P1158" s="46"/>
      <c r="Q1158" s="46">
        <v>1</v>
      </c>
      <c r="R1158" s="46"/>
      <c r="S1158" s="46"/>
      <c r="T1158" s="46"/>
      <c r="U1158" s="46"/>
      <c r="V1158" s="46"/>
      <c r="W1158" s="46"/>
      <c r="X1158" s="46"/>
      <c r="Y1158" s="46"/>
      <c r="Z1158" s="46" t="s">
        <v>711</v>
      </c>
      <c r="AA1158" s="61">
        <v>10</v>
      </c>
      <c r="AB1158" s="62">
        <f t="shared" ref="AB1158:AB1164" si="139">IF(OR(G1158="ALK",G1158="PEM",G1158="SOEC",G1158="Other Electrolysis"),
AA1158/VLOOKUP(G1158,ElectrolysisConvF,3,FALSE),
AC1158*10^6/(H2dens*HoursInYear))</f>
        <v>2222.2222222222222</v>
      </c>
      <c r="AC1158" s="63">
        <f>AB1158*H2dens*HoursInYear/10^6</f>
        <v>1.7325333333333333</v>
      </c>
      <c r="AD1158" s="62"/>
      <c r="AE1158" s="62">
        <f t="shared" si="134"/>
        <v>2222.2222222222222</v>
      </c>
      <c r="AF1158" s="64" t="s">
        <v>3300</v>
      </c>
      <c r="AG1158" s="49">
        <v>0.56999999999999995</v>
      </c>
    </row>
    <row r="1159" spans="1:33" customFormat="1" ht="35.1" customHeight="1" x14ac:dyDescent="0.3">
      <c r="A1159" s="46">
        <v>1637</v>
      </c>
      <c r="B1159" s="46" t="s">
        <v>3301</v>
      </c>
      <c r="C1159" s="46" t="s">
        <v>39</v>
      </c>
      <c r="D1159" s="60"/>
      <c r="E1159" s="60"/>
      <c r="F1159" s="46" t="s">
        <v>225</v>
      </c>
      <c r="G1159" s="46" t="s">
        <v>159</v>
      </c>
      <c r="H1159" s="46" t="s">
        <v>592</v>
      </c>
      <c r="I1159" s="46" t="s">
        <v>166</v>
      </c>
      <c r="J1159" s="46"/>
      <c r="K1159" s="46" t="s">
        <v>68</v>
      </c>
      <c r="L1159" s="46"/>
      <c r="M1159" s="46"/>
      <c r="N1159" s="46"/>
      <c r="O1159" s="46"/>
      <c r="P1159" s="46">
        <v>1</v>
      </c>
      <c r="Q1159" s="46">
        <v>1</v>
      </c>
      <c r="R1159" s="46"/>
      <c r="S1159" s="46"/>
      <c r="T1159" s="46"/>
      <c r="U1159" s="46"/>
      <c r="V1159" s="46">
        <v>1</v>
      </c>
      <c r="W1159" s="46">
        <v>1</v>
      </c>
      <c r="X1159" s="46"/>
      <c r="Y1159" s="46"/>
      <c r="Z1159" s="46" t="s">
        <v>3066</v>
      </c>
      <c r="AA1159" s="61">
        <v>75</v>
      </c>
      <c r="AB1159" s="62">
        <f t="shared" si="139"/>
        <v>16666.666666666668</v>
      </c>
      <c r="AC1159" s="63">
        <f>AB1159*H2dens*HoursInYear/10^6</f>
        <v>12.994</v>
      </c>
      <c r="AD1159" s="62"/>
      <c r="AE1159" s="62">
        <f t="shared" si="134"/>
        <v>16666.666666666668</v>
      </c>
      <c r="AF1159" s="64" t="s">
        <v>3302</v>
      </c>
      <c r="AG1159" s="49">
        <v>0.56999999999999995</v>
      </c>
    </row>
    <row r="1160" spans="1:33" customFormat="1" ht="35.1" customHeight="1" x14ac:dyDescent="0.3">
      <c r="A1160" s="46">
        <v>1638</v>
      </c>
      <c r="B1160" s="46" t="s">
        <v>3303</v>
      </c>
      <c r="C1160" s="46" t="s">
        <v>39</v>
      </c>
      <c r="D1160" s="60">
        <v>2024</v>
      </c>
      <c r="E1160" s="60"/>
      <c r="F1160" s="46" t="s">
        <v>225</v>
      </c>
      <c r="G1160" s="46" t="s">
        <v>159</v>
      </c>
      <c r="H1160" s="46" t="s">
        <v>592</v>
      </c>
      <c r="I1160" s="46" t="s">
        <v>169</v>
      </c>
      <c r="J1160" s="46" t="s">
        <v>69</v>
      </c>
      <c r="K1160" s="46" t="s">
        <v>68</v>
      </c>
      <c r="L1160" s="46"/>
      <c r="M1160" s="46"/>
      <c r="N1160" s="46"/>
      <c r="O1160" s="46"/>
      <c r="P1160" s="46"/>
      <c r="Q1160" s="46"/>
      <c r="R1160" s="46"/>
      <c r="S1160" s="46"/>
      <c r="T1160" s="46"/>
      <c r="U1160" s="46"/>
      <c r="V1160" s="46"/>
      <c r="W1160" s="46"/>
      <c r="X1160" s="46"/>
      <c r="Y1160" s="46"/>
      <c r="Z1160" s="46" t="s">
        <v>714</v>
      </c>
      <c r="AA1160" s="61">
        <v>2</v>
      </c>
      <c r="AB1160" s="62">
        <f t="shared" si="139"/>
        <v>444.44444444444446</v>
      </c>
      <c r="AC1160" s="63">
        <f>AB1160*H2dens*HoursInYear/10^6</f>
        <v>0.34650666666666669</v>
      </c>
      <c r="AD1160" s="62"/>
      <c r="AE1160" s="62">
        <f t="shared" si="134"/>
        <v>444.44444444444446</v>
      </c>
      <c r="AF1160" s="64" t="s">
        <v>3304</v>
      </c>
      <c r="AG1160" s="49">
        <v>0.5</v>
      </c>
    </row>
    <row r="1161" spans="1:33" customFormat="1" ht="35.1" customHeight="1" x14ac:dyDescent="0.3">
      <c r="A1161" s="46">
        <v>1639</v>
      </c>
      <c r="B1161" s="46" t="s">
        <v>3305</v>
      </c>
      <c r="C1161" s="46" t="s">
        <v>39</v>
      </c>
      <c r="D1161" s="60"/>
      <c r="E1161" s="60"/>
      <c r="F1161" s="46" t="s">
        <v>225</v>
      </c>
      <c r="G1161" s="46" t="s">
        <v>1</v>
      </c>
      <c r="H1161" s="46"/>
      <c r="I1161" s="46" t="s">
        <v>169</v>
      </c>
      <c r="J1161" s="46" t="s">
        <v>244</v>
      </c>
      <c r="K1161" s="46" t="s">
        <v>68</v>
      </c>
      <c r="L1161" s="46"/>
      <c r="M1161" s="46"/>
      <c r="N1161" s="46"/>
      <c r="O1161" s="46"/>
      <c r="P1161" s="46">
        <v>1</v>
      </c>
      <c r="Q1161" s="46"/>
      <c r="R1161" s="46"/>
      <c r="S1161" s="46"/>
      <c r="T1161" s="46"/>
      <c r="U1161" s="46"/>
      <c r="V1161" s="46"/>
      <c r="W1161" s="46"/>
      <c r="X1161" s="46"/>
      <c r="Y1161" s="46"/>
      <c r="Z1161" s="46" t="s">
        <v>3306</v>
      </c>
      <c r="AA1161" s="61">
        <v>17.5</v>
      </c>
      <c r="AB1161" s="62">
        <f t="shared" si="139"/>
        <v>3365.3846153846157</v>
      </c>
      <c r="AC1161" s="63">
        <f>AB1161*H2dens*HoursInYear/10^6</f>
        <v>2.6237884615384615</v>
      </c>
      <c r="AD1161" s="62"/>
      <c r="AE1161" s="62">
        <f t="shared" si="134"/>
        <v>3365.3846153846157</v>
      </c>
      <c r="AF1161" s="64" t="s">
        <v>3307</v>
      </c>
      <c r="AG1161" s="49">
        <v>0.3</v>
      </c>
    </row>
    <row r="1162" spans="1:33" customFormat="1" ht="35.1" customHeight="1" x14ac:dyDescent="0.3">
      <c r="A1162" s="46">
        <v>1640</v>
      </c>
      <c r="B1162" s="46" t="s">
        <v>3308</v>
      </c>
      <c r="C1162" s="46" t="s">
        <v>46</v>
      </c>
      <c r="D1162" s="60">
        <v>2027</v>
      </c>
      <c r="E1162" s="60"/>
      <c r="F1162" s="46" t="s">
        <v>225</v>
      </c>
      <c r="G1162" s="46" t="s">
        <v>161</v>
      </c>
      <c r="H1162" s="46" t="s">
        <v>1951</v>
      </c>
      <c r="I1162" s="46"/>
      <c r="J1162" s="46"/>
      <c r="K1162" s="46" t="s">
        <v>68</v>
      </c>
      <c r="L1162" s="46"/>
      <c r="M1162" s="46"/>
      <c r="N1162" s="46"/>
      <c r="O1162" s="46"/>
      <c r="P1162" s="46"/>
      <c r="Q1162" s="46"/>
      <c r="R1162" s="46"/>
      <c r="S1162" s="46"/>
      <c r="T1162" s="46"/>
      <c r="U1162" s="46"/>
      <c r="V1162" s="46"/>
      <c r="W1162" s="46"/>
      <c r="X1162" s="46"/>
      <c r="Y1162" s="46"/>
      <c r="Z1162" s="46" t="s">
        <v>3309</v>
      </c>
      <c r="AA1162" s="61" t="str">
        <f>IF(OR(G1162="ALK",G1162="PEM",G1162="SOEC",G1162="Other Electrolysis"),
AB1162*VLOOKUP(G1162,ElectrolysisConvF,3,FALSE),
"")</f>
        <v/>
      </c>
      <c r="AB1162" s="62">
        <f t="shared" si="139"/>
        <v>113679.77528089887</v>
      </c>
      <c r="AC1162" s="63">
        <f>355*HoursInYear*0.95*3.6/120/1000</f>
        <v>88.629300000000001</v>
      </c>
      <c r="AD1162" s="62"/>
      <c r="AE1162" s="62">
        <f t="shared" si="134"/>
        <v>0</v>
      </c>
      <c r="AF1162" s="64" t="s">
        <v>3310</v>
      </c>
      <c r="AG1162" s="49">
        <v>0.9</v>
      </c>
    </row>
    <row r="1163" spans="1:33" customFormat="1" ht="35.1" customHeight="1" x14ac:dyDescent="0.3">
      <c r="A1163" s="46">
        <v>1641</v>
      </c>
      <c r="B1163" s="46" t="s">
        <v>3311</v>
      </c>
      <c r="C1163" s="46" t="s">
        <v>46</v>
      </c>
      <c r="D1163" s="60">
        <v>2030</v>
      </c>
      <c r="E1163" s="60"/>
      <c r="F1163" s="46" t="s">
        <v>225</v>
      </c>
      <c r="G1163" s="46" t="s">
        <v>161</v>
      </c>
      <c r="H1163" s="46" t="s">
        <v>1951</v>
      </c>
      <c r="I1163" s="46"/>
      <c r="J1163" s="46"/>
      <c r="K1163" s="46" t="s">
        <v>68</v>
      </c>
      <c r="L1163" s="46"/>
      <c r="M1163" s="46"/>
      <c r="N1163" s="46"/>
      <c r="O1163" s="46"/>
      <c r="P1163" s="46"/>
      <c r="Q1163" s="46"/>
      <c r="R1163" s="46"/>
      <c r="S1163" s="46"/>
      <c r="T1163" s="46"/>
      <c r="U1163" s="46"/>
      <c r="V1163" s="46"/>
      <c r="W1163" s="46"/>
      <c r="X1163" s="46"/>
      <c r="Y1163" s="46"/>
      <c r="Z1163" s="46" t="s">
        <v>672</v>
      </c>
      <c r="AA1163" s="61" t="str">
        <f>IF(OR(G1163="ALK",G1163="PEM",G1163="SOEC",G1163="Other Electrolysis"),
AB1163*VLOOKUP(G1163,ElectrolysisConvF,3,FALSE),
"")</f>
        <v/>
      </c>
      <c r="AB1163" s="62">
        <f t="shared" si="139"/>
        <v>206544.94382022475</v>
      </c>
      <c r="AC1163" s="63">
        <f>645*HoursInYear*0.95*3.6/120/1000</f>
        <v>161.03070000000002</v>
      </c>
      <c r="AD1163" s="62"/>
      <c r="AE1163" s="62">
        <f t="shared" si="134"/>
        <v>0</v>
      </c>
      <c r="AF1163" s="64" t="s">
        <v>3310</v>
      </c>
      <c r="AG1163" s="49">
        <v>0.9</v>
      </c>
    </row>
    <row r="1164" spans="1:33" customFormat="1" ht="35.1" customHeight="1" x14ac:dyDescent="0.3">
      <c r="A1164" s="46">
        <v>1642</v>
      </c>
      <c r="B1164" s="46" t="s">
        <v>3312</v>
      </c>
      <c r="C1164" s="46" t="s">
        <v>46</v>
      </c>
      <c r="D1164" s="60">
        <v>2027</v>
      </c>
      <c r="E1164" s="60"/>
      <c r="F1164" s="46" t="s">
        <v>225</v>
      </c>
      <c r="G1164" s="46" t="s">
        <v>161</v>
      </c>
      <c r="H1164" s="46" t="s">
        <v>1489</v>
      </c>
      <c r="I1164" s="46"/>
      <c r="J1164" s="46"/>
      <c r="K1164" s="46" t="s">
        <v>68</v>
      </c>
      <c r="L1164" s="46"/>
      <c r="M1164" s="46"/>
      <c r="N1164" s="46"/>
      <c r="O1164" s="46"/>
      <c r="P1164" s="46"/>
      <c r="Q1164" s="46"/>
      <c r="R1164" s="46"/>
      <c r="S1164" s="46"/>
      <c r="T1164" s="46"/>
      <c r="U1164" s="46"/>
      <c r="V1164" s="46"/>
      <c r="W1164" s="46"/>
      <c r="X1164" s="46"/>
      <c r="Y1164" s="46"/>
      <c r="Z1164" s="46" t="s">
        <v>3313</v>
      </c>
      <c r="AA1164" s="61" t="str">
        <f>IF(OR(G1164="ALK",G1164="PEM",G1164="SOEC",G1164="Other Electrolysis"),
AB1164*VLOOKUP(G1164,ElectrolysisConvF,3,FALSE),
"")</f>
        <v/>
      </c>
      <c r="AB1164" s="62">
        <f t="shared" si="139"/>
        <v>230561.79775280898</v>
      </c>
      <c r="AC1164" s="63">
        <f>720*HoursInYear*0.95*3.6/120/1000</f>
        <v>179.7552</v>
      </c>
      <c r="AD1164" s="62">
        <v>1600000</v>
      </c>
      <c r="AE1164" s="62">
        <f t="shared" si="134"/>
        <v>200602.30843106427</v>
      </c>
      <c r="AF1164" s="64" t="s">
        <v>3314</v>
      </c>
      <c r="AG1164" s="49">
        <v>0.9</v>
      </c>
    </row>
    <row r="1165" spans="1:33" customFormat="1" ht="35.1" customHeight="1" x14ac:dyDescent="0.3">
      <c r="A1165" s="46">
        <v>1643</v>
      </c>
      <c r="B1165" s="46" t="s">
        <v>3315</v>
      </c>
      <c r="C1165" s="46" t="s">
        <v>203</v>
      </c>
      <c r="D1165" s="60"/>
      <c r="E1165" s="60"/>
      <c r="F1165" s="46" t="s">
        <v>591</v>
      </c>
      <c r="G1165" s="46" t="s">
        <v>161</v>
      </c>
      <c r="H1165" s="46" t="s">
        <v>1951</v>
      </c>
      <c r="I1165" s="46"/>
      <c r="J1165" s="46"/>
      <c r="K1165" s="46" t="s">
        <v>68</v>
      </c>
      <c r="L1165" s="46"/>
      <c r="M1165" s="46"/>
      <c r="N1165" s="46"/>
      <c r="O1165" s="46"/>
      <c r="P1165" s="46"/>
      <c r="Q1165" s="46"/>
      <c r="R1165" s="46"/>
      <c r="S1165" s="46"/>
      <c r="T1165" s="46"/>
      <c r="U1165" s="46"/>
      <c r="V1165" s="46"/>
      <c r="W1165" s="46"/>
      <c r="X1165" s="46"/>
      <c r="Y1165" s="46"/>
      <c r="Z1165" s="46" t="s">
        <v>3316</v>
      </c>
      <c r="AA1165" s="61"/>
      <c r="AB1165" s="62">
        <v>200000</v>
      </c>
      <c r="AC1165" s="63">
        <f>AB1165*H2dens*HoursInYear/10^6</f>
        <v>155.928</v>
      </c>
      <c r="AD1165" s="62"/>
      <c r="AE1165" s="62">
        <f t="shared" si="134"/>
        <v>0</v>
      </c>
      <c r="AF1165" s="64" t="s">
        <v>3317</v>
      </c>
      <c r="AG1165" s="49">
        <v>0.9</v>
      </c>
    </row>
    <row r="1166" spans="1:33" customFormat="1" ht="35.1" customHeight="1" x14ac:dyDescent="0.3">
      <c r="A1166" s="46">
        <v>1645</v>
      </c>
      <c r="B1166" s="46" t="s">
        <v>3318</v>
      </c>
      <c r="C1166" s="46" t="s">
        <v>203</v>
      </c>
      <c r="D1166" s="60">
        <v>2024</v>
      </c>
      <c r="E1166" s="60"/>
      <c r="F1166" s="46" t="s">
        <v>591</v>
      </c>
      <c r="G1166" s="46" t="s">
        <v>159</v>
      </c>
      <c r="H1166" s="46" t="s">
        <v>592</v>
      </c>
      <c r="I1166" s="46" t="s">
        <v>157</v>
      </c>
      <c r="J1166" s="46"/>
      <c r="K1166" s="46" t="s">
        <v>68</v>
      </c>
      <c r="L1166" s="46"/>
      <c r="M1166" s="46"/>
      <c r="N1166" s="46"/>
      <c r="O1166" s="46"/>
      <c r="P1166" s="46"/>
      <c r="Q1166" s="46"/>
      <c r="R1166" s="46"/>
      <c r="S1166" s="46"/>
      <c r="T1166" s="46"/>
      <c r="U1166" s="46"/>
      <c r="V1166" s="46"/>
      <c r="W1166" s="46"/>
      <c r="X1166" s="46"/>
      <c r="Y1166" s="46"/>
      <c r="Z1166" s="46" t="s">
        <v>748</v>
      </c>
      <c r="AA1166" s="61">
        <v>4</v>
      </c>
      <c r="AB1166" s="62">
        <f>IF(OR(G1166="ALK",G1166="PEM",G1166="SOEC",G1166="Other Electrolysis"),
AA1166/VLOOKUP(G1166,ElectrolysisConvF,3,FALSE),
AC1166*10^6/(H2dens*HoursInYear))</f>
        <v>888.88888888888891</v>
      </c>
      <c r="AC1166" s="63">
        <f>AB1166*H2dens*HoursInYear/10^6</f>
        <v>0.69301333333333337</v>
      </c>
      <c r="AD1166" s="62"/>
      <c r="AE1166" s="62">
        <f t="shared" si="134"/>
        <v>888.88888888888891</v>
      </c>
      <c r="AF1166" s="64"/>
      <c r="AG1166" s="49">
        <v>0.56999999999999995</v>
      </c>
    </row>
    <row r="1167" spans="1:33" customFormat="1" ht="35.1" customHeight="1" x14ac:dyDescent="0.3">
      <c r="A1167" s="46">
        <v>1646</v>
      </c>
      <c r="B1167" s="46" t="s">
        <v>3319</v>
      </c>
      <c r="C1167" s="46" t="s">
        <v>203</v>
      </c>
      <c r="D1167" s="60">
        <v>2024</v>
      </c>
      <c r="E1167" s="60"/>
      <c r="F1167" s="46" t="s">
        <v>591</v>
      </c>
      <c r="G1167" s="46" t="s">
        <v>2</v>
      </c>
      <c r="H1167" s="46" t="s">
        <v>592</v>
      </c>
      <c r="I1167" s="46" t="s">
        <v>169</v>
      </c>
      <c r="J1167" s="46" t="s">
        <v>246</v>
      </c>
      <c r="K1167" s="46" t="s">
        <v>141</v>
      </c>
      <c r="L1167" s="46"/>
      <c r="M1167" s="46">
        <v>1</v>
      </c>
      <c r="N1167" s="46"/>
      <c r="O1167" s="46"/>
      <c r="P1167" s="46"/>
      <c r="Q1167" s="46">
        <v>1</v>
      </c>
      <c r="R1167" s="46"/>
      <c r="S1167" s="46"/>
      <c r="T1167" s="46"/>
      <c r="U1167" s="46"/>
      <c r="V1167" s="46"/>
      <c r="W1167" s="46"/>
      <c r="X1167" s="46"/>
      <c r="Y1167" s="46"/>
      <c r="Z1167" s="46" t="s">
        <v>1177</v>
      </c>
      <c r="AA1167" s="61">
        <v>100</v>
      </c>
      <c r="AB1167" s="62">
        <f>IF(OR(G1167="ALK",G1167="PEM",G1167="SOEC",G1167="Other Electrolysis"),
AA1167/VLOOKUP(G1167,ElectrolysisConvF,3,FALSE),
AC1167*10^6/(H2dens*HoursInYear))</f>
        <v>26315.78947368421</v>
      </c>
      <c r="AC1167" s="63">
        <f>AB1167*H2dens*HoursInYear/10^6</f>
        <v>20.516842105263155</v>
      </c>
      <c r="AD1167" s="62"/>
      <c r="AE1167" s="62">
        <f t="shared" si="134"/>
        <v>26315.78947368421</v>
      </c>
      <c r="AF1167" s="64" t="s">
        <v>3320</v>
      </c>
      <c r="AG1167" s="49">
        <v>0.55000000000000004</v>
      </c>
    </row>
    <row r="1168" spans="1:33" customFormat="1" ht="35.1" customHeight="1" x14ac:dyDescent="0.3">
      <c r="A1168" s="46">
        <v>1647</v>
      </c>
      <c r="B1168" s="46" t="s">
        <v>3321</v>
      </c>
      <c r="C1168" s="46" t="s">
        <v>203</v>
      </c>
      <c r="D1168" s="60">
        <v>2024</v>
      </c>
      <c r="E1168" s="60"/>
      <c r="F1168" s="46" t="s">
        <v>591</v>
      </c>
      <c r="G1168" s="46" t="s">
        <v>159</v>
      </c>
      <c r="H1168" s="46" t="s">
        <v>592</v>
      </c>
      <c r="I1168" s="46" t="s">
        <v>157</v>
      </c>
      <c r="J1168" s="46"/>
      <c r="K1168" s="46" t="s">
        <v>168</v>
      </c>
      <c r="L1168" s="46"/>
      <c r="M1168" s="46"/>
      <c r="N1168" s="46"/>
      <c r="O1168" s="46"/>
      <c r="P1168" s="46"/>
      <c r="Q1168" s="46"/>
      <c r="R1168" s="46"/>
      <c r="S1168" s="46"/>
      <c r="T1168" s="46"/>
      <c r="U1168" s="46"/>
      <c r="V1168" s="46"/>
      <c r="W1168" s="46">
        <v>1</v>
      </c>
      <c r="X1168" s="46"/>
      <c r="Y1168" s="46"/>
      <c r="Z1168" s="46"/>
      <c r="AA1168" s="61"/>
      <c r="AB1168" s="62"/>
      <c r="AC1168" s="62"/>
      <c r="AD1168" s="62"/>
      <c r="AE1168" s="62">
        <f t="shared" si="134"/>
        <v>0</v>
      </c>
      <c r="AF1168" s="64" t="s">
        <v>3322</v>
      </c>
      <c r="AG1168" s="49">
        <v>0.56999999999999995</v>
      </c>
    </row>
    <row r="1169" spans="1:33" customFormat="1" ht="35.1" customHeight="1" x14ac:dyDescent="0.3">
      <c r="A1169" s="46">
        <v>1648</v>
      </c>
      <c r="B1169" s="46" t="s">
        <v>3323</v>
      </c>
      <c r="C1169" s="46" t="s">
        <v>203</v>
      </c>
      <c r="D1169" s="60"/>
      <c r="E1169" s="60"/>
      <c r="F1169" s="46" t="s">
        <v>591</v>
      </c>
      <c r="G1169" s="46" t="s">
        <v>159</v>
      </c>
      <c r="H1169" s="46" t="s">
        <v>592</v>
      </c>
      <c r="I1169" s="46" t="s">
        <v>157</v>
      </c>
      <c r="J1169" s="46"/>
      <c r="K1169" s="46" t="s">
        <v>68</v>
      </c>
      <c r="L1169" s="46"/>
      <c r="M1169" s="46"/>
      <c r="N1169" s="46"/>
      <c r="O1169" s="46"/>
      <c r="P1169" s="46"/>
      <c r="Q1169" s="46"/>
      <c r="R1169" s="46"/>
      <c r="S1169" s="46"/>
      <c r="T1169" s="46"/>
      <c r="U1169" s="46"/>
      <c r="V1169" s="46"/>
      <c r="W1169" s="46"/>
      <c r="X1169" s="46"/>
      <c r="Y1169" s="46"/>
      <c r="Z1169" s="46"/>
      <c r="AA1169" s="61"/>
      <c r="AB1169" s="62"/>
      <c r="AC1169" s="62"/>
      <c r="AD1169" s="62"/>
      <c r="AE1169" s="62">
        <f t="shared" si="134"/>
        <v>0</v>
      </c>
      <c r="AF1169" s="64" t="s">
        <v>3324</v>
      </c>
      <c r="AG1169" s="49">
        <v>0.56999999999999995</v>
      </c>
    </row>
    <row r="1170" spans="1:33" customFormat="1" ht="35.1" customHeight="1" x14ac:dyDescent="0.3">
      <c r="A1170" s="46">
        <v>1649</v>
      </c>
      <c r="B1170" s="46" t="s">
        <v>3325</v>
      </c>
      <c r="C1170" s="46" t="s">
        <v>203</v>
      </c>
      <c r="D1170" s="60"/>
      <c r="E1170" s="60"/>
      <c r="F1170" s="46" t="s">
        <v>591</v>
      </c>
      <c r="G1170" s="46" t="s">
        <v>159</v>
      </c>
      <c r="H1170" s="46" t="s">
        <v>592</v>
      </c>
      <c r="I1170" s="46" t="s">
        <v>157</v>
      </c>
      <c r="J1170" s="46"/>
      <c r="K1170" s="46" t="s">
        <v>68</v>
      </c>
      <c r="L1170" s="46"/>
      <c r="M1170" s="46"/>
      <c r="N1170" s="46"/>
      <c r="O1170" s="46"/>
      <c r="P1170" s="46"/>
      <c r="Q1170" s="46"/>
      <c r="R1170" s="46"/>
      <c r="S1170" s="46"/>
      <c r="T1170" s="46"/>
      <c r="U1170" s="46"/>
      <c r="V1170" s="46"/>
      <c r="W1170" s="46"/>
      <c r="X1170" s="46"/>
      <c r="Y1170" s="46"/>
      <c r="Z1170" s="46" t="s">
        <v>3326</v>
      </c>
      <c r="AA1170" s="61">
        <v>30</v>
      </c>
      <c r="AB1170" s="62">
        <f>IF(OR(G1170="ALK",G1170="PEM",G1170="SOEC",G1170="Other Electrolysis"),
AA1170/VLOOKUP(G1170,ElectrolysisConvF,3,FALSE),
AC1170*10^6/(H2dens*HoursInYear))</f>
        <v>6666.666666666667</v>
      </c>
      <c r="AC1170" s="63">
        <f>AB1170*H2dens*HoursInYear/10^6</f>
        <v>5.1976000000000004</v>
      </c>
      <c r="AD1170" s="62"/>
      <c r="AE1170" s="62">
        <f t="shared" si="134"/>
        <v>6666.666666666667</v>
      </c>
      <c r="AF1170" s="64"/>
      <c r="AG1170" s="49">
        <v>0.56999999999999995</v>
      </c>
    </row>
    <row r="1171" spans="1:33" customFormat="1" ht="35.1" customHeight="1" x14ac:dyDescent="0.3">
      <c r="A1171" s="46">
        <v>1650</v>
      </c>
      <c r="B1171" s="46" t="s">
        <v>3327</v>
      </c>
      <c r="C1171" s="46" t="s">
        <v>203</v>
      </c>
      <c r="D1171" s="60"/>
      <c r="E1171" s="60"/>
      <c r="F1171" s="46" t="s">
        <v>591</v>
      </c>
      <c r="G1171" s="46" t="s">
        <v>159</v>
      </c>
      <c r="H1171" s="46" t="s">
        <v>592</v>
      </c>
      <c r="I1171" s="46" t="s">
        <v>157</v>
      </c>
      <c r="J1171" s="46"/>
      <c r="K1171" s="46" t="s">
        <v>68</v>
      </c>
      <c r="L1171" s="46"/>
      <c r="M1171" s="46"/>
      <c r="N1171" s="46"/>
      <c r="O1171" s="46"/>
      <c r="P1171" s="46"/>
      <c r="Q1171" s="46"/>
      <c r="R1171" s="46"/>
      <c r="S1171" s="46"/>
      <c r="T1171" s="46"/>
      <c r="U1171" s="46"/>
      <c r="V1171" s="46"/>
      <c r="W1171" s="46"/>
      <c r="X1171" s="46"/>
      <c r="Y1171" s="46"/>
      <c r="Z1171" s="46" t="s">
        <v>3328</v>
      </c>
      <c r="AA1171" s="61">
        <v>24</v>
      </c>
      <c r="AB1171" s="62">
        <f>IF(OR(G1171="ALK",G1171="PEM",G1171="SOEC",G1171="Other Electrolysis"),
AA1171/VLOOKUP(G1171,ElectrolysisConvF,3,FALSE),
AC1171*10^6/(H2dens*HoursInYear))</f>
        <v>5333.3333333333339</v>
      </c>
      <c r="AC1171" s="63">
        <f>AB1171*H2dens*HoursInYear/10^6</f>
        <v>4.15808</v>
      </c>
      <c r="AD1171" s="62"/>
      <c r="AE1171" s="62">
        <f t="shared" si="134"/>
        <v>5333.3333333333339</v>
      </c>
      <c r="AF1171" s="64"/>
      <c r="AG1171" s="49">
        <v>0.56999999999999995</v>
      </c>
    </row>
    <row r="1172" spans="1:33" customFormat="1" ht="35.1" customHeight="1" x14ac:dyDescent="0.3">
      <c r="A1172" s="46">
        <v>1651</v>
      </c>
      <c r="B1172" s="46" t="s">
        <v>3329</v>
      </c>
      <c r="C1172" s="46" t="s">
        <v>203</v>
      </c>
      <c r="D1172" s="60">
        <v>2024</v>
      </c>
      <c r="E1172" s="60"/>
      <c r="F1172" s="46" t="s">
        <v>591</v>
      </c>
      <c r="G1172" s="46" t="s">
        <v>159</v>
      </c>
      <c r="H1172" s="46" t="s">
        <v>592</v>
      </c>
      <c r="I1172" s="46" t="s">
        <v>166</v>
      </c>
      <c r="J1172" s="46"/>
      <c r="K1172" s="46" t="s">
        <v>68</v>
      </c>
      <c r="L1172" s="46"/>
      <c r="M1172" s="46"/>
      <c r="N1172" s="46"/>
      <c r="O1172" s="46">
        <v>1</v>
      </c>
      <c r="P1172" s="46"/>
      <c r="Q1172" s="46">
        <v>1</v>
      </c>
      <c r="R1172" s="46"/>
      <c r="S1172" s="46"/>
      <c r="T1172" s="46"/>
      <c r="U1172" s="46"/>
      <c r="V1172" s="46"/>
      <c r="W1172" s="46"/>
      <c r="X1172" s="46"/>
      <c r="Y1172" s="46"/>
      <c r="Z1172" s="46" t="s">
        <v>3103</v>
      </c>
      <c r="AA1172" s="61">
        <v>120</v>
      </c>
      <c r="AB1172" s="62">
        <f>IF(OR(G1172="ALK",G1172="PEM",G1172="SOEC",G1172="Other Electrolysis"),
AA1172/VLOOKUP(G1172,ElectrolysisConvF,3,FALSE),
AC1172*10^6/(H2dens*HoursInYear))</f>
        <v>26666.666666666668</v>
      </c>
      <c r="AC1172" s="63">
        <f>AB1172*H2dens*HoursInYear/10^6</f>
        <v>20.790400000000002</v>
      </c>
      <c r="AD1172" s="62"/>
      <c r="AE1172" s="62">
        <f t="shared" si="134"/>
        <v>26666.666666666668</v>
      </c>
      <c r="AF1172" s="64" t="s">
        <v>3330</v>
      </c>
      <c r="AG1172" s="49">
        <v>0.56999999999999995</v>
      </c>
    </row>
    <row r="1173" spans="1:33" customFormat="1" ht="35.1" customHeight="1" x14ac:dyDescent="0.3">
      <c r="A1173" s="46">
        <v>1652</v>
      </c>
      <c r="B1173" s="46" t="s">
        <v>3331</v>
      </c>
      <c r="C1173" s="46" t="s">
        <v>203</v>
      </c>
      <c r="D1173" s="60">
        <v>2026</v>
      </c>
      <c r="E1173" s="60"/>
      <c r="F1173" s="46" t="s">
        <v>591</v>
      </c>
      <c r="G1173" s="46" t="s">
        <v>159</v>
      </c>
      <c r="H1173" s="46" t="s">
        <v>592</v>
      </c>
      <c r="I1173" s="46" t="s">
        <v>169</v>
      </c>
      <c r="J1173" s="46" t="s">
        <v>245</v>
      </c>
      <c r="K1173" s="46" t="s">
        <v>68</v>
      </c>
      <c r="L1173" s="46"/>
      <c r="M1173" s="46"/>
      <c r="N1173" s="46"/>
      <c r="O1173" s="46"/>
      <c r="P1173" s="46">
        <v>1</v>
      </c>
      <c r="Q1173" s="46">
        <v>1</v>
      </c>
      <c r="R1173" s="46"/>
      <c r="S1173" s="46">
        <v>1</v>
      </c>
      <c r="T1173" s="46"/>
      <c r="U1173" s="46"/>
      <c r="V1173" s="46"/>
      <c r="W1173" s="46"/>
      <c r="X1173" s="46"/>
      <c r="Y1173" s="46"/>
      <c r="Z1173" s="46" t="s">
        <v>3326</v>
      </c>
      <c r="AA1173" s="61">
        <v>30</v>
      </c>
      <c r="AB1173" s="62">
        <f>IF(OR(G1173="ALK",G1173="PEM",G1173="SOEC",G1173="Other Electrolysis"),
AA1173/VLOOKUP(G1173,ElectrolysisConvF,3,FALSE),
AC1173*10^6/(H2dens*HoursInYear))</f>
        <v>6666.666666666667</v>
      </c>
      <c r="AC1173" s="63">
        <f>AB1173*H2dens*HoursInYear/10^6</f>
        <v>5.1976000000000004</v>
      </c>
      <c r="AD1173" s="62"/>
      <c r="AE1173" s="62">
        <f t="shared" si="134"/>
        <v>6666.666666666667</v>
      </c>
      <c r="AF1173" s="64" t="s">
        <v>3332</v>
      </c>
      <c r="AG1173" s="49">
        <v>0.4</v>
      </c>
    </row>
    <row r="1174" spans="1:33" customFormat="1" ht="35.1" customHeight="1" x14ac:dyDescent="0.3">
      <c r="A1174" s="46">
        <v>1653</v>
      </c>
      <c r="B1174" s="46" t="s">
        <v>3333</v>
      </c>
      <c r="C1174" s="46" t="s">
        <v>203</v>
      </c>
      <c r="D1174" s="60">
        <v>2024</v>
      </c>
      <c r="E1174" s="60"/>
      <c r="F1174" s="46" t="s">
        <v>591</v>
      </c>
      <c r="G1174" s="46" t="s">
        <v>159</v>
      </c>
      <c r="H1174" s="46" t="s">
        <v>592</v>
      </c>
      <c r="I1174" s="46" t="s">
        <v>157</v>
      </c>
      <c r="J1174" s="46"/>
      <c r="K1174" s="46" t="s">
        <v>68</v>
      </c>
      <c r="L1174" s="46"/>
      <c r="M1174" s="46"/>
      <c r="N1174" s="46"/>
      <c r="O1174" s="46"/>
      <c r="P1174" s="46"/>
      <c r="Q1174" s="46"/>
      <c r="R1174" s="46"/>
      <c r="S1174" s="46"/>
      <c r="T1174" s="46"/>
      <c r="U1174" s="46"/>
      <c r="V1174" s="46"/>
      <c r="W1174" s="46"/>
      <c r="X1174" s="46"/>
      <c r="Y1174" s="46"/>
      <c r="Z1174" s="46" t="s">
        <v>3334</v>
      </c>
      <c r="AA1174" s="61">
        <v>54</v>
      </c>
      <c r="AB1174" s="62">
        <f>IF(OR(G1174="ALK",G1174="PEM",G1174="SOEC",G1174="Other Electrolysis"),
AA1174/VLOOKUP(G1174,ElectrolysisConvF,3,FALSE),
AC1174*10^6/(H2dens*HoursInYear))</f>
        <v>12000</v>
      </c>
      <c r="AC1174" s="63">
        <f>AB1174*H2dens*HoursInYear/10^6</f>
        <v>9.3556799999999996</v>
      </c>
      <c r="AD1174" s="62"/>
      <c r="AE1174" s="62">
        <f t="shared" si="134"/>
        <v>12000</v>
      </c>
      <c r="AF1174" s="64"/>
      <c r="AG1174" s="49">
        <v>0.56999999999999995</v>
      </c>
    </row>
    <row r="1175" spans="1:33" customFormat="1" ht="35.1" customHeight="1" x14ac:dyDescent="0.3">
      <c r="A1175" s="46">
        <v>1654</v>
      </c>
      <c r="B1175" s="46" t="s">
        <v>3335</v>
      </c>
      <c r="C1175" s="46" t="s">
        <v>203</v>
      </c>
      <c r="D1175" s="60">
        <v>2025</v>
      </c>
      <c r="E1175" s="60"/>
      <c r="F1175" s="46" t="s">
        <v>591</v>
      </c>
      <c r="G1175" s="46" t="s">
        <v>159</v>
      </c>
      <c r="H1175" s="46" t="s">
        <v>592</v>
      </c>
      <c r="I1175" s="46" t="s">
        <v>169</v>
      </c>
      <c r="J1175" s="46" t="s">
        <v>69</v>
      </c>
      <c r="K1175" s="46" t="s">
        <v>167</v>
      </c>
      <c r="L1175" s="46"/>
      <c r="M1175" s="46"/>
      <c r="N1175" s="46"/>
      <c r="O1175" s="46"/>
      <c r="P1175" s="46"/>
      <c r="Q1175" s="46"/>
      <c r="R1175" s="46"/>
      <c r="S1175" s="46"/>
      <c r="T1175" s="46"/>
      <c r="U1175" s="46"/>
      <c r="V1175" s="46"/>
      <c r="W1175" s="46">
        <v>1</v>
      </c>
      <c r="X1175" s="46"/>
      <c r="Y1175" s="46"/>
      <c r="Z1175" s="46" t="s">
        <v>2914</v>
      </c>
      <c r="AA1175" s="61">
        <f>AB1175*0.0045</f>
        <v>296.50144112878223</v>
      </c>
      <c r="AB1175" s="62">
        <f>AC1175/(0.089*24*365/10^6)</f>
        <v>65889.209139729384</v>
      </c>
      <c r="AC1175" s="63">
        <f>50*0.045/0.73/0.12/H2ProjectDB4578610[[#This Row],[Column33]]</f>
        <v>51.369863013698627</v>
      </c>
      <c r="AD1175" s="62"/>
      <c r="AE1175" s="62">
        <f t="shared" si="134"/>
        <v>65889.209139729384</v>
      </c>
      <c r="AF1175" s="64" t="s">
        <v>3336</v>
      </c>
      <c r="AG1175" s="49">
        <v>0.5</v>
      </c>
    </row>
    <row r="1176" spans="1:33" customFormat="1" ht="35.1" customHeight="1" x14ac:dyDescent="0.3">
      <c r="A1176" s="46">
        <v>1656</v>
      </c>
      <c r="B1176" s="46" t="s">
        <v>3337</v>
      </c>
      <c r="C1176" s="46" t="s">
        <v>203</v>
      </c>
      <c r="D1176" s="60"/>
      <c r="E1176" s="60"/>
      <c r="F1176" s="46" t="s">
        <v>591</v>
      </c>
      <c r="G1176" s="46" t="s">
        <v>159</v>
      </c>
      <c r="H1176" s="46" t="s">
        <v>592</v>
      </c>
      <c r="I1176" s="46" t="s">
        <v>169</v>
      </c>
      <c r="J1176" s="46" t="s">
        <v>245</v>
      </c>
      <c r="K1176" s="46" t="s">
        <v>68</v>
      </c>
      <c r="L1176" s="46"/>
      <c r="M1176" s="46"/>
      <c r="N1176" s="46"/>
      <c r="O1176" s="46"/>
      <c r="P1176" s="46"/>
      <c r="Q1176" s="46">
        <v>1</v>
      </c>
      <c r="R1176" s="46"/>
      <c r="S1176" s="46"/>
      <c r="T1176" s="46"/>
      <c r="U1176" s="46"/>
      <c r="V1176" s="46"/>
      <c r="W1176" s="46"/>
      <c r="X1176" s="46"/>
      <c r="Y1176" s="46"/>
      <c r="Z1176" s="46" t="s">
        <v>714</v>
      </c>
      <c r="AA1176" s="61">
        <v>2</v>
      </c>
      <c r="AB1176" s="62">
        <f>IF(OR(G1176="ALK",G1176="PEM",G1176="SOEC",G1176="Other Electrolysis"),
AA1176/VLOOKUP(G1176,ElectrolysisConvF,3,FALSE),
AC1176*10^6/(H2dens*HoursInYear))</f>
        <v>444.44444444444446</v>
      </c>
      <c r="AC1176" s="63">
        <f>AB1176*H2dens*HoursInYear/10^6</f>
        <v>0.34650666666666669</v>
      </c>
      <c r="AD1176" s="62"/>
      <c r="AE1176" s="62">
        <f t="shared" si="134"/>
        <v>444.44444444444446</v>
      </c>
      <c r="AF1176" s="64" t="s">
        <v>3338</v>
      </c>
      <c r="AG1176" s="49">
        <v>0.4</v>
      </c>
    </row>
    <row r="1177" spans="1:33" customFormat="1" ht="35.1" customHeight="1" x14ac:dyDescent="0.3">
      <c r="A1177" s="46">
        <v>1657</v>
      </c>
      <c r="B1177" s="46" t="s">
        <v>3339</v>
      </c>
      <c r="C1177" s="46" t="s">
        <v>203</v>
      </c>
      <c r="D1177" s="60">
        <v>2024</v>
      </c>
      <c r="E1177" s="60"/>
      <c r="F1177" s="46" t="s">
        <v>285</v>
      </c>
      <c r="G1177" s="46" t="s">
        <v>159</v>
      </c>
      <c r="H1177" s="46" t="s">
        <v>592</v>
      </c>
      <c r="I1177" s="46" t="s">
        <v>157</v>
      </c>
      <c r="J1177" s="46"/>
      <c r="K1177" s="46" t="s">
        <v>167</v>
      </c>
      <c r="L1177" s="46"/>
      <c r="M1177" s="46"/>
      <c r="N1177" s="46"/>
      <c r="O1177" s="46"/>
      <c r="P1177" s="46"/>
      <c r="Q1177" s="46"/>
      <c r="R1177" s="46"/>
      <c r="S1177" s="46"/>
      <c r="T1177" s="46"/>
      <c r="U1177" s="46"/>
      <c r="V1177" s="46"/>
      <c r="W1177" s="46">
        <v>1</v>
      </c>
      <c r="X1177" s="46"/>
      <c r="Y1177" s="46"/>
      <c r="Z1177" s="46"/>
      <c r="AA1177" s="61"/>
      <c r="AB1177" s="62"/>
      <c r="AC1177" s="62"/>
      <c r="AD1177" s="62"/>
      <c r="AE1177" s="62">
        <f t="shared" si="134"/>
        <v>0</v>
      </c>
      <c r="AF1177" s="64" t="s">
        <v>3340</v>
      </c>
      <c r="AG1177" s="49">
        <v>0.56999999999999995</v>
      </c>
    </row>
    <row r="1178" spans="1:33" customFormat="1" ht="35.1" customHeight="1" x14ac:dyDescent="0.3">
      <c r="A1178" s="46">
        <v>1658</v>
      </c>
      <c r="B1178" s="46" t="s">
        <v>3341</v>
      </c>
      <c r="C1178" s="46" t="s">
        <v>203</v>
      </c>
      <c r="D1178" s="60">
        <v>2024</v>
      </c>
      <c r="E1178" s="60"/>
      <c r="F1178" s="46"/>
      <c r="G1178" s="46" t="s">
        <v>164</v>
      </c>
      <c r="H1178" s="46" t="s">
        <v>3052</v>
      </c>
      <c r="I1178" s="46"/>
      <c r="J1178" s="46"/>
      <c r="K1178" s="46" t="s">
        <v>68</v>
      </c>
      <c r="L1178" s="46"/>
      <c r="M1178" s="46"/>
      <c r="N1178" s="46"/>
      <c r="O1178" s="46"/>
      <c r="P1178" s="46"/>
      <c r="Q1178" s="46"/>
      <c r="R1178" s="46"/>
      <c r="S1178" s="46"/>
      <c r="T1178" s="46"/>
      <c r="U1178" s="46"/>
      <c r="V1178" s="46"/>
      <c r="W1178" s="46"/>
      <c r="X1178" s="46"/>
      <c r="Y1178" s="46"/>
      <c r="Z1178" s="46" t="s">
        <v>3342</v>
      </c>
      <c r="AA1178" s="61" t="str">
        <f>IF(OR(G1178="ALK",G1178="PEM",G1178="SOEC",G1178="Other Electrolysis"),
AB1178*VLOOKUP(G1178,ElectrolysisConvF,3,FALSE),
"")</f>
        <v/>
      </c>
      <c r="AB1178" s="62">
        <f>AC1178/(H2dens*HoursInYear/10^6)</f>
        <v>1026.1146170027193</v>
      </c>
      <c r="AC1178" s="63">
        <v>0.8</v>
      </c>
      <c r="AD1178" s="62"/>
      <c r="AE1178" s="62">
        <f t="shared" si="134"/>
        <v>1026.1146170027193</v>
      </c>
      <c r="AF1178" s="64" t="s">
        <v>3264</v>
      </c>
      <c r="AG1178" s="49">
        <v>0.9</v>
      </c>
    </row>
    <row r="1179" spans="1:33" customFormat="1" ht="35.1" customHeight="1" x14ac:dyDescent="0.3">
      <c r="A1179" s="46">
        <v>1659</v>
      </c>
      <c r="B1179" s="46" t="s">
        <v>3343</v>
      </c>
      <c r="C1179" s="46" t="s">
        <v>203</v>
      </c>
      <c r="D1179" s="60">
        <v>2027</v>
      </c>
      <c r="E1179" s="60"/>
      <c r="F1179" s="46"/>
      <c r="G1179" s="46" t="s">
        <v>164</v>
      </c>
      <c r="H1179" s="46" t="s">
        <v>3052</v>
      </c>
      <c r="I1179" s="46"/>
      <c r="J1179" s="46"/>
      <c r="K1179" s="46" t="s">
        <v>68</v>
      </c>
      <c r="L1179" s="46"/>
      <c r="M1179" s="46"/>
      <c r="N1179" s="46"/>
      <c r="O1179" s="46"/>
      <c r="P1179" s="46"/>
      <c r="Q1179" s="46"/>
      <c r="R1179" s="46"/>
      <c r="S1179" s="46"/>
      <c r="T1179" s="46"/>
      <c r="U1179" s="46"/>
      <c r="V1179" s="46"/>
      <c r="W1179" s="46"/>
      <c r="X1179" s="46"/>
      <c r="Y1179" s="46"/>
      <c r="Z1179" s="46" t="s">
        <v>3344</v>
      </c>
      <c r="AA1179" s="61" t="str">
        <f>IF(OR(G1179="ALK",G1179="PEM",G1179="SOEC",G1179="Other Electrolysis"),
AB1179*VLOOKUP(G1179,ElectrolysisConvF,3,FALSE),
"")</f>
        <v/>
      </c>
      <c r="AB1179" s="62">
        <f>AC1179/(H2dens*HoursInYear/10^6)</f>
        <v>12826.432712533991</v>
      </c>
      <c r="AC1179" s="62">
        <v>10</v>
      </c>
      <c r="AD1179" s="62"/>
      <c r="AE1179" s="62">
        <f t="shared" si="134"/>
        <v>12826.432712533991</v>
      </c>
      <c r="AF1179" s="64" t="s">
        <v>3264</v>
      </c>
      <c r="AG1179" s="49">
        <v>0.9</v>
      </c>
    </row>
    <row r="1180" spans="1:33" customFormat="1" ht="35.1" customHeight="1" x14ac:dyDescent="0.3">
      <c r="A1180" s="46">
        <v>1660</v>
      </c>
      <c r="B1180" s="46" t="s">
        <v>3345</v>
      </c>
      <c r="C1180" s="46" t="s">
        <v>63</v>
      </c>
      <c r="D1180" s="60">
        <v>2024</v>
      </c>
      <c r="E1180" s="60"/>
      <c r="F1180" s="46" t="s">
        <v>285</v>
      </c>
      <c r="G1180" s="46" t="s">
        <v>159</v>
      </c>
      <c r="H1180" s="46" t="s">
        <v>592</v>
      </c>
      <c r="I1180" s="46" t="s">
        <v>169</v>
      </c>
      <c r="J1180" s="46" t="s">
        <v>246</v>
      </c>
      <c r="K1180" s="46" t="s">
        <v>68</v>
      </c>
      <c r="L1180" s="46"/>
      <c r="M1180" s="46"/>
      <c r="N1180" s="46"/>
      <c r="O1180" s="46"/>
      <c r="P1180" s="46"/>
      <c r="Q1180" s="46">
        <v>1</v>
      </c>
      <c r="R1180" s="46"/>
      <c r="S1180" s="46"/>
      <c r="T1180" s="46"/>
      <c r="U1180" s="46"/>
      <c r="V1180" s="46"/>
      <c r="W1180" s="46"/>
      <c r="X1180" s="46"/>
      <c r="Y1180" s="46"/>
      <c r="Z1180" s="46"/>
      <c r="AA1180" s="61"/>
      <c r="AB1180" s="62"/>
      <c r="AC1180" s="62"/>
      <c r="AD1180" s="62"/>
      <c r="AE1180" s="62">
        <f t="shared" si="134"/>
        <v>0</v>
      </c>
      <c r="AF1180" s="64" t="s">
        <v>3346</v>
      </c>
      <c r="AG1180" s="49">
        <v>0.55000000000000004</v>
      </c>
    </row>
    <row r="1181" spans="1:33" customFormat="1" ht="35.1" customHeight="1" x14ac:dyDescent="0.3">
      <c r="A1181" s="46">
        <v>1661</v>
      </c>
      <c r="B1181" s="46" t="s">
        <v>3347</v>
      </c>
      <c r="C1181" s="46" t="s">
        <v>63</v>
      </c>
      <c r="D1181" s="60">
        <v>2023</v>
      </c>
      <c r="E1181" s="60"/>
      <c r="F1181" s="46" t="s">
        <v>675</v>
      </c>
      <c r="G1181" s="46" t="s">
        <v>159</v>
      </c>
      <c r="H1181" s="46" t="s">
        <v>592</v>
      </c>
      <c r="I1181" s="46" t="s">
        <v>169</v>
      </c>
      <c r="J1181" s="46" t="s">
        <v>69</v>
      </c>
      <c r="K1181" s="46" t="s">
        <v>68</v>
      </c>
      <c r="L1181" s="46"/>
      <c r="M1181" s="46"/>
      <c r="N1181" s="46"/>
      <c r="O1181" s="46"/>
      <c r="P1181" s="46"/>
      <c r="Q1181" s="46">
        <v>1</v>
      </c>
      <c r="R1181" s="46"/>
      <c r="S1181" s="46"/>
      <c r="T1181" s="46"/>
      <c r="U1181" s="46"/>
      <c r="V1181" s="46"/>
      <c r="W1181" s="46"/>
      <c r="X1181" s="46"/>
      <c r="Y1181" s="46"/>
      <c r="Z1181" s="46" t="s">
        <v>714</v>
      </c>
      <c r="AA1181" s="61">
        <v>2</v>
      </c>
      <c r="AB1181" s="62">
        <f>IF(OR(G1181="ALK",G1181="PEM",G1181="SOEC",G1181="Other Electrolysis"),
AA1181/VLOOKUP(G1181,ElectrolysisConvF,3,FALSE),
AC1181*10^6/(H2dens*HoursInYear))</f>
        <v>444.44444444444446</v>
      </c>
      <c r="AC1181" s="63">
        <f>AB1181*H2dens*HoursInYear/10^6</f>
        <v>0.34650666666666669</v>
      </c>
      <c r="AD1181" s="62"/>
      <c r="AE1181" s="62">
        <f t="shared" si="134"/>
        <v>444.44444444444446</v>
      </c>
      <c r="AF1181" s="64" t="s">
        <v>3348</v>
      </c>
      <c r="AG1181" s="49">
        <v>0.5</v>
      </c>
    </row>
    <row r="1182" spans="1:33" customFormat="1" ht="35.1" customHeight="1" x14ac:dyDescent="0.3">
      <c r="A1182" s="46">
        <v>1662</v>
      </c>
      <c r="B1182" s="46" t="s">
        <v>3349</v>
      </c>
      <c r="C1182" s="46" t="s">
        <v>63</v>
      </c>
      <c r="D1182" s="60">
        <v>2027</v>
      </c>
      <c r="E1182" s="60"/>
      <c r="F1182" s="46" t="s">
        <v>591</v>
      </c>
      <c r="G1182" s="46" t="s">
        <v>159</v>
      </c>
      <c r="H1182" s="46" t="s">
        <v>592</v>
      </c>
      <c r="I1182" s="46" t="s">
        <v>169</v>
      </c>
      <c r="J1182" s="46" t="s">
        <v>69</v>
      </c>
      <c r="K1182" s="46" t="s">
        <v>68</v>
      </c>
      <c r="L1182" s="46"/>
      <c r="M1182" s="46"/>
      <c r="N1182" s="46"/>
      <c r="O1182" s="46"/>
      <c r="P1182" s="46"/>
      <c r="Q1182" s="46"/>
      <c r="R1182" s="46"/>
      <c r="S1182" s="46"/>
      <c r="T1182" s="46"/>
      <c r="U1182" s="46"/>
      <c r="V1182" s="46"/>
      <c r="W1182" s="46"/>
      <c r="X1182" s="46"/>
      <c r="Y1182" s="46"/>
      <c r="Z1182" s="46" t="s">
        <v>1177</v>
      </c>
      <c r="AA1182" s="61">
        <v>100</v>
      </c>
      <c r="AB1182" s="62">
        <f>IF(OR(G1182="ALK",G1182="PEM",G1182="SOEC",G1182="Other Electrolysis"),
AA1182/VLOOKUP(G1182,ElectrolysisConvF,3,FALSE),
AC1182*10^6/(H2dens*HoursInYear))</f>
        <v>22222.222222222223</v>
      </c>
      <c r="AC1182" s="63">
        <f>AB1182*H2dens*HoursInYear/10^6</f>
        <v>17.325333333333333</v>
      </c>
      <c r="AD1182" s="62"/>
      <c r="AE1182" s="62">
        <f t="shared" si="134"/>
        <v>22222.222222222223</v>
      </c>
      <c r="AF1182" s="64"/>
      <c r="AG1182" s="49">
        <v>0.5</v>
      </c>
    </row>
    <row r="1183" spans="1:33" customFormat="1" ht="35.1" customHeight="1" x14ac:dyDescent="0.3">
      <c r="A1183" s="46">
        <v>1663</v>
      </c>
      <c r="B1183" s="46" t="s">
        <v>3350</v>
      </c>
      <c r="C1183" s="46" t="s">
        <v>63</v>
      </c>
      <c r="D1183" s="60">
        <v>2027</v>
      </c>
      <c r="E1183" s="60"/>
      <c r="F1183" s="46" t="s">
        <v>591</v>
      </c>
      <c r="G1183" s="46" t="s">
        <v>159</v>
      </c>
      <c r="H1183" s="46" t="s">
        <v>592</v>
      </c>
      <c r="I1183" s="46" t="s">
        <v>169</v>
      </c>
      <c r="J1183" s="46" t="s">
        <v>245</v>
      </c>
      <c r="K1183" s="46" t="s">
        <v>68</v>
      </c>
      <c r="L1183" s="46"/>
      <c r="M1183" s="46"/>
      <c r="N1183" s="46"/>
      <c r="O1183" s="46"/>
      <c r="P1183" s="46">
        <v>1</v>
      </c>
      <c r="Q1183" s="46">
        <v>1</v>
      </c>
      <c r="R1183" s="46"/>
      <c r="S1183" s="46"/>
      <c r="T1183" s="46"/>
      <c r="U1183" s="46"/>
      <c r="V1183" s="46"/>
      <c r="W1183" s="46">
        <v>1</v>
      </c>
      <c r="X1183" s="46"/>
      <c r="Y1183" s="46"/>
      <c r="Z1183" s="46" t="s">
        <v>1177</v>
      </c>
      <c r="AA1183" s="61">
        <v>100</v>
      </c>
      <c r="AB1183" s="62">
        <f>IF(OR(G1183="ALK",G1183="PEM",G1183="SOEC",G1183="Other Electrolysis"),
AA1183/VLOOKUP(G1183,ElectrolysisConvF,3,FALSE),
AC1183*10^6/(H2dens*HoursInYear))</f>
        <v>22222.222222222223</v>
      </c>
      <c r="AC1183" s="63">
        <f>AB1183*H2dens*HoursInYear/10^6</f>
        <v>17.325333333333333</v>
      </c>
      <c r="AD1183" s="62"/>
      <c r="AE1183" s="62">
        <f t="shared" si="134"/>
        <v>22222.222222222223</v>
      </c>
      <c r="AF1183" s="64" t="s">
        <v>3351</v>
      </c>
      <c r="AG1183" s="49">
        <v>0.4</v>
      </c>
    </row>
    <row r="1184" spans="1:33" customFormat="1" ht="35.1" customHeight="1" x14ac:dyDescent="0.3">
      <c r="A1184" s="46">
        <v>1664</v>
      </c>
      <c r="B1184" s="46" t="s">
        <v>3352</v>
      </c>
      <c r="C1184" s="46" t="s">
        <v>63</v>
      </c>
      <c r="D1184" s="60">
        <v>2025</v>
      </c>
      <c r="E1184" s="60"/>
      <c r="F1184" s="46" t="s">
        <v>591</v>
      </c>
      <c r="G1184" s="46" t="s">
        <v>159</v>
      </c>
      <c r="H1184" s="46" t="s">
        <v>592</v>
      </c>
      <c r="I1184" s="46" t="s">
        <v>169</v>
      </c>
      <c r="J1184" s="46" t="s">
        <v>248</v>
      </c>
      <c r="K1184" s="46" t="s">
        <v>68</v>
      </c>
      <c r="L1184" s="46"/>
      <c r="M1184" s="46"/>
      <c r="N1184" s="46"/>
      <c r="O1184" s="46"/>
      <c r="P1184" s="46">
        <v>1</v>
      </c>
      <c r="Q1184" s="46">
        <v>1</v>
      </c>
      <c r="R1184" s="46"/>
      <c r="S1184" s="46"/>
      <c r="T1184" s="46"/>
      <c r="U1184" s="46">
        <v>1</v>
      </c>
      <c r="V1184" s="46"/>
      <c r="W1184" s="46"/>
      <c r="X1184" s="46"/>
      <c r="Y1184" s="46"/>
      <c r="Z1184" s="46" t="s">
        <v>3353</v>
      </c>
      <c r="AA1184" s="61">
        <v>50</v>
      </c>
      <c r="AB1184" s="62">
        <f>IF(OR(G1184="ALK",G1184="PEM",G1184="SOEC",G1184="Other Electrolysis"),
AA1184/VLOOKUP(G1184,ElectrolysisConvF,3,FALSE),
AC1184*10^6/(H2dens*HoursInYear))</f>
        <v>11111.111111111111</v>
      </c>
      <c r="AC1184" s="63">
        <f>AB1184*H2dens*HoursInYear/10^6</f>
        <v>8.6626666666666665</v>
      </c>
      <c r="AD1184" s="62"/>
      <c r="AE1184" s="62">
        <f t="shared" si="134"/>
        <v>11111.111111111111</v>
      </c>
      <c r="AF1184" s="64" t="s">
        <v>3354</v>
      </c>
      <c r="AG1184" s="49">
        <v>0.5</v>
      </c>
    </row>
    <row r="1185" spans="1:33" customFormat="1" ht="35.1" customHeight="1" x14ac:dyDescent="0.3">
      <c r="A1185" s="46">
        <v>1665</v>
      </c>
      <c r="B1185" s="46" t="s">
        <v>3355</v>
      </c>
      <c r="C1185" s="46" t="s">
        <v>63</v>
      </c>
      <c r="D1185" s="60">
        <v>2025</v>
      </c>
      <c r="E1185" s="60"/>
      <c r="F1185" s="46"/>
      <c r="G1185" s="46" t="s">
        <v>164</v>
      </c>
      <c r="H1185" s="46" t="s">
        <v>3052</v>
      </c>
      <c r="I1185" s="46"/>
      <c r="J1185" s="46"/>
      <c r="K1185" s="46" t="s">
        <v>68</v>
      </c>
      <c r="L1185" s="46"/>
      <c r="M1185" s="46"/>
      <c r="N1185" s="46"/>
      <c r="O1185" s="46"/>
      <c r="P1185" s="46"/>
      <c r="Q1185" s="46"/>
      <c r="R1185" s="46"/>
      <c r="S1185" s="46"/>
      <c r="T1185" s="46"/>
      <c r="U1185" s="46"/>
      <c r="V1185" s="46"/>
      <c r="W1185" s="46"/>
      <c r="X1185" s="46"/>
      <c r="Y1185" s="46"/>
      <c r="Z1185" s="46" t="s">
        <v>3356</v>
      </c>
      <c r="AA1185" s="61" t="str">
        <f>IF(OR(G1185="ALK",G1185="PEM",G1185="SOEC",G1185="Other Electrolysis"),
AB1185*VLOOKUP(G1185,ElectrolysisConvF,3,FALSE),
"")</f>
        <v/>
      </c>
      <c r="AB1185" s="62">
        <f>AC1185/(H2dens*HoursInYear/10^6)</f>
        <v>5771.8947206402954</v>
      </c>
      <c r="AC1185" s="63">
        <v>4.5</v>
      </c>
      <c r="AD1185" s="62"/>
      <c r="AE1185" s="62">
        <f t="shared" si="134"/>
        <v>5771.8947206402954</v>
      </c>
      <c r="AF1185" s="64" t="s">
        <v>3264</v>
      </c>
      <c r="AG1185" s="49">
        <v>0.9</v>
      </c>
    </row>
    <row r="1186" spans="1:33" customFormat="1" ht="35.1" customHeight="1" x14ac:dyDescent="0.3">
      <c r="A1186" s="46">
        <v>1666</v>
      </c>
      <c r="B1186" s="46" t="s">
        <v>3357</v>
      </c>
      <c r="C1186" s="46" t="s">
        <v>36</v>
      </c>
      <c r="D1186" s="60">
        <v>2024</v>
      </c>
      <c r="E1186" s="60"/>
      <c r="F1186" s="46" t="s">
        <v>225</v>
      </c>
      <c r="G1186" s="46" t="s">
        <v>159</v>
      </c>
      <c r="H1186" s="46" t="s">
        <v>592</v>
      </c>
      <c r="I1186" s="46" t="s">
        <v>169</v>
      </c>
      <c r="J1186" s="46" t="s">
        <v>245</v>
      </c>
      <c r="K1186" s="46" t="s">
        <v>68</v>
      </c>
      <c r="L1186" s="46"/>
      <c r="M1186" s="46"/>
      <c r="N1186" s="46"/>
      <c r="O1186" s="46"/>
      <c r="P1186" s="46">
        <v>1</v>
      </c>
      <c r="Q1186" s="46">
        <v>1</v>
      </c>
      <c r="R1186" s="46">
        <v>1</v>
      </c>
      <c r="S1186" s="46"/>
      <c r="T1186" s="46"/>
      <c r="U1186" s="46">
        <v>1</v>
      </c>
      <c r="V1186" s="46"/>
      <c r="W1186" s="46"/>
      <c r="X1186" s="46"/>
      <c r="Y1186" s="46"/>
      <c r="Z1186" s="46" t="s">
        <v>3358</v>
      </c>
      <c r="AA1186" s="61">
        <f>IF(OR(G1186="ALK",G1186="PEM",G1186="SOEC",G1186="Other Electrolysis"),
AB1186*VLOOKUP(G1186,ElectrolysisConvF,3,FALSE),
"")</f>
        <v>1.2986763121440665</v>
      </c>
      <c r="AB1186" s="62">
        <f>AC1186/(H2dens*HoursInYear/10^6)</f>
        <v>288.59473603201479</v>
      </c>
      <c r="AC1186" s="73">
        <v>0.22500000000000001</v>
      </c>
      <c r="AD1186" s="62"/>
      <c r="AE1186" s="62">
        <f t="shared" si="134"/>
        <v>288.59473603201479</v>
      </c>
      <c r="AF1186" s="64" t="s">
        <v>3359</v>
      </c>
      <c r="AG1186" s="49">
        <v>0.4</v>
      </c>
    </row>
    <row r="1187" spans="1:33" customFormat="1" ht="35.1" customHeight="1" x14ac:dyDescent="0.3">
      <c r="A1187" s="46">
        <v>1667</v>
      </c>
      <c r="B1187" s="46" t="s">
        <v>3360</v>
      </c>
      <c r="C1187" s="46" t="s">
        <v>36</v>
      </c>
      <c r="D1187" s="60">
        <v>2025</v>
      </c>
      <c r="E1187" s="60"/>
      <c r="F1187" s="46" t="s">
        <v>225</v>
      </c>
      <c r="G1187" s="46" t="s">
        <v>159</v>
      </c>
      <c r="H1187" s="46" t="s">
        <v>592</v>
      </c>
      <c r="I1187" s="46" t="s">
        <v>157</v>
      </c>
      <c r="J1187" s="46"/>
      <c r="K1187" s="46" t="s">
        <v>68</v>
      </c>
      <c r="L1187" s="46">
        <v>1</v>
      </c>
      <c r="M1187" s="46"/>
      <c r="N1187" s="46"/>
      <c r="O1187" s="46"/>
      <c r="P1187" s="46"/>
      <c r="Q1187" s="46"/>
      <c r="R1187" s="46"/>
      <c r="S1187" s="46"/>
      <c r="T1187" s="46"/>
      <c r="U1187" s="46"/>
      <c r="V1187" s="46"/>
      <c r="W1187" s="46"/>
      <c r="X1187" s="46"/>
      <c r="Y1187" s="46"/>
      <c r="Z1187" s="46" t="s">
        <v>3353</v>
      </c>
      <c r="AA1187" s="61">
        <v>50</v>
      </c>
      <c r="AB1187" s="62">
        <f t="shared" ref="AB1187:AB1192" si="140">IF(OR(G1187="ALK",G1187="PEM",G1187="SOEC",G1187="Other Electrolysis"),
AA1187/VLOOKUP(G1187,ElectrolysisConvF,3,FALSE),
AC1187*10^6/(H2dens*HoursInYear))</f>
        <v>11111.111111111111</v>
      </c>
      <c r="AC1187" s="63">
        <f t="shared" ref="AC1187:AC1192" si="141">AB1187*H2dens*HoursInYear/10^6</f>
        <v>8.6626666666666665</v>
      </c>
      <c r="AD1187" s="62"/>
      <c r="AE1187" s="62">
        <f t="shared" si="134"/>
        <v>11111.111111111111</v>
      </c>
      <c r="AF1187" s="64" t="s">
        <v>3361</v>
      </c>
      <c r="AG1187" s="49">
        <v>0.56999999999999995</v>
      </c>
    </row>
    <row r="1188" spans="1:33" customFormat="1" ht="35.1" customHeight="1" x14ac:dyDescent="0.3">
      <c r="A1188" s="46">
        <v>1668</v>
      </c>
      <c r="B1188" s="46" t="s">
        <v>3362</v>
      </c>
      <c r="C1188" s="46" t="s">
        <v>36</v>
      </c>
      <c r="D1188" s="60">
        <v>2027</v>
      </c>
      <c r="E1188" s="60"/>
      <c r="F1188" s="46" t="s">
        <v>225</v>
      </c>
      <c r="G1188" s="46" t="s">
        <v>159</v>
      </c>
      <c r="H1188" s="46" t="s">
        <v>592</v>
      </c>
      <c r="I1188" s="46" t="s">
        <v>157</v>
      </c>
      <c r="J1188" s="46"/>
      <c r="K1188" s="46" t="s">
        <v>68</v>
      </c>
      <c r="L1188" s="46">
        <v>1</v>
      </c>
      <c r="M1188" s="46"/>
      <c r="N1188" s="46"/>
      <c r="O1188" s="46"/>
      <c r="P1188" s="46"/>
      <c r="Q1188" s="46"/>
      <c r="R1188" s="46"/>
      <c r="S1188" s="46"/>
      <c r="T1188" s="46"/>
      <c r="U1188" s="46"/>
      <c r="V1188" s="46"/>
      <c r="W1188" s="46"/>
      <c r="X1188" s="46"/>
      <c r="Y1188" s="46"/>
      <c r="Z1188" s="46" t="s">
        <v>3103</v>
      </c>
      <c r="AA1188" s="61">
        <v>70</v>
      </c>
      <c r="AB1188" s="62">
        <f t="shared" si="140"/>
        <v>15555.555555555557</v>
      </c>
      <c r="AC1188" s="63">
        <f t="shared" si="141"/>
        <v>12.127733333333333</v>
      </c>
      <c r="AD1188" s="62"/>
      <c r="AE1188" s="62">
        <f t="shared" ref="AE1188:AE1214" si="142">IF(AND(G1188&lt;&gt;"NG w CCUS",G1188&lt;&gt;"Oil w CCUS",G1188&lt;&gt;"Coal w CCUS"),AB1188,AD1188*10^3/(HoursInYear*IF(G1188="NG w CCUS",0.9105,1.9075)))</f>
        <v>15555.555555555557</v>
      </c>
      <c r="AF1188" s="64" t="s">
        <v>3363</v>
      </c>
      <c r="AG1188" s="49">
        <v>0.56999999999999995</v>
      </c>
    </row>
    <row r="1189" spans="1:33" customFormat="1" ht="35.1" customHeight="1" x14ac:dyDescent="0.3">
      <c r="A1189" s="46">
        <v>1669</v>
      </c>
      <c r="B1189" s="46" t="s">
        <v>3364</v>
      </c>
      <c r="C1189" s="46" t="s">
        <v>36</v>
      </c>
      <c r="D1189" s="60">
        <v>2029</v>
      </c>
      <c r="E1189" s="60"/>
      <c r="F1189" s="46" t="s">
        <v>225</v>
      </c>
      <c r="G1189" s="46" t="s">
        <v>159</v>
      </c>
      <c r="H1189" s="46" t="s">
        <v>592</v>
      </c>
      <c r="I1189" s="46" t="s">
        <v>157</v>
      </c>
      <c r="J1189" s="46"/>
      <c r="K1189" s="46" t="s">
        <v>68</v>
      </c>
      <c r="L1189" s="46">
        <v>1</v>
      </c>
      <c r="M1189" s="46"/>
      <c r="N1189" s="46"/>
      <c r="O1189" s="46"/>
      <c r="P1189" s="46"/>
      <c r="Q1189" s="46"/>
      <c r="R1189" s="46"/>
      <c r="S1189" s="46"/>
      <c r="T1189" s="46"/>
      <c r="U1189" s="46"/>
      <c r="V1189" s="46"/>
      <c r="W1189" s="46"/>
      <c r="X1189" s="46"/>
      <c r="Y1189" s="46"/>
      <c r="Z1189" s="46" t="s">
        <v>3365</v>
      </c>
      <c r="AA1189" s="61">
        <v>150</v>
      </c>
      <c r="AB1189" s="62">
        <f t="shared" si="140"/>
        <v>33333.333333333336</v>
      </c>
      <c r="AC1189" s="63">
        <f t="shared" si="141"/>
        <v>25.988</v>
      </c>
      <c r="AD1189" s="62"/>
      <c r="AE1189" s="62">
        <f t="shared" si="142"/>
        <v>33333.333333333336</v>
      </c>
      <c r="AF1189" s="64" t="s">
        <v>3361</v>
      </c>
      <c r="AG1189" s="49">
        <v>0.56999999999999995</v>
      </c>
    </row>
    <row r="1190" spans="1:33" customFormat="1" ht="35.1" customHeight="1" x14ac:dyDescent="0.3">
      <c r="A1190" s="46">
        <v>1670</v>
      </c>
      <c r="B1190" s="46" t="s">
        <v>3366</v>
      </c>
      <c r="C1190" s="46" t="s">
        <v>321</v>
      </c>
      <c r="D1190" s="60">
        <v>2026</v>
      </c>
      <c r="E1190" s="60"/>
      <c r="F1190" s="46" t="s">
        <v>591</v>
      </c>
      <c r="G1190" s="46" t="s">
        <v>159</v>
      </c>
      <c r="H1190" s="46" t="s">
        <v>592</v>
      </c>
      <c r="I1190" s="46" t="s">
        <v>157</v>
      </c>
      <c r="J1190" s="46"/>
      <c r="K1190" s="46" t="s">
        <v>68</v>
      </c>
      <c r="L1190" s="46"/>
      <c r="M1190" s="46"/>
      <c r="N1190" s="46"/>
      <c r="O1190" s="46"/>
      <c r="P1190" s="46"/>
      <c r="Q1190" s="46">
        <v>1</v>
      </c>
      <c r="R1190" s="46"/>
      <c r="S1190" s="46">
        <v>1</v>
      </c>
      <c r="T1190" s="46"/>
      <c r="U1190" s="46"/>
      <c r="V1190" s="46"/>
      <c r="W1190" s="46"/>
      <c r="X1190" s="46"/>
      <c r="Y1190" s="46"/>
      <c r="Z1190" s="46" t="s">
        <v>3367</v>
      </c>
      <c r="AA1190" s="61">
        <f>25-AA1135-AA1133</f>
        <v>15</v>
      </c>
      <c r="AB1190" s="62">
        <f t="shared" si="140"/>
        <v>3333.3333333333335</v>
      </c>
      <c r="AC1190" s="63">
        <f t="shared" si="141"/>
        <v>2.5988000000000002</v>
      </c>
      <c r="AD1190" s="62"/>
      <c r="AE1190" s="62">
        <f t="shared" si="142"/>
        <v>3333.3333333333335</v>
      </c>
      <c r="AF1190" s="64" t="s">
        <v>3253</v>
      </c>
      <c r="AG1190" s="49">
        <v>0.56999999999999995</v>
      </c>
    </row>
    <row r="1191" spans="1:33" customFormat="1" ht="35.1" customHeight="1" x14ac:dyDescent="0.3">
      <c r="A1191" s="46">
        <v>1671</v>
      </c>
      <c r="B1191" s="46" t="s">
        <v>3368</v>
      </c>
      <c r="C1191" s="46" t="s">
        <v>44</v>
      </c>
      <c r="D1191" s="60">
        <v>2022</v>
      </c>
      <c r="E1191" s="60"/>
      <c r="F1191" s="46" t="s">
        <v>226</v>
      </c>
      <c r="G1191" s="46" t="s">
        <v>159</v>
      </c>
      <c r="H1191" s="46" t="s">
        <v>592</v>
      </c>
      <c r="I1191" s="46" t="s">
        <v>169</v>
      </c>
      <c r="J1191" s="46" t="s">
        <v>244</v>
      </c>
      <c r="K1191" s="46" t="s">
        <v>68</v>
      </c>
      <c r="L1191" s="46"/>
      <c r="M1191" s="46"/>
      <c r="N1191" s="46"/>
      <c r="O1191" s="46"/>
      <c r="P1191" s="46">
        <v>1</v>
      </c>
      <c r="Q1191" s="46">
        <v>1</v>
      </c>
      <c r="R1191" s="46"/>
      <c r="S1191" s="46"/>
      <c r="T1191" s="46"/>
      <c r="U1191" s="46"/>
      <c r="V1191" s="46"/>
      <c r="W1191" s="46"/>
      <c r="X1191" s="46"/>
      <c r="Y1191" s="46"/>
      <c r="Z1191" s="46" t="s">
        <v>3369</v>
      </c>
      <c r="AA1191" s="61">
        <v>0.7</v>
      </c>
      <c r="AB1191" s="62">
        <f t="shared" si="140"/>
        <v>155.55555555555557</v>
      </c>
      <c r="AC1191" s="63">
        <f t="shared" si="141"/>
        <v>0.12127733333333335</v>
      </c>
      <c r="AD1191" s="62"/>
      <c r="AE1191" s="62">
        <f t="shared" si="142"/>
        <v>155.55555555555557</v>
      </c>
      <c r="AF1191" s="64" t="s">
        <v>3370</v>
      </c>
      <c r="AG1191" s="49">
        <v>0.3</v>
      </c>
    </row>
    <row r="1192" spans="1:33" customFormat="1" ht="35.1" customHeight="1" x14ac:dyDescent="0.3">
      <c r="A1192" s="46">
        <v>1672</v>
      </c>
      <c r="B1192" s="46" t="s">
        <v>3333</v>
      </c>
      <c r="C1192" s="46" t="s">
        <v>65</v>
      </c>
      <c r="D1192" s="60">
        <v>2024</v>
      </c>
      <c r="E1192" s="60"/>
      <c r="F1192" s="46" t="s">
        <v>591</v>
      </c>
      <c r="G1192" s="46" t="s">
        <v>159</v>
      </c>
      <c r="H1192" s="46" t="s">
        <v>592</v>
      </c>
      <c r="I1192" s="46" t="s">
        <v>157</v>
      </c>
      <c r="J1192" s="46"/>
      <c r="K1192" s="46" t="s">
        <v>68</v>
      </c>
      <c r="L1192" s="46"/>
      <c r="M1192" s="46"/>
      <c r="N1192" s="46"/>
      <c r="O1192" s="46"/>
      <c r="P1192" s="46"/>
      <c r="Q1192" s="46"/>
      <c r="R1192" s="46"/>
      <c r="S1192" s="46"/>
      <c r="T1192" s="46"/>
      <c r="U1192" s="46"/>
      <c r="V1192" s="46"/>
      <c r="W1192" s="46"/>
      <c r="X1192" s="46"/>
      <c r="Y1192" s="46"/>
      <c r="Z1192" s="46" t="s">
        <v>3371</v>
      </c>
      <c r="AA1192" s="61">
        <v>32</v>
      </c>
      <c r="AB1192" s="62">
        <f t="shared" si="140"/>
        <v>7111.1111111111113</v>
      </c>
      <c r="AC1192" s="63">
        <f t="shared" si="141"/>
        <v>5.544106666666667</v>
      </c>
      <c r="AD1192" s="62"/>
      <c r="AE1192" s="62">
        <f t="shared" si="142"/>
        <v>7111.1111111111113</v>
      </c>
      <c r="AF1192" s="64"/>
      <c r="AG1192" s="49">
        <v>0.56999999999999995</v>
      </c>
    </row>
    <row r="1193" spans="1:33" customFormat="1" ht="35.1" customHeight="1" x14ac:dyDescent="0.3">
      <c r="A1193" s="46">
        <v>1673</v>
      </c>
      <c r="B1193" s="46" t="s">
        <v>3372</v>
      </c>
      <c r="C1193" s="46" t="s">
        <v>65</v>
      </c>
      <c r="D1193" s="60">
        <v>2026</v>
      </c>
      <c r="E1193" s="60"/>
      <c r="F1193" s="46"/>
      <c r="G1193" s="46" t="s">
        <v>164</v>
      </c>
      <c r="H1193" s="46" t="s">
        <v>3052</v>
      </c>
      <c r="I1193" s="46"/>
      <c r="J1193" s="46"/>
      <c r="K1193" s="46" t="s">
        <v>68</v>
      </c>
      <c r="L1193" s="46"/>
      <c r="M1193" s="46"/>
      <c r="N1193" s="46"/>
      <c r="O1193" s="46"/>
      <c r="P1193" s="46"/>
      <c r="Q1193" s="46"/>
      <c r="R1193" s="46"/>
      <c r="S1193" s="46"/>
      <c r="T1193" s="46"/>
      <c r="U1193" s="46"/>
      <c r="V1193" s="46"/>
      <c r="W1193" s="46"/>
      <c r="X1193" s="46"/>
      <c r="Y1193" s="46"/>
      <c r="Z1193" s="46" t="s">
        <v>3356</v>
      </c>
      <c r="AA1193" s="61" t="str">
        <f>IF(OR(G1193="ALK",G1193="PEM",G1193="SOEC",G1193="Other Electrolysis"),
AB1193*VLOOKUP(G1193,ElectrolysisConvF,3,FALSE),
"")</f>
        <v/>
      </c>
      <c r="AB1193" s="62">
        <f>AC1193/(H2dens*HoursInYear/10^6)</f>
        <v>5771.8947206402954</v>
      </c>
      <c r="AC1193" s="63">
        <v>4.5</v>
      </c>
      <c r="AD1193" s="62"/>
      <c r="AE1193" s="62">
        <f t="shared" si="142"/>
        <v>5771.8947206402954</v>
      </c>
      <c r="AF1193" s="64" t="s">
        <v>3373</v>
      </c>
      <c r="AG1193" s="49">
        <v>0.9</v>
      </c>
    </row>
    <row r="1194" spans="1:33" customFormat="1" ht="35.1" customHeight="1" x14ac:dyDescent="0.3">
      <c r="A1194" s="46">
        <v>1674</v>
      </c>
      <c r="B1194" s="46" t="s">
        <v>3374</v>
      </c>
      <c r="C1194" s="46" t="s">
        <v>65</v>
      </c>
      <c r="D1194" s="60">
        <v>2027</v>
      </c>
      <c r="E1194" s="60"/>
      <c r="F1194" s="46"/>
      <c r="G1194" s="46" t="s">
        <v>164</v>
      </c>
      <c r="H1194" s="46" t="s">
        <v>3052</v>
      </c>
      <c r="I1194" s="46"/>
      <c r="J1194" s="46"/>
      <c r="K1194" s="46" t="s">
        <v>68</v>
      </c>
      <c r="L1194" s="46"/>
      <c r="M1194" s="46"/>
      <c r="N1194" s="46"/>
      <c r="O1194" s="46"/>
      <c r="P1194" s="46"/>
      <c r="Q1194" s="46"/>
      <c r="R1194" s="46"/>
      <c r="S1194" s="46"/>
      <c r="T1194" s="46"/>
      <c r="U1194" s="46"/>
      <c r="V1194" s="46"/>
      <c r="W1194" s="46"/>
      <c r="X1194" s="46"/>
      <c r="Y1194" s="46"/>
      <c r="Z1194" s="46" t="s">
        <v>3356</v>
      </c>
      <c r="AA1194" s="61" t="str">
        <f>IF(OR(G1194="ALK",G1194="PEM",G1194="SOEC",G1194="Other Electrolysis"),
AB1194*VLOOKUP(G1194,ElectrolysisConvF,3,FALSE),
"")</f>
        <v/>
      </c>
      <c r="AB1194" s="62">
        <f>AC1194/(H2dens*HoursInYear/10^6)</f>
        <v>5771.8947206402954</v>
      </c>
      <c r="AC1194" s="63">
        <v>4.5</v>
      </c>
      <c r="AD1194" s="62"/>
      <c r="AE1194" s="62">
        <f t="shared" si="142"/>
        <v>5771.8947206402954</v>
      </c>
      <c r="AF1194" s="64" t="s">
        <v>3373</v>
      </c>
      <c r="AG1194" s="49">
        <v>0.9</v>
      </c>
    </row>
    <row r="1195" spans="1:33" customFormat="1" ht="35.1" customHeight="1" x14ac:dyDescent="0.3">
      <c r="A1195" s="46">
        <v>1675</v>
      </c>
      <c r="B1195" s="46" t="s">
        <v>3375</v>
      </c>
      <c r="C1195" s="46" t="s">
        <v>65</v>
      </c>
      <c r="D1195" s="60">
        <v>2024</v>
      </c>
      <c r="E1195" s="60"/>
      <c r="F1195" s="46" t="s">
        <v>591</v>
      </c>
      <c r="G1195" s="46" t="s">
        <v>159</v>
      </c>
      <c r="H1195" s="46" t="s">
        <v>592</v>
      </c>
      <c r="I1195" s="46" t="s">
        <v>169</v>
      </c>
      <c r="J1195" s="46" t="s">
        <v>246</v>
      </c>
      <c r="K1195" s="46" t="s">
        <v>68</v>
      </c>
      <c r="L1195" s="46"/>
      <c r="M1195" s="46"/>
      <c r="N1195" s="46"/>
      <c r="O1195" s="46"/>
      <c r="P1195" s="46"/>
      <c r="Q1195" s="46"/>
      <c r="R1195" s="46"/>
      <c r="S1195" s="46"/>
      <c r="T1195" s="46"/>
      <c r="U1195" s="46"/>
      <c r="V1195" s="46"/>
      <c r="W1195" s="46"/>
      <c r="X1195" s="46"/>
      <c r="Y1195" s="46"/>
      <c r="Z1195" s="46" t="s">
        <v>708</v>
      </c>
      <c r="AA1195" s="61">
        <v>1</v>
      </c>
      <c r="AB1195" s="62">
        <f>IF(OR(G1195="ALK",G1195="PEM",G1195="SOEC",G1195="Other Electrolysis"),
AA1195/VLOOKUP(G1195,ElectrolysisConvF,3,FALSE),
AC1195*10^6/(H2dens*HoursInYear))</f>
        <v>222.22222222222223</v>
      </c>
      <c r="AC1195" s="63">
        <f>AB1195*H2dens*HoursInYear/10^6</f>
        <v>0.17325333333333334</v>
      </c>
      <c r="AD1195" s="62"/>
      <c r="AE1195" s="62">
        <f t="shared" si="142"/>
        <v>222.22222222222223</v>
      </c>
      <c r="AF1195" s="64" t="s">
        <v>3376</v>
      </c>
      <c r="AG1195" s="49">
        <v>0.55000000000000004</v>
      </c>
    </row>
    <row r="1196" spans="1:33" customFormat="1" ht="35.1" customHeight="1" x14ac:dyDescent="0.3">
      <c r="A1196" s="46">
        <v>1676</v>
      </c>
      <c r="B1196" s="46" t="s">
        <v>3377</v>
      </c>
      <c r="C1196" s="46" t="s">
        <v>65</v>
      </c>
      <c r="D1196" s="60">
        <v>2030</v>
      </c>
      <c r="E1196" s="60"/>
      <c r="F1196" s="46" t="s">
        <v>591</v>
      </c>
      <c r="G1196" s="46" t="s">
        <v>159</v>
      </c>
      <c r="H1196" s="46" t="s">
        <v>592</v>
      </c>
      <c r="I1196" s="46" t="s">
        <v>169</v>
      </c>
      <c r="J1196" s="46" t="s">
        <v>246</v>
      </c>
      <c r="K1196" s="46" t="s">
        <v>68</v>
      </c>
      <c r="L1196" s="46"/>
      <c r="M1196" s="46"/>
      <c r="N1196" s="46"/>
      <c r="O1196" s="46"/>
      <c r="P1196" s="46"/>
      <c r="Q1196" s="46"/>
      <c r="R1196" s="46"/>
      <c r="S1196" s="46"/>
      <c r="T1196" s="46"/>
      <c r="U1196" s="46"/>
      <c r="V1196" s="46"/>
      <c r="W1196" s="46"/>
      <c r="X1196" s="46"/>
      <c r="Y1196" s="46"/>
      <c r="Z1196" s="46" t="s">
        <v>2826</v>
      </c>
      <c r="AA1196" s="61">
        <f>1000-1</f>
        <v>999</v>
      </c>
      <c r="AB1196" s="62">
        <f>IF(OR(G1196="ALK",G1196="PEM",G1196="SOEC",G1196="Other Electrolysis"),
AA1196/VLOOKUP(G1196,ElectrolysisConvF,3,FALSE),
AC1196*10^6/(H2dens*HoursInYear))</f>
        <v>222000.00000000003</v>
      </c>
      <c r="AC1196" s="63">
        <f>AB1196*H2dens*HoursInYear/10^6</f>
        <v>173.08008000000001</v>
      </c>
      <c r="AD1196" s="62"/>
      <c r="AE1196" s="62">
        <f t="shared" si="142"/>
        <v>222000.00000000003</v>
      </c>
      <c r="AF1196" s="64" t="s">
        <v>3376</v>
      </c>
      <c r="AG1196" s="49">
        <v>0.55000000000000004</v>
      </c>
    </row>
    <row r="1197" spans="1:33" customFormat="1" ht="35.1" customHeight="1" x14ac:dyDescent="0.3">
      <c r="A1197" s="46">
        <v>1677</v>
      </c>
      <c r="B1197" s="46" t="s">
        <v>3378</v>
      </c>
      <c r="C1197" s="46" t="s">
        <v>39</v>
      </c>
      <c r="D1197" s="60"/>
      <c r="E1197" s="60"/>
      <c r="F1197" s="46" t="s">
        <v>225</v>
      </c>
      <c r="G1197" s="46" t="s">
        <v>159</v>
      </c>
      <c r="H1197" s="46" t="s">
        <v>592</v>
      </c>
      <c r="I1197" s="46" t="s">
        <v>157</v>
      </c>
      <c r="J1197" s="46"/>
      <c r="K1197" s="46" t="s">
        <v>68</v>
      </c>
      <c r="L1197" s="46"/>
      <c r="M1197" s="46"/>
      <c r="N1197" s="46"/>
      <c r="O1197" s="46"/>
      <c r="P1197" s="46"/>
      <c r="Q1197" s="46"/>
      <c r="R1197" s="46"/>
      <c r="S1197" s="46"/>
      <c r="T1197" s="46"/>
      <c r="U1197" s="46"/>
      <c r="V1197" s="46"/>
      <c r="W1197" s="46"/>
      <c r="X1197" s="46"/>
      <c r="Y1197" s="46"/>
      <c r="Z1197" s="46"/>
      <c r="AA1197" s="61"/>
      <c r="AB1197" s="62"/>
      <c r="AC1197" s="62"/>
      <c r="AD1197" s="62"/>
      <c r="AE1197" s="62">
        <f t="shared" si="142"/>
        <v>0</v>
      </c>
      <c r="AF1197" s="64" t="s">
        <v>3379</v>
      </c>
      <c r="AG1197" s="49">
        <v>0.56999999999999995</v>
      </c>
    </row>
    <row r="1198" spans="1:33" customFormat="1" ht="35.1" customHeight="1" x14ac:dyDescent="0.3">
      <c r="A1198" s="46">
        <v>1678</v>
      </c>
      <c r="B1198" s="46" t="s">
        <v>3380</v>
      </c>
      <c r="C1198" s="46" t="s">
        <v>39</v>
      </c>
      <c r="D1198" s="60"/>
      <c r="E1198" s="60"/>
      <c r="F1198" s="46" t="s">
        <v>225</v>
      </c>
      <c r="G1198" s="46" t="s">
        <v>161</v>
      </c>
      <c r="H1198" s="46" t="s">
        <v>1951</v>
      </c>
      <c r="I1198" s="46"/>
      <c r="J1198" s="46"/>
      <c r="K1198" s="46" t="s">
        <v>68</v>
      </c>
      <c r="L1198" s="46"/>
      <c r="M1198" s="46"/>
      <c r="N1198" s="46"/>
      <c r="O1198" s="46">
        <v>1</v>
      </c>
      <c r="P1198" s="46"/>
      <c r="Q1198" s="46"/>
      <c r="R1198" s="46"/>
      <c r="S1198" s="46"/>
      <c r="T1198" s="46"/>
      <c r="U1198" s="46"/>
      <c r="V1198" s="46"/>
      <c r="W1198" s="46"/>
      <c r="X1198" s="46"/>
      <c r="Y1198" s="46"/>
      <c r="Z1198" s="46" t="s">
        <v>3381</v>
      </c>
      <c r="AA1198" s="61" t="str">
        <f>IF(OR(G1198="ALK",G1198="PEM",G1198="SOEC",G1198="Other Electrolysis"),
AB1198*VLOOKUP(G1198,ElectrolysisConvF,3,FALSE),
"")</f>
        <v/>
      </c>
      <c r="AB1198" s="62">
        <f>AC1198/(H2dens*HoursInYear/10^6)</f>
        <v>21377.387854223318</v>
      </c>
      <c r="AC1198" s="62">
        <f>2/120*1000</f>
        <v>16.666666666666668</v>
      </c>
      <c r="AD1198" s="62">
        <v>150000</v>
      </c>
      <c r="AE1198" s="62">
        <f t="shared" si="142"/>
        <v>18806.466415412277</v>
      </c>
      <c r="AF1198" s="64" t="s">
        <v>3382</v>
      </c>
      <c r="AG1198" s="49">
        <v>0.9</v>
      </c>
    </row>
    <row r="1199" spans="1:33" customFormat="1" ht="35.1" customHeight="1" x14ac:dyDescent="0.3">
      <c r="A1199" s="46">
        <v>1679</v>
      </c>
      <c r="B1199" s="46" t="s">
        <v>3383</v>
      </c>
      <c r="C1199" s="46" t="s">
        <v>39</v>
      </c>
      <c r="D1199" s="60"/>
      <c r="E1199" s="60"/>
      <c r="F1199" s="46" t="s">
        <v>591</v>
      </c>
      <c r="G1199" s="46" t="s">
        <v>159</v>
      </c>
      <c r="H1199" s="46" t="s">
        <v>592</v>
      </c>
      <c r="I1199" s="46" t="s">
        <v>157</v>
      </c>
      <c r="J1199" s="46"/>
      <c r="K1199" s="46" t="s">
        <v>68</v>
      </c>
      <c r="L1199" s="46"/>
      <c r="M1199" s="46"/>
      <c r="N1199" s="46"/>
      <c r="O1199" s="46"/>
      <c r="P1199" s="46"/>
      <c r="Q1199" s="46"/>
      <c r="R1199" s="46"/>
      <c r="S1199" s="46"/>
      <c r="T1199" s="46"/>
      <c r="U1199" s="46"/>
      <c r="V1199" s="46"/>
      <c r="W1199" s="46"/>
      <c r="X1199" s="46"/>
      <c r="Y1199" s="46"/>
      <c r="Z1199" s="46"/>
      <c r="AA1199" s="61"/>
      <c r="AB1199" s="62"/>
      <c r="AC1199" s="62"/>
      <c r="AD1199" s="62"/>
      <c r="AE1199" s="62">
        <f t="shared" si="142"/>
        <v>0</v>
      </c>
      <c r="AF1199" s="64" t="s">
        <v>3384</v>
      </c>
      <c r="AG1199" s="49">
        <v>0.56999999999999995</v>
      </c>
    </row>
    <row r="1200" spans="1:33" customFormat="1" ht="35.1" customHeight="1" x14ac:dyDescent="0.3">
      <c r="A1200" s="46">
        <v>1680</v>
      </c>
      <c r="B1200" s="46" t="s">
        <v>3385</v>
      </c>
      <c r="C1200" s="46" t="s">
        <v>50</v>
      </c>
      <c r="D1200" s="60">
        <v>2024</v>
      </c>
      <c r="E1200" s="60"/>
      <c r="F1200" s="46" t="s">
        <v>285</v>
      </c>
      <c r="G1200" s="46" t="s">
        <v>1</v>
      </c>
      <c r="H1200" s="46" t="s">
        <v>592</v>
      </c>
      <c r="I1200" s="46" t="s">
        <v>169</v>
      </c>
      <c r="J1200" s="46" t="s">
        <v>246</v>
      </c>
      <c r="K1200" s="46" t="s">
        <v>68</v>
      </c>
      <c r="L1200" s="46"/>
      <c r="M1200" s="46"/>
      <c r="N1200" s="46"/>
      <c r="O1200" s="46"/>
      <c r="P1200" s="46"/>
      <c r="Q1200" s="46"/>
      <c r="R1200" s="46"/>
      <c r="S1200" s="46"/>
      <c r="T1200" s="46"/>
      <c r="U1200" s="46"/>
      <c r="V1200" s="46"/>
      <c r="W1200" s="46"/>
      <c r="X1200" s="46"/>
      <c r="Y1200" s="46"/>
      <c r="Z1200" s="61" t="s">
        <v>1168</v>
      </c>
      <c r="AA1200" s="61">
        <v>10</v>
      </c>
      <c r="AB1200" s="62">
        <f>IF(OR(G1200="ALK",G1200="PEM",G1200="SOEC",G1200="Other Electrolysis"),
AA1200/VLOOKUP(G1200,ElectrolysisConvF,3,FALSE),
AC1200*10^6/(H2dens*HoursInYear))</f>
        <v>1923.0769230769231</v>
      </c>
      <c r="AC1200" s="63">
        <f>AB1200*H2dens*HoursInYear/10^6</f>
        <v>1.4993076923076922</v>
      </c>
      <c r="AD1200" s="62"/>
      <c r="AE1200" s="62">
        <f t="shared" si="142"/>
        <v>1923.0769230769231</v>
      </c>
      <c r="AF1200" s="64" t="s">
        <v>3386</v>
      </c>
      <c r="AG1200" s="49">
        <v>0.55000000000000004</v>
      </c>
    </row>
    <row r="1201" spans="1:33" customFormat="1" ht="35.1" customHeight="1" x14ac:dyDescent="0.3">
      <c r="A1201" s="46">
        <v>1682</v>
      </c>
      <c r="B1201" s="46" t="s">
        <v>3387</v>
      </c>
      <c r="C1201" s="46" t="s">
        <v>40</v>
      </c>
      <c r="D1201" s="60"/>
      <c r="E1201" s="60"/>
      <c r="F1201" s="46" t="s">
        <v>591</v>
      </c>
      <c r="G1201" s="46" t="s">
        <v>161</v>
      </c>
      <c r="H1201" s="46" t="s">
        <v>1951</v>
      </c>
      <c r="I1201" s="46"/>
      <c r="J1201" s="46"/>
      <c r="K1201" s="46" t="s">
        <v>68</v>
      </c>
      <c r="L1201" s="46"/>
      <c r="M1201" s="46"/>
      <c r="N1201" s="46"/>
      <c r="O1201" s="46"/>
      <c r="P1201" s="46"/>
      <c r="Q1201" s="46"/>
      <c r="R1201" s="46"/>
      <c r="S1201" s="46"/>
      <c r="T1201" s="46"/>
      <c r="U1201" s="46"/>
      <c r="V1201" s="46"/>
      <c r="W1201" s="46"/>
      <c r="X1201" s="46"/>
      <c r="Y1201" s="46"/>
      <c r="Z1201" s="46" t="s">
        <v>3388</v>
      </c>
      <c r="AA1201" s="61" t="str">
        <f>IF(OR(G1201="ALK",G1201="PEM",G1201="SOEC",G1201="Other Electrolysis"),
AB1201*VLOOKUP(G1201,ElectrolysisConvF,3,FALSE),
"")</f>
        <v/>
      </c>
      <c r="AB1201" s="62"/>
      <c r="AC1201" s="62"/>
      <c r="AD1201" s="62">
        <v>1100000</v>
      </c>
      <c r="AE1201" s="62">
        <f t="shared" si="142"/>
        <v>137914.0870463567</v>
      </c>
      <c r="AF1201" s="64" t="s">
        <v>3389</v>
      </c>
      <c r="AG1201" s="49">
        <v>0.9</v>
      </c>
    </row>
    <row r="1202" spans="1:33" customFormat="1" ht="35.1" customHeight="1" x14ac:dyDescent="0.3">
      <c r="A1202" s="46">
        <v>1683</v>
      </c>
      <c r="B1202" s="46" t="s">
        <v>3390</v>
      </c>
      <c r="C1202" s="46" t="s">
        <v>83</v>
      </c>
      <c r="D1202" s="60">
        <v>2026</v>
      </c>
      <c r="E1202" s="60"/>
      <c r="F1202" s="46" t="s">
        <v>225</v>
      </c>
      <c r="G1202" s="46" t="s">
        <v>159</v>
      </c>
      <c r="H1202" s="46" t="s">
        <v>592</v>
      </c>
      <c r="I1202" s="46" t="s">
        <v>157</v>
      </c>
      <c r="J1202" s="46"/>
      <c r="K1202" s="46" t="s">
        <v>141</v>
      </c>
      <c r="L1202" s="46"/>
      <c r="M1202" s="46">
        <v>1</v>
      </c>
      <c r="N1202" s="46"/>
      <c r="O1202" s="46"/>
      <c r="P1202" s="46"/>
      <c r="Q1202" s="46">
        <v>1</v>
      </c>
      <c r="R1202" s="46"/>
      <c r="S1202" s="46"/>
      <c r="T1202" s="46"/>
      <c r="U1202" s="46"/>
      <c r="V1202" s="46"/>
      <c r="W1202" s="46"/>
      <c r="X1202" s="46"/>
      <c r="Y1202" s="46"/>
      <c r="Z1202" s="46" t="s">
        <v>3391</v>
      </c>
      <c r="AA1202" s="61">
        <f>IF(OR(G1202="ALK",G1202="PEM",G1202="SOEC",G1202="Other Electrolysis"),
AB1202*VLOOKUP(G1202,ElectrolysisConvF,3,FALSE),
"")</f>
        <v>253.15327722106559</v>
      </c>
      <c r="AB1202" s="62">
        <f>AC1202/(H2dens*HoursInYear/10^6)</f>
        <v>56256.283826903469</v>
      </c>
      <c r="AC1202" s="62">
        <f>25/H2ProjectDB4578610[[#This Row],[Column33]]</f>
        <v>43.859649122807021</v>
      </c>
      <c r="AD1202" s="62"/>
      <c r="AE1202" s="62">
        <f t="shared" si="142"/>
        <v>56256.283826903469</v>
      </c>
      <c r="AF1202" s="64" t="s">
        <v>3392</v>
      </c>
      <c r="AG1202" s="49">
        <v>0.56999999999999995</v>
      </c>
    </row>
    <row r="1203" spans="1:33" customFormat="1" ht="35.1" customHeight="1" x14ac:dyDescent="0.3">
      <c r="A1203" s="46">
        <v>1684</v>
      </c>
      <c r="B1203" s="46" t="s">
        <v>3393</v>
      </c>
      <c r="C1203" s="46" t="s">
        <v>83</v>
      </c>
      <c r="D1203" s="60"/>
      <c r="E1203" s="60"/>
      <c r="F1203" s="46" t="s">
        <v>591</v>
      </c>
      <c r="G1203" s="46" t="s">
        <v>159</v>
      </c>
      <c r="H1203" s="46" t="s">
        <v>592</v>
      </c>
      <c r="I1203" s="46" t="s">
        <v>157</v>
      </c>
      <c r="J1203" s="46"/>
      <c r="K1203" s="46" t="s">
        <v>141</v>
      </c>
      <c r="L1203" s="46"/>
      <c r="M1203" s="46">
        <v>1</v>
      </c>
      <c r="N1203" s="46"/>
      <c r="O1203" s="46"/>
      <c r="P1203" s="46"/>
      <c r="Q1203" s="46">
        <v>1</v>
      </c>
      <c r="R1203" s="46"/>
      <c r="S1203" s="46"/>
      <c r="T1203" s="46"/>
      <c r="U1203" s="46"/>
      <c r="V1203" s="46"/>
      <c r="W1203" s="46"/>
      <c r="X1203" s="46"/>
      <c r="Y1203" s="46"/>
      <c r="Z1203" s="46" t="s">
        <v>3394</v>
      </c>
      <c r="AA1203" s="61">
        <f>IF(OR(G1203="ALK",G1203="PEM",G1203="SOEC",G1203="Other Electrolysis"),
AB1203*VLOOKUP(G1203,ElectrolysisConvF,3,FALSE),
"")</f>
        <v>379.72991583159848</v>
      </c>
      <c r="AB1203" s="62">
        <f>AC1203/(H2dens*HoursInYear/10^6)</f>
        <v>84384.425740355218</v>
      </c>
      <c r="AC1203" s="62">
        <f>(25/140*350 -25)/H2ProjectDB4578610[[#This Row],[Column33]]</f>
        <v>65.789473684210535</v>
      </c>
      <c r="AD1203" s="62"/>
      <c r="AE1203" s="62">
        <f t="shared" si="142"/>
        <v>84384.425740355218</v>
      </c>
      <c r="AF1203" s="64" t="s">
        <v>3392</v>
      </c>
      <c r="AG1203" s="49">
        <v>0.56999999999999995</v>
      </c>
    </row>
    <row r="1204" spans="1:33" customFormat="1" ht="35.1" customHeight="1" x14ac:dyDescent="0.3">
      <c r="A1204" s="46">
        <v>1685</v>
      </c>
      <c r="B1204" s="46" t="s">
        <v>3395</v>
      </c>
      <c r="C1204" s="46" t="s">
        <v>58</v>
      </c>
      <c r="D1204" s="60">
        <v>2025</v>
      </c>
      <c r="E1204" s="60"/>
      <c r="F1204" s="46" t="s">
        <v>225</v>
      </c>
      <c r="G1204" s="46" t="s">
        <v>159</v>
      </c>
      <c r="H1204" s="46" t="s">
        <v>592</v>
      </c>
      <c r="I1204" s="46" t="s">
        <v>169</v>
      </c>
      <c r="J1204" s="46" t="s">
        <v>244</v>
      </c>
      <c r="K1204" s="46" t="s">
        <v>68</v>
      </c>
      <c r="L1204" s="46">
        <v>1</v>
      </c>
      <c r="M1204" s="46"/>
      <c r="N1204" s="46"/>
      <c r="O1204" s="46"/>
      <c r="P1204" s="46"/>
      <c r="Q1204" s="46"/>
      <c r="R1204" s="46"/>
      <c r="S1204" s="46"/>
      <c r="T1204" s="46"/>
      <c r="U1204" s="46"/>
      <c r="V1204" s="46"/>
      <c r="W1204" s="46"/>
      <c r="X1204" s="46"/>
      <c r="Y1204" s="46"/>
      <c r="Z1204" s="46" t="s">
        <v>1168</v>
      </c>
      <c r="AA1204" s="61">
        <v>10</v>
      </c>
      <c r="AB1204" s="62">
        <f>IF(OR(G1204="ALK",G1204="PEM",G1204="SOEC",G1204="Other Electrolysis"),
AA1204/VLOOKUP(G1204,ElectrolysisConvF,3,FALSE),
AC1204*10^6/(H2dens*HoursInYear))</f>
        <v>2222.2222222222222</v>
      </c>
      <c r="AC1204" s="63">
        <f>AB1204*H2dens*HoursInYear/10^6</f>
        <v>1.7325333333333333</v>
      </c>
      <c r="AD1204" s="62"/>
      <c r="AE1204" s="62">
        <f t="shared" si="142"/>
        <v>2222.2222222222222</v>
      </c>
      <c r="AF1204" s="64" t="s">
        <v>3396</v>
      </c>
      <c r="AG1204" s="49">
        <v>0.3</v>
      </c>
    </row>
    <row r="1205" spans="1:33" customFormat="1" ht="35.1" customHeight="1" x14ac:dyDescent="0.3">
      <c r="A1205" s="46">
        <v>1686</v>
      </c>
      <c r="B1205" s="46" t="s">
        <v>3395</v>
      </c>
      <c r="C1205" s="46" t="s">
        <v>58</v>
      </c>
      <c r="D1205" s="60">
        <v>2030</v>
      </c>
      <c r="E1205" s="60"/>
      <c r="F1205" s="46" t="s">
        <v>591</v>
      </c>
      <c r="G1205" s="46" t="s">
        <v>161</v>
      </c>
      <c r="H1205" s="46" t="s">
        <v>1951</v>
      </c>
      <c r="I1205" s="46"/>
      <c r="J1205" s="46"/>
      <c r="K1205" s="46" t="s">
        <v>68</v>
      </c>
      <c r="L1205" s="46">
        <v>1</v>
      </c>
      <c r="M1205" s="46"/>
      <c r="N1205" s="46"/>
      <c r="O1205" s="46"/>
      <c r="P1205" s="46"/>
      <c r="Q1205" s="46"/>
      <c r="R1205" s="46"/>
      <c r="S1205" s="46"/>
      <c r="T1205" s="46"/>
      <c r="U1205" s="46"/>
      <c r="V1205" s="46"/>
      <c r="W1205" s="46"/>
      <c r="X1205" s="46"/>
      <c r="Y1205" s="46"/>
      <c r="Z1205" s="46" t="s">
        <v>3397</v>
      </c>
      <c r="AA1205" s="61" t="str">
        <f>IF(OR(G1205="ALK",G1205="PEM",G1205="SOEC",G1205="Other Electrolysis"),
AB1205*VLOOKUP(G1205,ElectrolysisConvF,3,FALSE),
"")</f>
        <v/>
      </c>
      <c r="AB1205" s="62"/>
      <c r="AC1205" s="62"/>
      <c r="AD1205" s="62">
        <v>600000</v>
      </c>
      <c r="AE1205" s="62">
        <f t="shared" si="142"/>
        <v>75225.865661649106</v>
      </c>
      <c r="AF1205" s="64" t="s">
        <v>3396</v>
      </c>
      <c r="AG1205" s="49">
        <v>0.9</v>
      </c>
    </row>
    <row r="1206" spans="1:33" customFormat="1" ht="35.1" customHeight="1" x14ac:dyDescent="0.3">
      <c r="A1206" s="46">
        <v>1687</v>
      </c>
      <c r="B1206" s="46" t="s">
        <v>3398</v>
      </c>
      <c r="C1206" s="46" t="s">
        <v>58</v>
      </c>
      <c r="D1206" s="60">
        <v>2024</v>
      </c>
      <c r="E1206" s="60"/>
      <c r="F1206" s="46" t="s">
        <v>591</v>
      </c>
      <c r="G1206" s="46" t="s">
        <v>159</v>
      </c>
      <c r="H1206" s="46" t="s">
        <v>592</v>
      </c>
      <c r="I1206" s="46" t="s">
        <v>169</v>
      </c>
      <c r="J1206" s="46" t="s">
        <v>69</v>
      </c>
      <c r="K1206" s="46" t="s">
        <v>68</v>
      </c>
      <c r="L1206" s="46"/>
      <c r="M1206" s="46"/>
      <c r="N1206" s="46"/>
      <c r="O1206" s="46"/>
      <c r="P1206" s="46">
        <v>1</v>
      </c>
      <c r="Q1206" s="46">
        <v>1</v>
      </c>
      <c r="R1206" s="46"/>
      <c r="S1206" s="46">
        <v>1</v>
      </c>
      <c r="T1206" s="46"/>
      <c r="U1206" s="46"/>
      <c r="V1206" s="46"/>
      <c r="W1206" s="46"/>
      <c r="X1206" s="46"/>
      <c r="Y1206" s="46"/>
      <c r="Z1206" s="46" t="s">
        <v>711</v>
      </c>
      <c r="AA1206" s="61">
        <v>10</v>
      </c>
      <c r="AB1206" s="62">
        <f>IF(OR(G1206="ALK",G1206="PEM",G1206="SOEC",G1206="Other Electrolysis"),
AA1206/VLOOKUP(G1206,ElectrolysisConvF,3,FALSE),
AC1206*10^6/(H2dens*HoursInYear))</f>
        <v>2222.2222222222222</v>
      </c>
      <c r="AC1206" s="63">
        <f>AB1206*H2dens*HoursInYear/10^6</f>
        <v>1.7325333333333333</v>
      </c>
      <c r="AD1206" s="62"/>
      <c r="AE1206" s="62">
        <f t="shared" si="142"/>
        <v>2222.2222222222222</v>
      </c>
      <c r="AF1206" s="64" t="s">
        <v>3399</v>
      </c>
      <c r="AG1206" s="49">
        <v>0.5</v>
      </c>
    </row>
    <row r="1207" spans="1:33" customFormat="1" ht="35.1" customHeight="1" x14ac:dyDescent="0.3">
      <c r="A1207" s="46">
        <v>1688</v>
      </c>
      <c r="B1207" s="46" t="s">
        <v>3400</v>
      </c>
      <c r="C1207" s="46" t="s">
        <v>242</v>
      </c>
      <c r="D1207" s="60">
        <v>2024</v>
      </c>
      <c r="E1207" s="60"/>
      <c r="F1207" s="46" t="s">
        <v>225</v>
      </c>
      <c r="G1207" s="46" t="s">
        <v>159</v>
      </c>
      <c r="H1207" s="46" t="s">
        <v>592</v>
      </c>
      <c r="I1207" s="46" t="s">
        <v>169</v>
      </c>
      <c r="J1207" s="46" t="s">
        <v>69</v>
      </c>
      <c r="K1207" s="46" t="s">
        <v>68</v>
      </c>
      <c r="L1207" s="46"/>
      <c r="M1207" s="46"/>
      <c r="N1207" s="46"/>
      <c r="O1207" s="46"/>
      <c r="P1207" s="46"/>
      <c r="Q1207" s="46">
        <v>1</v>
      </c>
      <c r="R1207" s="46"/>
      <c r="S1207" s="46"/>
      <c r="T1207" s="46"/>
      <c r="U1207" s="46"/>
      <c r="V1207" s="46"/>
      <c r="W1207" s="46"/>
      <c r="X1207" s="46"/>
      <c r="Y1207" s="46"/>
      <c r="Z1207" s="46" t="s">
        <v>3401</v>
      </c>
      <c r="AA1207" s="61">
        <v>34</v>
      </c>
      <c r="AB1207" s="62">
        <f>IF(OR(G1207="ALK",G1207="PEM",G1207="SOEC",G1207="Other Electrolysis"),
AA1207/VLOOKUP(G1207,ElectrolysisConvF,3,FALSE),
AC1207*10^6/(H2dens*HoursInYear))</f>
        <v>7555.5555555555566</v>
      </c>
      <c r="AC1207" s="63">
        <f>AB1207*H2dens*HoursInYear/10^6</f>
        <v>5.8906133333333326</v>
      </c>
      <c r="AD1207" s="62"/>
      <c r="AE1207" s="62">
        <f t="shared" si="142"/>
        <v>7555.5555555555566</v>
      </c>
      <c r="AF1207" s="64" t="s">
        <v>3402</v>
      </c>
      <c r="AG1207" s="49">
        <v>0.5</v>
      </c>
    </row>
    <row r="1208" spans="1:33" customFormat="1" ht="35.1" customHeight="1" x14ac:dyDescent="0.3">
      <c r="A1208" s="46">
        <v>1689</v>
      </c>
      <c r="B1208" s="46" t="s">
        <v>3403</v>
      </c>
      <c r="C1208" s="46" t="s">
        <v>60</v>
      </c>
      <c r="D1208" s="60">
        <v>2024</v>
      </c>
      <c r="E1208" s="60"/>
      <c r="F1208" s="46" t="s">
        <v>591</v>
      </c>
      <c r="G1208" s="46" t="s">
        <v>159</v>
      </c>
      <c r="H1208" s="46" t="s">
        <v>592</v>
      </c>
      <c r="I1208" s="46" t="s">
        <v>169</v>
      </c>
      <c r="J1208" s="46" t="s">
        <v>69</v>
      </c>
      <c r="K1208" s="46" t="s">
        <v>68</v>
      </c>
      <c r="L1208" s="46"/>
      <c r="M1208" s="46"/>
      <c r="N1208" s="46"/>
      <c r="O1208" s="46"/>
      <c r="P1208" s="46"/>
      <c r="Q1208" s="46">
        <v>1</v>
      </c>
      <c r="R1208" s="46"/>
      <c r="S1208" s="46"/>
      <c r="T1208" s="46"/>
      <c r="U1208" s="46"/>
      <c r="V1208" s="46"/>
      <c r="W1208" s="46"/>
      <c r="X1208" s="46"/>
      <c r="Y1208" s="46"/>
      <c r="Z1208" s="46" t="s">
        <v>1001</v>
      </c>
      <c r="AA1208" s="61">
        <v>5</v>
      </c>
      <c r="AB1208" s="62">
        <f>IF(OR(G1208="ALK",G1208="PEM",G1208="SOEC",G1208="Other Electrolysis"),
AA1208/VLOOKUP(G1208,ElectrolysisConvF,3,FALSE),
AC1208*10^6/(H2dens*HoursInYear))</f>
        <v>1111.1111111111111</v>
      </c>
      <c r="AC1208" s="63">
        <f>AB1208*H2dens*HoursInYear/10^6</f>
        <v>0.86626666666666663</v>
      </c>
      <c r="AD1208" s="62"/>
      <c r="AE1208" s="62">
        <f t="shared" si="142"/>
        <v>1111.1111111111111</v>
      </c>
      <c r="AF1208" s="64" t="s">
        <v>3404</v>
      </c>
      <c r="AG1208" s="49">
        <v>0.5</v>
      </c>
    </row>
    <row r="1209" spans="1:33" customFormat="1" ht="35.1" customHeight="1" x14ac:dyDescent="0.3">
      <c r="A1209" s="46">
        <v>1690</v>
      </c>
      <c r="B1209" s="46" t="s">
        <v>3405</v>
      </c>
      <c r="C1209" s="46" t="s">
        <v>60</v>
      </c>
      <c r="D1209" s="60">
        <v>2025</v>
      </c>
      <c r="E1209" s="60"/>
      <c r="F1209" s="46" t="s">
        <v>591</v>
      </c>
      <c r="G1209" s="46" t="s">
        <v>159</v>
      </c>
      <c r="H1209" s="46" t="s">
        <v>592</v>
      </c>
      <c r="I1209" s="46" t="s">
        <v>169</v>
      </c>
      <c r="J1209" s="46" t="s">
        <v>69</v>
      </c>
      <c r="K1209" s="46" t="s">
        <v>68</v>
      </c>
      <c r="L1209" s="46"/>
      <c r="M1209" s="46"/>
      <c r="N1209" s="46"/>
      <c r="O1209" s="46"/>
      <c r="P1209" s="46"/>
      <c r="Q1209" s="46">
        <v>1</v>
      </c>
      <c r="R1209" s="46"/>
      <c r="S1209" s="46"/>
      <c r="T1209" s="46"/>
      <c r="U1209" s="46"/>
      <c r="V1209" s="46"/>
      <c r="W1209" s="46"/>
      <c r="X1209" s="46"/>
      <c r="Y1209" s="46"/>
      <c r="Z1209" s="46"/>
      <c r="AA1209" s="61"/>
      <c r="AB1209" s="62"/>
      <c r="AC1209" s="62"/>
      <c r="AD1209" s="62"/>
      <c r="AE1209" s="62">
        <f t="shared" si="142"/>
        <v>0</v>
      </c>
      <c r="AF1209" s="64" t="s">
        <v>3404</v>
      </c>
      <c r="AG1209" s="49">
        <v>0.5</v>
      </c>
    </row>
    <row r="1210" spans="1:33" customFormat="1" ht="35.1" customHeight="1" x14ac:dyDescent="0.3">
      <c r="A1210" s="46">
        <v>1691</v>
      </c>
      <c r="B1210" s="46" t="s">
        <v>3406</v>
      </c>
      <c r="C1210" s="46" t="s">
        <v>324</v>
      </c>
      <c r="D1210" s="60">
        <v>2024</v>
      </c>
      <c r="E1210" s="60"/>
      <c r="F1210" s="46" t="s">
        <v>225</v>
      </c>
      <c r="G1210" s="46" t="s">
        <v>159</v>
      </c>
      <c r="H1210" s="46" t="s">
        <v>592</v>
      </c>
      <c r="I1210" s="46" t="s">
        <v>169</v>
      </c>
      <c r="J1210" s="46" t="s">
        <v>244</v>
      </c>
      <c r="K1210" s="46" t="s">
        <v>68</v>
      </c>
      <c r="L1210" s="46"/>
      <c r="M1210" s="46"/>
      <c r="N1210" s="46"/>
      <c r="O1210" s="46"/>
      <c r="P1210" s="46"/>
      <c r="Q1210" s="46"/>
      <c r="R1210" s="46">
        <v>1</v>
      </c>
      <c r="S1210" s="46"/>
      <c r="T1210" s="46"/>
      <c r="U1210" s="46"/>
      <c r="V1210" s="46"/>
      <c r="W1210" s="46"/>
      <c r="X1210" s="46"/>
      <c r="Y1210" s="46"/>
      <c r="Z1210" s="46" t="s">
        <v>3367</v>
      </c>
      <c r="AA1210" s="61">
        <v>25</v>
      </c>
      <c r="AB1210" s="62">
        <f>IF(OR(G1210="ALK",G1210="PEM",G1210="SOEC",G1210="Other Electrolysis"),
AA1210/VLOOKUP(G1210,ElectrolysisConvF,3,FALSE),
AC1210*10^6/(H2dens*HoursInYear))</f>
        <v>5555.5555555555557</v>
      </c>
      <c r="AC1210" s="63">
        <f>AB1210*H2dens*HoursInYear/10^6</f>
        <v>4.3313333333333333</v>
      </c>
      <c r="AD1210" s="62"/>
      <c r="AE1210" s="62">
        <f t="shared" si="142"/>
        <v>5555.5555555555557</v>
      </c>
      <c r="AF1210" s="64" t="s">
        <v>3407</v>
      </c>
      <c r="AG1210" s="49">
        <v>0.3</v>
      </c>
    </row>
    <row r="1211" spans="1:33" customFormat="1" ht="35.1" customHeight="1" x14ac:dyDescent="0.3">
      <c r="A1211" s="46">
        <v>1692</v>
      </c>
      <c r="B1211" s="46" t="s">
        <v>3408</v>
      </c>
      <c r="C1211" s="46" t="s">
        <v>315</v>
      </c>
      <c r="D1211" s="60">
        <v>2026</v>
      </c>
      <c r="E1211" s="60"/>
      <c r="F1211" s="46"/>
      <c r="G1211" s="46" t="s">
        <v>164</v>
      </c>
      <c r="H1211" s="46" t="s">
        <v>3052</v>
      </c>
      <c r="I1211" s="46"/>
      <c r="J1211" s="46"/>
      <c r="K1211" s="46" t="s">
        <v>68</v>
      </c>
      <c r="L1211" s="46"/>
      <c r="M1211" s="46"/>
      <c r="N1211" s="46"/>
      <c r="O1211" s="46"/>
      <c r="P1211" s="46"/>
      <c r="Q1211" s="46"/>
      <c r="R1211" s="46"/>
      <c r="S1211" s="46"/>
      <c r="T1211" s="46"/>
      <c r="U1211" s="46"/>
      <c r="V1211" s="46"/>
      <c r="W1211" s="46"/>
      <c r="X1211" s="46"/>
      <c r="Y1211" s="46"/>
      <c r="Z1211" s="46" t="s">
        <v>3344</v>
      </c>
      <c r="AA1211" s="61" t="str">
        <f>IF(OR(G1211="ALK",G1211="PEM",G1211="SOEC",G1211="Other Electrolysis"),
AB1211*VLOOKUP(G1211,ElectrolysisConvF,3,FALSE),
"")</f>
        <v/>
      </c>
      <c r="AB1211" s="62">
        <f>AC1211/(H2dens*HoursInYear/10^6)</f>
        <v>12826.432712533991</v>
      </c>
      <c r="AC1211" s="62">
        <v>10</v>
      </c>
      <c r="AD1211" s="62"/>
      <c r="AE1211" s="62">
        <f t="shared" si="142"/>
        <v>12826.432712533991</v>
      </c>
      <c r="AF1211" s="64" t="s">
        <v>3409</v>
      </c>
      <c r="AG1211" s="49">
        <v>0.9</v>
      </c>
    </row>
    <row r="1212" spans="1:33" customFormat="1" ht="35.1" customHeight="1" x14ac:dyDescent="0.3">
      <c r="A1212" s="46">
        <v>1693</v>
      </c>
      <c r="B1212" s="46" t="s">
        <v>3410</v>
      </c>
      <c r="C1212" s="46" t="s">
        <v>52</v>
      </c>
      <c r="D1212" s="60">
        <v>2025</v>
      </c>
      <c r="E1212" s="60"/>
      <c r="F1212" s="46" t="s">
        <v>225</v>
      </c>
      <c r="G1212" s="46" t="s">
        <v>159</v>
      </c>
      <c r="H1212" s="46" t="s">
        <v>592</v>
      </c>
      <c r="I1212" s="46" t="s">
        <v>169</v>
      </c>
      <c r="J1212" s="46" t="s">
        <v>69</v>
      </c>
      <c r="K1212" s="46" t="s">
        <v>68</v>
      </c>
      <c r="L1212" s="46"/>
      <c r="M1212" s="46"/>
      <c r="N1212" s="46"/>
      <c r="O1212" s="46">
        <v>1</v>
      </c>
      <c r="P1212" s="46"/>
      <c r="Q1212" s="46"/>
      <c r="R1212" s="46"/>
      <c r="S1212" s="46"/>
      <c r="T1212" s="46"/>
      <c r="U1212" s="46"/>
      <c r="V1212" s="46"/>
      <c r="W1212" s="46"/>
      <c r="X1212" s="46"/>
      <c r="Y1212" s="46"/>
      <c r="Z1212" s="46" t="s">
        <v>3411</v>
      </c>
      <c r="AA1212" s="63">
        <f>IF(OR(G1212="ALK",G1212="PEM",G1212="SOEC",G1212="Other Electrolysis"),
AB1212*VLOOKUP(G1212,ElectrolysisConvF,3,FALSE),
"")</f>
        <v>519.47052485762663</v>
      </c>
      <c r="AB1212" s="62">
        <f>AC1212/(H2dens*HoursInYear/10^6)</f>
        <v>115437.89441280592</v>
      </c>
      <c r="AC1212" s="62">
        <f>90</f>
        <v>90</v>
      </c>
      <c r="AD1212" s="62"/>
      <c r="AE1212" s="62">
        <f t="shared" si="142"/>
        <v>115437.89441280592</v>
      </c>
      <c r="AF1212" s="64" t="s">
        <v>3412</v>
      </c>
      <c r="AG1212" s="49">
        <v>0.5</v>
      </c>
    </row>
    <row r="1213" spans="1:33" customFormat="1" ht="35.1" customHeight="1" x14ac:dyDescent="0.3">
      <c r="A1213" s="46">
        <v>1694</v>
      </c>
      <c r="B1213" s="46" t="s">
        <v>3413</v>
      </c>
      <c r="C1213" s="46" t="s">
        <v>326</v>
      </c>
      <c r="D1213" s="60">
        <v>2024</v>
      </c>
      <c r="E1213" s="60"/>
      <c r="F1213" s="46"/>
      <c r="G1213" s="46" t="s">
        <v>164</v>
      </c>
      <c r="H1213" s="46" t="s">
        <v>3052</v>
      </c>
      <c r="I1213" s="46"/>
      <c r="J1213" s="46"/>
      <c r="K1213" s="46" t="s">
        <v>68</v>
      </c>
      <c r="L1213" s="46"/>
      <c r="M1213" s="46"/>
      <c r="N1213" s="46"/>
      <c r="O1213" s="46"/>
      <c r="P1213" s="46"/>
      <c r="Q1213" s="46"/>
      <c r="R1213" s="46"/>
      <c r="S1213" s="46"/>
      <c r="T1213" s="46"/>
      <c r="U1213" s="46"/>
      <c r="V1213" s="46"/>
      <c r="W1213" s="46"/>
      <c r="X1213" s="46"/>
      <c r="Y1213" s="46"/>
      <c r="Z1213" s="46" t="s">
        <v>3414</v>
      </c>
      <c r="AA1213" s="61" t="str">
        <f>IF(OR(G1213="ALK",G1213="PEM",G1213="SOEC",G1213="Other Electrolysis"),
AB1213*VLOOKUP(G1213,ElectrolysisConvF,3,FALSE),
"")</f>
        <v/>
      </c>
      <c r="AB1213" s="62">
        <f>AC1213/(H2dens*HoursInYear/10^6)</f>
        <v>820.89169360217545</v>
      </c>
      <c r="AC1213" s="76">
        <v>0.64</v>
      </c>
      <c r="AD1213" s="62"/>
      <c r="AE1213" s="62">
        <f t="shared" si="142"/>
        <v>820.89169360217545</v>
      </c>
      <c r="AF1213" s="64" t="s">
        <v>3264</v>
      </c>
      <c r="AG1213" s="49">
        <v>0.9</v>
      </c>
    </row>
    <row r="1214" spans="1:33" customFormat="1" ht="35.1" customHeight="1" x14ac:dyDescent="0.3">
      <c r="A1214" s="46">
        <v>1695</v>
      </c>
      <c r="B1214" s="46" t="s">
        <v>3415</v>
      </c>
      <c r="C1214" s="46" t="s">
        <v>326</v>
      </c>
      <c r="D1214" s="60">
        <v>2025</v>
      </c>
      <c r="E1214" s="60"/>
      <c r="F1214" s="46" t="s">
        <v>591</v>
      </c>
      <c r="G1214" s="46" t="s">
        <v>159</v>
      </c>
      <c r="H1214" s="46" t="s">
        <v>592</v>
      </c>
      <c r="I1214" s="46" t="s">
        <v>157</v>
      </c>
      <c r="J1214" s="46"/>
      <c r="K1214" s="46" t="s">
        <v>68</v>
      </c>
      <c r="L1214" s="46"/>
      <c r="M1214" s="46"/>
      <c r="N1214" s="46"/>
      <c r="O1214" s="46"/>
      <c r="P1214" s="46">
        <v>1</v>
      </c>
      <c r="Q1214" s="46"/>
      <c r="R1214" s="46"/>
      <c r="S1214" s="46"/>
      <c r="T1214" s="46"/>
      <c r="U1214" s="46"/>
      <c r="V1214" s="46"/>
      <c r="W1214" s="46"/>
      <c r="X1214" s="46"/>
      <c r="Y1214" s="46"/>
      <c r="Z1214" s="46" t="s">
        <v>3326</v>
      </c>
      <c r="AA1214" s="61">
        <v>30</v>
      </c>
      <c r="AB1214" s="62">
        <f>IF(OR(G1214="ALK",G1214="PEM",G1214="SOEC",G1214="Other Electrolysis"),
AA1214/VLOOKUP(G1214,ElectrolysisConvF,3,FALSE),
AC1214*10^6/(H2dens*HoursInYear))</f>
        <v>6666.666666666667</v>
      </c>
      <c r="AC1214" s="63">
        <f>AB1214*H2dens*HoursInYear/10^6</f>
        <v>5.1976000000000004</v>
      </c>
      <c r="AD1214" s="62"/>
      <c r="AE1214" s="62">
        <f t="shared" si="142"/>
        <v>6666.666666666667</v>
      </c>
      <c r="AF1214" s="64"/>
      <c r="AG1214" s="49">
        <v>0.56999999999999995</v>
      </c>
    </row>
    <row r="1215" spans="1:33" customFormat="1" ht="35.1" customHeight="1" x14ac:dyDescent="0.3">
      <c r="A1215" s="46">
        <v>1697</v>
      </c>
      <c r="B1215" s="46" t="s">
        <v>3416</v>
      </c>
      <c r="C1215" s="46" t="s">
        <v>318</v>
      </c>
      <c r="D1215" s="60">
        <v>2024</v>
      </c>
      <c r="E1215" s="60"/>
      <c r="F1215" s="46" t="s">
        <v>225</v>
      </c>
      <c r="G1215" s="46" t="s">
        <v>159</v>
      </c>
      <c r="H1215" s="46" t="s">
        <v>592</v>
      </c>
      <c r="I1215" s="46" t="s">
        <v>169</v>
      </c>
      <c r="J1215" s="46" t="s">
        <v>244</v>
      </c>
      <c r="K1215" s="46" t="s">
        <v>68</v>
      </c>
      <c r="L1215" s="46"/>
      <c r="M1215" s="46"/>
      <c r="N1215" s="46"/>
      <c r="O1215" s="46"/>
      <c r="P1215" s="46">
        <v>1</v>
      </c>
      <c r="Q1215" s="46"/>
      <c r="R1215" s="46"/>
      <c r="S1215" s="46">
        <v>1</v>
      </c>
      <c r="T1215" s="46"/>
      <c r="U1215" s="46"/>
      <c r="V1215" s="46"/>
      <c r="W1215" s="46"/>
      <c r="X1215" s="46"/>
      <c r="Y1215" s="46"/>
      <c r="Z1215" s="46" t="s">
        <v>3417</v>
      </c>
      <c r="AA1215" s="61">
        <v>7.5</v>
      </c>
      <c r="AB1215" s="62">
        <f>IF(OR(G1215="ALK",G1215="PEM",G1215="SOEC",G1215="Other Electrolysis"),
AA1215/VLOOKUP(G1215,ElectrolysisConvF,3,FALSE),
AC1215*10^6/(H2dens*HoursInYear))</f>
        <v>1666.6666666666667</v>
      </c>
      <c r="AC1215" s="63">
        <f>AB1215*H2dens*HoursInYear/10^6</f>
        <v>1.2994000000000001</v>
      </c>
      <c r="AD1215" s="62"/>
      <c r="AE1215" s="62">
        <f>IF(AND(G1215&lt;&gt;"NG w CCUS",G1215&lt;&gt;"Oil w CCUS",G1215&lt;&gt;"Coal w CCUS"),AB1215,AD1215*10^3/(HoursInYear*IF(G1215="NG w CCUS",0.9105,1.9075)))</f>
        <v>1666.6666666666667</v>
      </c>
      <c r="AF1215" s="64" t="s">
        <v>3418</v>
      </c>
      <c r="AG1215" s="49">
        <v>0.3</v>
      </c>
    </row>
    <row r="1216" spans="1:33" customFormat="1" ht="35.1" customHeight="1" x14ac:dyDescent="0.3">
      <c r="A1216" s="46">
        <v>1711</v>
      </c>
      <c r="B1216" s="46" t="s">
        <v>3419</v>
      </c>
      <c r="C1216" s="46" t="s">
        <v>39</v>
      </c>
      <c r="D1216" s="60">
        <v>2028</v>
      </c>
      <c r="E1216" s="60"/>
      <c r="F1216" s="46" t="s">
        <v>591</v>
      </c>
      <c r="G1216" s="46" t="s">
        <v>159</v>
      </c>
      <c r="H1216" s="46" t="s">
        <v>592</v>
      </c>
      <c r="I1216" s="46" t="s">
        <v>169</v>
      </c>
      <c r="J1216" s="46" t="s">
        <v>248</v>
      </c>
      <c r="K1216" s="46" t="s">
        <v>68</v>
      </c>
      <c r="L1216" s="46"/>
      <c r="M1216" s="46"/>
      <c r="N1216" s="46"/>
      <c r="O1216" s="46"/>
      <c r="P1216" s="46">
        <v>1</v>
      </c>
      <c r="Q1216" s="46">
        <v>1</v>
      </c>
      <c r="R1216" s="46">
        <v>1</v>
      </c>
      <c r="S1216" s="46"/>
      <c r="T1216" s="46"/>
      <c r="U1216" s="46"/>
      <c r="V1216" s="46"/>
      <c r="W1216" s="46"/>
      <c r="X1216" s="46"/>
      <c r="Y1216" s="46"/>
      <c r="Z1216" s="46" t="s">
        <v>3420</v>
      </c>
      <c r="AA1216" s="61">
        <v>300</v>
      </c>
      <c r="AB1216" s="62">
        <f>IF(OR(G1216="ALK",G1216="PEM",G1216="SOEC",G1216="Other Electrolysis"),
AA1216/VLOOKUP(G1216,ElectrolysisConvF,3,FALSE),
AC1216*10^6/(H2dens*HoursInYear))</f>
        <v>66666.666666666672</v>
      </c>
      <c r="AC1216" s="63">
        <f>AB1216*H2dens*HoursInYear/10^6</f>
        <v>51.975999999999999</v>
      </c>
      <c r="AD1216" s="62"/>
      <c r="AE1216" s="62">
        <f t="shared" ref="AE1216:AE1224" si="143">IF(AND(G1216&lt;&gt;"NG w CCUS",G1216&lt;&gt;"Oil w CCUS",G1216&lt;&gt;"Coal w CCUS"),AB1216,AD1216*10^3/(HoursInYear*IF(G1216="NG w CCUS",0.9105,1.9075)))</f>
        <v>66666.666666666672</v>
      </c>
      <c r="AF1216" s="64" t="s">
        <v>3421</v>
      </c>
      <c r="AG1216" s="49">
        <v>0.5</v>
      </c>
    </row>
    <row r="1217" spans="1:33" customFormat="1" ht="35.1" customHeight="1" x14ac:dyDescent="0.3">
      <c r="A1217" s="46">
        <v>1712</v>
      </c>
      <c r="B1217" s="46" t="s">
        <v>3422</v>
      </c>
      <c r="C1217" s="46" t="s">
        <v>40</v>
      </c>
      <c r="D1217" s="60">
        <v>2025</v>
      </c>
      <c r="E1217" s="60"/>
      <c r="F1217" s="46" t="s">
        <v>675</v>
      </c>
      <c r="G1217" s="46" t="s">
        <v>3</v>
      </c>
      <c r="H1217" s="46"/>
      <c r="I1217" s="46" t="s">
        <v>157</v>
      </c>
      <c r="J1217" s="46"/>
      <c r="K1217" s="46" t="s">
        <v>68</v>
      </c>
      <c r="L1217" s="46"/>
      <c r="M1217" s="46"/>
      <c r="N1217" s="46"/>
      <c r="O1217" s="46"/>
      <c r="P1217" s="46"/>
      <c r="Q1217" s="46"/>
      <c r="R1217" s="46">
        <v>1</v>
      </c>
      <c r="S1217" s="46"/>
      <c r="T1217" s="46"/>
      <c r="U1217" s="46"/>
      <c r="V1217" s="46"/>
      <c r="W1217" s="46"/>
      <c r="X1217" s="46"/>
      <c r="Y1217" s="46"/>
      <c r="Z1217" s="46" t="s">
        <v>3423</v>
      </c>
      <c r="AA1217" s="61">
        <v>220</v>
      </c>
      <c r="AB1217" s="62">
        <f>IF(OR(G1217="ALK",G1217="PEM",G1217="SOEC",G1217="Other Electrolysis"),
AA1217/VLOOKUP(G1217,ElectrolysisConvF,3,FALSE),
AC1217*10^6/(H2dens*HoursInYear))</f>
        <v>47826.086956521744</v>
      </c>
      <c r="AC1217" s="63">
        <f>AB1217*H2dens*HoursInYear/10^6</f>
        <v>37.287130434782611</v>
      </c>
      <c r="AD1217" s="62"/>
      <c r="AE1217" s="62">
        <f t="shared" si="143"/>
        <v>47826.086956521744</v>
      </c>
      <c r="AF1217" s="64" t="s">
        <v>3424</v>
      </c>
      <c r="AG1217" s="49">
        <v>0.56999999999999995</v>
      </c>
    </row>
    <row r="1218" spans="1:33" customFormat="1" ht="35.1" customHeight="1" x14ac:dyDescent="0.3">
      <c r="A1218" s="46">
        <v>1713</v>
      </c>
      <c r="B1218" s="46" t="s">
        <v>3425</v>
      </c>
      <c r="C1218" s="46" t="s">
        <v>40</v>
      </c>
      <c r="D1218" s="60">
        <v>2024</v>
      </c>
      <c r="E1218" s="60"/>
      <c r="F1218" s="46" t="s">
        <v>225</v>
      </c>
      <c r="G1218" s="46" t="s">
        <v>1</v>
      </c>
      <c r="H1218" s="46"/>
      <c r="I1218" s="46" t="s">
        <v>157</v>
      </c>
      <c r="J1218" s="46"/>
      <c r="K1218" s="46" t="s">
        <v>68</v>
      </c>
      <c r="L1218" s="46"/>
      <c r="M1218" s="46"/>
      <c r="N1218" s="46"/>
      <c r="O1218" s="46"/>
      <c r="P1218" s="46"/>
      <c r="Q1218" s="46"/>
      <c r="R1218" s="46"/>
      <c r="S1218" s="46"/>
      <c r="T1218" s="46"/>
      <c r="U1218" s="46"/>
      <c r="V1218" s="46"/>
      <c r="W1218" s="46"/>
      <c r="X1218" s="46"/>
      <c r="Y1218" s="46"/>
      <c r="Z1218" s="46" t="s">
        <v>3426</v>
      </c>
      <c r="AA1218" s="76">
        <f>IF(OR(G1218="ALK",G1218="PEM",G1218="SOEC",G1218="Other Electrolysis"),
AB1218*VLOOKUP(G1218,ElectrolysisConvF,3,FALSE),
"")</f>
        <v>36.516853932584269</v>
      </c>
      <c r="AB1218" s="62">
        <f>AC1218/(H2dens*HoursInYear/10^6)</f>
        <v>7022.4719101123592</v>
      </c>
      <c r="AC1218" s="62">
        <f>15*365/1000</f>
        <v>5.4749999999999996</v>
      </c>
      <c r="AD1218" s="62"/>
      <c r="AE1218" s="62">
        <f t="shared" si="143"/>
        <v>7022.4719101123592</v>
      </c>
      <c r="AF1218" s="64" t="s">
        <v>3427</v>
      </c>
      <c r="AG1218" s="49">
        <v>0.56999999999999995</v>
      </c>
    </row>
    <row r="1219" spans="1:33" customFormat="1" ht="35.1" customHeight="1" x14ac:dyDescent="0.3">
      <c r="A1219" s="46">
        <v>1714</v>
      </c>
      <c r="B1219" s="46" t="s">
        <v>3428</v>
      </c>
      <c r="C1219" s="46" t="s">
        <v>311</v>
      </c>
      <c r="D1219" s="60">
        <v>2024</v>
      </c>
      <c r="E1219" s="60"/>
      <c r="F1219" s="46" t="s">
        <v>225</v>
      </c>
      <c r="G1219" s="46" t="s">
        <v>1</v>
      </c>
      <c r="H1219" s="46"/>
      <c r="I1219" s="46" t="s">
        <v>157</v>
      </c>
      <c r="J1219" s="46"/>
      <c r="K1219" s="46" t="s">
        <v>68</v>
      </c>
      <c r="L1219" s="46">
        <v>1</v>
      </c>
      <c r="M1219" s="46"/>
      <c r="N1219" s="46"/>
      <c r="O1219" s="46"/>
      <c r="P1219" s="46"/>
      <c r="Q1219" s="46"/>
      <c r="R1219" s="46"/>
      <c r="S1219" s="46"/>
      <c r="T1219" s="46"/>
      <c r="U1219" s="46"/>
      <c r="V1219" s="46"/>
      <c r="W1219" s="46"/>
      <c r="X1219" s="46"/>
      <c r="Y1219" s="46"/>
      <c r="Z1219" s="46" t="s">
        <v>711</v>
      </c>
      <c r="AA1219" s="61">
        <v>10</v>
      </c>
      <c r="AB1219" s="62">
        <f>IF(OR(G1219="ALK",G1219="PEM",G1219="SOEC",G1219="Other Electrolysis"),
AA1219/VLOOKUP(G1219,ElectrolysisConvF,3,FALSE),
AC1219*10^6/(H2dens*HoursInYear))</f>
        <v>1923.0769230769231</v>
      </c>
      <c r="AC1219" s="63">
        <f>AB1219*H2dens*HoursInYear/10^6</f>
        <v>1.4993076923076922</v>
      </c>
      <c r="AD1219" s="62"/>
      <c r="AE1219" s="62">
        <f t="shared" si="143"/>
        <v>1923.0769230769231</v>
      </c>
      <c r="AF1219" s="64" t="s">
        <v>3429</v>
      </c>
      <c r="AG1219" s="49">
        <v>0.56999999999999995</v>
      </c>
    </row>
    <row r="1220" spans="1:33" customFormat="1" ht="35.1" customHeight="1" x14ac:dyDescent="0.3">
      <c r="A1220" s="46">
        <v>1715</v>
      </c>
      <c r="B1220" s="46" t="s">
        <v>3430</v>
      </c>
      <c r="C1220" s="46" t="s">
        <v>83</v>
      </c>
      <c r="D1220" s="60">
        <v>2027</v>
      </c>
      <c r="E1220" s="60"/>
      <c r="F1220" s="46" t="s">
        <v>225</v>
      </c>
      <c r="G1220" s="46" t="s">
        <v>159</v>
      </c>
      <c r="H1220" s="46" t="s">
        <v>592</v>
      </c>
      <c r="I1220" s="46" t="s">
        <v>157</v>
      </c>
      <c r="J1220" s="46"/>
      <c r="K1220" s="46" t="s">
        <v>141</v>
      </c>
      <c r="L1220" s="46"/>
      <c r="M1220" s="46">
        <v>1</v>
      </c>
      <c r="N1220" s="46"/>
      <c r="O1220" s="46"/>
      <c r="P1220" s="46"/>
      <c r="Q1220" s="46"/>
      <c r="R1220" s="46"/>
      <c r="S1220" s="46"/>
      <c r="T1220" s="46"/>
      <c r="U1220" s="46"/>
      <c r="V1220" s="46"/>
      <c r="W1220" s="46"/>
      <c r="X1220" s="46"/>
      <c r="Y1220" s="46"/>
      <c r="Z1220" s="46" t="s">
        <v>3131</v>
      </c>
      <c r="AA1220" s="61">
        <f>IF(OR(G1220="ALK",G1220="PEM",G1220="SOEC",G1220="Other Electrolysis"),
AB1220*VLOOKUP(G1220,ElectrolysisConvF,3,FALSE),
"")</f>
        <v>1458.7463753434754</v>
      </c>
      <c r="AB1220" s="62">
        <f>AC1220/(H2dens*HoursInYear/10^6)</f>
        <v>324165.861187439</v>
      </c>
      <c r="AC1220" s="62">
        <f>800*3/17/0.98/H2ProjectDB4578610[[#This Row],[Column33]]</f>
        <v>252.73267201617494</v>
      </c>
      <c r="AD1220" s="62"/>
      <c r="AE1220" s="62">
        <f t="shared" si="143"/>
        <v>324165.861187439</v>
      </c>
      <c r="AF1220" s="64" t="s">
        <v>3431</v>
      </c>
      <c r="AG1220" s="49">
        <v>0.56999999999999995</v>
      </c>
    </row>
    <row r="1221" spans="1:33" customFormat="1" ht="35.1" customHeight="1" x14ac:dyDescent="0.3">
      <c r="A1221" s="46">
        <v>1716</v>
      </c>
      <c r="B1221" s="46" t="s">
        <v>3432</v>
      </c>
      <c r="C1221" s="46" t="s">
        <v>83</v>
      </c>
      <c r="D1221" s="60">
        <v>2026</v>
      </c>
      <c r="E1221" s="60"/>
      <c r="F1221" s="46" t="s">
        <v>225</v>
      </c>
      <c r="G1221" s="46" t="s">
        <v>159</v>
      </c>
      <c r="H1221" s="46" t="s">
        <v>592</v>
      </c>
      <c r="I1221" s="46" t="s">
        <v>157</v>
      </c>
      <c r="J1221" s="46"/>
      <c r="K1221" s="46" t="s">
        <v>140</v>
      </c>
      <c r="L1221" s="46"/>
      <c r="M1221" s="46"/>
      <c r="N1221" s="46">
        <v>1</v>
      </c>
      <c r="O1221" s="46"/>
      <c r="P1221" s="46"/>
      <c r="Q1221" s="46">
        <v>1</v>
      </c>
      <c r="R1221" s="46"/>
      <c r="S1221" s="46"/>
      <c r="T1221" s="46"/>
      <c r="U1221" s="46"/>
      <c r="V1221" s="46"/>
      <c r="W1221" s="46"/>
      <c r="X1221" s="46"/>
      <c r="Y1221" s="46"/>
      <c r="Z1221" s="46" t="s">
        <v>3118</v>
      </c>
      <c r="AA1221" s="61">
        <f>IF(OR(G1221="ALK",G1221="PEM",G1221="SOEC",G1221="Other Electrolysis"),
AB1221*VLOOKUP(G1221,ElectrolysisConvF,3,FALSE),
"")</f>
        <v>193.74022828349928</v>
      </c>
      <c r="AB1221" s="62">
        <f>AC1221/(H2dens*HoursInYear/10^6)</f>
        <v>43053.384062999845</v>
      </c>
      <c r="AC1221" s="62">
        <f>0.191327*100/H2ProjectDB4578610[[#This Row],[Column33]]</f>
        <v>33.566140350877198</v>
      </c>
      <c r="AD1221" s="62"/>
      <c r="AE1221" s="62">
        <f t="shared" si="143"/>
        <v>43053.384062999845</v>
      </c>
      <c r="AF1221" s="64" t="s">
        <v>3433</v>
      </c>
      <c r="AG1221" s="49">
        <v>0.56999999999999995</v>
      </c>
    </row>
    <row r="1222" spans="1:33" customFormat="1" ht="35.1" customHeight="1" x14ac:dyDescent="0.3">
      <c r="A1222" s="46">
        <v>1717</v>
      </c>
      <c r="B1222" s="46" t="s">
        <v>3434</v>
      </c>
      <c r="C1222" s="46" t="s">
        <v>83</v>
      </c>
      <c r="D1222" s="60">
        <v>2030</v>
      </c>
      <c r="E1222" s="60"/>
      <c r="F1222" s="46" t="s">
        <v>591</v>
      </c>
      <c r="G1222" s="46" t="s">
        <v>159</v>
      </c>
      <c r="H1222" s="46" t="s">
        <v>592</v>
      </c>
      <c r="I1222" s="46" t="s">
        <v>157</v>
      </c>
      <c r="J1222" s="46"/>
      <c r="K1222" s="46" t="s">
        <v>141</v>
      </c>
      <c r="L1222" s="46"/>
      <c r="M1222" s="46">
        <v>1</v>
      </c>
      <c r="N1222" s="46"/>
      <c r="O1222" s="46"/>
      <c r="P1222" s="46">
        <v>1</v>
      </c>
      <c r="Q1222" s="46"/>
      <c r="R1222" s="46"/>
      <c r="S1222" s="46"/>
      <c r="T1222" s="46"/>
      <c r="U1222" s="46"/>
      <c r="V1222" s="46"/>
      <c r="W1222" s="46"/>
      <c r="X1222" s="46"/>
      <c r="Y1222" s="46"/>
      <c r="Z1222" s="46" t="s">
        <v>3435</v>
      </c>
      <c r="AA1222" s="61">
        <f>4000-AA1221</f>
        <v>3806.2597717165008</v>
      </c>
      <c r="AB1222" s="62">
        <f>IF(OR(G1222="ALK",G1222="PEM",G1222="SOEC",G1222="Other Electrolysis"),
AA1222/VLOOKUP(G1222,ElectrolysisConvF,3,FALSE),
AC1222*10^6/(H2dens*HoursInYear))</f>
        <v>845835.50482588913</v>
      </c>
      <c r="AC1222" s="63">
        <f>AB1222*H2dens*HoursInYear/10^6</f>
        <v>659.44719298245616</v>
      </c>
      <c r="AD1222" s="62"/>
      <c r="AE1222" s="62">
        <f t="shared" si="143"/>
        <v>845835.50482588913</v>
      </c>
      <c r="AF1222" s="64" t="s">
        <v>3433</v>
      </c>
      <c r="AG1222" s="49">
        <v>0.56999999999999995</v>
      </c>
    </row>
    <row r="1223" spans="1:33" customFormat="1" ht="35.1" customHeight="1" x14ac:dyDescent="0.3">
      <c r="A1223" s="46">
        <v>1718</v>
      </c>
      <c r="B1223" s="46" t="s">
        <v>3436</v>
      </c>
      <c r="C1223" s="46" t="s">
        <v>40</v>
      </c>
      <c r="D1223" s="60"/>
      <c r="E1223" s="60"/>
      <c r="F1223" s="46" t="s">
        <v>225</v>
      </c>
      <c r="G1223" s="46" t="s">
        <v>2</v>
      </c>
      <c r="H1223" s="46"/>
      <c r="I1223" s="46" t="s">
        <v>157</v>
      </c>
      <c r="J1223" s="46"/>
      <c r="K1223" s="46" t="s">
        <v>141</v>
      </c>
      <c r="L1223" s="46"/>
      <c r="M1223" s="46">
        <v>1</v>
      </c>
      <c r="N1223" s="46"/>
      <c r="O1223" s="46"/>
      <c r="P1223" s="46"/>
      <c r="Q1223" s="46"/>
      <c r="R1223" s="46"/>
      <c r="S1223" s="46"/>
      <c r="T1223" s="46"/>
      <c r="U1223" s="46"/>
      <c r="V1223" s="46"/>
      <c r="W1223" s="46"/>
      <c r="X1223" s="46"/>
      <c r="Y1223" s="46"/>
      <c r="Z1223" s="46" t="s">
        <v>711</v>
      </c>
      <c r="AA1223" s="61">
        <v>10</v>
      </c>
      <c r="AB1223" s="62">
        <f>IF(OR(G1223="ALK",G1223="PEM",G1223="SOEC",G1223="Other Electrolysis"),
AA1223/VLOOKUP(G1223,ElectrolysisConvF,3,FALSE),
AC1223*10^6/(H2dens*HoursInYear))</f>
        <v>2631.5789473684213</v>
      </c>
      <c r="AC1223" s="63">
        <f>AB1223*H2dens*HoursInYear/10^6</f>
        <v>2.0516842105263158</v>
      </c>
      <c r="AD1223" s="62"/>
      <c r="AE1223" s="62">
        <f t="shared" si="143"/>
        <v>2631.5789473684213</v>
      </c>
      <c r="AF1223" s="64" t="s">
        <v>3437</v>
      </c>
      <c r="AG1223" s="49">
        <v>0.56999999999999995</v>
      </c>
    </row>
    <row r="1224" spans="1:33" customFormat="1" ht="35.1" customHeight="1" x14ac:dyDescent="0.3">
      <c r="A1224" s="46">
        <v>1719</v>
      </c>
      <c r="B1224" s="46" t="s">
        <v>3436</v>
      </c>
      <c r="C1224" s="46" t="s">
        <v>40</v>
      </c>
      <c r="D1224" s="60"/>
      <c r="E1224" s="60"/>
      <c r="F1224" s="46" t="s">
        <v>225</v>
      </c>
      <c r="G1224" s="46" t="s">
        <v>3</v>
      </c>
      <c r="H1224" s="46"/>
      <c r="I1224" s="46" t="s">
        <v>157</v>
      </c>
      <c r="J1224" s="46"/>
      <c r="K1224" s="46" t="s">
        <v>141</v>
      </c>
      <c r="L1224" s="46"/>
      <c r="M1224" s="46">
        <v>1</v>
      </c>
      <c r="N1224" s="46"/>
      <c r="O1224" s="46"/>
      <c r="P1224" s="46"/>
      <c r="Q1224" s="46"/>
      <c r="R1224" s="46"/>
      <c r="S1224" s="46"/>
      <c r="T1224" s="46"/>
      <c r="U1224" s="46"/>
      <c r="V1224" s="46"/>
      <c r="W1224" s="46"/>
      <c r="X1224" s="46"/>
      <c r="Y1224" s="46"/>
      <c r="Z1224" s="46" t="s">
        <v>696</v>
      </c>
      <c r="AA1224" s="61">
        <v>20</v>
      </c>
      <c r="AB1224" s="62">
        <f>IF(OR(G1224="ALK",G1224="PEM",G1224="SOEC",G1224="Other Electrolysis"),
AA1224/VLOOKUP(G1224,ElectrolysisConvF,3,FALSE),
AC1224*10^6/(H2dens*HoursInYear))</f>
        <v>4347.826086956522</v>
      </c>
      <c r="AC1224" s="63">
        <f>AB1224*H2dens*HoursInYear/10^6</f>
        <v>3.3897391304347826</v>
      </c>
      <c r="AD1224" s="62"/>
      <c r="AE1224" s="62">
        <f t="shared" si="143"/>
        <v>4347.826086956522</v>
      </c>
      <c r="AF1224" s="64" t="s">
        <v>3437</v>
      </c>
      <c r="AG1224" s="49">
        <v>0.56999999999999995</v>
      </c>
    </row>
    <row r="1225" spans="1:33" customFormat="1" ht="35.1" customHeight="1" x14ac:dyDescent="0.3">
      <c r="A1225" s="46">
        <v>1720</v>
      </c>
      <c r="B1225" s="46" t="s">
        <v>3438</v>
      </c>
      <c r="C1225" s="46" t="s">
        <v>321</v>
      </c>
      <c r="D1225" s="60">
        <v>2024</v>
      </c>
      <c r="E1225" s="60"/>
      <c r="F1225" s="46" t="s">
        <v>675</v>
      </c>
      <c r="G1225" s="46" t="s">
        <v>3</v>
      </c>
      <c r="H1225" s="46"/>
      <c r="I1225" s="46" t="s">
        <v>169</v>
      </c>
      <c r="J1225" s="46" t="s">
        <v>248</v>
      </c>
      <c r="K1225" s="46" t="s">
        <v>167</v>
      </c>
      <c r="L1225" s="46">
        <v>1</v>
      </c>
      <c r="M1225" s="46"/>
      <c r="N1225" s="46"/>
      <c r="O1225" s="46"/>
      <c r="P1225" s="46"/>
      <c r="Q1225" s="46"/>
      <c r="R1225" s="46"/>
      <c r="S1225" s="46"/>
      <c r="T1225" s="46"/>
      <c r="U1225" s="46"/>
      <c r="V1225" s="46"/>
      <c r="W1225" s="46">
        <v>1</v>
      </c>
      <c r="X1225" s="46"/>
      <c r="Y1225" s="46"/>
      <c r="Z1225" s="46" t="s">
        <v>1168</v>
      </c>
      <c r="AA1225" s="62">
        <v>10</v>
      </c>
      <c r="AB1225" s="62">
        <f>AA1225/0.0046</f>
        <v>2173.913043478261</v>
      </c>
      <c r="AC1225" s="63">
        <f>AB1225*H2dens*HoursInYear/10^6</f>
        <v>1.6948695652173913</v>
      </c>
      <c r="AD1225" s="62"/>
      <c r="AE1225" s="62">
        <f>AB1225</f>
        <v>2173.913043478261</v>
      </c>
      <c r="AF1225" s="64" t="s">
        <v>1389</v>
      </c>
      <c r="AG1225" s="49">
        <v>0.5</v>
      </c>
    </row>
    <row r="1226" spans="1:33" customFormat="1" ht="35.1" customHeight="1" x14ac:dyDescent="0.3">
      <c r="A1226" s="46">
        <v>1721</v>
      </c>
      <c r="B1226" s="46" t="s">
        <v>3439</v>
      </c>
      <c r="C1226" s="46" t="s">
        <v>83</v>
      </c>
      <c r="D1226" s="60"/>
      <c r="E1226" s="60"/>
      <c r="F1226" s="46" t="s">
        <v>591</v>
      </c>
      <c r="G1226" s="46" t="s">
        <v>159</v>
      </c>
      <c r="H1226" s="46" t="s">
        <v>592</v>
      </c>
      <c r="I1226" s="46" t="s">
        <v>157</v>
      </c>
      <c r="J1226" s="46"/>
      <c r="K1226" s="46" t="s">
        <v>141</v>
      </c>
      <c r="L1226" s="46"/>
      <c r="M1226" s="46">
        <v>1</v>
      </c>
      <c r="N1226" s="46"/>
      <c r="O1226" s="46"/>
      <c r="P1226" s="46"/>
      <c r="Q1226" s="46"/>
      <c r="R1226" s="46"/>
      <c r="S1226" s="46"/>
      <c r="T1226" s="46"/>
      <c r="U1226" s="46"/>
      <c r="V1226" s="46"/>
      <c r="W1226" s="46"/>
      <c r="X1226" s="46"/>
      <c r="Y1226" s="46"/>
      <c r="Z1226" s="46" t="s">
        <v>3440</v>
      </c>
      <c r="AA1226" s="62">
        <f t="shared" ref="AA1226:AA1231" si="144">IF(OR(G1226="ALK",G1226="PEM",G1226="SOEC",G1226="Other Electrolysis"),
AB1226*VLOOKUP(G1226,ElectrolysisConvF,3,FALSE),
"")</f>
        <v>547.02989075380322</v>
      </c>
      <c r="AB1226" s="62">
        <f t="shared" ref="AB1226:AB1231" si="145">AC1226/(H2dens*HoursInYear/10^6)</f>
        <v>121562.19794528962</v>
      </c>
      <c r="AC1226" s="62">
        <f>300*3/17/0.98/H2ProjectDB4578610[[#This Row],[Column33]]</f>
        <v>94.774752006065597</v>
      </c>
      <c r="AD1226" s="62"/>
      <c r="AE1226" s="62">
        <f t="shared" ref="AE1226:AE1231" si="146">IF(AND(G1226&lt;&gt;"NG w CCUS",G1226&lt;&gt;"Oil w CCUS",G1226&lt;&gt;"Coal w CCUS"),AB1226,AD1226*10^3/(HoursInYear*IF(G1226="NG w CCUS",0.9105,1.9075)))</f>
        <v>121562.19794528962</v>
      </c>
      <c r="AF1226" s="64" t="s">
        <v>3441</v>
      </c>
      <c r="AG1226" s="49">
        <v>0.56999999999999995</v>
      </c>
    </row>
    <row r="1227" spans="1:33" customFormat="1" ht="35.1" customHeight="1" x14ac:dyDescent="0.3">
      <c r="A1227" s="46">
        <v>1722</v>
      </c>
      <c r="B1227" s="46" t="s">
        <v>3442</v>
      </c>
      <c r="C1227" s="46" t="s">
        <v>83</v>
      </c>
      <c r="D1227" s="60">
        <v>2030</v>
      </c>
      <c r="E1227" s="60"/>
      <c r="F1227" s="46" t="s">
        <v>591</v>
      </c>
      <c r="G1227" s="46" t="s">
        <v>159</v>
      </c>
      <c r="H1227" s="46" t="s">
        <v>592</v>
      </c>
      <c r="I1227" s="46" t="s">
        <v>157</v>
      </c>
      <c r="J1227" s="46"/>
      <c r="K1227" s="46" t="s">
        <v>141</v>
      </c>
      <c r="L1227" s="46"/>
      <c r="M1227" s="46">
        <v>1</v>
      </c>
      <c r="N1227" s="46"/>
      <c r="O1227" s="46"/>
      <c r="P1227" s="46"/>
      <c r="Q1227" s="46"/>
      <c r="R1227" s="46"/>
      <c r="S1227" s="46"/>
      <c r="T1227" s="46"/>
      <c r="U1227" s="46"/>
      <c r="V1227" s="46"/>
      <c r="W1227" s="46"/>
      <c r="X1227" s="46"/>
      <c r="Y1227" s="46"/>
      <c r="Z1227" s="46" t="s">
        <v>3443</v>
      </c>
      <c r="AA1227" s="62">
        <f t="shared" si="144"/>
        <v>2188.1195630152129</v>
      </c>
      <c r="AB1227" s="62">
        <f t="shared" si="145"/>
        <v>486248.79178115848</v>
      </c>
      <c r="AC1227" s="62">
        <f>(1500-300)*3/17/0.98/H2ProjectDB4578610[[#This Row],[Column33]]</f>
        <v>379.09900802426239</v>
      </c>
      <c r="AD1227" s="62"/>
      <c r="AE1227" s="62">
        <f t="shared" si="146"/>
        <v>486248.79178115848</v>
      </c>
      <c r="AF1227" s="64" t="s">
        <v>3441</v>
      </c>
      <c r="AG1227" s="49">
        <v>0.56999999999999995</v>
      </c>
    </row>
    <row r="1228" spans="1:33" customFormat="1" ht="35.1" customHeight="1" x14ac:dyDescent="0.3">
      <c r="A1228" s="46">
        <v>1723</v>
      </c>
      <c r="B1228" s="46" t="s">
        <v>3444</v>
      </c>
      <c r="C1228" s="46" t="s">
        <v>83</v>
      </c>
      <c r="D1228" s="60">
        <v>2025</v>
      </c>
      <c r="E1228" s="60"/>
      <c r="F1228" s="46" t="s">
        <v>591</v>
      </c>
      <c r="G1228" s="46" t="s">
        <v>159</v>
      </c>
      <c r="H1228" s="46" t="s">
        <v>592</v>
      </c>
      <c r="I1228" s="46" t="s">
        <v>157</v>
      </c>
      <c r="J1228" s="46"/>
      <c r="K1228" s="46" t="s">
        <v>141</v>
      </c>
      <c r="L1228" s="46"/>
      <c r="M1228" s="46">
        <v>1</v>
      </c>
      <c r="N1228" s="46"/>
      <c r="O1228" s="46"/>
      <c r="P1228" s="46"/>
      <c r="Q1228" s="46"/>
      <c r="R1228" s="46"/>
      <c r="S1228" s="46"/>
      <c r="T1228" s="46"/>
      <c r="U1228" s="46"/>
      <c r="V1228" s="46"/>
      <c r="W1228" s="46"/>
      <c r="X1228" s="46"/>
      <c r="Y1228" s="46"/>
      <c r="Z1228" s="46" t="s">
        <v>2951</v>
      </c>
      <c r="AA1228" s="62">
        <f t="shared" si="144"/>
        <v>1823.4329691793441</v>
      </c>
      <c r="AB1228" s="62">
        <f t="shared" si="145"/>
        <v>405207.32648429874</v>
      </c>
      <c r="AC1228" s="62">
        <f>1000*3/17/0.98/H2ProjectDB4578610[[#This Row],[Column33]]</f>
        <v>315.91584002021864</v>
      </c>
      <c r="AD1228" s="62"/>
      <c r="AE1228" s="62">
        <f t="shared" si="146"/>
        <v>405207.32648429874</v>
      </c>
      <c r="AF1228" s="64" t="s">
        <v>3445</v>
      </c>
      <c r="AG1228" s="49">
        <v>0.56999999999999995</v>
      </c>
    </row>
    <row r="1229" spans="1:33" customFormat="1" ht="35.1" customHeight="1" x14ac:dyDescent="0.3">
      <c r="A1229" s="46">
        <v>1724</v>
      </c>
      <c r="B1229" s="46" t="s">
        <v>3446</v>
      </c>
      <c r="C1229" s="46" t="s">
        <v>99</v>
      </c>
      <c r="D1229" s="60">
        <v>2024</v>
      </c>
      <c r="E1229" s="60"/>
      <c r="F1229" s="46" t="s">
        <v>675</v>
      </c>
      <c r="G1229" s="46" t="s">
        <v>3</v>
      </c>
      <c r="H1229" s="46"/>
      <c r="I1229" s="46" t="s">
        <v>157</v>
      </c>
      <c r="J1229" s="46"/>
      <c r="K1229" s="46" t="s">
        <v>141</v>
      </c>
      <c r="L1229" s="46"/>
      <c r="M1229" s="46">
        <v>1</v>
      </c>
      <c r="N1229" s="46"/>
      <c r="O1229" s="46"/>
      <c r="P1229" s="46"/>
      <c r="Q1229" s="46"/>
      <c r="R1229" s="46"/>
      <c r="S1229" s="46"/>
      <c r="T1229" s="46"/>
      <c r="U1229" s="46"/>
      <c r="V1229" s="46"/>
      <c r="W1229" s="46"/>
      <c r="X1229" s="46"/>
      <c r="Y1229" s="46"/>
      <c r="Z1229" s="46" t="s">
        <v>3447</v>
      </c>
      <c r="AA1229" s="62">
        <f t="shared" si="144"/>
        <v>528.02080465377185</v>
      </c>
      <c r="AB1229" s="62">
        <f t="shared" si="145"/>
        <v>114787.13144647215</v>
      </c>
      <c r="AC1229" s="62">
        <f>(24+(150*3/17/0.98))/H2ProjectDB4578610[[#This Row],[Column33]]</f>
        <v>89.492639160927538</v>
      </c>
      <c r="AD1229" s="62"/>
      <c r="AE1229" s="62">
        <f t="shared" si="146"/>
        <v>114787.13144647215</v>
      </c>
      <c r="AF1229" s="64" t="s">
        <v>3448</v>
      </c>
      <c r="AG1229" s="49">
        <v>0.56999999999999995</v>
      </c>
    </row>
    <row r="1230" spans="1:33" customFormat="1" ht="35.1" customHeight="1" x14ac:dyDescent="0.3">
      <c r="A1230" s="46">
        <v>1725</v>
      </c>
      <c r="B1230" s="46" t="s">
        <v>3449</v>
      </c>
      <c r="C1230" s="46" t="s">
        <v>99</v>
      </c>
      <c r="D1230" s="60"/>
      <c r="E1230" s="60"/>
      <c r="F1230" s="46" t="s">
        <v>591</v>
      </c>
      <c r="G1230" s="46" t="s">
        <v>159</v>
      </c>
      <c r="H1230" s="46" t="s">
        <v>592</v>
      </c>
      <c r="I1230" s="46" t="s">
        <v>157</v>
      </c>
      <c r="J1230" s="46"/>
      <c r="K1230" s="46" t="s">
        <v>68</v>
      </c>
      <c r="L1230" s="46"/>
      <c r="M1230" s="46">
        <v>1</v>
      </c>
      <c r="N1230" s="46"/>
      <c r="O1230" s="46"/>
      <c r="P1230" s="46"/>
      <c r="Q1230" s="46"/>
      <c r="R1230" s="46"/>
      <c r="S1230" s="46"/>
      <c r="T1230" s="46"/>
      <c r="U1230" s="46"/>
      <c r="V1230" s="46"/>
      <c r="W1230" s="46"/>
      <c r="X1230" s="46"/>
      <c r="Y1230" s="46"/>
      <c r="Z1230" s="46" t="s">
        <v>3450</v>
      </c>
      <c r="AA1230" s="62">
        <f t="shared" si="144"/>
        <v>774.92254324183762</v>
      </c>
      <c r="AB1230" s="62">
        <f t="shared" si="145"/>
        <v>172205.00960929727</v>
      </c>
      <c r="AC1230" s="62">
        <f>(60+(375*3/17/0.98)-51)/H2ProjectDB4578610[[#This Row],[Column33]]</f>
        <v>134.25791369179251</v>
      </c>
      <c r="AD1230" s="62"/>
      <c r="AE1230" s="62">
        <f t="shared" si="146"/>
        <v>172205.00960929727</v>
      </c>
      <c r="AF1230" s="64" t="s">
        <v>3448</v>
      </c>
      <c r="AG1230" s="49">
        <v>0.56999999999999995</v>
      </c>
    </row>
    <row r="1231" spans="1:33" customFormat="1" ht="35.1" customHeight="1" x14ac:dyDescent="0.3">
      <c r="A1231" s="46">
        <v>1726</v>
      </c>
      <c r="B1231" s="46" t="s">
        <v>3451</v>
      </c>
      <c r="C1231" s="46" t="s">
        <v>40</v>
      </c>
      <c r="D1231" s="60">
        <v>2026</v>
      </c>
      <c r="E1231" s="60"/>
      <c r="F1231" s="46" t="s">
        <v>225</v>
      </c>
      <c r="G1231" s="46" t="s">
        <v>161</v>
      </c>
      <c r="H1231" s="46" t="s">
        <v>2365</v>
      </c>
      <c r="I1231" s="46"/>
      <c r="J1231" s="46"/>
      <c r="K1231" s="46" t="s">
        <v>141</v>
      </c>
      <c r="L1231" s="46"/>
      <c r="M1231" s="46">
        <v>1</v>
      </c>
      <c r="N1231" s="46"/>
      <c r="O1231" s="46"/>
      <c r="P1231" s="46"/>
      <c r="Q1231" s="46"/>
      <c r="R1231" s="46"/>
      <c r="S1231" s="46"/>
      <c r="T1231" s="46"/>
      <c r="U1231" s="46"/>
      <c r="V1231" s="46"/>
      <c r="W1231" s="46"/>
      <c r="X1231" s="46"/>
      <c r="Y1231" s="46"/>
      <c r="Z1231" s="46" t="s">
        <v>3452</v>
      </c>
      <c r="AA1231" s="61" t="str">
        <f t="shared" si="144"/>
        <v/>
      </c>
      <c r="AB1231" s="62">
        <f t="shared" si="145"/>
        <v>86613.066036018834</v>
      </c>
      <c r="AC1231" s="62">
        <f>375*3/17/0.98</f>
        <v>67.527010804321719</v>
      </c>
      <c r="AD1231" s="62">
        <v>450000</v>
      </c>
      <c r="AE1231" s="62">
        <f t="shared" si="146"/>
        <v>56419.399246236826</v>
      </c>
      <c r="AF1231" s="64" t="s">
        <v>3453</v>
      </c>
      <c r="AG1231" s="49">
        <v>0.9</v>
      </c>
    </row>
    <row r="1232" spans="1:33" customFormat="1" ht="35.1" customHeight="1" x14ac:dyDescent="0.3">
      <c r="A1232" s="46">
        <v>1728</v>
      </c>
      <c r="B1232" s="46" t="s">
        <v>3454</v>
      </c>
      <c r="C1232" s="46" t="s">
        <v>321</v>
      </c>
      <c r="D1232" s="60"/>
      <c r="E1232" s="60"/>
      <c r="F1232" s="46" t="s">
        <v>225</v>
      </c>
      <c r="G1232" s="46" t="s">
        <v>1</v>
      </c>
      <c r="H1232" s="46"/>
      <c r="I1232" s="46" t="s">
        <v>169</v>
      </c>
      <c r="J1232" s="46" t="s">
        <v>246</v>
      </c>
      <c r="K1232" s="46" t="s">
        <v>68</v>
      </c>
      <c r="L1232" s="46"/>
      <c r="M1232" s="46"/>
      <c r="N1232" s="46"/>
      <c r="O1232" s="46"/>
      <c r="P1232" s="46"/>
      <c r="Q1232" s="46">
        <v>1</v>
      </c>
      <c r="R1232" s="46"/>
      <c r="S1232" s="46"/>
      <c r="T1232" s="46"/>
      <c r="U1232" s="46"/>
      <c r="V1232" s="46"/>
      <c r="W1232" s="46"/>
      <c r="X1232" s="46"/>
      <c r="Y1232" s="46"/>
      <c r="Z1232" s="46" t="s">
        <v>964</v>
      </c>
      <c r="AA1232" s="61">
        <v>30</v>
      </c>
      <c r="AB1232" s="62">
        <f>AA1232/0.0052</f>
        <v>5769.2307692307695</v>
      </c>
      <c r="AC1232" s="63">
        <f>AB1232*H2dens*HoursInYear/10^6</f>
        <v>4.4979230769230769</v>
      </c>
      <c r="AD1232" s="62"/>
      <c r="AE1232" s="62">
        <f>AB1232</f>
        <v>5769.2307692307695</v>
      </c>
      <c r="AF1232" s="64" t="s">
        <v>1371</v>
      </c>
      <c r="AG1232" s="49">
        <v>0.55000000000000004</v>
      </c>
    </row>
    <row r="1233" spans="1:33" customFormat="1" ht="35.1" customHeight="1" x14ac:dyDescent="0.3">
      <c r="A1233" s="46">
        <v>1729</v>
      </c>
      <c r="B1233" s="46" t="s">
        <v>3454</v>
      </c>
      <c r="C1233" s="46" t="s">
        <v>321</v>
      </c>
      <c r="D1233" s="60"/>
      <c r="E1233" s="60"/>
      <c r="F1233" s="46" t="s">
        <v>225</v>
      </c>
      <c r="G1233" s="46" t="s">
        <v>1</v>
      </c>
      <c r="H1233" s="46"/>
      <c r="I1233" s="46" t="s">
        <v>169</v>
      </c>
      <c r="J1233" s="46" t="s">
        <v>246</v>
      </c>
      <c r="K1233" s="46" t="s">
        <v>68</v>
      </c>
      <c r="L1233" s="46"/>
      <c r="M1233" s="46"/>
      <c r="N1233" s="46"/>
      <c r="O1233" s="46"/>
      <c r="P1233" s="46"/>
      <c r="Q1233" s="46">
        <v>1</v>
      </c>
      <c r="R1233" s="46"/>
      <c r="S1233" s="46"/>
      <c r="T1233" s="46"/>
      <c r="U1233" s="46"/>
      <c r="V1233" s="46"/>
      <c r="W1233" s="46"/>
      <c r="X1233" s="46"/>
      <c r="Y1233" s="46"/>
      <c r="Z1233" s="46" t="s">
        <v>1274</v>
      </c>
      <c r="AA1233" s="61">
        <v>50</v>
      </c>
      <c r="AB1233" s="62">
        <f>AA1233/0.0052</f>
        <v>9615.3846153846152</v>
      </c>
      <c r="AC1233" s="63">
        <f>AB1233*H2dens*HoursInYear/10^6</f>
        <v>7.4965384615384609</v>
      </c>
      <c r="AD1233" s="62"/>
      <c r="AE1233" s="62">
        <f>AB1233</f>
        <v>9615.3846153846152</v>
      </c>
      <c r="AF1233" s="64" t="s">
        <v>1371</v>
      </c>
      <c r="AG1233" s="49">
        <v>0.55000000000000004</v>
      </c>
    </row>
    <row r="1234" spans="1:33" customFormat="1" ht="35.1" customHeight="1" x14ac:dyDescent="0.3">
      <c r="A1234" s="46">
        <v>1731</v>
      </c>
      <c r="B1234" s="46" t="s">
        <v>3455</v>
      </c>
      <c r="C1234" s="46" t="s">
        <v>309</v>
      </c>
      <c r="D1234" s="60">
        <v>2030</v>
      </c>
      <c r="E1234" s="60"/>
      <c r="F1234" s="46" t="s">
        <v>225</v>
      </c>
      <c r="G1234" s="46" t="s">
        <v>159</v>
      </c>
      <c r="H1234" s="46" t="s">
        <v>592</v>
      </c>
      <c r="I1234" s="46" t="s">
        <v>169</v>
      </c>
      <c r="J1234" s="46" t="s">
        <v>248</v>
      </c>
      <c r="K1234" s="46" t="s">
        <v>68</v>
      </c>
      <c r="L1234" s="46"/>
      <c r="M1234" s="46"/>
      <c r="N1234" s="46"/>
      <c r="O1234" s="46"/>
      <c r="P1234" s="46"/>
      <c r="Q1234" s="46">
        <v>1</v>
      </c>
      <c r="R1234" s="46"/>
      <c r="S1234" s="46"/>
      <c r="T1234" s="46"/>
      <c r="U1234" s="46"/>
      <c r="V1234" s="46"/>
      <c r="W1234" s="46"/>
      <c r="X1234" s="46"/>
      <c r="Y1234" s="46"/>
      <c r="Z1234" s="46" t="s">
        <v>3456</v>
      </c>
      <c r="AA1234" s="61">
        <f>36-6</f>
        <v>30</v>
      </c>
      <c r="AB1234" s="62">
        <f>IF(OR(G1234="ALK",G1234="PEM",G1234="SOEC",G1234="Other Electrolysis"),
AA1234/VLOOKUP(G1234,ElectrolysisConvF,3,FALSE),
AC1234*10^6/(H2dens*HoursInYear))</f>
        <v>6666.666666666667</v>
      </c>
      <c r="AC1234" s="63">
        <f>AB1234*H2dens*HoursInYear/10^6</f>
        <v>5.1976000000000004</v>
      </c>
      <c r="AD1234" s="62"/>
      <c r="AE1234" s="62">
        <f t="shared" ref="AE1234:AE1297" si="147">IF(AND(G1234&lt;&gt;"NG w CCUS",G1234&lt;&gt;"Oil w CCUS",G1234&lt;&gt;"Coal w CCUS"),AB1234,AD1234*10^3/(HoursInYear*IF(G1234="NG w CCUS",0.9105,1.9075)))</f>
        <v>6666.666666666667</v>
      </c>
      <c r="AF1234" s="64" t="s">
        <v>2427</v>
      </c>
      <c r="AG1234" s="49">
        <v>0.5</v>
      </c>
    </row>
    <row r="1235" spans="1:33" customFormat="1" ht="35.1" customHeight="1" x14ac:dyDescent="0.3">
      <c r="A1235" s="46">
        <v>1732</v>
      </c>
      <c r="B1235" s="46" t="s">
        <v>3457</v>
      </c>
      <c r="C1235" s="46" t="s">
        <v>203</v>
      </c>
      <c r="D1235" s="60">
        <v>2024</v>
      </c>
      <c r="E1235" s="60"/>
      <c r="F1235" s="46" t="s">
        <v>675</v>
      </c>
      <c r="G1235" s="46" t="s">
        <v>1</v>
      </c>
      <c r="H1235" s="46"/>
      <c r="I1235" s="46" t="s">
        <v>169</v>
      </c>
      <c r="J1235" s="46" t="s">
        <v>245</v>
      </c>
      <c r="K1235" s="46" t="s">
        <v>68</v>
      </c>
      <c r="L1235" s="46"/>
      <c r="M1235" s="46"/>
      <c r="N1235" s="46"/>
      <c r="O1235" s="46"/>
      <c r="P1235" s="46"/>
      <c r="Q1235" s="46">
        <v>1</v>
      </c>
      <c r="R1235" s="46"/>
      <c r="S1235" s="46"/>
      <c r="T1235" s="46"/>
      <c r="U1235" s="46"/>
      <c r="V1235" s="46"/>
      <c r="W1235" s="46"/>
      <c r="X1235" s="46"/>
      <c r="Y1235" s="46"/>
      <c r="Z1235" s="46" t="s">
        <v>714</v>
      </c>
      <c r="AA1235" s="61">
        <v>2</v>
      </c>
      <c r="AB1235" s="62">
        <f>IF(OR(G1235="ALK",G1235="PEM",G1235="SOEC",G1235="Other Electrolysis"),
AA1235/VLOOKUP(G1235,ElectrolysisConvF,3,FALSE),
AC1235*10^6/(H2dens*HoursInYear))</f>
        <v>384.61538461538464</v>
      </c>
      <c r="AC1235" s="63">
        <f>AB1235*H2dens*HoursInYear/10^6</f>
        <v>0.29986153846153851</v>
      </c>
      <c r="AD1235" s="62"/>
      <c r="AE1235" s="62">
        <f t="shared" si="147"/>
        <v>384.61538461538464</v>
      </c>
      <c r="AF1235" s="64" t="s">
        <v>3458</v>
      </c>
      <c r="AG1235" s="49">
        <v>0.4</v>
      </c>
    </row>
    <row r="1236" spans="1:33" customFormat="1" ht="35.1" customHeight="1" x14ac:dyDescent="0.3">
      <c r="A1236" s="46">
        <v>1733</v>
      </c>
      <c r="B1236" s="46" t="s">
        <v>3459</v>
      </c>
      <c r="C1236" s="46" t="s">
        <v>203</v>
      </c>
      <c r="D1236" s="60">
        <v>2025</v>
      </c>
      <c r="E1236" s="60"/>
      <c r="F1236" s="46" t="s">
        <v>591</v>
      </c>
      <c r="G1236" s="46" t="s">
        <v>159</v>
      </c>
      <c r="H1236" s="46" t="s">
        <v>592</v>
      </c>
      <c r="I1236" s="46" t="s">
        <v>157</v>
      </c>
      <c r="J1236" s="46"/>
      <c r="K1236" s="46" t="s">
        <v>68</v>
      </c>
      <c r="L1236" s="46"/>
      <c r="M1236" s="46"/>
      <c r="N1236" s="46"/>
      <c r="O1236" s="46"/>
      <c r="P1236" s="46"/>
      <c r="Q1236" s="46"/>
      <c r="R1236" s="46"/>
      <c r="S1236" s="46"/>
      <c r="T1236" s="46"/>
      <c r="U1236" s="46"/>
      <c r="V1236" s="46"/>
      <c r="W1236" s="46"/>
      <c r="X1236" s="46"/>
      <c r="Y1236" s="46"/>
      <c r="Z1236" s="46" t="s">
        <v>3460</v>
      </c>
      <c r="AA1236" s="61">
        <v>155</v>
      </c>
      <c r="AB1236" s="62">
        <f>IF(OR(G1236="ALK",G1236="PEM",G1236="SOEC",G1236="Other Electrolysis"),
AA1236/VLOOKUP(G1236,ElectrolysisConvF,3,FALSE),
AC1236*10^6/(H2dens*HoursInYear))</f>
        <v>34444.444444444445</v>
      </c>
      <c r="AC1236" s="63">
        <f>AB1236*H2dens*HoursInYear/10^6</f>
        <v>26.854266666666668</v>
      </c>
      <c r="AD1236" s="62"/>
      <c r="AE1236" s="62">
        <f t="shared" si="147"/>
        <v>34444.444444444445</v>
      </c>
      <c r="AF1236" s="64"/>
      <c r="AG1236" s="49">
        <v>0.56999999999999995</v>
      </c>
    </row>
    <row r="1237" spans="1:33" customFormat="1" ht="35.1" customHeight="1" x14ac:dyDescent="0.3">
      <c r="A1237" s="46">
        <v>1734</v>
      </c>
      <c r="B1237" s="46" t="s">
        <v>3461</v>
      </c>
      <c r="C1237" s="46" t="s">
        <v>83</v>
      </c>
      <c r="D1237" s="60">
        <v>2026</v>
      </c>
      <c r="E1237" s="60"/>
      <c r="F1237" s="46" t="s">
        <v>225</v>
      </c>
      <c r="G1237" s="46" t="s">
        <v>153</v>
      </c>
      <c r="H1237" s="46" t="s">
        <v>3462</v>
      </c>
      <c r="I1237" s="46"/>
      <c r="J1237" s="46"/>
      <c r="K1237" s="46" t="s">
        <v>68</v>
      </c>
      <c r="L1237" s="46"/>
      <c r="M1237" s="46"/>
      <c r="N1237" s="46"/>
      <c r="O1237" s="46"/>
      <c r="P1237" s="46"/>
      <c r="Q1237" s="46"/>
      <c r="R1237" s="46"/>
      <c r="S1237" s="46"/>
      <c r="T1237" s="46"/>
      <c r="U1237" s="46"/>
      <c r="V1237" s="46"/>
      <c r="W1237" s="46">
        <v>1</v>
      </c>
      <c r="X1237" s="46"/>
      <c r="Y1237" s="46"/>
      <c r="Z1237" s="46" t="s">
        <v>3463</v>
      </c>
      <c r="AA1237" s="62" t="str">
        <f>IF(OR(G1237="ALK",G1237="PEM",G1237="SOEC",G1237="Other Electrolysis"),
AB1237*VLOOKUP(G1237,ElectrolysisConvF,3,FALSE),
"")</f>
        <v/>
      </c>
      <c r="AB1237" s="62">
        <f>AC1237/(H2dens*HoursInYear/10^6)</f>
        <v>384792.98137601971</v>
      </c>
      <c r="AC1237" s="62">
        <v>300</v>
      </c>
      <c r="AD1237" s="62"/>
      <c r="AE1237" s="62">
        <f t="shared" si="147"/>
        <v>384792.98137601971</v>
      </c>
      <c r="AF1237" s="64" t="s">
        <v>3464</v>
      </c>
      <c r="AG1237" s="49">
        <v>0.9</v>
      </c>
    </row>
    <row r="1238" spans="1:33" customFormat="1" ht="35.1" customHeight="1" x14ac:dyDescent="0.3">
      <c r="A1238" s="46">
        <v>1735</v>
      </c>
      <c r="B1238" s="46" t="s">
        <v>3465</v>
      </c>
      <c r="C1238" s="46" t="s">
        <v>203</v>
      </c>
      <c r="D1238" s="60">
        <v>2024</v>
      </c>
      <c r="E1238" s="60"/>
      <c r="F1238" s="46" t="s">
        <v>225</v>
      </c>
      <c r="G1238" s="46" t="s">
        <v>159</v>
      </c>
      <c r="H1238" s="46" t="s">
        <v>592</v>
      </c>
      <c r="I1238" s="46" t="s">
        <v>169</v>
      </c>
      <c r="J1238" s="46" t="s">
        <v>69</v>
      </c>
      <c r="K1238" s="46" t="s">
        <v>68</v>
      </c>
      <c r="L1238" s="46"/>
      <c r="M1238" s="46"/>
      <c r="N1238" s="46"/>
      <c r="O1238" s="46"/>
      <c r="P1238" s="46"/>
      <c r="Q1238" s="46">
        <v>1</v>
      </c>
      <c r="R1238" s="46"/>
      <c r="S1238" s="46"/>
      <c r="T1238" s="46"/>
      <c r="U1238" s="46"/>
      <c r="V1238" s="46"/>
      <c r="W1238" s="46"/>
      <c r="X1238" s="46"/>
      <c r="Y1238" s="46"/>
      <c r="Z1238" s="46" t="s">
        <v>711</v>
      </c>
      <c r="AA1238" s="61">
        <v>10</v>
      </c>
      <c r="AB1238" s="62">
        <f>IF(OR(G1238="ALK",G1238="PEM",G1238="SOEC",G1238="Other Electrolysis"),
AA1238/VLOOKUP(G1238,ElectrolysisConvF,3,FALSE),
AC1238*10^6/(H2dens*HoursInYear))</f>
        <v>2222.2222222222222</v>
      </c>
      <c r="AC1238" s="63">
        <f>AB1238*H2dens*HoursInYear/10^6</f>
        <v>1.7325333333333333</v>
      </c>
      <c r="AD1238" s="62"/>
      <c r="AE1238" s="62">
        <f t="shared" si="147"/>
        <v>2222.2222222222222</v>
      </c>
      <c r="AF1238" s="64" t="s">
        <v>3466</v>
      </c>
      <c r="AG1238" s="49">
        <v>0.5</v>
      </c>
    </row>
    <row r="1239" spans="1:33" customFormat="1" ht="35.1" customHeight="1" x14ac:dyDescent="0.3">
      <c r="A1239" s="46">
        <v>1736</v>
      </c>
      <c r="B1239" s="46" t="s">
        <v>3467</v>
      </c>
      <c r="C1239" s="46" t="s">
        <v>203</v>
      </c>
      <c r="D1239" s="60">
        <v>2026</v>
      </c>
      <c r="E1239" s="60"/>
      <c r="F1239" s="46" t="s">
        <v>675</v>
      </c>
      <c r="G1239" s="46" t="s">
        <v>1</v>
      </c>
      <c r="H1239" s="46"/>
      <c r="I1239" s="46" t="s">
        <v>169</v>
      </c>
      <c r="J1239" s="46" t="s">
        <v>69</v>
      </c>
      <c r="K1239" s="46" t="s">
        <v>68</v>
      </c>
      <c r="L1239" s="46"/>
      <c r="M1239" s="46"/>
      <c r="N1239" s="46"/>
      <c r="O1239" s="46"/>
      <c r="P1239" s="46">
        <v>1</v>
      </c>
      <c r="Q1239" s="46">
        <v>1</v>
      </c>
      <c r="R1239" s="46"/>
      <c r="S1239" s="46"/>
      <c r="T1239" s="46"/>
      <c r="U1239" s="46"/>
      <c r="V1239" s="46"/>
      <c r="W1239" s="46"/>
      <c r="X1239" s="46"/>
      <c r="Y1239" s="46"/>
      <c r="Z1239" s="46" t="s">
        <v>3468</v>
      </c>
      <c r="AA1239" s="61">
        <v>7</v>
      </c>
      <c r="AB1239" s="62">
        <f>IF(OR(G1239="ALK",G1239="PEM",G1239="SOEC",G1239="Other Electrolysis"),
AA1239/VLOOKUP(G1239,ElectrolysisConvF,3,FALSE),
AC1239*10^6/(H2dens*HoursInYear))</f>
        <v>1346.1538461538462</v>
      </c>
      <c r="AC1239" s="63">
        <f>AB1239*H2dens*HoursInYear/10^6</f>
        <v>1.0495153846153844</v>
      </c>
      <c r="AD1239" s="62"/>
      <c r="AE1239" s="62">
        <f t="shared" si="147"/>
        <v>1346.1538461538462</v>
      </c>
      <c r="AF1239" s="64" t="s">
        <v>3469</v>
      </c>
      <c r="AG1239" s="49">
        <v>0.5</v>
      </c>
    </row>
    <row r="1240" spans="1:33" customFormat="1" ht="35.1" customHeight="1" x14ac:dyDescent="0.3">
      <c r="A1240" s="46">
        <v>1737</v>
      </c>
      <c r="B1240" s="46" t="s">
        <v>3470</v>
      </c>
      <c r="C1240" s="46" t="s">
        <v>203</v>
      </c>
      <c r="D1240" s="60"/>
      <c r="E1240" s="60"/>
      <c r="F1240" s="46" t="s">
        <v>225</v>
      </c>
      <c r="G1240" s="46" t="s">
        <v>159</v>
      </c>
      <c r="H1240" s="46" t="s">
        <v>1810</v>
      </c>
      <c r="I1240" s="46" t="s">
        <v>169</v>
      </c>
      <c r="J1240" s="46" t="s">
        <v>245</v>
      </c>
      <c r="K1240" s="46" t="s">
        <v>68</v>
      </c>
      <c r="L1240" s="46"/>
      <c r="M1240" s="46"/>
      <c r="N1240" s="46"/>
      <c r="O1240" s="46"/>
      <c r="P1240" s="46">
        <v>1</v>
      </c>
      <c r="Q1240" s="46">
        <v>1</v>
      </c>
      <c r="R1240" s="46"/>
      <c r="S1240" s="46"/>
      <c r="T1240" s="46"/>
      <c r="U1240" s="46"/>
      <c r="V1240" s="46"/>
      <c r="W1240" s="46"/>
      <c r="X1240" s="46"/>
      <c r="Y1240" s="46"/>
      <c r="Z1240" s="46" t="s">
        <v>719</v>
      </c>
      <c r="AA1240" s="61">
        <v>1.3</v>
      </c>
      <c r="AB1240" s="62">
        <f>IF(OR(G1240="ALK",G1240="PEM",G1240="SOEC",G1240="Other Electrolysis"),
AA1240/VLOOKUP(G1240,ElectrolysisConvF,3,FALSE),
AC1240*10^6/(H2dens*HoursInYear))</f>
        <v>288.88888888888891</v>
      </c>
      <c r="AC1240" s="63">
        <f>AB1240*H2dens*HoursInYear/10^6</f>
        <v>0.22522933333333334</v>
      </c>
      <c r="AD1240" s="62"/>
      <c r="AE1240" s="62">
        <f t="shared" si="147"/>
        <v>288.88888888888891</v>
      </c>
      <c r="AF1240" s="64" t="s">
        <v>3471</v>
      </c>
      <c r="AG1240" s="49">
        <v>0.4</v>
      </c>
    </row>
    <row r="1241" spans="1:33" customFormat="1" ht="35.1" customHeight="1" x14ac:dyDescent="0.3">
      <c r="A1241" s="46">
        <v>1739</v>
      </c>
      <c r="B1241" s="46" t="s">
        <v>3472</v>
      </c>
      <c r="C1241" s="46" t="s">
        <v>112</v>
      </c>
      <c r="D1241" s="60">
        <v>2026</v>
      </c>
      <c r="E1241" s="60"/>
      <c r="F1241" s="46" t="s">
        <v>225</v>
      </c>
      <c r="G1241" s="46" t="s">
        <v>159</v>
      </c>
      <c r="H1241" s="46" t="s">
        <v>592</v>
      </c>
      <c r="I1241" s="46" t="s">
        <v>169</v>
      </c>
      <c r="J1241" s="46" t="s">
        <v>244</v>
      </c>
      <c r="K1241" s="46" t="s">
        <v>68</v>
      </c>
      <c r="L1241" s="46"/>
      <c r="M1241" s="46"/>
      <c r="N1241" s="46"/>
      <c r="O1241" s="46"/>
      <c r="P1241" s="46"/>
      <c r="Q1241" s="46"/>
      <c r="R1241" s="46"/>
      <c r="S1241" s="46"/>
      <c r="T1241" s="46"/>
      <c r="U1241" s="46"/>
      <c r="V1241" s="46"/>
      <c r="W1241" s="46"/>
      <c r="X1241" s="46"/>
      <c r="Y1241" s="46"/>
      <c r="Z1241" s="46" t="s">
        <v>3353</v>
      </c>
      <c r="AA1241" s="61">
        <v>50</v>
      </c>
      <c r="AB1241" s="62">
        <f t="shared" ref="AB1241:AB1261" si="148">IF(OR(G1241="ALK",G1241="PEM",G1241="SOEC",G1241="Other Electrolysis"),
AA1241/VLOOKUP(G1241,ElectrolysisConvF,3,FALSE),
AC1241*10^6/(H2dens*HoursInYear))</f>
        <v>11111.111111111111</v>
      </c>
      <c r="AC1241" s="63">
        <f t="shared" ref="AC1241:AC1263" si="149">AB1241*H2dens*HoursInYear/10^6</f>
        <v>8.6626666666666665</v>
      </c>
      <c r="AD1241" s="62"/>
      <c r="AE1241" s="62">
        <f t="shared" si="147"/>
        <v>11111.111111111111</v>
      </c>
      <c r="AF1241" s="64" t="s">
        <v>3473</v>
      </c>
      <c r="AG1241" s="49">
        <v>0.3</v>
      </c>
    </row>
    <row r="1242" spans="1:33" customFormat="1" ht="35.1" customHeight="1" x14ac:dyDescent="0.3">
      <c r="A1242" s="46">
        <v>1740</v>
      </c>
      <c r="B1242" s="46" t="s">
        <v>3474</v>
      </c>
      <c r="C1242" s="46" t="s">
        <v>318</v>
      </c>
      <c r="D1242" s="60"/>
      <c r="E1242" s="60"/>
      <c r="F1242" s="46" t="s">
        <v>591</v>
      </c>
      <c r="G1242" s="46" t="s">
        <v>159</v>
      </c>
      <c r="H1242" s="46" t="s">
        <v>592</v>
      </c>
      <c r="I1242" s="46" t="s">
        <v>169</v>
      </c>
      <c r="J1242" s="46" t="s">
        <v>69</v>
      </c>
      <c r="K1242" s="46" t="s">
        <v>68</v>
      </c>
      <c r="L1242" s="46"/>
      <c r="M1242" s="46"/>
      <c r="N1242" s="46"/>
      <c r="O1242" s="46"/>
      <c r="P1242" s="46">
        <v>1</v>
      </c>
      <c r="Q1242" s="46">
        <v>1</v>
      </c>
      <c r="R1242" s="46"/>
      <c r="S1242" s="46"/>
      <c r="T1242" s="46"/>
      <c r="U1242" s="46"/>
      <c r="V1242" s="46"/>
      <c r="W1242" s="46"/>
      <c r="X1242" s="46"/>
      <c r="Y1242" s="46"/>
      <c r="Z1242" s="46" t="s">
        <v>3475</v>
      </c>
      <c r="AA1242" s="61">
        <v>2.52</v>
      </c>
      <c r="AB1242" s="62">
        <f t="shared" si="148"/>
        <v>560</v>
      </c>
      <c r="AC1242" s="63">
        <f t="shared" si="149"/>
        <v>0.43659839999999994</v>
      </c>
      <c r="AD1242" s="62"/>
      <c r="AE1242" s="62">
        <f t="shared" si="147"/>
        <v>560</v>
      </c>
      <c r="AF1242" s="64" t="s">
        <v>3476</v>
      </c>
      <c r="AG1242" s="49">
        <v>0.5</v>
      </c>
    </row>
    <row r="1243" spans="1:33" customFormat="1" ht="35.1" customHeight="1" x14ac:dyDescent="0.3">
      <c r="A1243" s="46">
        <v>1741</v>
      </c>
      <c r="B1243" s="46" t="s">
        <v>3477</v>
      </c>
      <c r="C1243" s="46" t="s">
        <v>78</v>
      </c>
      <c r="D1243" s="60">
        <v>2030</v>
      </c>
      <c r="E1243" s="60"/>
      <c r="F1243" s="46" t="s">
        <v>591</v>
      </c>
      <c r="G1243" s="46" t="s">
        <v>159</v>
      </c>
      <c r="H1243" s="46" t="s">
        <v>592</v>
      </c>
      <c r="I1243" s="46" t="s">
        <v>169</v>
      </c>
      <c r="J1243" s="46" t="s">
        <v>246</v>
      </c>
      <c r="K1243" s="46" t="s">
        <v>68</v>
      </c>
      <c r="L1243" s="46"/>
      <c r="M1243" s="46"/>
      <c r="N1243" s="46"/>
      <c r="O1243" s="46"/>
      <c r="P1243" s="46"/>
      <c r="Q1243" s="46">
        <v>1</v>
      </c>
      <c r="R1243" s="46"/>
      <c r="S1243" s="46"/>
      <c r="T1243" s="46"/>
      <c r="U1243" s="46"/>
      <c r="V1243" s="46"/>
      <c r="W1243" s="46"/>
      <c r="X1243" s="46"/>
      <c r="Y1243" s="46"/>
      <c r="Z1243" s="46" t="s">
        <v>1177</v>
      </c>
      <c r="AA1243" s="61">
        <v>100</v>
      </c>
      <c r="AB1243" s="62">
        <f t="shared" si="148"/>
        <v>22222.222222222223</v>
      </c>
      <c r="AC1243" s="63">
        <f t="shared" si="149"/>
        <v>17.325333333333333</v>
      </c>
      <c r="AD1243" s="62"/>
      <c r="AE1243" s="62">
        <f t="shared" si="147"/>
        <v>22222.222222222223</v>
      </c>
      <c r="AF1243" s="64" t="s">
        <v>3478</v>
      </c>
      <c r="AG1243" s="49">
        <v>0.55000000000000004</v>
      </c>
    </row>
    <row r="1244" spans="1:33" customFormat="1" ht="35.1" customHeight="1" x14ac:dyDescent="0.3">
      <c r="A1244" s="46">
        <v>1742</v>
      </c>
      <c r="B1244" s="46" t="s">
        <v>3479</v>
      </c>
      <c r="C1244" s="46" t="s">
        <v>78</v>
      </c>
      <c r="D1244" s="60">
        <v>2025</v>
      </c>
      <c r="E1244" s="60"/>
      <c r="F1244" s="46" t="s">
        <v>591</v>
      </c>
      <c r="G1244" s="46" t="s">
        <v>159</v>
      </c>
      <c r="H1244" s="46" t="s">
        <v>592</v>
      </c>
      <c r="I1244" s="46" t="s">
        <v>169</v>
      </c>
      <c r="J1244" s="46" t="s">
        <v>246</v>
      </c>
      <c r="K1244" s="46" t="s">
        <v>68</v>
      </c>
      <c r="L1244" s="46"/>
      <c r="M1244" s="46"/>
      <c r="N1244" s="46"/>
      <c r="O1244" s="46"/>
      <c r="P1244" s="46"/>
      <c r="Q1244" s="46">
        <v>1</v>
      </c>
      <c r="R1244" s="46"/>
      <c r="S1244" s="46"/>
      <c r="T1244" s="46"/>
      <c r="U1244" s="46"/>
      <c r="V1244" s="46"/>
      <c r="W1244" s="46"/>
      <c r="X1244" s="46"/>
      <c r="Y1244" s="46"/>
      <c r="Z1244" s="46" t="s">
        <v>3480</v>
      </c>
      <c r="AA1244" s="61">
        <v>1200</v>
      </c>
      <c r="AB1244" s="62">
        <f t="shared" si="148"/>
        <v>266666.66666666669</v>
      </c>
      <c r="AC1244" s="63">
        <f t="shared" si="149"/>
        <v>207.904</v>
      </c>
      <c r="AD1244" s="62"/>
      <c r="AE1244" s="62">
        <f t="shared" si="147"/>
        <v>266666.66666666669</v>
      </c>
      <c r="AF1244" s="64" t="s">
        <v>3478</v>
      </c>
      <c r="AG1244" s="49">
        <v>0.55000000000000004</v>
      </c>
    </row>
    <row r="1245" spans="1:33" customFormat="1" ht="35.1" customHeight="1" x14ac:dyDescent="0.3">
      <c r="A1245" s="46">
        <v>1743</v>
      </c>
      <c r="B1245" s="46" t="s">
        <v>3481</v>
      </c>
      <c r="C1245" s="46" t="s">
        <v>40</v>
      </c>
      <c r="D1245" s="60">
        <v>2030</v>
      </c>
      <c r="E1245" s="60"/>
      <c r="F1245" s="46" t="s">
        <v>225</v>
      </c>
      <c r="G1245" s="46" t="s">
        <v>159</v>
      </c>
      <c r="H1245" s="46" t="s">
        <v>592</v>
      </c>
      <c r="I1245" s="46" t="s">
        <v>157</v>
      </c>
      <c r="J1245" s="46"/>
      <c r="K1245" s="46" t="s">
        <v>68</v>
      </c>
      <c r="L1245" s="46"/>
      <c r="M1245" s="46"/>
      <c r="N1245" s="46"/>
      <c r="O1245" s="46"/>
      <c r="P1245" s="46"/>
      <c r="Q1245" s="46"/>
      <c r="R1245" s="46"/>
      <c r="S1245" s="46"/>
      <c r="T1245" s="46"/>
      <c r="U1245" s="46"/>
      <c r="V1245" s="46"/>
      <c r="W1245" s="46">
        <v>1</v>
      </c>
      <c r="X1245" s="46"/>
      <c r="Y1245" s="46"/>
      <c r="Z1245" s="46" t="s">
        <v>3482</v>
      </c>
      <c r="AA1245" s="61">
        <v>1000</v>
      </c>
      <c r="AB1245" s="62">
        <f t="shared" si="148"/>
        <v>222222.22222222225</v>
      </c>
      <c r="AC1245" s="63">
        <f t="shared" si="149"/>
        <v>173.25333333333333</v>
      </c>
      <c r="AD1245" s="62"/>
      <c r="AE1245" s="62">
        <f t="shared" si="147"/>
        <v>222222.22222222225</v>
      </c>
      <c r="AF1245" s="64" t="s">
        <v>3483</v>
      </c>
      <c r="AG1245" s="49">
        <v>0.56999999999999995</v>
      </c>
    </row>
    <row r="1246" spans="1:33" customFormat="1" ht="35.1" customHeight="1" x14ac:dyDescent="0.3">
      <c r="A1246" s="46">
        <v>1744</v>
      </c>
      <c r="B1246" s="46" t="s">
        <v>3484</v>
      </c>
      <c r="C1246" s="46" t="s">
        <v>40</v>
      </c>
      <c r="D1246" s="60">
        <v>2025</v>
      </c>
      <c r="E1246" s="60"/>
      <c r="F1246" s="46" t="s">
        <v>225</v>
      </c>
      <c r="G1246" s="46" t="s">
        <v>3</v>
      </c>
      <c r="H1246" s="46"/>
      <c r="I1246" s="46" t="s">
        <v>157</v>
      </c>
      <c r="J1246" s="46"/>
      <c r="K1246" s="46" t="s">
        <v>68</v>
      </c>
      <c r="L1246" s="46"/>
      <c r="M1246" s="46"/>
      <c r="N1246" s="46"/>
      <c r="O1246" s="46"/>
      <c r="P1246" s="46"/>
      <c r="Q1246" s="46"/>
      <c r="R1246" s="46"/>
      <c r="S1246" s="46"/>
      <c r="T1246" s="46"/>
      <c r="U1246" s="46"/>
      <c r="V1246" s="46"/>
      <c r="W1246" s="46"/>
      <c r="X1246" s="46"/>
      <c r="Y1246" s="46"/>
      <c r="Z1246" s="46" t="s">
        <v>3485</v>
      </c>
      <c r="AA1246" s="61">
        <v>290</v>
      </c>
      <c r="AB1246" s="62">
        <f t="shared" si="148"/>
        <v>63043.478260869568</v>
      </c>
      <c r="AC1246" s="63">
        <f t="shared" si="149"/>
        <v>49.151217391304343</v>
      </c>
      <c r="AD1246" s="62"/>
      <c r="AE1246" s="62">
        <f t="shared" si="147"/>
        <v>63043.478260869568</v>
      </c>
      <c r="AF1246" s="64" t="s">
        <v>3486</v>
      </c>
      <c r="AG1246" s="49">
        <v>0.56999999999999995</v>
      </c>
    </row>
    <row r="1247" spans="1:33" customFormat="1" ht="35.1" customHeight="1" x14ac:dyDescent="0.3">
      <c r="A1247" s="46">
        <v>1745</v>
      </c>
      <c r="B1247" s="46" t="s">
        <v>3487</v>
      </c>
      <c r="C1247" s="46" t="s">
        <v>40</v>
      </c>
      <c r="D1247" s="60"/>
      <c r="E1247" s="60"/>
      <c r="F1247" s="46" t="s">
        <v>225</v>
      </c>
      <c r="G1247" s="46" t="s">
        <v>159</v>
      </c>
      <c r="H1247" s="46" t="s">
        <v>592</v>
      </c>
      <c r="I1247" s="46" t="s">
        <v>169</v>
      </c>
      <c r="J1247" s="46" t="s">
        <v>246</v>
      </c>
      <c r="K1247" s="46" t="s">
        <v>68</v>
      </c>
      <c r="L1247" s="46"/>
      <c r="M1247" s="46"/>
      <c r="N1247" s="46"/>
      <c r="O1247" s="46"/>
      <c r="P1247" s="46"/>
      <c r="Q1247" s="46"/>
      <c r="R1247" s="46">
        <v>1</v>
      </c>
      <c r="S1247" s="46">
        <v>1</v>
      </c>
      <c r="T1247" s="46"/>
      <c r="U1247" s="46"/>
      <c r="V1247" s="46"/>
      <c r="W1247" s="46"/>
      <c r="X1247" s="46"/>
      <c r="Y1247" s="46"/>
      <c r="Z1247" s="46" t="s">
        <v>696</v>
      </c>
      <c r="AA1247" s="61">
        <v>20</v>
      </c>
      <c r="AB1247" s="62">
        <f t="shared" si="148"/>
        <v>4444.4444444444443</v>
      </c>
      <c r="AC1247" s="63">
        <f t="shared" si="149"/>
        <v>3.4650666666666665</v>
      </c>
      <c r="AD1247" s="62"/>
      <c r="AE1247" s="62">
        <f t="shared" si="147"/>
        <v>4444.4444444444443</v>
      </c>
      <c r="AF1247" s="64" t="s">
        <v>3488</v>
      </c>
      <c r="AG1247" s="49">
        <v>0.55000000000000004</v>
      </c>
    </row>
    <row r="1248" spans="1:33" customFormat="1" ht="35.1" customHeight="1" x14ac:dyDescent="0.3">
      <c r="A1248" s="46">
        <v>1746</v>
      </c>
      <c r="B1248" s="46" t="s">
        <v>3489</v>
      </c>
      <c r="C1248" s="46" t="s">
        <v>40</v>
      </c>
      <c r="D1248" s="60"/>
      <c r="E1248" s="60"/>
      <c r="F1248" s="46" t="s">
        <v>225</v>
      </c>
      <c r="G1248" s="46" t="s">
        <v>159</v>
      </c>
      <c r="H1248" s="46" t="s">
        <v>592</v>
      </c>
      <c r="I1248" s="46" t="s">
        <v>169</v>
      </c>
      <c r="J1248" s="46" t="s">
        <v>246</v>
      </c>
      <c r="K1248" s="46" t="s">
        <v>68</v>
      </c>
      <c r="L1248" s="46"/>
      <c r="M1248" s="46"/>
      <c r="N1248" s="46"/>
      <c r="O1248" s="46"/>
      <c r="P1248" s="46"/>
      <c r="Q1248" s="46"/>
      <c r="R1248" s="46"/>
      <c r="S1248" s="46"/>
      <c r="T1248" s="46">
        <v>1</v>
      </c>
      <c r="U1248" s="46"/>
      <c r="V1248" s="46"/>
      <c r="W1248" s="46"/>
      <c r="X1248" s="46"/>
      <c r="Y1248" s="46"/>
      <c r="Z1248" s="46" t="s">
        <v>696</v>
      </c>
      <c r="AA1248" s="61">
        <v>20</v>
      </c>
      <c r="AB1248" s="62">
        <f t="shared" si="148"/>
        <v>4444.4444444444443</v>
      </c>
      <c r="AC1248" s="63">
        <f t="shared" si="149"/>
        <v>3.4650666666666665</v>
      </c>
      <c r="AD1248" s="62"/>
      <c r="AE1248" s="62">
        <f t="shared" si="147"/>
        <v>4444.4444444444443</v>
      </c>
      <c r="AF1248" s="64" t="s">
        <v>3488</v>
      </c>
      <c r="AG1248" s="49">
        <v>0.55000000000000004</v>
      </c>
    </row>
    <row r="1249" spans="1:33" customFormat="1" ht="35.1" customHeight="1" x14ac:dyDescent="0.3">
      <c r="A1249" s="46">
        <v>1748</v>
      </c>
      <c r="B1249" s="46" t="s">
        <v>3490</v>
      </c>
      <c r="C1249" s="46" t="s">
        <v>34</v>
      </c>
      <c r="D1249" s="60">
        <v>2025</v>
      </c>
      <c r="E1249" s="60"/>
      <c r="F1249" s="46" t="s">
        <v>591</v>
      </c>
      <c r="G1249" s="46" t="s">
        <v>3</v>
      </c>
      <c r="H1249" s="46"/>
      <c r="I1249" s="46" t="s">
        <v>169</v>
      </c>
      <c r="J1249" s="46" t="s">
        <v>244</v>
      </c>
      <c r="K1249" s="46" t="s">
        <v>68</v>
      </c>
      <c r="L1249" s="46"/>
      <c r="M1249" s="46"/>
      <c r="N1249" s="46"/>
      <c r="O1249" s="46"/>
      <c r="P1249" s="46"/>
      <c r="Q1249" s="46">
        <v>1</v>
      </c>
      <c r="R1249" s="46"/>
      <c r="S1249" s="46"/>
      <c r="T1249" s="46"/>
      <c r="U1249" s="46"/>
      <c r="V1249" s="46"/>
      <c r="W1249" s="46">
        <v>1</v>
      </c>
      <c r="X1249" s="46"/>
      <c r="Y1249" s="46"/>
      <c r="Z1249" s="46" t="s">
        <v>1177</v>
      </c>
      <c r="AA1249" s="61">
        <v>100</v>
      </c>
      <c r="AB1249" s="62">
        <f t="shared" si="148"/>
        <v>21739.130434782608</v>
      </c>
      <c r="AC1249" s="63">
        <f t="shared" si="149"/>
        <v>16.94869565217391</v>
      </c>
      <c r="AD1249" s="62"/>
      <c r="AE1249" s="62">
        <f t="shared" si="147"/>
        <v>21739.130434782608</v>
      </c>
      <c r="AF1249" s="64" t="s">
        <v>3491</v>
      </c>
      <c r="AG1249" s="49">
        <v>0.3</v>
      </c>
    </row>
    <row r="1250" spans="1:33" customFormat="1" ht="35.1" customHeight="1" x14ac:dyDescent="0.3">
      <c r="A1250" s="46">
        <v>1749</v>
      </c>
      <c r="B1250" s="46" t="s">
        <v>3492</v>
      </c>
      <c r="C1250" s="46" t="s">
        <v>34</v>
      </c>
      <c r="D1250" s="60">
        <v>2027</v>
      </c>
      <c r="E1250" s="60"/>
      <c r="F1250" s="46" t="s">
        <v>591</v>
      </c>
      <c r="G1250" s="46" t="s">
        <v>159</v>
      </c>
      <c r="H1250" s="46" t="s">
        <v>592</v>
      </c>
      <c r="I1250" s="46" t="s">
        <v>157</v>
      </c>
      <c r="J1250" s="46"/>
      <c r="K1250" s="46" t="s">
        <v>68</v>
      </c>
      <c r="L1250" s="46"/>
      <c r="M1250" s="46"/>
      <c r="N1250" s="46"/>
      <c r="O1250" s="46"/>
      <c r="P1250" s="46"/>
      <c r="Q1250" s="46">
        <v>1</v>
      </c>
      <c r="R1250" s="46"/>
      <c r="S1250" s="46"/>
      <c r="T1250" s="46"/>
      <c r="U1250" s="46"/>
      <c r="V1250" s="46"/>
      <c r="W1250" s="46">
        <v>1</v>
      </c>
      <c r="X1250" s="46"/>
      <c r="Y1250" s="46"/>
      <c r="Z1250" s="46" t="s">
        <v>1847</v>
      </c>
      <c r="AA1250" s="61">
        <f>300-100</f>
        <v>200</v>
      </c>
      <c r="AB1250" s="62">
        <f t="shared" si="148"/>
        <v>44444.444444444445</v>
      </c>
      <c r="AC1250" s="63">
        <f t="shared" si="149"/>
        <v>34.650666666666666</v>
      </c>
      <c r="AD1250" s="62"/>
      <c r="AE1250" s="62">
        <f t="shared" si="147"/>
        <v>44444.444444444445</v>
      </c>
      <c r="AF1250" s="64" t="s">
        <v>3493</v>
      </c>
      <c r="AG1250" s="49">
        <v>0.56999999999999995</v>
      </c>
    </row>
    <row r="1251" spans="1:33" customFormat="1" ht="35.1" customHeight="1" x14ac:dyDescent="0.3">
      <c r="A1251" s="46">
        <v>1750</v>
      </c>
      <c r="B1251" s="46" t="s">
        <v>3494</v>
      </c>
      <c r="C1251" s="46" t="s">
        <v>34</v>
      </c>
      <c r="D1251" s="60">
        <v>2026</v>
      </c>
      <c r="E1251" s="60"/>
      <c r="F1251" s="46" t="s">
        <v>225</v>
      </c>
      <c r="G1251" s="46" t="s">
        <v>159</v>
      </c>
      <c r="H1251" s="46" t="s">
        <v>592</v>
      </c>
      <c r="I1251" s="46" t="s">
        <v>169</v>
      </c>
      <c r="J1251" s="46" t="s">
        <v>244</v>
      </c>
      <c r="K1251" s="46" t="s">
        <v>68</v>
      </c>
      <c r="L1251" s="46"/>
      <c r="M1251" s="46"/>
      <c r="N1251" s="46"/>
      <c r="O1251" s="46"/>
      <c r="P1251" s="46"/>
      <c r="Q1251" s="46"/>
      <c r="R1251" s="46"/>
      <c r="S1251" s="46"/>
      <c r="T1251" s="46"/>
      <c r="U1251" s="46"/>
      <c r="V1251" s="46">
        <v>1</v>
      </c>
      <c r="W1251" s="46"/>
      <c r="X1251" s="46"/>
      <c r="Y1251" s="46"/>
      <c r="Z1251" s="46" t="s">
        <v>3495</v>
      </c>
      <c r="AA1251" s="61">
        <v>125</v>
      </c>
      <c r="AB1251" s="62">
        <f t="shared" si="148"/>
        <v>27777.777777777781</v>
      </c>
      <c r="AC1251" s="63">
        <f t="shared" si="149"/>
        <v>21.656666666666666</v>
      </c>
      <c r="AD1251" s="62"/>
      <c r="AE1251" s="62">
        <f t="shared" si="147"/>
        <v>27777.777777777781</v>
      </c>
      <c r="AF1251" s="64" t="s">
        <v>3496</v>
      </c>
      <c r="AG1251" s="49">
        <v>0.3</v>
      </c>
    </row>
    <row r="1252" spans="1:33" customFormat="1" ht="35.1" customHeight="1" x14ac:dyDescent="0.3">
      <c r="A1252" s="46">
        <v>1751</v>
      </c>
      <c r="B1252" s="46" t="s">
        <v>3497</v>
      </c>
      <c r="C1252" s="46" t="s">
        <v>34</v>
      </c>
      <c r="D1252" s="60">
        <v>2024</v>
      </c>
      <c r="E1252" s="60"/>
      <c r="F1252" s="46" t="s">
        <v>675</v>
      </c>
      <c r="G1252" s="46" t="s">
        <v>159</v>
      </c>
      <c r="H1252" s="46" t="s">
        <v>592</v>
      </c>
      <c r="I1252" s="46" t="s">
        <v>157</v>
      </c>
      <c r="J1252" s="46"/>
      <c r="K1252" s="46" t="s">
        <v>68</v>
      </c>
      <c r="L1252" s="46"/>
      <c r="M1252" s="46"/>
      <c r="N1252" s="46"/>
      <c r="O1252" s="46"/>
      <c r="P1252" s="46"/>
      <c r="Q1252" s="46"/>
      <c r="R1252" s="46"/>
      <c r="S1252" s="46"/>
      <c r="T1252" s="46"/>
      <c r="U1252" s="46"/>
      <c r="V1252" s="46"/>
      <c r="W1252" s="46"/>
      <c r="X1252" s="46"/>
      <c r="Y1252" s="46"/>
      <c r="Z1252" s="46" t="s">
        <v>748</v>
      </c>
      <c r="AA1252" s="61">
        <v>4</v>
      </c>
      <c r="AB1252" s="62">
        <f t="shared" si="148"/>
        <v>888.88888888888891</v>
      </c>
      <c r="AC1252" s="63">
        <f t="shared" si="149"/>
        <v>0.69301333333333337</v>
      </c>
      <c r="AD1252" s="62"/>
      <c r="AE1252" s="62">
        <f t="shared" si="147"/>
        <v>888.88888888888891</v>
      </c>
      <c r="AF1252" s="64" t="s">
        <v>3498</v>
      </c>
      <c r="AG1252" s="49">
        <v>0.56999999999999995</v>
      </c>
    </row>
    <row r="1253" spans="1:33" customFormat="1" ht="35.1" customHeight="1" x14ac:dyDescent="0.3">
      <c r="A1253" s="46">
        <v>1752</v>
      </c>
      <c r="B1253" s="46" t="s">
        <v>3499</v>
      </c>
      <c r="C1253" s="46" t="s">
        <v>34</v>
      </c>
      <c r="D1253" s="60">
        <v>2023</v>
      </c>
      <c r="E1253" s="60"/>
      <c r="F1253" s="46" t="s">
        <v>675</v>
      </c>
      <c r="G1253" s="46" t="s">
        <v>3</v>
      </c>
      <c r="H1253" s="46"/>
      <c r="I1253" s="46" t="s">
        <v>166</v>
      </c>
      <c r="J1253" s="46"/>
      <c r="K1253" s="46" t="s">
        <v>68</v>
      </c>
      <c r="L1253" s="46"/>
      <c r="M1253" s="46"/>
      <c r="N1253" s="46"/>
      <c r="O1253" s="46"/>
      <c r="P1253" s="46"/>
      <c r="Q1253" s="46">
        <v>1</v>
      </c>
      <c r="R1253" s="46"/>
      <c r="S1253" s="46"/>
      <c r="T1253" s="46"/>
      <c r="U1253" s="46"/>
      <c r="V1253" s="46"/>
      <c r="W1253" s="46"/>
      <c r="X1253" s="46"/>
      <c r="Y1253" s="46"/>
      <c r="Z1253" s="46" t="s">
        <v>708</v>
      </c>
      <c r="AA1253" s="61">
        <v>1</v>
      </c>
      <c r="AB1253" s="62">
        <f t="shared" si="148"/>
        <v>217.39130434782609</v>
      </c>
      <c r="AC1253" s="63">
        <f t="shared" si="149"/>
        <v>0.16948695652173912</v>
      </c>
      <c r="AD1253" s="62"/>
      <c r="AE1253" s="62">
        <f t="shared" si="147"/>
        <v>217.39130434782609</v>
      </c>
      <c r="AF1253" s="64" t="s">
        <v>3500</v>
      </c>
      <c r="AG1253" s="49">
        <v>0.56999999999999995</v>
      </c>
    </row>
    <row r="1254" spans="1:33" customFormat="1" ht="35.1" customHeight="1" x14ac:dyDescent="0.3">
      <c r="A1254" s="46">
        <v>1753</v>
      </c>
      <c r="B1254" s="46" t="s">
        <v>3501</v>
      </c>
      <c r="C1254" s="46" t="s">
        <v>46</v>
      </c>
      <c r="D1254" s="60">
        <v>2024</v>
      </c>
      <c r="E1254" s="60"/>
      <c r="F1254" s="46" t="s">
        <v>157</v>
      </c>
      <c r="G1254" s="46" t="s">
        <v>1</v>
      </c>
      <c r="H1254" s="46"/>
      <c r="I1254" s="46" t="s">
        <v>169</v>
      </c>
      <c r="J1254" s="46" t="s">
        <v>245</v>
      </c>
      <c r="K1254" s="46" t="s">
        <v>68</v>
      </c>
      <c r="L1254" s="46"/>
      <c r="M1254" s="46"/>
      <c r="N1254" s="46"/>
      <c r="O1254" s="46">
        <v>1</v>
      </c>
      <c r="P1254" s="46"/>
      <c r="Q1254" s="46">
        <v>1</v>
      </c>
      <c r="R1254" s="46"/>
      <c r="S1254" s="46"/>
      <c r="T1254" s="46"/>
      <c r="U1254" s="46"/>
      <c r="V1254" s="46"/>
      <c r="W1254" s="46"/>
      <c r="X1254" s="46"/>
      <c r="Y1254" s="46"/>
      <c r="Z1254" s="46" t="s">
        <v>3353</v>
      </c>
      <c r="AA1254" s="61">
        <v>50</v>
      </c>
      <c r="AB1254" s="62">
        <f t="shared" si="148"/>
        <v>9615.3846153846152</v>
      </c>
      <c r="AC1254" s="63">
        <f t="shared" si="149"/>
        <v>7.4965384615384609</v>
      </c>
      <c r="AD1254" s="62"/>
      <c r="AE1254" s="62">
        <f t="shared" si="147"/>
        <v>9615.3846153846152</v>
      </c>
      <c r="AF1254" s="64" t="s">
        <v>3502</v>
      </c>
      <c r="AG1254" s="49">
        <v>0.4</v>
      </c>
    </row>
    <row r="1255" spans="1:33" customFormat="1" ht="35.1" customHeight="1" x14ac:dyDescent="0.3">
      <c r="A1255" s="46">
        <v>1754</v>
      </c>
      <c r="B1255" s="46" t="s">
        <v>3503</v>
      </c>
      <c r="C1255" s="46" t="s">
        <v>46</v>
      </c>
      <c r="D1255" s="60">
        <v>2025</v>
      </c>
      <c r="E1255" s="60"/>
      <c r="F1255" s="46" t="s">
        <v>225</v>
      </c>
      <c r="G1255" s="46" t="s">
        <v>1</v>
      </c>
      <c r="H1255" s="46"/>
      <c r="I1255" s="46" t="s">
        <v>157</v>
      </c>
      <c r="J1255" s="46"/>
      <c r="K1255" s="46" t="s">
        <v>68</v>
      </c>
      <c r="L1255" s="46"/>
      <c r="M1255" s="46"/>
      <c r="N1255" s="46"/>
      <c r="O1255" s="46"/>
      <c r="P1255" s="46"/>
      <c r="Q1255" s="46">
        <v>1</v>
      </c>
      <c r="R1255" s="46"/>
      <c r="S1255" s="46"/>
      <c r="T1255" s="46"/>
      <c r="U1255" s="46"/>
      <c r="V1255" s="46"/>
      <c r="W1255" s="46">
        <v>1</v>
      </c>
      <c r="X1255" s="46"/>
      <c r="Y1255" s="46"/>
      <c r="Z1255" s="46" t="s">
        <v>696</v>
      </c>
      <c r="AA1255" s="61">
        <v>20</v>
      </c>
      <c r="AB1255" s="62">
        <f t="shared" si="148"/>
        <v>3846.1538461538462</v>
      </c>
      <c r="AC1255" s="63">
        <f t="shared" si="149"/>
        <v>2.9986153846153845</v>
      </c>
      <c r="AD1255" s="62"/>
      <c r="AE1255" s="62">
        <f t="shared" si="147"/>
        <v>3846.1538461538462</v>
      </c>
      <c r="AF1255" s="64" t="s">
        <v>3504</v>
      </c>
      <c r="AG1255" s="49">
        <v>0.56999999999999995</v>
      </c>
    </row>
    <row r="1256" spans="1:33" customFormat="1" ht="35.1" customHeight="1" x14ac:dyDescent="0.3">
      <c r="A1256" s="46">
        <v>1755</v>
      </c>
      <c r="B1256" s="46" t="s">
        <v>3505</v>
      </c>
      <c r="C1256" s="46" t="s">
        <v>46</v>
      </c>
      <c r="D1256" s="60"/>
      <c r="E1256" s="60"/>
      <c r="F1256" s="46"/>
      <c r="G1256" s="46" t="s">
        <v>159</v>
      </c>
      <c r="H1256" s="46" t="s">
        <v>592</v>
      </c>
      <c r="I1256" s="46" t="s">
        <v>157</v>
      </c>
      <c r="J1256" s="46"/>
      <c r="K1256" s="46" t="s">
        <v>141</v>
      </c>
      <c r="L1256" s="46"/>
      <c r="M1256" s="46">
        <v>1</v>
      </c>
      <c r="N1256" s="46"/>
      <c r="O1256" s="46"/>
      <c r="P1256" s="46"/>
      <c r="Q1256" s="46"/>
      <c r="R1256" s="46"/>
      <c r="S1256" s="46"/>
      <c r="T1256" s="46"/>
      <c r="U1256" s="46"/>
      <c r="V1256" s="46"/>
      <c r="W1256" s="46"/>
      <c r="X1256" s="46"/>
      <c r="Y1256" s="46"/>
      <c r="Z1256" s="46" t="s">
        <v>3506</v>
      </c>
      <c r="AA1256" s="61">
        <v>12.9</v>
      </c>
      <c r="AB1256" s="62">
        <f t="shared" si="148"/>
        <v>2866.666666666667</v>
      </c>
      <c r="AC1256" s="63">
        <f t="shared" si="149"/>
        <v>2.2349679999999998</v>
      </c>
      <c r="AD1256" s="62"/>
      <c r="AE1256" s="62">
        <f t="shared" si="147"/>
        <v>2866.666666666667</v>
      </c>
      <c r="AF1256" s="64" t="s">
        <v>3507</v>
      </c>
      <c r="AG1256" s="49">
        <v>0.56999999999999995</v>
      </c>
    </row>
    <row r="1257" spans="1:33" customFormat="1" ht="35.1" customHeight="1" x14ac:dyDescent="0.3">
      <c r="A1257" s="46">
        <v>1756</v>
      </c>
      <c r="B1257" s="46" t="s">
        <v>3508</v>
      </c>
      <c r="C1257" s="46" t="s">
        <v>321</v>
      </c>
      <c r="D1257" s="60"/>
      <c r="E1257" s="60"/>
      <c r="F1257" s="46" t="s">
        <v>591</v>
      </c>
      <c r="G1257" s="46" t="s">
        <v>159</v>
      </c>
      <c r="H1257" s="46" t="s">
        <v>592</v>
      </c>
      <c r="I1257" s="46" t="s">
        <v>157</v>
      </c>
      <c r="J1257" s="46"/>
      <c r="K1257" s="46" t="s">
        <v>68</v>
      </c>
      <c r="L1257" s="46"/>
      <c r="M1257" s="46"/>
      <c r="N1257" s="46"/>
      <c r="O1257" s="46"/>
      <c r="P1257" s="46">
        <v>1</v>
      </c>
      <c r="Q1257" s="46">
        <v>1</v>
      </c>
      <c r="R1257" s="46"/>
      <c r="S1257" s="46"/>
      <c r="T1257" s="46"/>
      <c r="U1257" s="46"/>
      <c r="V1257" s="46"/>
      <c r="W1257" s="46"/>
      <c r="X1257" s="46"/>
      <c r="Y1257" s="46"/>
      <c r="Z1257" s="46" t="s">
        <v>1001</v>
      </c>
      <c r="AA1257" s="61">
        <v>5</v>
      </c>
      <c r="AB1257" s="62">
        <f t="shared" si="148"/>
        <v>1111.1111111111111</v>
      </c>
      <c r="AC1257" s="63">
        <f t="shared" si="149"/>
        <v>0.86626666666666663</v>
      </c>
      <c r="AD1257" s="62"/>
      <c r="AE1257" s="62">
        <f t="shared" si="147"/>
        <v>1111.1111111111111</v>
      </c>
      <c r="AF1257" s="64" t="s">
        <v>3509</v>
      </c>
      <c r="AG1257" s="49">
        <v>0.56999999999999995</v>
      </c>
    </row>
    <row r="1258" spans="1:33" customFormat="1" ht="35.1" customHeight="1" x14ac:dyDescent="0.3">
      <c r="A1258" s="46">
        <v>1757</v>
      </c>
      <c r="B1258" s="46" t="s">
        <v>3510</v>
      </c>
      <c r="C1258" s="46" t="s">
        <v>321</v>
      </c>
      <c r="D1258" s="60"/>
      <c r="E1258" s="60"/>
      <c r="F1258" s="46" t="s">
        <v>591</v>
      </c>
      <c r="G1258" s="46" t="s">
        <v>159</v>
      </c>
      <c r="H1258" s="46" t="s">
        <v>592</v>
      </c>
      <c r="I1258" s="46" t="s">
        <v>157</v>
      </c>
      <c r="J1258" s="46"/>
      <c r="K1258" s="46" t="s">
        <v>68</v>
      </c>
      <c r="L1258" s="46"/>
      <c r="M1258" s="46"/>
      <c r="N1258" s="46"/>
      <c r="O1258" s="46"/>
      <c r="P1258" s="46">
        <v>1</v>
      </c>
      <c r="Q1258" s="46">
        <v>1</v>
      </c>
      <c r="R1258" s="46"/>
      <c r="S1258" s="46"/>
      <c r="T1258" s="46"/>
      <c r="U1258" s="46"/>
      <c r="V1258" s="46"/>
      <c r="W1258" s="46"/>
      <c r="X1258" s="46"/>
      <c r="Y1258" s="46"/>
      <c r="Z1258" s="46" t="s">
        <v>3353</v>
      </c>
      <c r="AA1258" s="61">
        <f>50-5</f>
        <v>45</v>
      </c>
      <c r="AB1258" s="62">
        <f t="shared" si="148"/>
        <v>10000</v>
      </c>
      <c r="AC1258" s="63">
        <f t="shared" si="149"/>
        <v>7.7964000000000002</v>
      </c>
      <c r="AD1258" s="62"/>
      <c r="AE1258" s="62">
        <f t="shared" si="147"/>
        <v>10000</v>
      </c>
      <c r="AF1258" s="64" t="s">
        <v>3509</v>
      </c>
      <c r="AG1258" s="49">
        <v>0.56999999999999995</v>
      </c>
    </row>
    <row r="1259" spans="1:33" customFormat="1" ht="35.1" customHeight="1" x14ac:dyDescent="0.3">
      <c r="A1259" s="46">
        <v>1758</v>
      </c>
      <c r="B1259" s="46" t="s">
        <v>3511</v>
      </c>
      <c r="C1259" s="46" t="s">
        <v>321</v>
      </c>
      <c r="D1259" s="60"/>
      <c r="E1259" s="60"/>
      <c r="F1259" s="46" t="s">
        <v>591</v>
      </c>
      <c r="G1259" s="46" t="s">
        <v>159</v>
      </c>
      <c r="H1259" s="46" t="s">
        <v>592</v>
      </c>
      <c r="I1259" s="46" t="s">
        <v>157</v>
      </c>
      <c r="J1259" s="46"/>
      <c r="K1259" s="46" t="s">
        <v>68</v>
      </c>
      <c r="L1259" s="46"/>
      <c r="M1259" s="46"/>
      <c r="N1259" s="46"/>
      <c r="O1259" s="46"/>
      <c r="P1259" s="46">
        <v>1</v>
      </c>
      <c r="Q1259" s="46">
        <v>1</v>
      </c>
      <c r="R1259" s="46"/>
      <c r="S1259" s="46"/>
      <c r="T1259" s="46"/>
      <c r="U1259" s="46"/>
      <c r="V1259" s="46"/>
      <c r="W1259" s="46"/>
      <c r="X1259" s="46"/>
      <c r="Y1259" s="46"/>
      <c r="Z1259" s="46" t="s">
        <v>3512</v>
      </c>
      <c r="AA1259" s="61">
        <f>70-50</f>
        <v>20</v>
      </c>
      <c r="AB1259" s="62">
        <f t="shared" si="148"/>
        <v>4444.4444444444443</v>
      </c>
      <c r="AC1259" s="63">
        <f t="shared" si="149"/>
        <v>3.4650666666666665</v>
      </c>
      <c r="AD1259" s="62"/>
      <c r="AE1259" s="62">
        <f t="shared" si="147"/>
        <v>4444.4444444444443</v>
      </c>
      <c r="AF1259" s="64" t="s">
        <v>3509</v>
      </c>
      <c r="AG1259" s="49">
        <v>0.56999999999999995</v>
      </c>
    </row>
    <row r="1260" spans="1:33" customFormat="1" ht="35.1" customHeight="1" x14ac:dyDescent="0.3">
      <c r="A1260" s="46">
        <v>1759</v>
      </c>
      <c r="B1260" s="46" t="s">
        <v>3513</v>
      </c>
      <c r="C1260" s="46" t="s">
        <v>43</v>
      </c>
      <c r="D1260" s="60">
        <v>2023</v>
      </c>
      <c r="E1260" s="60"/>
      <c r="F1260" s="46" t="s">
        <v>675</v>
      </c>
      <c r="G1260" s="46" t="s">
        <v>1</v>
      </c>
      <c r="H1260" s="46"/>
      <c r="I1260" s="46" t="s">
        <v>169</v>
      </c>
      <c r="J1260" s="46" t="s">
        <v>69</v>
      </c>
      <c r="K1260" s="46" t="s">
        <v>68</v>
      </c>
      <c r="L1260" s="46"/>
      <c r="M1260" s="46"/>
      <c r="N1260" s="46"/>
      <c r="O1260" s="46"/>
      <c r="P1260" s="46">
        <v>1</v>
      </c>
      <c r="Q1260" s="46"/>
      <c r="R1260" s="46"/>
      <c r="S1260" s="46"/>
      <c r="T1260" s="46"/>
      <c r="U1260" s="46"/>
      <c r="V1260" s="46"/>
      <c r="W1260" s="46"/>
      <c r="X1260" s="46"/>
      <c r="Y1260" s="46"/>
      <c r="Z1260" s="46" t="s">
        <v>711</v>
      </c>
      <c r="AA1260" s="61">
        <v>10</v>
      </c>
      <c r="AB1260" s="62">
        <f t="shared" si="148"/>
        <v>1923.0769230769231</v>
      </c>
      <c r="AC1260" s="63">
        <f t="shared" si="149"/>
        <v>1.4993076923076922</v>
      </c>
      <c r="AD1260" s="62"/>
      <c r="AE1260" s="62">
        <f t="shared" si="147"/>
        <v>1923.0769230769231</v>
      </c>
      <c r="AF1260" s="64" t="s">
        <v>3514</v>
      </c>
      <c r="AG1260" s="49">
        <v>0.5</v>
      </c>
    </row>
    <row r="1261" spans="1:33" customFormat="1" ht="35.1" customHeight="1" x14ac:dyDescent="0.3">
      <c r="A1261" s="46">
        <v>1760</v>
      </c>
      <c r="B1261" s="46" t="s">
        <v>3515</v>
      </c>
      <c r="C1261" s="46" t="s">
        <v>41</v>
      </c>
      <c r="D1261" s="60">
        <v>2024</v>
      </c>
      <c r="E1261" s="60"/>
      <c r="F1261" s="46" t="s">
        <v>591</v>
      </c>
      <c r="G1261" s="46" t="s">
        <v>3</v>
      </c>
      <c r="H1261" s="46"/>
      <c r="I1261" s="46" t="s">
        <v>169</v>
      </c>
      <c r="J1261" s="46" t="s">
        <v>248</v>
      </c>
      <c r="K1261" s="46" t="s">
        <v>68</v>
      </c>
      <c r="L1261" s="46"/>
      <c r="M1261" s="46"/>
      <c r="N1261" s="46"/>
      <c r="O1261" s="46"/>
      <c r="P1261" s="46"/>
      <c r="Q1261" s="46"/>
      <c r="R1261" s="46"/>
      <c r="S1261" s="46"/>
      <c r="T1261" s="46"/>
      <c r="U1261" s="46"/>
      <c r="V1261" s="46"/>
      <c r="W1261" s="46"/>
      <c r="X1261" s="46"/>
      <c r="Y1261" s="46"/>
      <c r="Z1261" s="46" t="s">
        <v>1177</v>
      </c>
      <c r="AA1261" s="61">
        <v>100</v>
      </c>
      <c r="AB1261" s="62">
        <f t="shared" si="148"/>
        <v>21739.130434782608</v>
      </c>
      <c r="AC1261" s="63">
        <f t="shared" si="149"/>
        <v>16.94869565217391</v>
      </c>
      <c r="AD1261" s="62"/>
      <c r="AE1261" s="62">
        <f t="shared" si="147"/>
        <v>21739.130434782608</v>
      </c>
      <c r="AF1261" s="64"/>
      <c r="AG1261" s="49">
        <v>0.5</v>
      </c>
    </row>
    <row r="1262" spans="1:33" customFormat="1" ht="35.1" customHeight="1" x14ac:dyDescent="0.3">
      <c r="A1262" s="46">
        <v>1761</v>
      </c>
      <c r="B1262" s="46" t="s">
        <v>3516</v>
      </c>
      <c r="C1262" s="46" t="s">
        <v>41</v>
      </c>
      <c r="D1262" s="60">
        <v>2023</v>
      </c>
      <c r="E1262" s="60"/>
      <c r="F1262" s="46" t="s">
        <v>226</v>
      </c>
      <c r="G1262" s="46" t="s">
        <v>159</v>
      </c>
      <c r="H1262" s="46" t="s">
        <v>1810</v>
      </c>
      <c r="I1262" s="46" t="s">
        <v>169</v>
      </c>
      <c r="J1262" s="46" t="s">
        <v>244</v>
      </c>
      <c r="K1262" s="46" t="s">
        <v>68</v>
      </c>
      <c r="L1262" s="46"/>
      <c r="M1262" s="46"/>
      <c r="N1262" s="46"/>
      <c r="O1262" s="46"/>
      <c r="P1262" s="46">
        <v>1</v>
      </c>
      <c r="Q1262" s="46"/>
      <c r="R1262" s="46"/>
      <c r="S1262" s="46"/>
      <c r="T1262" s="46"/>
      <c r="U1262" s="46"/>
      <c r="V1262" s="46"/>
      <c r="W1262" s="46"/>
      <c r="X1262" s="46"/>
      <c r="Y1262" s="46"/>
      <c r="Z1262" s="46" t="s">
        <v>3517</v>
      </c>
      <c r="AA1262" s="61">
        <f>IF(OR(G1262="ALK",G1262="PEM",G1262="SOEC",G1262="Other Electrolysis"),
AB1262*VLOOKUP(G1262,ElectrolysisConvF,3,FALSE),
"")</f>
        <v>9.4499999999999993</v>
      </c>
      <c r="AB1262" s="62">
        <f>2100</f>
        <v>2100</v>
      </c>
      <c r="AC1262" s="63">
        <f t="shared" si="149"/>
        <v>1.6372439999999997</v>
      </c>
      <c r="AD1262" s="62"/>
      <c r="AE1262" s="62">
        <f t="shared" si="147"/>
        <v>2100</v>
      </c>
      <c r="AF1262" s="64" t="s">
        <v>3518</v>
      </c>
      <c r="AG1262" s="49">
        <v>0.3</v>
      </c>
    </row>
    <row r="1263" spans="1:33" customFormat="1" ht="35.1" customHeight="1" x14ac:dyDescent="0.3">
      <c r="A1263" s="46">
        <v>1762</v>
      </c>
      <c r="B1263" s="46" t="s">
        <v>3519</v>
      </c>
      <c r="C1263" s="46" t="s">
        <v>41</v>
      </c>
      <c r="D1263" s="60"/>
      <c r="E1263" s="60"/>
      <c r="F1263" s="46" t="s">
        <v>591</v>
      </c>
      <c r="G1263" s="46" t="s">
        <v>3</v>
      </c>
      <c r="H1263" s="46"/>
      <c r="I1263" s="46" t="s">
        <v>169</v>
      </c>
      <c r="J1263" s="46" t="s">
        <v>244</v>
      </c>
      <c r="K1263" s="46" t="s">
        <v>68</v>
      </c>
      <c r="L1263" s="46"/>
      <c r="M1263" s="46"/>
      <c r="N1263" s="46"/>
      <c r="O1263" s="46"/>
      <c r="P1263" s="46"/>
      <c r="Q1263" s="46"/>
      <c r="R1263" s="46"/>
      <c r="S1263" s="46"/>
      <c r="T1263" s="46"/>
      <c r="U1263" s="46"/>
      <c r="V1263" s="46"/>
      <c r="W1263" s="46"/>
      <c r="X1263" s="46"/>
      <c r="Y1263" s="46"/>
      <c r="Z1263" s="46" t="s">
        <v>3353</v>
      </c>
      <c r="AA1263" s="61">
        <v>50</v>
      </c>
      <c r="AB1263" s="62">
        <f>IF(OR(G1263="ALK",G1263="PEM",G1263="SOEC",G1263="Other Electrolysis"),
AA1263/VLOOKUP(G1263,ElectrolysisConvF,3,FALSE),
AC1263*10^6/(H2dens*HoursInYear))</f>
        <v>10869.565217391304</v>
      </c>
      <c r="AC1263" s="63">
        <f t="shared" si="149"/>
        <v>8.4743478260869551</v>
      </c>
      <c r="AD1263" s="62"/>
      <c r="AE1263" s="62">
        <f t="shared" si="147"/>
        <v>10869.565217391304</v>
      </c>
      <c r="AF1263" s="64"/>
      <c r="AG1263" s="49">
        <v>0.3</v>
      </c>
    </row>
    <row r="1264" spans="1:33" customFormat="1" ht="35.1" customHeight="1" x14ac:dyDescent="0.3">
      <c r="A1264" s="46">
        <v>1764</v>
      </c>
      <c r="B1264" s="46" t="s">
        <v>3520</v>
      </c>
      <c r="C1264" s="46" t="s">
        <v>43</v>
      </c>
      <c r="D1264" s="60">
        <v>2030</v>
      </c>
      <c r="E1264" s="60"/>
      <c r="F1264" s="46" t="s">
        <v>591</v>
      </c>
      <c r="G1264" s="46" t="s">
        <v>159</v>
      </c>
      <c r="H1264" s="46" t="s">
        <v>592</v>
      </c>
      <c r="I1264" s="46" t="s">
        <v>169</v>
      </c>
      <c r="J1264" s="46" t="s">
        <v>248</v>
      </c>
      <c r="K1264" s="46" t="s">
        <v>141</v>
      </c>
      <c r="L1264" s="46"/>
      <c r="M1264" s="46">
        <v>1</v>
      </c>
      <c r="N1264" s="46"/>
      <c r="O1264" s="46"/>
      <c r="P1264" s="46"/>
      <c r="Q1264" s="46"/>
      <c r="R1264" s="46"/>
      <c r="S1264" s="46"/>
      <c r="T1264" s="46"/>
      <c r="U1264" s="46"/>
      <c r="V1264" s="46"/>
      <c r="W1264" s="46"/>
      <c r="X1264" s="46"/>
      <c r="Y1264" s="46"/>
      <c r="Z1264" s="46" t="s">
        <v>3521</v>
      </c>
      <c r="AA1264" s="61">
        <v>2000</v>
      </c>
      <c r="AB1264" s="62">
        <f>IF(OR(G1264="ALK",G1264="PEM",G1264="SOEC",G1264="Other Electrolysis"),
AA1264/VLOOKUP(G1264,ElectrolysisConvF,3,FALSE),
AC1264*10^6/(H2dens*HoursInYear))</f>
        <v>444444.4444444445</v>
      </c>
      <c r="AC1264" s="63">
        <f>AB1264*H2dens*HoursInYear/10^6</f>
        <v>346.50666666666666</v>
      </c>
      <c r="AD1264" s="62"/>
      <c r="AE1264" s="62">
        <f t="shared" si="147"/>
        <v>444444.4444444445</v>
      </c>
      <c r="AF1264" s="64"/>
      <c r="AG1264" s="49">
        <v>0.5</v>
      </c>
    </row>
    <row r="1265" spans="1:33" customFormat="1" ht="35.1" customHeight="1" x14ac:dyDescent="0.3">
      <c r="A1265" s="46">
        <v>1765</v>
      </c>
      <c r="B1265" s="46" t="s">
        <v>3522</v>
      </c>
      <c r="C1265" s="46" t="s">
        <v>203</v>
      </c>
      <c r="D1265" s="60">
        <v>2025</v>
      </c>
      <c r="E1265" s="60"/>
      <c r="F1265" s="46" t="s">
        <v>225</v>
      </c>
      <c r="G1265" s="46" t="s">
        <v>3</v>
      </c>
      <c r="H1265" s="46"/>
      <c r="I1265" s="46" t="s">
        <v>169</v>
      </c>
      <c r="J1265" s="46" t="s">
        <v>248</v>
      </c>
      <c r="K1265" s="46" t="s">
        <v>68</v>
      </c>
      <c r="L1265" s="46"/>
      <c r="M1265" s="46"/>
      <c r="N1265" s="46"/>
      <c r="O1265" s="46"/>
      <c r="P1265" s="46">
        <v>1</v>
      </c>
      <c r="Q1265" s="46">
        <v>1</v>
      </c>
      <c r="R1265" s="46"/>
      <c r="S1265" s="46"/>
      <c r="T1265" s="46"/>
      <c r="U1265" s="46"/>
      <c r="V1265" s="46"/>
      <c r="W1265" s="46"/>
      <c r="X1265" s="46"/>
      <c r="Y1265" s="46"/>
      <c r="Z1265" s="46" t="s">
        <v>1177</v>
      </c>
      <c r="AA1265" s="61">
        <v>100</v>
      </c>
      <c r="AB1265" s="62">
        <f>IF(OR(G1265="ALK",G1265="PEM",G1265="SOEC",G1265="Other Electrolysis"),
AA1265/VLOOKUP(G1265,ElectrolysisConvF,3,FALSE),
AC1265*10^6/(H2dens*HoursInYear))</f>
        <v>21739.130434782608</v>
      </c>
      <c r="AC1265" s="63">
        <f>AB1265*H2dens*HoursInYear/10^6</f>
        <v>16.94869565217391</v>
      </c>
      <c r="AD1265" s="62"/>
      <c r="AE1265" s="62">
        <f t="shared" si="147"/>
        <v>21739.130434782608</v>
      </c>
      <c r="AF1265" s="64" t="s">
        <v>3523</v>
      </c>
      <c r="AG1265" s="49">
        <v>0.5</v>
      </c>
    </row>
    <row r="1266" spans="1:33" customFormat="1" ht="35.1" customHeight="1" x14ac:dyDescent="0.3">
      <c r="A1266" s="46">
        <v>1766</v>
      </c>
      <c r="B1266" s="46" t="s">
        <v>3524</v>
      </c>
      <c r="C1266" s="46" t="s">
        <v>203</v>
      </c>
      <c r="D1266" s="60">
        <v>2030</v>
      </c>
      <c r="E1266" s="60"/>
      <c r="F1266" s="46" t="s">
        <v>591</v>
      </c>
      <c r="G1266" s="46" t="s">
        <v>159</v>
      </c>
      <c r="H1266" s="46" t="s">
        <v>592</v>
      </c>
      <c r="I1266" s="46" t="s">
        <v>169</v>
      </c>
      <c r="J1266" s="46" t="s">
        <v>248</v>
      </c>
      <c r="K1266" s="46" t="s">
        <v>68</v>
      </c>
      <c r="L1266" s="46"/>
      <c r="M1266" s="46"/>
      <c r="N1266" s="46"/>
      <c r="O1266" s="46"/>
      <c r="P1266" s="46">
        <v>1</v>
      </c>
      <c r="Q1266" s="46">
        <v>1</v>
      </c>
      <c r="R1266" s="46"/>
      <c r="S1266" s="46"/>
      <c r="T1266" s="46"/>
      <c r="U1266" s="46"/>
      <c r="V1266" s="46"/>
      <c r="W1266" s="46"/>
      <c r="X1266" s="46"/>
      <c r="Y1266" s="46"/>
      <c r="Z1266" s="46" t="s">
        <v>2826</v>
      </c>
      <c r="AA1266" s="61">
        <v>1000</v>
      </c>
      <c r="AB1266" s="62">
        <f>IF(OR(G1266="ALK",G1266="PEM",G1266="SOEC",G1266="Other Electrolysis"),
AA1266/VLOOKUP(G1266,ElectrolysisConvF,3,FALSE),
AC1266*10^6/(H2dens*HoursInYear))</f>
        <v>222222.22222222225</v>
      </c>
      <c r="AC1266" s="63">
        <f>AB1266*H2dens*HoursInYear/10^6</f>
        <v>173.25333333333333</v>
      </c>
      <c r="AD1266" s="62"/>
      <c r="AE1266" s="62">
        <f t="shared" si="147"/>
        <v>222222.22222222225</v>
      </c>
      <c r="AF1266" s="64" t="s">
        <v>3523</v>
      </c>
      <c r="AG1266" s="49">
        <v>0.5</v>
      </c>
    </row>
    <row r="1267" spans="1:33" customFormat="1" ht="35.1" customHeight="1" x14ac:dyDescent="0.3">
      <c r="A1267" s="46">
        <v>1767</v>
      </c>
      <c r="B1267" s="46" t="s">
        <v>3525</v>
      </c>
      <c r="C1267" s="46" t="s">
        <v>63</v>
      </c>
      <c r="D1267" s="60">
        <v>2026</v>
      </c>
      <c r="E1267" s="60"/>
      <c r="F1267" s="46" t="s">
        <v>285</v>
      </c>
      <c r="G1267" s="46" t="s">
        <v>164</v>
      </c>
      <c r="H1267" s="46"/>
      <c r="I1267" s="46"/>
      <c r="J1267" s="46"/>
      <c r="K1267" s="46" t="s">
        <v>68</v>
      </c>
      <c r="L1267" s="46"/>
      <c r="M1267" s="46"/>
      <c r="N1267" s="46"/>
      <c r="O1267" s="46">
        <v>1</v>
      </c>
      <c r="P1267" s="46"/>
      <c r="Q1267" s="46"/>
      <c r="R1267" s="46"/>
      <c r="S1267" s="46"/>
      <c r="T1267" s="46"/>
      <c r="U1267" s="46"/>
      <c r="V1267" s="46"/>
      <c r="W1267" s="46"/>
      <c r="X1267" s="46"/>
      <c r="Y1267" s="46"/>
      <c r="Z1267" s="46" t="s">
        <v>3526</v>
      </c>
      <c r="AA1267" s="61" t="str">
        <f>IF(OR(G1267="ALK",G1267="PEM",G1267="SOEC",G1267="Other Electrolysis"),
AB1267*VLOOKUP(G1267,ElectrolysisConvF,3,FALSE),
"")</f>
        <v/>
      </c>
      <c r="AB1267" s="62">
        <f>AC1267/(H2dens*HoursInYear/10^6)</f>
        <v>3847.9298137601972</v>
      </c>
      <c r="AC1267" s="62">
        <v>3</v>
      </c>
      <c r="AD1267" s="62"/>
      <c r="AE1267" s="62">
        <f t="shared" si="147"/>
        <v>3847.9298137601972</v>
      </c>
      <c r="AF1267" s="64" t="s">
        <v>3527</v>
      </c>
      <c r="AG1267" s="49">
        <v>0.9</v>
      </c>
    </row>
    <row r="1268" spans="1:33" customFormat="1" ht="35.1" customHeight="1" x14ac:dyDescent="0.3">
      <c r="A1268" s="46">
        <v>1768</v>
      </c>
      <c r="B1268" s="46" t="s">
        <v>3528</v>
      </c>
      <c r="C1268" s="46" t="s">
        <v>34</v>
      </c>
      <c r="D1268" s="60">
        <v>2023</v>
      </c>
      <c r="E1268" s="60"/>
      <c r="F1268" s="46" t="s">
        <v>226</v>
      </c>
      <c r="G1268" s="46" t="s">
        <v>1</v>
      </c>
      <c r="H1268" s="46"/>
      <c r="I1268" s="46" t="s">
        <v>157</v>
      </c>
      <c r="J1268" s="46"/>
      <c r="K1268" s="46" t="s">
        <v>68</v>
      </c>
      <c r="L1268" s="46"/>
      <c r="M1268" s="46"/>
      <c r="N1268" s="46"/>
      <c r="O1268" s="46"/>
      <c r="P1268" s="46"/>
      <c r="Q1268" s="46">
        <v>1</v>
      </c>
      <c r="R1268" s="46"/>
      <c r="S1268" s="46"/>
      <c r="T1268" s="46"/>
      <c r="U1268" s="46"/>
      <c r="V1268" s="46"/>
      <c r="W1268" s="46"/>
      <c r="X1268" s="46"/>
      <c r="Y1268" s="46"/>
      <c r="Z1268" s="46" t="s">
        <v>676</v>
      </c>
      <c r="AA1268" s="61">
        <v>2.5</v>
      </c>
      <c r="AB1268" s="62">
        <f>IF(OR(G1268="ALK",G1268="PEM",G1268="SOEC",G1268="Other Electrolysis"),
AA1268/VLOOKUP(G1268,ElectrolysisConvF,3,FALSE),
AC1268*10^6/(H2dens*HoursInYear))</f>
        <v>480.76923076923077</v>
      </c>
      <c r="AC1268" s="63">
        <f>AB1268*H2dens*HoursInYear/10^6</f>
        <v>0.37482692307692306</v>
      </c>
      <c r="AD1268" s="62"/>
      <c r="AE1268" s="62">
        <f t="shared" si="147"/>
        <v>480.76923076923077</v>
      </c>
      <c r="AF1268" s="64" t="s">
        <v>3529</v>
      </c>
      <c r="AG1268" s="49">
        <v>0.56999999999999995</v>
      </c>
    </row>
    <row r="1269" spans="1:33" customFormat="1" ht="35.1" customHeight="1" x14ac:dyDescent="0.3">
      <c r="A1269" s="46">
        <v>1777</v>
      </c>
      <c r="B1269" s="46" t="s">
        <v>3530</v>
      </c>
      <c r="C1269" s="46" t="s">
        <v>41</v>
      </c>
      <c r="D1269" s="60">
        <v>2022</v>
      </c>
      <c r="E1269" s="60"/>
      <c r="F1269" s="46" t="s">
        <v>226</v>
      </c>
      <c r="G1269" s="46" t="s">
        <v>1</v>
      </c>
      <c r="H1269" s="46"/>
      <c r="I1269" s="46" t="s">
        <v>169</v>
      </c>
      <c r="J1269" s="46" t="s">
        <v>248</v>
      </c>
      <c r="K1269" s="46" t="s">
        <v>68</v>
      </c>
      <c r="L1269" s="46">
        <v>1</v>
      </c>
      <c r="M1269" s="46"/>
      <c r="N1269" s="46"/>
      <c r="O1269" s="46"/>
      <c r="P1269" s="46"/>
      <c r="Q1269" s="46"/>
      <c r="R1269" s="46"/>
      <c r="S1269" s="46"/>
      <c r="T1269" s="46"/>
      <c r="U1269" s="46"/>
      <c r="V1269" s="46"/>
      <c r="W1269" s="46"/>
      <c r="X1269" s="46"/>
      <c r="Y1269" s="46"/>
      <c r="Z1269" s="46" t="s">
        <v>3531</v>
      </c>
      <c r="AA1269" s="61">
        <f t="shared" ref="AA1269:AA1276" si="150">IF(OR(G1269="ALK",G1269="PEM",G1269="SOEC",G1269="Other Electrolysis"),
AB1269*VLOOKUP(G1269,ElectrolysisConvF,3,FALSE),
"")</f>
        <v>2.4219178082191779</v>
      </c>
      <c r="AB1269" s="62">
        <f>4080000/8760</f>
        <v>465.75342465753425</v>
      </c>
      <c r="AC1269" s="63">
        <f>AB1269*H2dens*HoursInYear/10^6</f>
        <v>0.36312</v>
      </c>
      <c r="AD1269" s="62"/>
      <c r="AE1269" s="62">
        <f t="shared" si="147"/>
        <v>465.75342465753425</v>
      </c>
      <c r="AF1269" s="64" t="s">
        <v>3532</v>
      </c>
      <c r="AG1269" s="49">
        <v>0.5</v>
      </c>
    </row>
    <row r="1270" spans="1:33" customFormat="1" ht="35.1" customHeight="1" x14ac:dyDescent="0.3">
      <c r="A1270" s="46">
        <v>1778</v>
      </c>
      <c r="B1270" s="46" t="s">
        <v>3533</v>
      </c>
      <c r="C1270" s="46" t="s">
        <v>41</v>
      </c>
      <c r="D1270" s="60"/>
      <c r="E1270" s="60"/>
      <c r="F1270" s="46" t="s">
        <v>591</v>
      </c>
      <c r="G1270" s="46" t="s">
        <v>1</v>
      </c>
      <c r="H1270" s="46"/>
      <c r="I1270" s="46" t="s">
        <v>169</v>
      </c>
      <c r="J1270" s="46" t="s">
        <v>245</v>
      </c>
      <c r="K1270" s="46" t="s">
        <v>68</v>
      </c>
      <c r="L1270" s="46">
        <v>1</v>
      </c>
      <c r="M1270" s="46"/>
      <c r="N1270" s="46"/>
      <c r="O1270" s="46"/>
      <c r="P1270" s="46"/>
      <c r="Q1270" s="46"/>
      <c r="R1270" s="46"/>
      <c r="S1270" s="46"/>
      <c r="T1270" s="46"/>
      <c r="U1270" s="46"/>
      <c r="V1270" s="46"/>
      <c r="W1270" s="46"/>
      <c r="X1270" s="46"/>
      <c r="Y1270" s="46"/>
      <c r="Z1270" s="46" t="s">
        <v>3534</v>
      </c>
      <c r="AA1270" s="61">
        <f t="shared" si="150"/>
        <v>29.039269406392695</v>
      </c>
      <c r="AB1270" s="62">
        <f>53000000/8760-AB1269</f>
        <v>5584.4748858447492</v>
      </c>
      <c r="AC1270" s="63">
        <f>AB1270*H2dens*HoursInYear/10^6</f>
        <v>4.3538800000000002</v>
      </c>
      <c r="AD1270" s="62"/>
      <c r="AE1270" s="62">
        <f t="shared" si="147"/>
        <v>5584.4748858447492</v>
      </c>
      <c r="AF1270" s="64" t="s">
        <v>3535</v>
      </c>
      <c r="AG1270" s="49">
        <v>0.4</v>
      </c>
    </row>
    <row r="1271" spans="1:33" customFormat="1" ht="35.1" customHeight="1" x14ac:dyDescent="0.3">
      <c r="A1271" s="46">
        <v>1795</v>
      </c>
      <c r="B1271" s="46" t="s">
        <v>3536</v>
      </c>
      <c r="C1271" s="46" t="s">
        <v>41</v>
      </c>
      <c r="D1271" s="60">
        <v>2024</v>
      </c>
      <c r="E1271" s="60"/>
      <c r="F1271" s="46" t="s">
        <v>675</v>
      </c>
      <c r="G1271" s="46" t="s">
        <v>1</v>
      </c>
      <c r="H1271" s="46"/>
      <c r="I1271" s="46" t="s">
        <v>169</v>
      </c>
      <c r="J1271" s="46" t="s">
        <v>248</v>
      </c>
      <c r="K1271" s="46" t="s">
        <v>68</v>
      </c>
      <c r="L1271" s="46"/>
      <c r="M1271" s="46">
        <v>1</v>
      </c>
      <c r="N1271" s="46"/>
      <c r="O1271" s="46"/>
      <c r="P1271" s="46">
        <v>1</v>
      </c>
      <c r="Q1271" s="46"/>
      <c r="R1271" s="46"/>
      <c r="S1271" s="46"/>
      <c r="T1271" s="46"/>
      <c r="U1271" s="46"/>
      <c r="V1271" s="46"/>
      <c r="W1271" s="46"/>
      <c r="X1271" s="46"/>
      <c r="Y1271" s="46"/>
      <c r="Z1271" s="46" t="s">
        <v>3537</v>
      </c>
      <c r="AA1271" s="61">
        <f t="shared" si="150"/>
        <v>426.86368067313117</v>
      </c>
      <c r="AB1271" s="62">
        <f>AC1271/(0.089*24*365/10^6)</f>
        <v>82089.169360217536</v>
      </c>
      <c r="AC1271" s="63">
        <f>(32/H2ProjectDB4578610[[#This Row],[Column33]])</f>
        <v>64</v>
      </c>
      <c r="AD1271" s="62"/>
      <c r="AE1271" s="62">
        <f t="shared" si="147"/>
        <v>82089.169360217536</v>
      </c>
      <c r="AF1271" s="64" t="s">
        <v>3538</v>
      </c>
      <c r="AG1271" s="49">
        <v>0.5</v>
      </c>
    </row>
    <row r="1272" spans="1:33" customFormat="1" ht="35.1" customHeight="1" x14ac:dyDescent="0.3">
      <c r="A1272" s="46">
        <v>1796</v>
      </c>
      <c r="B1272" s="46" t="s">
        <v>3539</v>
      </c>
      <c r="C1272" s="46" t="s">
        <v>41</v>
      </c>
      <c r="D1272" s="60">
        <v>2023</v>
      </c>
      <c r="E1272" s="60"/>
      <c r="F1272" s="46" t="s">
        <v>226</v>
      </c>
      <c r="G1272" s="46" t="s">
        <v>159</v>
      </c>
      <c r="H1272" s="46" t="s">
        <v>592</v>
      </c>
      <c r="I1272" s="46" t="s">
        <v>169</v>
      </c>
      <c r="J1272" s="46" t="s">
        <v>245</v>
      </c>
      <c r="K1272" s="46" t="s">
        <v>68</v>
      </c>
      <c r="L1272" s="46"/>
      <c r="M1272" s="46"/>
      <c r="N1272" s="46"/>
      <c r="O1272" s="46"/>
      <c r="P1272" s="46"/>
      <c r="Q1272" s="46">
        <v>1</v>
      </c>
      <c r="R1272" s="46"/>
      <c r="S1272" s="46"/>
      <c r="T1272" s="46"/>
      <c r="U1272" s="46"/>
      <c r="V1272" s="46"/>
      <c r="W1272" s="46"/>
      <c r="X1272" s="46"/>
      <c r="Y1272" s="46"/>
      <c r="Z1272" s="46" t="s">
        <v>3540</v>
      </c>
      <c r="AA1272" s="61">
        <f t="shared" si="150"/>
        <v>9</v>
      </c>
      <c r="AB1272" s="62">
        <v>2000</v>
      </c>
      <c r="AC1272" s="63">
        <f>AB1272*H2dens*HoursInYear/10^6</f>
        <v>1.55928</v>
      </c>
      <c r="AD1272" s="62"/>
      <c r="AE1272" s="62">
        <f t="shared" si="147"/>
        <v>2000</v>
      </c>
      <c r="AF1272" s="64" t="s">
        <v>3541</v>
      </c>
      <c r="AG1272" s="49">
        <v>0.4</v>
      </c>
    </row>
    <row r="1273" spans="1:33" customFormat="1" ht="35.1" customHeight="1" x14ac:dyDescent="0.3">
      <c r="A1273" s="46">
        <v>1801</v>
      </c>
      <c r="B1273" s="46" t="s">
        <v>3542</v>
      </c>
      <c r="C1273" s="46" t="s">
        <v>35</v>
      </c>
      <c r="D1273" s="60"/>
      <c r="E1273" s="60"/>
      <c r="F1273" s="46" t="s">
        <v>591</v>
      </c>
      <c r="G1273" s="46" t="s">
        <v>161</v>
      </c>
      <c r="H1273" s="46" t="s">
        <v>882</v>
      </c>
      <c r="I1273" s="46"/>
      <c r="J1273" s="46"/>
      <c r="K1273" s="46" t="s">
        <v>141</v>
      </c>
      <c r="L1273" s="46"/>
      <c r="M1273" s="46">
        <v>1</v>
      </c>
      <c r="N1273" s="46"/>
      <c r="O1273" s="46"/>
      <c r="P1273" s="46"/>
      <c r="Q1273" s="46"/>
      <c r="R1273" s="46"/>
      <c r="S1273" s="46"/>
      <c r="T1273" s="46"/>
      <c r="U1273" s="46"/>
      <c r="V1273" s="46"/>
      <c r="W1273" s="46"/>
      <c r="X1273" s="46"/>
      <c r="Y1273" s="46"/>
      <c r="Z1273" s="46" t="s">
        <v>3543</v>
      </c>
      <c r="AA1273" s="61" t="str">
        <f t="shared" si="150"/>
        <v/>
      </c>
      <c r="AB1273" s="62">
        <f>AC1273/(H2dens*HoursInYear/10^6)</f>
        <v>230968.17609605024</v>
      </c>
      <c r="AC1273" s="63">
        <f>1000*3/17/0.98</f>
        <v>180.0720288115246</v>
      </c>
      <c r="AD1273" s="62">
        <v>2000000</v>
      </c>
      <c r="AE1273" s="62">
        <f t="shared" si="147"/>
        <v>250752.88553883036</v>
      </c>
      <c r="AF1273" s="64" t="s">
        <v>2117</v>
      </c>
      <c r="AG1273" s="49">
        <v>0.9</v>
      </c>
    </row>
    <row r="1274" spans="1:33" customFormat="1" ht="35.1" customHeight="1" x14ac:dyDescent="0.3">
      <c r="A1274" s="46">
        <v>1802</v>
      </c>
      <c r="B1274" s="46" t="s">
        <v>3544</v>
      </c>
      <c r="C1274" s="46" t="s">
        <v>35</v>
      </c>
      <c r="D1274" s="60"/>
      <c r="E1274" s="60"/>
      <c r="F1274" s="46" t="s">
        <v>591</v>
      </c>
      <c r="G1274" s="46" t="s">
        <v>161</v>
      </c>
      <c r="H1274" s="46" t="s">
        <v>882</v>
      </c>
      <c r="I1274" s="46"/>
      <c r="J1274" s="46"/>
      <c r="K1274" s="46" t="s">
        <v>141</v>
      </c>
      <c r="L1274" s="46"/>
      <c r="M1274" s="46">
        <v>1</v>
      </c>
      <c r="N1274" s="46"/>
      <c r="O1274" s="46"/>
      <c r="P1274" s="46"/>
      <c r="Q1274" s="46"/>
      <c r="R1274" s="46"/>
      <c r="S1274" s="46"/>
      <c r="T1274" s="46"/>
      <c r="U1274" s="46"/>
      <c r="V1274" s="46"/>
      <c r="W1274" s="46"/>
      <c r="X1274" s="46"/>
      <c r="Y1274" s="46"/>
      <c r="Z1274" s="46" t="s">
        <v>3545</v>
      </c>
      <c r="AA1274" s="61" t="str">
        <f t="shared" si="150"/>
        <v/>
      </c>
      <c r="AB1274" s="62">
        <f>AC1274/(H2dens*HoursInYear/10^6)</f>
        <v>230968.17609605024</v>
      </c>
      <c r="AC1274" s="63">
        <f>1000*3/17/0.98</f>
        <v>180.0720288115246</v>
      </c>
      <c r="AD1274" s="62">
        <v>2000000</v>
      </c>
      <c r="AE1274" s="62">
        <f t="shared" si="147"/>
        <v>250752.88553883036</v>
      </c>
      <c r="AF1274" s="64" t="s">
        <v>2117</v>
      </c>
      <c r="AG1274" s="49">
        <v>0.9</v>
      </c>
    </row>
    <row r="1275" spans="1:33" customFormat="1" ht="35.1" customHeight="1" x14ac:dyDescent="0.3">
      <c r="A1275" s="46">
        <v>1803</v>
      </c>
      <c r="B1275" s="46" t="s">
        <v>3546</v>
      </c>
      <c r="C1275" s="46" t="s">
        <v>63</v>
      </c>
      <c r="D1275" s="60"/>
      <c r="E1275" s="60"/>
      <c r="F1275" s="46" t="s">
        <v>225</v>
      </c>
      <c r="G1275" s="46" t="s">
        <v>159</v>
      </c>
      <c r="H1275" s="46" t="s">
        <v>592</v>
      </c>
      <c r="I1275" s="46" t="s">
        <v>169</v>
      </c>
      <c r="J1275" s="46" t="s">
        <v>248</v>
      </c>
      <c r="K1275" s="46" t="s">
        <v>140</v>
      </c>
      <c r="L1275" s="46"/>
      <c r="M1275" s="46"/>
      <c r="N1275" s="46">
        <v>1</v>
      </c>
      <c r="O1275" s="46"/>
      <c r="P1275" s="46"/>
      <c r="Q1275" s="46"/>
      <c r="R1275" s="46"/>
      <c r="S1275" s="46"/>
      <c r="T1275" s="46"/>
      <c r="U1275" s="46"/>
      <c r="V1275" s="46"/>
      <c r="W1275" s="46"/>
      <c r="X1275" s="46"/>
      <c r="Y1275" s="46"/>
      <c r="Z1275" s="46" t="s">
        <v>3547</v>
      </c>
      <c r="AA1275" s="61">
        <f t="shared" si="150"/>
        <v>2208.6386024318913</v>
      </c>
      <c r="AB1275" s="62">
        <f>AC1275/(0.089*24*365/10^6)</f>
        <v>490808.5783181981</v>
      </c>
      <c r="AC1275" s="62">
        <f>1000*0.191327/H2ProjectDB4578610[[#This Row],[Column33]]</f>
        <v>382.654</v>
      </c>
      <c r="AD1275" s="62"/>
      <c r="AE1275" s="62">
        <f t="shared" si="147"/>
        <v>490808.5783181981</v>
      </c>
      <c r="AF1275" s="64" t="s">
        <v>3548</v>
      </c>
      <c r="AG1275" s="49">
        <v>0.5</v>
      </c>
    </row>
    <row r="1276" spans="1:33" customFormat="1" ht="35.1" customHeight="1" x14ac:dyDescent="0.3">
      <c r="A1276" s="46">
        <v>1804</v>
      </c>
      <c r="B1276" s="46" t="s">
        <v>3549</v>
      </c>
      <c r="C1276" s="46" t="s">
        <v>203</v>
      </c>
      <c r="D1276" s="60">
        <v>2025</v>
      </c>
      <c r="E1276" s="60"/>
      <c r="F1276" s="46" t="s">
        <v>675</v>
      </c>
      <c r="G1276" s="46" t="s">
        <v>159</v>
      </c>
      <c r="H1276" s="46" t="s">
        <v>592</v>
      </c>
      <c r="I1276" s="46" t="s">
        <v>169</v>
      </c>
      <c r="J1276" s="46" t="s">
        <v>245</v>
      </c>
      <c r="K1276" s="46" t="s">
        <v>68</v>
      </c>
      <c r="L1276" s="46"/>
      <c r="M1276" s="46"/>
      <c r="N1276" s="46"/>
      <c r="O1276" s="46">
        <v>1</v>
      </c>
      <c r="P1276" s="46"/>
      <c r="Q1276" s="46"/>
      <c r="R1276" s="46"/>
      <c r="S1276" s="46"/>
      <c r="T1276" s="46"/>
      <c r="U1276" s="46"/>
      <c r="V1276" s="46"/>
      <c r="W1276" s="46"/>
      <c r="X1276" s="46"/>
      <c r="Y1276" s="46"/>
      <c r="Z1276" s="46" t="s">
        <v>1177</v>
      </c>
      <c r="AA1276" s="61">
        <f t="shared" si="150"/>
        <v>99.999999999999972</v>
      </c>
      <c r="AB1276" s="62">
        <f>AC1276/(0.089*24*365/10^6)</f>
        <v>22222.222222222219</v>
      </c>
      <c r="AC1276" s="62">
        <v>17.325333333333333</v>
      </c>
      <c r="AD1276" s="62"/>
      <c r="AE1276" s="62">
        <f t="shared" si="147"/>
        <v>22222.222222222219</v>
      </c>
      <c r="AF1276" s="64" t="s">
        <v>3550</v>
      </c>
      <c r="AG1276" s="49">
        <v>0.4</v>
      </c>
    </row>
    <row r="1277" spans="1:33" customFormat="1" ht="35.1" customHeight="1" x14ac:dyDescent="0.3">
      <c r="A1277" s="46">
        <v>1805</v>
      </c>
      <c r="B1277" s="46" t="s">
        <v>3551</v>
      </c>
      <c r="C1277" s="46" t="s">
        <v>203</v>
      </c>
      <c r="D1277" s="60"/>
      <c r="E1277" s="60"/>
      <c r="F1277" s="46" t="s">
        <v>225</v>
      </c>
      <c r="G1277" s="46" t="s">
        <v>159</v>
      </c>
      <c r="H1277" s="46" t="s">
        <v>592</v>
      </c>
      <c r="I1277" s="46" t="s">
        <v>169</v>
      </c>
      <c r="J1277" s="46" t="s">
        <v>246</v>
      </c>
      <c r="K1277" s="46" t="s">
        <v>68</v>
      </c>
      <c r="L1277" s="46"/>
      <c r="M1277" s="46"/>
      <c r="N1277" s="46"/>
      <c r="O1277" s="46"/>
      <c r="P1277" s="46"/>
      <c r="Q1277" s="46"/>
      <c r="R1277" s="46"/>
      <c r="S1277" s="46"/>
      <c r="T1277" s="46"/>
      <c r="U1277" s="46"/>
      <c r="V1277" s="46"/>
      <c r="W1277" s="46"/>
      <c r="X1277" s="46"/>
      <c r="Y1277" s="46"/>
      <c r="Z1277" s="46" t="s">
        <v>1828</v>
      </c>
      <c r="AA1277" s="61">
        <v>4</v>
      </c>
      <c r="AB1277" s="62">
        <f>IF(OR(G1277="ALK",G1277="PEM",G1277="SOEC",G1277="Other Electrolysis"),
AA1277/VLOOKUP(G1277,ElectrolysisConvF,3,FALSE),
AC1277*10^6/(H2dens*HoursInYear))</f>
        <v>888.88888888888891</v>
      </c>
      <c r="AC1277" s="63">
        <f>AB1277*H2dens*HoursInYear/10^6</f>
        <v>0.69301333333333337</v>
      </c>
      <c r="AD1277" s="62"/>
      <c r="AE1277" s="62">
        <f t="shared" si="147"/>
        <v>888.88888888888891</v>
      </c>
      <c r="AF1277" s="64" t="s">
        <v>3552</v>
      </c>
      <c r="AG1277" s="49">
        <v>0.55000000000000004</v>
      </c>
    </row>
    <row r="1278" spans="1:33" customFormat="1" ht="35.1" customHeight="1" x14ac:dyDescent="0.3">
      <c r="A1278" s="46">
        <v>1806</v>
      </c>
      <c r="B1278" s="46" t="s">
        <v>3553</v>
      </c>
      <c r="C1278" s="46" t="s">
        <v>50</v>
      </c>
      <c r="D1278" s="60">
        <v>2027</v>
      </c>
      <c r="E1278" s="60"/>
      <c r="F1278" s="46" t="s">
        <v>225</v>
      </c>
      <c r="G1278" s="46" t="s">
        <v>3</v>
      </c>
      <c r="H1278" s="46"/>
      <c r="I1278" s="46" t="s">
        <v>169</v>
      </c>
      <c r="J1278" s="46" t="s">
        <v>246</v>
      </c>
      <c r="K1278" s="46" t="s">
        <v>68</v>
      </c>
      <c r="L1278" s="46">
        <v>1</v>
      </c>
      <c r="M1278" s="46"/>
      <c r="N1278" s="46"/>
      <c r="O1278" s="46"/>
      <c r="P1278" s="46"/>
      <c r="Q1278" s="46"/>
      <c r="R1278" s="46"/>
      <c r="S1278" s="46"/>
      <c r="T1278" s="46"/>
      <c r="U1278" s="46"/>
      <c r="V1278" s="46"/>
      <c r="W1278" s="46"/>
      <c r="X1278" s="46"/>
      <c r="Y1278" s="46"/>
      <c r="Z1278" s="46" t="s">
        <v>2917</v>
      </c>
      <c r="AA1278" s="61">
        <v>200</v>
      </c>
      <c r="AB1278" s="62">
        <f>AA1278/0.0046</f>
        <v>43478.260869565216</v>
      </c>
      <c r="AC1278" s="63">
        <f>AB1278*H2dens*HoursInYear/10^6</f>
        <v>33.897391304347821</v>
      </c>
      <c r="AD1278" s="62"/>
      <c r="AE1278" s="62">
        <f t="shared" si="147"/>
        <v>43478.260869565216</v>
      </c>
      <c r="AF1278" s="64" t="s">
        <v>3552</v>
      </c>
      <c r="AG1278" s="49">
        <v>0.55000000000000004</v>
      </c>
    </row>
    <row r="1279" spans="1:33" customFormat="1" ht="35.1" customHeight="1" x14ac:dyDescent="0.3">
      <c r="A1279" s="46">
        <v>1807</v>
      </c>
      <c r="B1279" s="46" t="s">
        <v>3554</v>
      </c>
      <c r="C1279" s="46" t="s">
        <v>50</v>
      </c>
      <c r="D1279" s="60">
        <v>2027</v>
      </c>
      <c r="E1279" s="60"/>
      <c r="F1279" s="46" t="s">
        <v>225</v>
      </c>
      <c r="G1279" s="46" t="s">
        <v>159</v>
      </c>
      <c r="H1279" s="46" t="s">
        <v>592</v>
      </c>
      <c r="I1279" s="46" t="s">
        <v>169</v>
      </c>
      <c r="J1279" s="46" t="s">
        <v>246</v>
      </c>
      <c r="K1279" s="46" t="s">
        <v>68</v>
      </c>
      <c r="L1279" s="46"/>
      <c r="M1279" s="46"/>
      <c r="N1279" s="46"/>
      <c r="O1279" s="46"/>
      <c r="P1279" s="46"/>
      <c r="Q1279" s="46"/>
      <c r="R1279" s="46"/>
      <c r="S1279" s="46"/>
      <c r="T1279" s="46"/>
      <c r="U1279" s="46"/>
      <c r="V1279" s="46"/>
      <c r="W1279" s="46"/>
      <c r="X1279" s="46"/>
      <c r="Y1279" s="46"/>
      <c r="Z1279" s="46" t="s">
        <v>1654</v>
      </c>
      <c r="AA1279" s="61">
        <v>500</v>
      </c>
      <c r="AB1279" s="62">
        <f>IF(OR(G1279="ALK",G1279="PEM",G1279="SOEC",G1279="Other Electrolysis"),
AA1279/VLOOKUP(G1279,ElectrolysisConvF,3,FALSE),
AC1279*10^6/(H2dens*HoursInYear))</f>
        <v>111111.11111111112</v>
      </c>
      <c r="AC1279" s="63">
        <f>AB1279*H2dens*HoursInYear/10^6</f>
        <v>86.626666666666665</v>
      </c>
      <c r="AD1279" s="62"/>
      <c r="AE1279" s="62">
        <f t="shared" si="147"/>
        <v>111111.11111111112</v>
      </c>
      <c r="AF1279" s="64" t="s">
        <v>3555</v>
      </c>
      <c r="AG1279" s="49">
        <v>0.55000000000000004</v>
      </c>
    </row>
    <row r="1280" spans="1:33" customFormat="1" ht="35.1" customHeight="1" x14ac:dyDescent="0.3">
      <c r="A1280" s="46">
        <v>1808</v>
      </c>
      <c r="B1280" s="46" t="s">
        <v>3556</v>
      </c>
      <c r="C1280" s="46" t="s">
        <v>90</v>
      </c>
      <c r="D1280" s="60">
        <v>2023</v>
      </c>
      <c r="E1280" s="60"/>
      <c r="F1280" s="46" t="s">
        <v>675</v>
      </c>
      <c r="G1280" s="46" t="s">
        <v>3</v>
      </c>
      <c r="H1280" s="46"/>
      <c r="I1280" s="46" t="s">
        <v>169</v>
      </c>
      <c r="J1280" s="46" t="s">
        <v>245</v>
      </c>
      <c r="K1280" s="46" t="s">
        <v>141</v>
      </c>
      <c r="L1280" s="46"/>
      <c r="M1280" s="46">
        <v>1</v>
      </c>
      <c r="N1280" s="46"/>
      <c r="O1280" s="46"/>
      <c r="P1280" s="46"/>
      <c r="Q1280" s="46"/>
      <c r="R1280" s="46"/>
      <c r="S1280" s="46"/>
      <c r="T1280" s="46"/>
      <c r="U1280" s="46"/>
      <c r="V1280" s="46"/>
      <c r="W1280" s="46"/>
      <c r="X1280" s="46"/>
      <c r="Y1280" s="46"/>
      <c r="Z1280" s="46" t="s">
        <v>1350</v>
      </c>
      <c r="AA1280" s="61">
        <v>60</v>
      </c>
      <c r="AB1280" s="62">
        <f>IF(OR(G1280="ALK",G1280="PEM",G1280="SOEC",G1280="Other Electrolysis"),
AA1280/VLOOKUP(G1280,ElectrolysisConvF,3,FALSE),
AC1280*10^6/(H2dens*HoursInYear))</f>
        <v>13043.478260869566</v>
      </c>
      <c r="AC1280" s="63">
        <f>AB1280*H2dens*HoursInYear/10^6</f>
        <v>10.169217391304347</v>
      </c>
      <c r="AD1280" s="62"/>
      <c r="AE1280" s="62">
        <f t="shared" si="147"/>
        <v>13043.478260869566</v>
      </c>
      <c r="AF1280" s="64" t="s">
        <v>3557</v>
      </c>
      <c r="AG1280" s="49">
        <v>0.4</v>
      </c>
    </row>
    <row r="1281" spans="1:33" customFormat="1" ht="35.1" customHeight="1" x14ac:dyDescent="0.3">
      <c r="A1281" s="46">
        <v>1809</v>
      </c>
      <c r="B1281" s="46" t="s">
        <v>3558</v>
      </c>
      <c r="C1281" s="46" t="s">
        <v>90</v>
      </c>
      <c r="D1281" s="60">
        <v>2025</v>
      </c>
      <c r="E1281" s="60"/>
      <c r="F1281" s="46" t="s">
        <v>225</v>
      </c>
      <c r="G1281" s="46" t="s">
        <v>3</v>
      </c>
      <c r="H1281" s="46"/>
      <c r="I1281" s="46" t="s">
        <v>169</v>
      </c>
      <c r="J1281" s="46" t="s">
        <v>245</v>
      </c>
      <c r="K1281" s="46" t="s">
        <v>141</v>
      </c>
      <c r="L1281" s="46"/>
      <c r="M1281" s="46">
        <v>1</v>
      </c>
      <c r="N1281" s="46"/>
      <c r="O1281" s="46"/>
      <c r="P1281" s="46"/>
      <c r="Q1281" s="46"/>
      <c r="R1281" s="46"/>
      <c r="S1281" s="46"/>
      <c r="T1281" s="46"/>
      <c r="U1281" s="46"/>
      <c r="V1281" s="46"/>
      <c r="W1281" s="46"/>
      <c r="X1281" s="46"/>
      <c r="Y1281" s="46"/>
      <c r="Z1281" s="46" t="s">
        <v>3018</v>
      </c>
      <c r="AA1281" s="61">
        <v>180</v>
      </c>
      <c r="AB1281" s="62">
        <f>IF(OR(G1281="ALK",G1281="PEM",G1281="SOEC",G1281="Other Electrolysis"),
AA1281/VLOOKUP(G1281,ElectrolysisConvF,3,FALSE),
AC1281*10^6/(H2dens*HoursInYear))</f>
        <v>39130.434782608696</v>
      </c>
      <c r="AC1281" s="63">
        <f>AB1281*H2dens*HoursInYear/10^6</f>
        <v>30.507652173913044</v>
      </c>
      <c r="AD1281" s="62"/>
      <c r="AE1281" s="62">
        <f t="shared" si="147"/>
        <v>39130.434782608696</v>
      </c>
      <c r="AF1281" s="64" t="s">
        <v>3557</v>
      </c>
      <c r="AG1281" s="49">
        <v>0.4</v>
      </c>
    </row>
    <row r="1282" spans="1:33" customFormat="1" ht="35.1" customHeight="1" x14ac:dyDescent="0.3">
      <c r="A1282" s="46">
        <v>1810</v>
      </c>
      <c r="B1282" s="46" t="s">
        <v>3559</v>
      </c>
      <c r="C1282" s="46" t="s">
        <v>132</v>
      </c>
      <c r="D1282" s="60"/>
      <c r="E1282" s="60"/>
      <c r="F1282" s="46" t="s">
        <v>225</v>
      </c>
      <c r="G1282" s="46" t="s">
        <v>1</v>
      </c>
      <c r="H1282" s="46"/>
      <c r="I1282" s="46" t="s">
        <v>169</v>
      </c>
      <c r="J1282" s="46" t="s">
        <v>69</v>
      </c>
      <c r="K1282" s="46" t="s">
        <v>68</v>
      </c>
      <c r="L1282" s="46"/>
      <c r="M1282" s="46"/>
      <c r="N1282" s="46"/>
      <c r="O1282" s="46"/>
      <c r="P1282" s="46"/>
      <c r="Q1282" s="46"/>
      <c r="R1282" s="46"/>
      <c r="S1282" s="46"/>
      <c r="T1282" s="46"/>
      <c r="U1282" s="46"/>
      <c r="V1282" s="46"/>
      <c r="W1282" s="46"/>
      <c r="X1282" s="46"/>
      <c r="Y1282" s="46"/>
      <c r="Z1282" s="46" t="s">
        <v>3560</v>
      </c>
      <c r="AA1282" s="61">
        <f>IF(OR(G1282="ALK",G1282="PEM",G1282="SOEC",G1282="Other Electrolysis"),
AB1282*VLOOKUP(G1282,ElectrolysisConvF,3,FALSE),
"")</f>
        <v>133.89513108614233</v>
      </c>
      <c r="AB1282" s="62">
        <f>AC1282/(H2dens*HoursInYear/10^6)</f>
        <v>25749.063670411986</v>
      </c>
      <c r="AC1282" s="62">
        <f>55*0.365</f>
        <v>20.074999999999999</v>
      </c>
      <c r="AD1282" s="62"/>
      <c r="AE1282" s="62">
        <f t="shared" si="147"/>
        <v>25749.063670411986</v>
      </c>
      <c r="AF1282" s="64" t="s">
        <v>3561</v>
      </c>
      <c r="AG1282" s="49">
        <v>0.5</v>
      </c>
    </row>
    <row r="1283" spans="1:33" customFormat="1" ht="35.1" customHeight="1" x14ac:dyDescent="0.3">
      <c r="A1283" s="46">
        <v>1811</v>
      </c>
      <c r="B1283" s="46" t="s">
        <v>3562</v>
      </c>
      <c r="C1283" s="46" t="s">
        <v>46</v>
      </c>
      <c r="D1283" s="60">
        <v>2026</v>
      </c>
      <c r="E1283" s="60"/>
      <c r="F1283" s="46" t="s">
        <v>225</v>
      </c>
      <c r="G1283" s="46" t="s">
        <v>159</v>
      </c>
      <c r="H1283" s="46" t="s">
        <v>592</v>
      </c>
      <c r="I1283" s="46" t="s">
        <v>169</v>
      </c>
      <c r="J1283" s="46" t="s">
        <v>246</v>
      </c>
      <c r="K1283" s="46" t="s">
        <v>68</v>
      </c>
      <c r="L1283" s="46"/>
      <c r="M1283" s="46"/>
      <c r="N1283" s="46"/>
      <c r="O1283" s="46">
        <v>1</v>
      </c>
      <c r="P1283" s="46">
        <v>1</v>
      </c>
      <c r="Q1283" s="46">
        <v>1</v>
      </c>
      <c r="R1283" s="46"/>
      <c r="S1283" s="46"/>
      <c r="T1283" s="46"/>
      <c r="U1283" s="46"/>
      <c r="V1283" s="46"/>
      <c r="W1283" s="46"/>
      <c r="X1283" s="46"/>
      <c r="Y1283" s="46"/>
      <c r="Z1283" s="46" t="s">
        <v>3111</v>
      </c>
      <c r="AA1283" s="61">
        <v>42.5</v>
      </c>
      <c r="AB1283" s="62">
        <f>IF(OR(G1283="ALK",G1283="PEM",G1283="SOEC",G1283="Other Electrolysis"),
AA1283/VLOOKUP(G1283,ElectrolysisConvF,3,FALSE),
AC1283*10^6/(H2dens*HoursInYear))</f>
        <v>9444.4444444444453</v>
      </c>
      <c r="AC1283" s="63">
        <f>AB1283*H2dens*HoursInYear/10^6</f>
        <v>7.3632666666666671</v>
      </c>
      <c r="AD1283" s="62"/>
      <c r="AE1283" s="62">
        <f t="shared" si="147"/>
        <v>9444.4444444444453</v>
      </c>
      <c r="AF1283" s="64" t="s">
        <v>3563</v>
      </c>
      <c r="AG1283" s="49">
        <v>0.55000000000000004</v>
      </c>
    </row>
    <row r="1284" spans="1:33" customFormat="1" ht="35.1" customHeight="1" x14ac:dyDescent="0.3">
      <c r="A1284" s="46">
        <v>1812</v>
      </c>
      <c r="B1284" s="46" t="s">
        <v>3564</v>
      </c>
      <c r="C1284" s="46" t="s">
        <v>46</v>
      </c>
      <c r="D1284" s="60"/>
      <c r="E1284" s="60"/>
      <c r="F1284" s="46" t="s">
        <v>225</v>
      </c>
      <c r="G1284" s="46" t="s">
        <v>159</v>
      </c>
      <c r="H1284" s="46" t="s">
        <v>592</v>
      </c>
      <c r="I1284" s="46" t="s">
        <v>169</v>
      </c>
      <c r="J1284" s="46" t="s">
        <v>246</v>
      </c>
      <c r="K1284" s="46" t="s">
        <v>68</v>
      </c>
      <c r="L1284" s="46"/>
      <c r="M1284" s="46"/>
      <c r="N1284" s="46"/>
      <c r="O1284" s="46">
        <v>1</v>
      </c>
      <c r="P1284" s="46">
        <v>1</v>
      </c>
      <c r="Q1284" s="46">
        <v>1</v>
      </c>
      <c r="R1284" s="46"/>
      <c r="S1284" s="46"/>
      <c r="T1284" s="46"/>
      <c r="U1284" s="46"/>
      <c r="V1284" s="46"/>
      <c r="W1284" s="46"/>
      <c r="X1284" s="46"/>
      <c r="Y1284" s="46"/>
      <c r="Z1284" s="46" t="s">
        <v>1654</v>
      </c>
      <c r="AA1284" s="61">
        <f>500-42.5</f>
        <v>457.5</v>
      </c>
      <c r="AB1284" s="62">
        <f>IF(OR(G1284="ALK",G1284="PEM",G1284="SOEC",G1284="Other Electrolysis"),
AA1284/VLOOKUP(G1284,ElectrolysisConvF,3,FALSE),
AC1284*10^6/(H2dens*HoursInYear))</f>
        <v>101666.66666666667</v>
      </c>
      <c r="AC1284" s="63">
        <f>AB1284*H2dens*HoursInYear/10^6</f>
        <v>79.263400000000004</v>
      </c>
      <c r="AD1284" s="62"/>
      <c r="AE1284" s="62">
        <f t="shared" si="147"/>
        <v>101666.66666666667</v>
      </c>
      <c r="AF1284" s="64" t="s">
        <v>3563</v>
      </c>
      <c r="AG1284" s="49">
        <v>0.55000000000000004</v>
      </c>
    </row>
    <row r="1285" spans="1:33" customFormat="1" ht="35.1" customHeight="1" x14ac:dyDescent="0.3">
      <c r="A1285" s="46">
        <v>1813</v>
      </c>
      <c r="B1285" s="46" t="s">
        <v>3565</v>
      </c>
      <c r="C1285" s="46" t="s">
        <v>34</v>
      </c>
      <c r="D1285" s="60">
        <v>2027</v>
      </c>
      <c r="E1285" s="60"/>
      <c r="F1285" s="46" t="s">
        <v>225</v>
      </c>
      <c r="G1285" s="46" t="s">
        <v>159</v>
      </c>
      <c r="H1285" s="46" t="s">
        <v>592</v>
      </c>
      <c r="I1285" s="46" t="s">
        <v>166</v>
      </c>
      <c r="J1285" s="46"/>
      <c r="K1285" s="46" t="s">
        <v>68</v>
      </c>
      <c r="L1285" s="46"/>
      <c r="M1285" s="46"/>
      <c r="N1285" s="46"/>
      <c r="O1285" s="46">
        <v>1</v>
      </c>
      <c r="P1285" s="46"/>
      <c r="Q1285" s="46"/>
      <c r="R1285" s="46"/>
      <c r="S1285" s="46"/>
      <c r="T1285" s="46"/>
      <c r="U1285" s="46"/>
      <c r="V1285" s="46"/>
      <c r="W1285" s="46"/>
      <c r="X1285" s="46"/>
      <c r="Y1285" s="46"/>
      <c r="Z1285" s="46" t="s">
        <v>3566</v>
      </c>
      <c r="AA1285" s="61">
        <v>700</v>
      </c>
      <c r="AB1285" s="62">
        <f>IF(OR(G1285="ALK",G1285="PEM",G1285="SOEC",G1285="Other Electrolysis"),
AA1285/VLOOKUP(G1285,ElectrolysisConvF,3,FALSE),
AC1285*10^6/(H2dens*HoursInYear))</f>
        <v>155555.55555555556</v>
      </c>
      <c r="AC1285" s="63">
        <f>AB1285*H2dens*HoursInYear/10^6</f>
        <v>121.27733333333335</v>
      </c>
      <c r="AD1285" s="62"/>
      <c r="AE1285" s="62">
        <f t="shared" si="147"/>
        <v>155555.55555555556</v>
      </c>
      <c r="AF1285" s="64" t="s">
        <v>3567</v>
      </c>
      <c r="AG1285" s="49">
        <v>0.56999999999999995</v>
      </c>
    </row>
    <row r="1286" spans="1:33" customFormat="1" ht="35.1" customHeight="1" x14ac:dyDescent="0.3">
      <c r="A1286" s="46">
        <v>1814</v>
      </c>
      <c r="B1286" s="46" t="s">
        <v>3568</v>
      </c>
      <c r="C1286" s="46" t="s">
        <v>50</v>
      </c>
      <c r="D1286" s="60">
        <v>2026</v>
      </c>
      <c r="E1286" s="60"/>
      <c r="F1286" s="46" t="s">
        <v>225</v>
      </c>
      <c r="G1286" s="46" t="s">
        <v>159</v>
      </c>
      <c r="H1286" s="46" t="s">
        <v>592</v>
      </c>
      <c r="I1286" s="46" t="s">
        <v>169</v>
      </c>
      <c r="J1286" s="46" t="s">
        <v>246</v>
      </c>
      <c r="K1286" s="46" t="s">
        <v>68</v>
      </c>
      <c r="L1286" s="46"/>
      <c r="M1286" s="46"/>
      <c r="N1286" s="46"/>
      <c r="O1286" s="46"/>
      <c r="P1286" s="46">
        <v>1</v>
      </c>
      <c r="Q1286" s="46"/>
      <c r="R1286" s="46"/>
      <c r="S1286" s="46"/>
      <c r="T1286" s="46"/>
      <c r="U1286" s="46"/>
      <c r="V1286" s="46"/>
      <c r="W1286" s="46"/>
      <c r="X1286" s="46"/>
      <c r="Y1286" s="46"/>
      <c r="Z1286" s="46" t="s">
        <v>1274</v>
      </c>
      <c r="AA1286" s="61">
        <v>50</v>
      </c>
      <c r="AB1286" s="62">
        <f>IF(OR(G1286="ALK",G1286="PEM",G1286="SOEC",G1286="Other Electrolysis"),
AA1286/VLOOKUP(G1286,ElectrolysisConvF,3,FALSE),
AC1286*10^6/(H2dens*HoursInYear))</f>
        <v>11111.111111111111</v>
      </c>
      <c r="AC1286" s="63">
        <f>AB1286*H2dens*HoursInYear/10^6</f>
        <v>8.6626666666666665</v>
      </c>
      <c r="AD1286" s="62"/>
      <c r="AE1286" s="62">
        <f t="shared" si="147"/>
        <v>11111.111111111111</v>
      </c>
      <c r="AF1286" s="64" t="s">
        <v>3569</v>
      </c>
      <c r="AG1286" s="49">
        <v>0.55000000000000004</v>
      </c>
    </row>
    <row r="1287" spans="1:33" customFormat="1" ht="35.1" customHeight="1" x14ac:dyDescent="0.3">
      <c r="A1287" s="46">
        <v>1815</v>
      </c>
      <c r="B1287" s="46" t="s">
        <v>3570</v>
      </c>
      <c r="C1287" s="46" t="s">
        <v>203</v>
      </c>
      <c r="D1287" s="60">
        <v>2026</v>
      </c>
      <c r="E1287" s="60"/>
      <c r="F1287" s="46" t="s">
        <v>225</v>
      </c>
      <c r="G1287" s="46" t="s">
        <v>1</v>
      </c>
      <c r="H1287" s="46"/>
      <c r="I1287" s="46" t="s">
        <v>169</v>
      </c>
      <c r="J1287" s="46" t="s">
        <v>246</v>
      </c>
      <c r="K1287" s="46" t="s">
        <v>167</v>
      </c>
      <c r="L1287" s="46"/>
      <c r="M1287" s="46"/>
      <c r="N1287" s="46"/>
      <c r="O1287" s="46"/>
      <c r="P1287" s="46"/>
      <c r="Q1287" s="46"/>
      <c r="R1287" s="46"/>
      <c r="S1287" s="46"/>
      <c r="T1287" s="46"/>
      <c r="U1287" s="46"/>
      <c r="V1287" s="46"/>
      <c r="W1287" s="46"/>
      <c r="X1287" s="46"/>
      <c r="Y1287" s="46"/>
      <c r="Z1287" s="46" t="s">
        <v>3571</v>
      </c>
      <c r="AA1287" s="61">
        <f>AB1287*0.0052</f>
        <v>62.295252277562319</v>
      </c>
      <c r="AB1287" s="62">
        <f>AC1287/(0.089*24*365/10^6)</f>
        <v>11979.856207223524</v>
      </c>
      <c r="AC1287" s="63">
        <f>(10*0.045/0.73/0.12)/H2ProjectDB4578610[[#This Row],[Column33]]</f>
        <v>9.3399750933997492</v>
      </c>
      <c r="AD1287" s="62"/>
      <c r="AE1287" s="62">
        <f t="shared" si="147"/>
        <v>11979.856207223524</v>
      </c>
      <c r="AF1287" s="64" t="s">
        <v>3572</v>
      </c>
      <c r="AG1287" s="49">
        <v>0.55000000000000004</v>
      </c>
    </row>
    <row r="1288" spans="1:33" customFormat="1" ht="35.1" customHeight="1" x14ac:dyDescent="0.3">
      <c r="A1288" s="46">
        <v>1816</v>
      </c>
      <c r="B1288" s="46" t="s">
        <v>3573</v>
      </c>
      <c r="C1288" s="46" t="s">
        <v>318</v>
      </c>
      <c r="D1288" s="60">
        <v>2026</v>
      </c>
      <c r="E1288" s="60"/>
      <c r="F1288" s="46" t="s">
        <v>225</v>
      </c>
      <c r="G1288" s="46" t="s">
        <v>159</v>
      </c>
      <c r="H1288" s="46" t="s">
        <v>592</v>
      </c>
      <c r="I1288" s="46" t="s">
        <v>169</v>
      </c>
      <c r="J1288" s="46" t="s">
        <v>69</v>
      </c>
      <c r="K1288" s="46" t="s">
        <v>167</v>
      </c>
      <c r="L1288" s="46"/>
      <c r="M1288" s="46"/>
      <c r="N1288" s="46"/>
      <c r="O1288" s="46"/>
      <c r="P1288" s="46"/>
      <c r="Q1288" s="46"/>
      <c r="R1288" s="46"/>
      <c r="S1288" s="46"/>
      <c r="T1288" s="46"/>
      <c r="U1288" s="46"/>
      <c r="V1288" s="46"/>
      <c r="W1288" s="46">
        <v>1</v>
      </c>
      <c r="X1288" s="46"/>
      <c r="Y1288" s="46"/>
      <c r="Z1288" s="46" t="s">
        <v>3574</v>
      </c>
      <c r="AA1288" s="61">
        <f>AB1288*0.0045</f>
        <v>474.40230580605157</v>
      </c>
      <c r="AB1288" s="62">
        <f>AC1288/(0.089*24*365/10^6)</f>
        <v>105422.73462356703</v>
      </c>
      <c r="AC1288" s="63">
        <f>(80*0.045/0.73/0.12)/H2ProjectDB4578610[[#This Row],[Column33]]</f>
        <v>82.191780821917803</v>
      </c>
      <c r="AD1288" s="62"/>
      <c r="AE1288" s="62">
        <f t="shared" si="147"/>
        <v>105422.73462356703</v>
      </c>
      <c r="AF1288" s="64" t="s">
        <v>3575</v>
      </c>
      <c r="AG1288" s="49">
        <v>0.5</v>
      </c>
    </row>
    <row r="1289" spans="1:33" customFormat="1" ht="35.1" customHeight="1" x14ac:dyDescent="0.3">
      <c r="A1289" s="46">
        <v>1817</v>
      </c>
      <c r="B1289" s="46" t="s">
        <v>3576</v>
      </c>
      <c r="C1289" s="46" t="s">
        <v>63</v>
      </c>
      <c r="D1289" s="60">
        <v>2028</v>
      </c>
      <c r="E1289" s="60"/>
      <c r="F1289" s="46" t="s">
        <v>225</v>
      </c>
      <c r="G1289" s="46" t="s">
        <v>159</v>
      </c>
      <c r="H1289" s="46" t="s">
        <v>592</v>
      </c>
      <c r="I1289" s="46" t="s">
        <v>169</v>
      </c>
      <c r="J1289" s="46" t="s">
        <v>69</v>
      </c>
      <c r="K1289" s="46" t="s">
        <v>167</v>
      </c>
      <c r="L1289" s="46"/>
      <c r="M1289" s="46"/>
      <c r="N1289" s="46"/>
      <c r="O1289" s="46"/>
      <c r="P1289" s="46"/>
      <c r="Q1289" s="46"/>
      <c r="R1289" s="46"/>
      <c r="S1289" s="46"/>
      <c r="T1289" s="46"/>
      <c r="U1289" s="46"/>
      <c r="V1289" s="46"/>
      <c r="W1289" s="46">
        <v>1</v>
      </c>
      <c r="X1289" s="46"/>
      <c r="Y1289" s="46"/>
      <c r="Z1289" s="46"/>
      <c r="AA1289" s="61">
        <f>IF(OR(G1289="ALK",G1289="PEM",G1289="SOEC",G1289="Other Electrolysis"),
AB1289*VLOOKUP(G1289,ElectrolysisConvF,3,FALSE),
"")</f>
        <v>0</v>
      </c>
      <c r="AB1289" s="62"/>
      <c r="AC1289" s="62"/>
      <c r="AD1289" s="62"/>
      <c r="AE1289" s="62">
        <f t="shared" si="147"/>
        <v>0</v>
      </c>
      <c r="AF1289" s="64" t="s">
        <v>3577</v>
      </c>
      <c r="AG1289" s="49">
        <v>0.5</v>
      </c>
    </row>
    <row r="1290" spans="1:33" customFormat="1" ht="35.1" customHeight="1" x14ac:dyDescent="0.3">
      <c r="A1290" s="46">
        <v>1818</v>
      </c>
      <c r="B1290" s="46" t="s">
        <v>3578</v>
      </c>
      <c r="C1290" s="46" t="s">
        <v>40</v>
      </c>
      <c r="D1290" s="60">
        <v>2023</v>
      </c>
      <c r="E1290" s="60"/>
      <c r="F1290" s="46" t="s">
        <v>675</v>
      </c>
      <c r="G1290" s="46" t="s">
        <v>153</v>
      </c>
      <c r="H1290" s="46" t="s">
        <v>1715</v>
      </c>
      <c r="I1290" s="46"/>
      <c r="J1290" s="46"/>
      <c r="K1290" s="46" t="s">
        <v>68</v>
      </c>
      <c r="L1290" s="46"/>
      <c r="M1290" s="46"/>
      <c r="N1290" s="46"/>
      <c r="O1290" s="46"/>
      <c r="P1290" s="46"/>
      <c r="Q1290" s="46"/>
      <c r="R1290" s="46"/>
      <c r="S1290" s="46"/>
      <c r="T1290" s="46"/>
      <c r="U1290" s="46"/>
      <c r="V1290" s="46"/>
      <c r="W1290" s="46"/>
      <c r="X1290" s="46"/>
      <c r="Y1290" s="46"/>
      <c r="Z1290" s="46" t="s">
        <v>3579</v>
      </c>
      <c r="AA1290" s="61"/>
      <c r="AB1290" s="62">
        <f>AC1290/(0.089*24*365/10^6)</f>
        <v>187.26591760299624</v>
      </c>
      <c r="AC1290" s="63">
        <f>0.4*0.365</f>
        <v>0.14599999999999999</v>
      </c>
      <c r="AD1290" s="62"/>
      <c r="AE1290" s="62">
        <f t="shared" si="147"/>
        <v>187.26591760299624</v>
      </c>
      <c r="AF1290" s="64" t="s">
        <v>3580</v>
      </c>
      <c r="AG1290" s="49">
        <v>0.9</v>
      </c>
    </row>
    <row r="1291" spans="1:33" customFormat="1" ht="35.1" customHeight="1" x14ac:dyDescent="0.3">
      <c r="A1291" s="46">
        <v>1819</v>
      </c>
      <c r="B1291" s="46" t="s">
        <v>3581</v>
      </c>
      <c r="C1291" s="46" t="s">
        <v>39</v>
      </c>
      <c r="D1291" s="60">
        <v>2023</v>
      </c>
      <c r="E1291" s="60"/>
      <c r="F1291" s="46" t="s">
        <v>675</v>
      </c>
      <c r="G1291" s="46" t="s">
        <v>1</v>
      </c>
      <c r="H1291" s="46"/>
      <c r="I1291" s="46" t="s">
        <v>157</v>
      </c>
      <c r="J1291" s="46"/>
      <c r="K1291" s="46" t="s">
        <v>68</v>
      </c>
      <c r="L1291" s="46"/>
      <c r="M1291" s="46"/>
      <c r="N1291" s="46"/>
      <c r="O1291" s="46"/>
      <c r="P1291" s="46"/>
      <c r="Q1291" s="46">
        <v>1</v>
      </c>
      <c r="R1291" s="46"/>
      <c r="S1291" s="46"/>
      <c r="T1291" s="46"/>
      <c r="U1291" s="46"/>
      <c r="V1291" s="46"/>
      <c r="W1291" s="46"/>
      <c r="X1291" s="46"/>
      <c r="Y1291" s="46"/>
      <c r="Z1291" s="46" t="s">
        <v>3053</v>
      </c>
      <c r="AA1291" s="61">
        <f>IF(OR(G1291="ALK",G1291="PEM",G1291="SOEC",G1291="Other Electrolysis"),
AB1291*VLOOKUP(G1291,ElectrolysisConvF,3,FALSE),
"")</f>
        <v>2.434456928838951</v>
      </c>
      <c r="AB1291" s="62">
        <f>AC1291/(0.089*24*365/10^6)</f>
        <v>468.16479400749057</v>
      </c>
      <c r="AC1291" s="62">
        <v>0.36499999999999999</v>
      </c>
      <c r="AD1291" s="62"/>
      <c r="AE1291" s="62">
        <f t="shared" si="147"/>
        <v>468.16479400749057</v>
      </c>
      <c r="AF1291" s="64" t="s">
        <v>3582</v>
      </c>
      <c r="AG1291" s="49">
        <v>0.56999999999999995</v>
      </c>
    </row>
    <row r="1292" spans="1:33" customFormat="1" ht="35.1" customHeight="1" x14ac:dyDescent="0.3">
      <c r="A1292" s="46">
        <v>1820</v>
      </c>
      <c r="B1292" s="46" t="s">
        <v>3583</v>
      </c>
      <c r="C1292" s="46" t="s">
        <v>83</v>
      </c>
      <c r="D1292" s="60">
        <v>2025</v>
      </c>
      <c r="E1292" s="60"/>
      <c r="F1292" s="46" t="s">
        <v>591</v>
      </c>
      <c r="G1292" s="46" t="s">
        <v>159</v>
      </c>
      <c r="H1292" s="46" t="s">
        <v>592</v>
      </c>
      <c r="I1292" s="46" t="s">
        <v>169</v>
      </c>
      <c r="J1292" s="46" t="s">
        <v>69</v>
      </c>
      <c r="K1292" s="46" t="s">
        <v>68</v>
      </c>
      <c r="L1292" s="46"/>
      <c r="M1292" s="46"/>
      <c r="N1292" s="46"/>
      <c r="O1292" s="46"/>
      <c r="P1292" s="46"/>
      <c r="Q1292" s="46"/>
      <c r="R1292" s="46"/>
      <c r="S1292" s="46"/>
      <c r="T1292" s="46"/>
      <c r="U1292" s="46"/>
      <c r="V1292" s="46"/>
      <c r="W1292" s="46"/>
      <c r="X1292" s="46"/>
      <c r="Y1292" s="46"/>
      <c r="Z1292" s="46" t="s">
        <v>3584</v>
      </c>
      <c r="AA1292" s="61">
        <f>IF(OR(G1292="ALK",G1292="PEM",G1292="SOEC",G1292="Other Electrolysis"),
AB1292*VLOOKUP(G1292,ElectrolysisConvF,3,FALSE),
"")</f>
        <v>230.87578882561183</v>
      </c>
      <c r="AB1292" s="62">
        <f>AC1292/(H2dens*HoursInYear/10^6)</f>
        <v>51305.730850135966</v>
      </c>
      <c r="AC1292" s="62">
        <f>20/H2ProjectDB4578610[[#This Row],[Column33]]</f>
        <v>40</v>
      </c>
      <c r="AD1292" s="62"/>
      <c r="AE1292" s="62">
        <f t="shared" si="147"/>
        <v>51305.730850135966</v>
      </c>
      <c r="AF1292" s="64" t="s">
        <v>3585</v>
      </c>
      <c r="AG1292" s="49">
        <v>0.5</v>
      </c>
    </row>
    <row r="1293" spans="1:33" customFormat="1" ht="35.1" customHeight="1" x14ac:dyDescent="0.3">
      <c r="A1293" s="46">
        <v>1821</v>
      </c>
      <c r="B1293" s="46" t="s">
        <v>3586</v>
      </c>
      <c r="C1293" s="46" t="s">
        <v>83</v>
      </c>
      <c r="D1293" s="60">
        <v>2029</v>
      </c>
      <c r="E1293" s="60"/>
      <c r="F1293" s="46" t="s">
        <v>591</v>
      </c>
      <c r="G1293" s="46" t="s">
        <v>159</v>
      </c>
      <c r="H1293" s="46" t="s">
        <v>592</v>
      </c>
      <c r="I1293" s="46" t="s">
        <v>169</v>
      </c>
      <c r="J1293" s="46" t="s">
        <v>69</v>
      </c>
      <c r="K1293" s="46" t="s">
        <v>68</v>
      </c>
      <c r="L1293" s="46"/>
      <c r="M1293" s="46"/>
      <c r="N1293" s="46"/>
      <c r="O1293" s="46"/>
      <c r="P1293" s="46"/>
      <c r="Q1293" s="46"/>
      <c r="R1293" s="46"/>
      <c r="S1293" s="46"/>
      <c r="T1293" s="46"/>
      <c r="U1293" s="46"/>
      <c r="V1293" s="46"/>
      <c r="W1293" s="46"/>
      <c r="X1293" s="46"/>
      <c r="Y1293" s="46"/>
      <c r="Z1293" s="46" t="s">
        <v>3587</v>
      </c>
      <c r="AA1293" s="61">
        <f>IF(OR(G1293="ALK",G1293="PEM",G1293="SOEC",G1293="Other Electrolysis"),
AB1293*VLOOKUP(G1293,ElectrolysisConvF,3,FALSE),
"")</f>
        <v>2077.8820994305065</v>
      </c>
      <c r="AB1293" s="62">
        <f>AC1293/(H2dens*HoursInYear/10^6)</f>
        <v>461751.57765122369</v>
      </c>
      <c r="AC1293" s="62">
        <f>180/H2ProjectDB4578610[[#This Row],[Column33]]</f>
        <v>360</v>
      </c>
      <c r="AD1293" s="62"/>
      <c r="AE1293" s="62">
        <f t="shared" si="147"/>
        <v>461751.57765122369</v>
      </c>
      <c r="AF1293" s="64" t="s">
        <v>3585</v>
      </c>
      <c r="AG1293" s="49">
        <v>0.5</v>
      </c>
    </row>
    <row r="1294" spans="1:33" customFormat="1" ht="35.1" customHeight="1" x14ac:dyDescent="0.3">
      <c r="A1294" s="46">
        <v>1822</v>
      </c>
      <c r="B1294" s="46" t="s">
        <v>3588</v>
      </c>
      <c r="C1294" s="46" t="s">
        <v>83</v>
      </c>
      <c r="D1294" s="60">
        <v>2025</v>
      </c>
      <c r="E1294" s="60"/>
      <c r="F1294" s="46" t="s">
        <v>591</v>
      </c>
      <c r="G1294" s="46" t="s">
        <v>159</v>
      </c>
      <c r="H1294" s="46" t="s">
        <v>592</v>
      </c>
      <c r="I1294" s="46" t="s">
        <v>169</v>
      </c>
      <c r="J1294" s="46" t="s">
        <v>69</v>
      </c>
      <c r="K1294" s="46" t="s">
        <v>141</v>
      </c>
      <c r="L1294" s="46"/>
      <c r="M1294" s="46">
        <v>1</v>
      </c>
      <c r="N1294" s="46"/>
      <c r="O1294" s="46"/>
      <c r="P1294" s="46"/>
      <c r="Q1294" s="46"/>
      <c r="R1294" s="46"/>
      <c r="S1294" s="46"/>
      <c r="T1294" s="46"/>
      <c r="U1294" s="46"/>
      <c r="V1294" s="46"/>
      <c r="W1294" s="46"/>
      <c r="X1294" s="46"/>
      <c r="Y1294" s="46"/>
      <c r="Z1294" s="46" t="s">
        <v>3589</v>
      </c>
      <c r="AA1294" s="61">
        <f>IF(OR(G1294="ALK",G1294="PEM",G1294="SOEC",G1294="Other Electrolysis"),
AB1294*VLOOKUP(G1294,ElectrolysisConvF,3,FALSE),
"")</f>
        <v>207.87135848644522</v>
      </c>
      <c r="AB1294" s="62">
        <f>AC1294/(H2dens*HoursInYear/10^6)</f>
        <v>46193.635219210053</v>
      </c>
      <c r="AC1294" s="63">
        <f>(100*3/17/0.98)/H2ProjectDB4578610[[#This Row],[Column33]]</f>
        <v>36.014405762304925</v>
      </c>
      <c r="AD1294" s="62"/>
      <c r="AE1294" s="62">
        <f t="shared" si="147"/>
        <v>46193.635219210053</v>
      </c>
      <c r="AF1294" s="64" t="s">
        <v>3585</v>
      </c>
      <c r="AG1294" s="49">
        <v>0.5</v>
      </c>
    </row>
    <row r="1295" spans="1:33" customFormat="1" ht="35.1" customHeight="1" x14ac:dyDescent="0.3">
      <c r="A1295" s="46">
        <v>1823</v>
      </c>
      <c r="B1295" s="46" t="s">
        <v>3590</v>
      </c>
      <c r="C1295" s="46" t="s">
        <v>83</v>
      </c>
      <c r="D1295" s="60">
        <v>2029</v>
      </c>
      <c r="E1295" s="60"/>
      <c r="F1295" s="46" t="s">
        <v>591</v>
      </c>
      <c r="G1295" s="46" t="s">
        <v>159</v>
      </c>
      <c r="H1295" s="46" t="s">
        <v>592</v>
      </c>
      <c r="I1295" s="46" t="s">
        <v>169</v>
      </c>
      <c r="J1295" s="46" t="s">
        <v>69</v>
      </c>
      <c r="K1295" s="46" t="s">
        <v>141</v>
      </c>
      <c r="L1295" s="46"/>
      <c r="M1295" s="46">
        <v>1</v>
      </c>
      <c r="N1295" s="46"/>
      <c r="O1295" s="46"/>
      <c r="P1295" s="46"/>
      <c r="Q1295" s="46"/>
      <c r="R1295" s="46"/>
      <c r="S1295" s="46"/>
      <c r="T1295" s="46"/>
      <c r="U1295" s="46"/>
      <c r="V1295" s="46"/>
      <c r="W1295" s="46"/>
      <c r="X1295" s="46"/>
      <c r="Y1295" s="46"/>
      <c r="Z1295" s="46" t="s">
        <v>3591</v>
      </c>
      <c r="AA1295" s="61">
        <f>IF(OR(G1295="ALK",G1295="PEM",G1295="SOEC",G1295="Other Electrolysis"),
AB1295*VLOOKUP(G1295,ElectrolysisConvF,3,FALSE),
"")</f>
        <v>2078.7135848644521</v>
      </c>
      <c r="AB1295" s="62">
        <f>AC1295/(H2dens*HoursInYear/10^6)</f>
        <v>461936.35219210049</v>
      </c>
      <c r="AC1295" s="63">
        <f>(1000*3/17/0.98)/H2ProjectDB4578610[[#This Row],[Column33]]</f>
        <v>360.14405762304921</v>
      </c>
      <c r="AD1295" s="62"/>
      <c r="AE1295" s="62">
        <f t="shared" si="147"/>
        <v>461936.35219210049</v>
      </c>
      <c r="AF1295" s="64" t="s">
        <v>3585</v>
      </c>
      <c r="AG1295" s="49">
        <v>0.5</v>
      </c>
    </row>
    <row r="1296" spans="1:33" customFormat="1" ht="35.1" customHeight="1" x14ac:dyDescent="0.3">
      <c r="A1296" s="46">
        <v>1824</v>
      </c>
      <c r="B1296" s="46" t="s">
        <v>3592</v>
      </c>
      <c r="C1296" s="46" t="s">
        <v>46</v>
      </c>
      <c r="D1296" s="60">
        <v>2025</v>
      </c>
      <c r="E1296" s="60"/>
      <c r="F1296" s="46" t="s">
        <v>225</v>
      </c>
      <c r="G1296" s="46" t="s">
        <v>159</v>
      </c>
      <c r="H1296" s="46" t="s">
        <v>592</v>
      </c>
      <c r="I1296" s="46" t="s">
        <v>169</v>
      </c>
      <c r="J1296" s="46" t="s">
        <v>69</v>
      </c>
      <c r="K1296" s="46" t="s">
        <v>68</v>
      </c>
      <c r="L1296" s="46"/>
      <c r="M1296" s="46">
        <v>1</v>
      </c>
      <c r="N1296" s="46">
        <v>1</v>
      </c>
      <c r="O1296" s="46"/>
      <c r="P1296" s="46">
        <v>1</v>
      </c>
      <c r="Q1296" s="46">
        <v>1</v>
      </c>
      <c r="R1296" s="46"/>
      <c r="S1296" s="46"/>
      <c r="T1296" s="46"/>
      <c r="U1296" s="46"/>
      <c r="V1296" s="46"/>
      <c r="W1296" s="46">
        <v>1</v>
      </c>
      <c r="X1296" s="46"/>
      <c r="Y1296" s="46"/>
      <c r="Z1296" s="46" t="s">
        <v>1177</v>
      </c>
      <c r="AA1296" s="61">
        <v>100</v>
      </c>
      <c r="AB1296" s="62">
        <f>IF(OR(G1296="ALK",G1296="PEM",G1296="SOEC",G1296="Other Electrolysis"),
AA1296/VLOOKUP(G1296,ElectrolysisConvF,3,FALSE),
AC1296*10^6/(H2dens*HoursInYear))</f>
        <v>22222.222222222223</v>
      </c>
      <c r="AC1296" s="63">
        <f>AB1296*H2dens*HoursInYear/10^6</f>
        <v>17.325333333333333</v>
      </c>
      <c r="AD1296" s="62"/>
      <c r="AE1296" s="62">
        <f t="shared" si="147"/>
        <v>22222.222222222223</v>
      </c>
      <c r="AF1296" s="64" t="s">
        <v>3593</v>
      </c>
      <c r="AG1296" s="49">
        <v>0.5</v>
      </c>
    </row>
    <row r="1297" spans="1:33" customFormat="1" ht="35.1" customHeight="1" x14ac:dyDescent="0.3">
      <c r="A1297" s="46">
        <v>1825</v>
      </c>
      <c r="B1297" s="46" t="s">
        <v>3594</v>
      </c>
      <c r="C1297" s="46" t="s">
        <v>44</v>
      </c>
      <c r="D1297" s="60">
        <v>2027</v>
      </c>
      <c r="E1297" s="60"/>
      <c r="F1297" s="46" t="s">
        <v>225</v>
      </c>
      <c r="G1297" s="46" t="s">
        <v>159</v>
      </c>
      <c r="H1297" s="46" t="s">
        <v>592</v>
      </c>
      <c r="I1297" s="46" t="s">
        <v>1317</v>
      </c>
      <c r="J1297" s="46" t="s">
        <v>248</v>
      </c>
      <c r="K1297" s="46" t="s">
        <v>68</v>
      </c>
      <c r="L1297" s="46"/>
      <c r="M1297" s="46"/>
      <c r="N1297" s="46"/>
      <c r="O1297" s="46"/>
      <c r="P1297" s="46"/>
      <c r="Q1297" s="46"/>
      <c r="R1297" s="46"/>
      <c r="S1297" s="46"/>
      <c r="T1297" s="46"/>
      <c r="U1297" s="46"/>
      <c r="V1297" s="46"/>
      <c r="W1297" s="46"/>
      <c r="X1297" s="46"/>
      <c r="Y1297" s="46"/>
      <c r="Z1297" s="46" t="s">
        <v>3595</v>
      </c>
      <c r="AA1297" s="61">
        <v>60</v>
      </c>
      <c r="AB1297" s="62">
        <f>IF(OR(G1297="ALK",G1297="PEM",G1297="SOEC",G1297="Other Electrolysis"),
AA1297/VLOOKUP(G1297,ElectrolysisConvF,3,FALSE),
AC1297*10^6/(H2dens*HoursInYear))</f>
        <v>13333.333333333334</v>
      </c>
      <c r="AC1297" s="63">
        <f>AB1297*H2dens*HoursInYear/10^6</f>
        <v>10.395200000000001</v>
      </c>
      <c r="AD1297" s="62"/>
      <c r="AE1297" s="62">
        <f t="shared" si="147"/>
        <v>13333.333333333334</v>
      </c>
      <c r="AF1297" s="64" t="s">
        <v>3596</v>
      </c>
      <c r="AG1297" s="49">
        <v>0.7</v>
      </c>
    </row>
    <row r="1298" spans="1:33" customFormat="1" ht="35.1" customHeight="1" x14ac:dyDescent="0.3">
      <c r="A1298" s="46">
        <v>1826</v>
      </c>
      <c r="B1298" s="46" t="s">
        <v>3597</v>
      </c>
      <c r="C1298" s="46" t="s">
        <v>44</v>
      </c>
      <c r="D1298" s="60">
        <v>2030</v>
      </c>
      <c r="E1298" s="60"/>
      <c r="F1298" s="46" t="s">
        <v>225</v>
      </c>
      <c r="G1298" s="46" t="s">
        <v>159</v>
      </c>
      <c r="H1298" s="46" t="s">
        <v>592</v>
      </c>
      <c r="I1298" s="46" t="s">
        <v>1317</v>
      </c>
      <c r="J1298" s="46" t="s">
        <v>248</v>
      </c>
      <c r="K1298" s="46" t="s">
        <v>68</v>
      </c>
      <c r="L1298" s="46"/>
      <c r="M1298" s="46"/>
      <c r="N1298" s="46"/>
      <c r="O1298" s="46"/>
      <c r="P1298" s="46"/>
      <c r="Q1298" s="46"/>
      <c r="R1298" s="46"/>
      <c r="S1298" s="46"/>
      <c r="T1298" s="46"/>
      <c r="U1298" s="46"/>
      <c r="V1298" s="46"/>
      <c r="W1298" s="46"/>
      <c r="X1298" s="46"/>
      <c r="Y1298" s="46"/>
      <c r="Z1298" s="46" t="s">
        <v>3598</v>
      </c>
      <c r="AA1298" s="61">
        <f>300-60</f>
        <v>240</v>
      </c>
      <c r="AB1298" s="62">
        <f>IF(OR(G1298="ALK",G1298="PEM",G1298="SOEC",G1298="Other Electrolysis"),
AA1298/VLOOKUP(G1298,ElectrolysisConvF,3,FALSE),
AC1298*10^6/(H2dens*HoursInYear))</f>
        <v>53333.333333333336</v>
      </c>
      <c r="AC1298" s="63">
        <f>AB1298*H2dens*HoursInYear/10^6</f>
        <v>41.580800000000004</v>
      </c>
      <c r="AD1298" s="62"/>
      <c r="AE1298" s="62">
        <f t="shared" ref="AE1298:AE1361" si="151">IF(AND(G1298&lt;&gt;"NG w CCUS",G1298&lt;&gt;"Oil w CCUS",G1298&lt;&gt;"Coal w CCUS"),AB1298,AD1298*10^3/(HoursInYear*IF(G1298="NG w CCUS",0.9105,1.9075)))</f>
        <v>53333.333333333336</v>
      </c>
      <c r="AF1298" s="64" t="s">
        <v>3596</v>
      </c>
      <c r="AG1298" s="49">
        <v>0.7</v>
      </c>
    </row>
    <row r="1299" spans="1:33" customFormat="1" ht="35.1" customHeight="1" x14ac:dyDescent="0.3">
      <c r="A1299" s="46">
        <v>1827</v>
      </c>
      <c r="B1299" s="46" t="s">
        <v>3599</v>
      </c>
      <c r="C1299" s="46" t="s">
        <v>132</v>
      </c>
      <c r="D1299" s="60">
        <v>2030</v>
      </c>
      <c r="E1299" s="60"/>
      <c r="F1299" s="46" t="s">
        <v>591</v>
      </c>
      <c r="G1299" s="46" t="s">
        <v>159</v>
      </c>
      <c r="H1299" s="46" t="s">
        <v>592</v>
      </c>
      <c r="I1299" s="46" t="s">
        <v>169</v>
      </c>
      <c r="J1299" s="46" t="s">
        <v>69</v>
      </c>
      <c r="K1299" s="46" t="s">
        <v>72</v>
      </c>
      <c r="L1299" s="46"/>
      <c r="M1299" s="46"/>
      <c r="N1299" s="46"/>
      <c r="O1299" s="46"/>
      <c r="P1299" s="46"/>
      <c r="Q1299" s="46"/>
      <c r="R1299" s="46"/>
      <c r="S1299" s="46"/>
      <c r="T1299" s="46"/>
      <c r="U1299" s="46"/>
      <c r="V1299" s="46"/>
      <c r="W1299" s="46"/>
      <c r="X1299" s="46">
        <v>1</v>
      </c>
      <c r="Y1299" s="46"/>
      <c r="Z1299" s="46" t="s">
        <v>3600</v>
      </c>
      <c r="AA1299" s="61">
        <f>IF(OR(G1299="ALK",G1299="PEM",G1299="SOEC",G1299="Other Electrolysis"),
AB1299*VLOOKUP(G1299,ElectrolysisConvF,3,FALSE),
"")</f>
        <v>395.33525483837639</v>
      </c>
      <c r="AB1299" s="62">
        <f>AC1299/(H2dens*HoursInYear/10^6)</f>
        <v>87852.278852972537</v>
      </c>
      <c r="AC1299" s="62">
        <f>(60*50/120/0.73)/H2ProjectDB4578610[[#This Row],[Column33]]</f>
        <v>68.493150684931507</v>
      </c>
      <c r="AD1299" s="62"/>
      <c r="AE1299" s="62">
        <f t="shared" si="151"/>
        <v>87852.278852972537</v>
      </c>
      <c r="AF1299" s="64" t="s">
        <v>3601</v>
      </c>
      <c r="AG1299" s="49">
        <v>0.5</v>
      </c>
    </row>
    <row r="1300" spans="1:33" customFormat="1" ht="35.1" customHeight="1" x14ac:dyDescent="0.3">
      <c r="A1300" s="46">
        <v>1828</v>
      </c>
      <c r="B1300" s="46" t="s">
        <v>3602</v>
      </c>
      <c r="C1300" s="46" t="s">
        <v>37</v>
      </c>
      <c r="D1300" s="60">
        <v>2023</v>
      </c>
      <c r="E1300" s="60"/>
      <c r="F1300" s="46" t="s">
        <v>675</v>
      </c>
      <c r="G1300" s="46" t="s">
        <v>1</v>
      </c>
      <c r="H1300" s="46"/>
      <c r="I1300" s="46" t="s">
        <v>169</v>
      </c>
      <c r="J1300" s="46" t="s">
        <v>69</v>
      </c>
      <c r="K1300" s="46" t="s">
        <v>68</v>
      </c>
      <c r="L1300" s="46">
        <v>1</v>
      </c>
      <c r="M1300" s="46"/>
      <c r="N1300" s="46"/>
      <c r="O1300" s="46"/>
      <c r="P1300" s="46"/>
      <c r="Q1300" s="46"/>
      <c r="R1300" s="46"/>
      <c r="S1300" s="46"/>
      <c r="T1300" s="46"/>
      <c r="U1300" s="46"/>
      <c r="V1300" s="46"/>
      <c r="W1300" s="46"/>
      <c r="X1300" s="46"/>
      <c r="Y1300" s="46"/>
      <c r="Z1300" s="46" t="s">
        <v>1396</v>
      </c>
      <c r="AA1300" s="61">
        <v>5</v>
      </c>
      <c r="AB1300" s="62">
        <f>IF(OR(G1300="ALK",G1300="PEM",G1300="SOEC",G1300="Other Electrolysis"),
AA1300/VLOOKUP(G1300,ElectrolysisConvF,3,FALSE),
AC1300*10^6/(H2dens*HoursInYear))</f>
        <v>961.53846153846155</v>
      </c>
      <c r="AC1300" s="63">
        <f>AB1300*H2dens*HoursInYear/10^6</f>
        <v>0.74965384615384612</v>
      </c>
      <c r="AD1300" s="62"/>
      <c r="AE1300" s="62">
        <f t="shared" si="151"/>
        <v>961.53846153846155</v>
      </c>
      <c r="AF1300" s="64" t="s">
        <v>3603</v>
      </c>
      <c r="AG1300" s="49">
        <v>0.5</v>
      </c>
    </row>
    <row r="1301" spans="1:33" customFormat="1" ht="35.1" customHeight="1" x14ac:dyDescent="0.3">
      <c r="A1301" s="46">
        <v>1829</v>
      </c>
      <c r="B1301" s="46" t="s">
        <v>3604</v>
      </c>
      <c r="C1301" s="46" t="s">
        <v>52</v>
      </c>
      <c r="D1301" s="60">
        <v>2025</v>
      </c>
      <c r="E1301" s="60"/>
      <c r="F1301" s="46" t="s">
        <v>225</v>
      </c>
      <c r="G1301" s="46" t="s">
        <v>1</v>
      </c>
      <c r="H1301" s="46"/>
      <c r="I1301" s="46" t="s">
        <v>169</v>
      </c>
      <c r="J1301" s="46" t="s">
        <v>69</v>
      </c>
      <c r="K1301" s="46" t="s">
        <v>68</v>
      </c>
      <c r="L1301" s="46"/>
      <c r="M1301" s="46"/>
      <c r="N1301" s="46"/>
      <c r="O1301" s="46"/>
      <c r="P1301" s="46">
        <v>1</v>
      </c>
      <c r="Q1301" s="46"/>
      <c r="R1301" s="46"/>
      <c r="S1301" s="46"/>
      <c r="T1301" s="46"/>
      <c r="U1301" s="46"/>
      <c r="V1301" s="46"/>
      <c r="W1301" s="46"/>
      <c r="X1301" s="46"/>
      <c r="Y1301" s="46"/>
      <c r="Z1301" s="46" t="s">
        <v>1257</v>
      </c>
      <c r="AA1301" s="61">
        <v>100</v>
      </c>
      <c r="AB1301" s="62">
        <f>IF(OR(G1301="ALK",G1301="PEM",G1301="SOEC",G1301="Other Electrolysis"),
AA1301/VLOOKUP(G1301,ElectrolysisConvF,3,FALSE),
AC1301*10^6/(H2dens*HoursInYear))</f>
        <v>19230.76923076923</v>
      </c>
      <c r="AC1301" s="63">
        <f>AB1301*H2dens*HoursInYear/10^6</f>
        <v>14.993076923076922</v>
      </c>
      <c r="AD1301" s="62"/>
      <c r="AE1301" s="62">
        <f t="shared" si="151"/>
        <v>19230.76923076923</v>
      </c>
      <c r="AF1301" s="64" t="s">
        <v>3605</v>
      </c>
      <c r="AG1301" s="49">
        <v>0.5</v>
      </c>
    </row>
    <row r="1302" spans="1:33" customFormat="1" ht="35.1" customHeight="1" x14ac:dyDescent="0.3">
      <c r="A1302" s="46">
        <v>1830</v>
      </c>
      <c r="B1302" s="46" t="s">
        <v>3606</v>
      </c>
      <c r="C1302" s="46" t="s">
        <v>203</v>
      </c>
      <c r="D1302" s="60">
        <v>2023</v>
      </c>
      <c r="E1302" s="60"/>
      <c r="F1302" s="46" t="s">
        <v>675</v>
      </c>
      <c r="G1302" s="46" t="s">
        <v>159</v>
      </c>
      <c r="H1302" s="46" t="s">
        <v>592</v>
      </c>
      <c r="I1302" s="46" t="s">
        <v>169</v>
      </c>
      <c r="J1302" s="46" t="s">
        <v>69</v>
      </c>
      <c r="K1302" s="46" t="s">
        <v>167</v>
      </c>
      <c r="L1302" s="46"/>
      <c r="M1302" s="46"/>
      <c r="N1302" s="46"/>
      <c r="O1302" s="46"/>
      <c r="P1302" s="46"/>
      <c r="Q1302" s="46"/>
      <c r="R1302" s="46"/>
      <c r="S1302" s="46"/>
      <c r="T1302" s="46"/>
      <c r="U1302" s="46"/>
      <c r="V1302" s="46"/>
      <c r="W1302" s="46">
        <v>1</v>
      </c>
      <c r="X1302" s="46"/>
      <c r="Y1302" s="46"/>
      <c r="Z1302" s="46" t="s">
        <v>3607</v>
      </c>
      <c r="AA1302" s="61">
        <v>10</v>
      </c>
      <c r="AB1302" s="62">
        <f>IF(OR(G1302="ALK",G1302="PEM",G1302="SOEC",G1302="Other Electrolysis"),
AA1302/VLOOKUP(G1302,ElectrolysisConvF,3,FALSE),
AC1302*10^6/(H2dens*HoursInYear))</f>
        <v>2222.2222222222222</v>
      </c>
      <c r="AC1302" s="63">
        <f>AB1302*H2dens*HoursInYear/10^6</f>
        <v>1.7325333333333333</v>
      </c>
      <c r="AD1302" s="62"/>
      <c r="AE1302" s="62">
        <f t="shared" si="151"/>
        <v>2222.2222222222222</v>
      </c>
      <c r="AF1302" s="64" t="s">
        <v>3608</v>
      </c>
      <c r="AG1302" s="49">
        <v>0.5</v>
      </c>
    </row>
    <row r="1303" spans="1:33" customFormat="1" ht="35.1" customHeight="1" x14ac:dyDescent="0.3">
      <c r="A1303" s="46">
        <v>1831</v>
      </c>
      <c r="B1303" s="46" t="s">
        <v>3609</v>
      </c>
      <c r="C1303" s="46" t="s">
        <v>40</v>
      </c>
      <c r="D1303" s="60">
        <v>2026</v>
      </c>
      <c r="E1303" s="60"/>
      <c r="F1303" s="46" t="s">
        <v>225</v>
      </c>
      <c r="G1303" s="46" t="s">
        <v>159</v>
      </c>
      <c r="H1303" s="46" t="s">
        <v>592</v>
      </c>
      <c r="I1303" s="46" t="s">
        <v>169</v>
      </c>
      <c r="J1303" s="46" t="s">
        <v>248</v>
      </c>
      <c r="K1303" s="46" t="s">
        <v>68</v>
      </c>
      <c r="L1303" s="46"/>
      <c r="M1303" s="46">
        <v>1</v>
      </c>
      <c r="N1303" s="46"/>
      <c r="O1303" s="46"/>
      <c r="P1303" s="46"/>
      <c r="Q1303" s="46">
        <v>1</v>
      </c>
      <c r="R1303" s="46">
        <v>1</v>
      </c>
      <c r="S1303" s="46"/>
      <c r="T1303" s="46"/>
      <c r="U1303" s="46"/>
      <c r="V1303" s="46"/>
      <c r="W1303" s="46">
        <v>1</v>
      </c>
      <c r="X1303" s="46"/>
      <c r="Y1303" s="46"/>
      <c r="Z1303" s="46" t="s">
        <v>2845</v>
      </c>
      <c r="AA1303" s="61">
        <v>2000</v>
      </c>
      <c r="AB1303" s="62">
        <f>IF(OR(G1303="ALK",G1303="PEM",G1303="SOEC",G1303="Other Electrolysis"),
AA1303/VLOOKUP(G1303,ElectrolysisConvF,3,FALSE),
AC1303*10^6/(H2dens*HoursInYear))</f>
        <v>444444.4444444445</v>
      </c>
      <c r="AC1303" s="63">
        <f>AB1303*H2dens*HoursInYear/10^6</f>
        <v>346.50666666666666</v>
      </c>
      <c r="AD1303" s="62"/>
      <c r="AE1303" s="62">
        <f t="shared" si="151"/>
        <v>444444.4444444445</v>
      </c>
      <c r="AF1303" s="64" t="s">
        <v>3610</v>
      </c>
      <c r="AG1303" s="49">
        <v>0.5</v>
      </c>
    </row>
    <row r="1304" spans="1:33" customFormat="1" ht="35.1" customHeight="1" x14ac:dyDescent="0.3">
      <c r="A1304" s="46">
        <v>1832</v>
      </c>
      <c r="B1304" s="46" t="s">
        <v>3611</v>
      </c>
      <c r="C1304" s="46" t="s">
        <v>40</v>
      </c>
      <c r="D1304" s="60"/>
      <c r="E1304" s="60"/>
      <c r="F1304" s="46" t="s">
        <v>591</v>
      </c>
      <c r="G1304" s="46" t="s">
        <v>159</v>
      </c>
      <c r="H1304" s="46" t="s">
        <v>592</v>
      </c>
      <c r="I1304" s="46" t="s">
        <v>169</v>
      </c>
      <c r="J1304" s="46" t="s">
        <v>248</v>
      </c>
      <c r="K1304" s="46" t="s">
        <v>68</v>
      </c>
      <c r="L1304" s="46"/>
      <c r="M1304" s="46">
        <v>1</v>
      </c>
      <c r="N1304" s="46"/>
      <c r="O1304" s="46"/>
      <c r="P1304" s="46"/>
      <c r="Q1304" s="46">
        <v>1</v>
      </c>
      <c r="R1304" s="46">
        <v>1</v>
      </c>
      <c r="S1304" s="46"/>
      <c r="T1304" s="46"/>
      <c r="U1304" s="46"/>
      <c r="V1304" s="46"/>
      <c r="W1304" s="46">
        <v>1</v>
      </c>
      <c r="X1304" s="46"/>
      <c r="Y1304" s="46"/>
      <c r="Z1304" s="46" t="s">
        <v>3612</v>
      </c>
      <c r="AA1304" s="61">
        <f>IF(OR(G1304="ALK",G1304="PEM",G1304="SOEC",G1304="Other Electrolysis"),
AB1304*VLOOKUP(G1304,ElectrolysisConvF,3,FALSE),
"")</f>
        <v>15315.722641219023</v>
      </c>
      <c r="AB1304" s="62">
        <f>AC1304/(0.089*24*365/10^6)</f>
        <v>3403493.9202708942</v>
      </c>
      <c r="AC1304" s="63">
        <f>3000-346.5</f>
        <v>2653.5</v>
      </c>
      <c r="AD1304" s="62"/>
      <c r="AE1304" s="62">
        <f t="shared" si="151"/>
        <v>3403493.9202708942</v>
      </c>
      <c r="AF1304" s="64" t="s">
        <v>3610</v>
      </c>
      <c r="AG1304" s="49">
        <v>0.5</v>
      </c>
    </row>
    <row r="1305" spans="1:33" customFormat="1" ht="35.1" customHeight="1" x14ac:dyDescent="0.3">
      <c r="A1305" s="46">
        <v>1833</v>
      </c>
      <c r="B1305" s="46" t="s">
        <v>3613</v>
      </c>
      <c r="C1305" s="46" t="s">
        <v>37</v>
      </c>
      <c r="D1305" s="60"/>
      <c r="E1305" s="60"/>
      <c r="F1305" s="46" t="s">
        <v>591</v>
      </c>
      <c r="G1305" s="46" t="s">
        <v>159</v>
      </c>
      <c r="H1305" s="46" t="s">
        <v>592</v>
      </c>
      <c r="I1305" s="46" t="s">
        <v>169</v>
      </c>
      <c r="J1305" s="46" t="s">
        <v>246</v>
      </c>
      <c r="K1305" s="46" t="s">
        <v>68</v>
      </c>
      <c r="L1305" s="46"/>
      <c r="M1305" s="46"/>
      <c r="N1305" s="46"/>
      <c r="O1305" s="46"/>
      <c r="P1305" s="46"/>
      <c r="Q1305" s="46"/>
      <c r="R1305" s="46"/>
      <c r="S1305" s="46"/>
      <c r="T1305" s="46"/>
      <c r="U1305" s="46"/>
      <c r="V1305" s="46"/>
      <c r="W1305" s="46"/>
      <c r="X1305" s="46"/>
      <c r="Y1305" s="46"/>
      <c r="Z1305" s="46" t="s">
        <v>3614</v>
      </c>
      <c r="AA1305" s="61">
        <f>IF(OR(G1305="ALK",G1305="PEM",G1305="SOEC",G1305="Other Electrolysis"),
AB1305*VLOOKUP(G1305,ElectrolysisConvF,3,FALSE),
"")</f>
        <v>248.19147298753268</v>
      </c>
      <c r="AB1305" s="62">
        <f>AC1305/(0.089*24*365/10^6)</f>
        <v>55153.660663896153</v>
      </c>
      <c r="AC1305" s="63">
        <f>43</f>
        <v>43</v>
      </c>
      <c r="AD1305" s="62"/>
      <c r="AE1305" s="62">
        <f t="shared" si="151"/>
        <v>55153.660663896153</v>
      </c>
      <c r="AF1305" s="64" t="s">
        <v>3615</v>
      </c>
      <c r="AG1305" s="49">
        <v>0.55000000000000004</v>
      </c>
    </row>
    <row r="1306" spans="1:33" customFormat="1" ht="35.1" customHeight="1" x14ac:dyDescent="0.3">
      <c r="A1306" s="46">
        <v>1834</v>
      </c>
      <c r="B1306" s="46" t="s">
        <v>3616</v>
      </c>
      <c r="C1306" s="46" t="s">
        <v>37</v>
      </c>
      <c r="D1306" s="60"/>
      <c r="E1306" s="60"/>
      <c r="F1306" s="46" t="s">
        <v>591</v>
      </c>
      <c r="G1306" s="46" t="s">
        <v>159</v>
      </c>
      <c r="H1306" s="46" t="s">
        <v>592</v>
      </c>
      <c r="I1306" s="46" t="s">
        <v>169</v>
      </c>
      <c r="J1306" s="46" t="s">
        <v>246</v>
      </c>
      <c r="K1306" s="46" t="s">
        <v>68</v>
      </c>
      <c r="L1306" s="46"/>
      <c r="M1306" s="46"/>
      <c r="N1306" s="46"/>
      <c r="O1306" s="46"/>
      <c r="P1306" s="46"/>
      <c r="Q1306" s="46"/>
      <c r="R1306" s="46"/>
      <c r="S1306" s="46"/>
      <c r="T1306" s="46"/>
      <c r="U1306" s="46"/>
      <c r="V1306" s="46"/>
      <c r="W1306" s="46"/>
      <c r="X1306" s="46"/>
      <c r="Y1306" s="46"/>
      <c r="Z1306" s="46" t="s">
        <v>3614</v>
      </c>
      <c r="AA1306" s="61">
        <f>IF(OR(G1306="ALK",G1306="PEM",G1306="SOEC",G1306="Other Electrolysis"),
AB1306*VLOOKUP(G1306,ElectrolysisConvF,3,FALSE),
"")</f>
        <v>248.19147298753268</v>
      </c>
      <c r="AB1306" s="62">
        <f>AC1306/(0.089*24*365/10^6)</f>
        <v>55153.660663896153</v>
      </c>
      <c r="AC1306" s="63">
        <f>43</f>
        <v>43</v>
      </c>
      <c r="AD1306" s="62"/>
      <c r="AE1306" s="62">
        <f t="shared" si="151"/>
        <v>55153.660663896153</v>
      </c>
      <c r="AF1306" s="64" t="s">
        <v>3617</v>
      </c>
      <c r="AG1306" s="49">
        <v>0.55000000000000004</v>
      </c>
    </row>
    <row r="1307" spans="1:33" customFormat="1" ht="35.1" customHeight="1" x14ac:dyDescent="0.3">
      <c r="A1307" s="46">
        <v>1835</v>
      </c>
      <c r="B1307" s="46" t="s">
        <v>3618</v>
      </c>
      <c r="C1307" s="46" t="s">
        <v>34</v>
      </c>
      <c r="D1307" s="60">
        <v>2023</v>
      </c>
      <c r="E1307" s="60"/>
      <c r="F1307" s="46" t="s">
        <v>225</v>
      </c>
      <c r="G1307" s="46" t="s">
        <v>1</v>
      </c>
      <c r="H1307" s="46" t="s">
        <v>592</v>
      </c>
      <c r="I1307" s="46" t="s">
        <v>169</v>
      </c>
      <c r="J1307" s="46" t="s">
        <v>248</v>
      </c>
      <c r="K1307" s="46" t="s">
        <v>72</v>
      </c>
      <c r="L1307" s="46"/>
      <c r="M1307" s="46"/>
      <c r="N1307" s="46"/>
      <c r="O1307" s="46"/>
      <c r="P1307" s="46"/>
      <c r="Q1307" s="46"/>
      <c r="R1307" s="46"/>
      <c r="S1307" s="46"/>
      <c r="T1307" s="46"/>
      <c r="U1307" s="46"/>
      <c r="V1307" s="46"/>
      <c r="W1307" s="46"/>
      <c r="X1307" s="46">
        <v>1</v>
      </c>
      <c r="Y1307" s="46"/>
      <c r="Z1307" s="46" t="s">
        <v>3619</v>
      </c>
      <c r="AA1307" s="61">
        <v>1</v>
      </c>
      <c r="AB1307" s="62">
        <f>IF(OR(G1307="ALK",G1307="PEM",G1307="SOEC",G1307="Other Electrolysis"),
AA1307/VLOOKUP(G1307,ElectrolysisConvF,3,FALSE),
AC1307*10^6/(H2dens*HoursInYear))</f>
        <v>192.30769230769232</v>
      </c>
      <c r="AC1307" s="63">
        <f>AB1307*H2dens*HoursInYear/10^6</f>
        <v>0.14993076923076926</v>
      </c>
      <c r="AD1307" s="62"/>
      <c r="AE1307" s="62">
        <f t="shared" si="151"/>
        <v>192.30769230769232</v>
      </c>
      <c r="AF1307" s="64" t="s">
        <v>3620</v>
      </c>
      <c r="AG1307" s="49">
        <v>0.5</v>
      </c>
    </row>
    <row r="1308" spans="1:33" customFormat="1" ht="35.1" customHeight="1" x14ac:dyDescent="0.3">
      <c r="A1308" s="46">
        <v>1836</v>
      </c>
      <c r="B1308" s="46" t="s">
        <v>3621</v>
      </c>
      <c r="C1308" s="46" t="s">
        <v>133</v>
      </c>
      <c r="D1308" s="60"/>
      <c r="E1308" s="60"/>
      <c r="F1308" s="46" t="s">
        <v>591</v>
      </c>
      <c r="G1308" s="46" t="s">
        <v>159</v>
      </c>
      <c r="H1308" s="46" t="s">
        <v>592</v>
      </c>
      <c r="I1308" s="46" t="s">
        <v>169</v>
      </c>
      <c r="J1308" s="46" t="s">
        <v>248</v>
      </c>
      <c r="K1308" s="46" t="s">
        <v>68</v>
      </c>
      <c r="L1308" s="46"/>
      <c r="M1308" s="46"/>
      <c r="N1308" s="46"/>
      <c r="O1308" s="46"/>
      <c r="P1308" s="46"/>
      <c r="Q1308" s="46"/>
      <c r="R1308" s="46"/>
      <c r="S1308" s="46"/>
      <c r="T1308" s="46"/>
      <c r="U1308" s="46"/>
      <c r="V1308" s="46"/>
      <c r="W1308" s="46"/>
      <c r="X1308" s="46"/>
      <c r="Y1308" s="46"/>
      <c r="Z1308" s="46"/>
      <c r="AA1308" s="61"/>
      <c r="AB1308" s="62"/>
      <c r="AC1308" s="62"/>
      <c r="AD1308" s="62"/>
      <c r="AE1308" s="62">
        <f t="shared" si="151"/>
        <v>0</v>
      </c>
      <c r="AF1308" s="64" t="s">
        <v>3622</v>
      </c>
      <c r="AG1308" s="49">
        <v>0.5</v>
      </c>
    </row>
    <row r="1309" spans="1:33" customFormat="1" ht="35.1" customHeight="1" x14ac:dyDescent="0.3">
      <c r="A1309" s="46">
        <v>1837</v>
      </c>
      <c r="B1309" s="46" t="s">
        <v>3623</v>
      </c>
      <c r="C1309" s="46" t="s">
        <v>45</v>
      </c>
      <c r="D1309" s="60"/>
      <c r="E1309" s="60"/>
      <c r="F1309" s="46" t="s">
        <v>591</v>
      </c>
      <c r="G1309" s="46" t="s">
        <v>159</v>
      </c>
      <c r="H1309" s="46" t="s">
        <v>592</v>
      </c>
      <c r="I1309" s="46" t="s">
        <v>169</v>
      </c>
      <c r="J1309" s="46" t="s">
        <v>248</v>
      </c>
      <c r="K1309" s="46" t="s">
        <v>68</v>
      </c>
      <c r="L1309" s="46"/>
      <c r="M1309" s="46"/>
      <c r="N1309" s="46"/>
      <c r="O1309" s="46"/>
      <c r="P1309" s="46"/>
      <c r="Q1309" s="46"/>
      <c r="R1309" s="46">
        <v>1</v>
      </c>
      <c r="S1309" s="46"/>
      <c r="T1309" s="46"/>
      <c r="U1309" s="46"/>
      <c r="V1309" s="46"/>
      <c r="W1309" s="46"/>
      <c r="X1309" s="46"/>
      <c r="Y1309" s="46"/>
      <c r="Z1309" s="46"/>
      <c r="AA1309" s="61"/>
      <c r="AB1309" s="62"/>
      <c r="AC1309" s="62"/>
      <c r="AD1309" s="62"/>
      <c r="AE1309" s="62">
        <f t="shared" si="151"/>
        <v>0</v>
      </c>
      <c r="AF1309" s="64" t="s">
        <v>3624</v>
      </c>
      <c r="AG1309" s="49">
        <v>0.5</v>
      </c>
    </row>
    <row r="1310" spans="1:33" customFormat="1" ht="35.1" customHeight="1" x14ac:dyDescent="0.3">
      <c r="A1310" s="46">
        <v>1838</v>
      </c>
      <c r="B1310" s="46" t="s">
        <v>3625</v>
      </c>
      <c r="C1310" s="46" t="s">
        <v>34</v>
      </c>
      <c r="D1310" s="60">
        <v>2024</v>
      </c>
      <c r="E1310" s="60"/>
      <c r="F1310" s="46" t="s">
        <v>591</v>
      </c>
      <c r="G1310" s="46" t="s">
        <v>159</v>
      </c>
      <c r="H1310" s="46" t="s">
        <v>592</v>
      </c>
      <c r="I1310" s="46" t="s">
        <v>169</v>
      </c>
      <c r="J1310" s="46" t="s">
        <v>248</v>
      </c>
      <c r="K1310" s="46" t="s">
        <v>68</v>
      </c>
      <c r="L1310" s="46"/>
      <c r="M1310" s="46"/>
      <c r="N1310" s="46"/>
      <c r="O1310" s="46"/>
      <c r="P1310" s="46"/>
      <c r="Q1310" s="46"/>
      <c r="R1310" s="46">
        <v>1</v>
      </c>
      <c r="S1310" s="46"/>
      <c r="T1310" s="46"/>
      <c r="U1310" s="46"/>
      <c r="V1310" s="46"/>
      <c r="W1310" s="46"/>
      <c r="X1310" s="46"/>
      <c r="Y1310" s="46"/>
      <c r="Z1310" s="46"/>
      <c r="AA1310" s="61"/>
      <c r="AB1310" s="62"/>
      <c r="AC1310" s="62"/>
      <c r="AD1310" s="62"/>
      <c r="AE1310" s="62">
        <f t="shared" si="151"/>
        <v>0</v>
      </c>
      <c r="AF1310" s="64" t="s">
        <v>3626</v>
      </c>
      <c r="AG1310" s="49">
        <v>0.5</v>
      </c>
    </row>
    <row r="1311" spans="1:33" customFormat="1" ht="35.1" customHeight="1" x14ac:dyDescent="0.3">
      <c r="A1311" s="46">
        <v>1839</v>
      </c>
      <c r="B1311" s="46" t="s">
        <v>3627</v>
      </c>
      <c r="C1311" s="46" t="s">
        <v>39</v>
      </c>
      <c r="D1311" s="60">
        <v>2026</v>
      </c>
      <c r="E1311" s="60"/>
      <c r="F1311" s="46" t="s">
        <v>591</v>
      </c>
      <c r="G1311" s="46" t="s">
        <v>159</v>
      </c>
      <c r="H1311" s="46" t="s">
        <v>592</v>
      </c>
      <c r="I1311" s="46" t="s">
        <v>169</v>
      </c>
      <c r="J1311" s="46" t="s">
        <v>248</v>
      </c>
      <c r="K1311" s="46" t="s">
        <v>68</v>
      </c>
      <c r="L1311" s="46"/>
      <c r="M1311" s="46"/>
      <c r="N1311" s="46"/>
      <c r="O1311" s="46"/>
      <c r="P1311" s="46"/>
      <c r="Q1311" s="46">
        <v>1</v>
      </c>
      <c r="R1311" s="46">
        <v>1</v>
      </c>
      <c r="S1311" s="46"/>
      <c r="T1311" s="46"/>
      <c r="U1311" s="46"/>
      <c r="V1311" s="46"/>
      <c r="W1311" s="46"/>
      <c r="X1311" s="46"/>
      <c r="Y1311" s="46"/>
      <c r="Z1311" s="46"/>
      <c r="AA1311" s="61"/>
      <c r="AB1311" s="62"/>
      <c r="AC1311" s="62"/>
      <c r="AD1311" s="62"/>
      <c r="AE1311" s="62">
        <f t="shared" si="151"/>
        <v>0</v>
      </c>
      <c r="AF1311" s="64" t="s">
        <v>3628</v>
      </c>
      <c r="AG1311" s="49">
        <v>0.5</v>
      </c>
    </row>
    <row r="1312" spans="1:33" customFormat="1" ht="35.1" customHeight="1" x14ac:dyDescent="0.3">
      <c r="A1312" s="46">
        <v>1840</v>
      </c>
      <c r="B1312" s="46" t="s">
        <v>3629</v>
      </c>
      <c r="C1312" s="46" t="s">
        <v>39</v>
      </c>
      <c r="D1312" s="60">
        <v>2026</v>
      </c>
      <c r="E1312" s="60"/>
      <c r="F1312" s="46" t="s">
        <v>591</v>
      </c>
      <c r="G1312" s="46" t="s">
        <v>159</v>
      </c>
      <c r="H1312" s="46" t="s">
        <v>592</v>
      </c>
      <c r="I1312" s="46" t="s">
        <v>169</v>
      </c>
      <c r="J1312" s="46" t="s">
        <v>248</v>
      </c>
      <c r="K1312" s="46" t="s">
        <v>68</v>
      </c>
      <c r="L1312" s="46"/>
      <c r="M1312" s="46"/>
      <c r="N1312" s="46"/>
      <c r="O1312" s="46"/>
      <c r="P1312" s="46"/>
      <c r="Q1312" s="46">
        <v>1</v>
      </c>
      <c r="R1312" s="46">
        <v>1</v>
      </c>
      <c r="S1312" s="46"/>
      <c r="T1312" s="46"/>
      <c r="U1312" s="46"/>
      <c r="V1312" s="46"/>
      <c r="W1312" s="46"/>
      <c r="X1312" s="46"/>
      <c r="Y1312" s="46"/>
      <c r="Z1312" s="46"/>
      <c r="AA1312" s="61"/>
      <c r="AB1312" s="62"/>
      <c r="AC1312" s="62"/>
      <c r="AD1312" s="62"/>
      <c r="AE1312" s="62">
        <f t="shared" si="151"/>
        <v>0</v>
      </c>
      <c r="AF1312" s="64" t="s">
        <v>3628</v>
      </c>
      <c r="AG1312" s="49">
        <v>0.5</v>
      </c>
    </row>
    <row r="1313" spans="1:33" customFormat="1" ht="35.1" customHeight="1" x14ac:dyDescent="0.3">
      <c r="A1313" s="46">
        <v>1841</v>
      </c>
      <c r="B1313" s="46" t="s">
        <v>3630</v>
      </c>
      <c r="C1313" s="46" t="s">
        <v>100</v>
      </c>
      <c r="D1313" s="60"/>
      <c r="E1313" s="60"/>
      <c r="F1313" s="46" t="s">
        <v>591</v>
      </c>
      <c r="G1313" s="46" t="s">
        <v>159</v>
      </c>
      <c r="H1313" s="46" t="s">
        <v>592</v>
      </c>
      <c r="I1313" s="46" t="s">
        <v>169</v>
      </c>
      <c r="J1313" s="46" t="s">
        <v>248</v>
      </c>
      <c r="K1313" s="46" t="s">
        <v>68</v>
      </c>
      <c r="L1313" s="46"/>
      <c r="M1313" s="46"/>
      <c r="N1313" s="46"/>
      <c r="O1313" s="46"/>
      <c r="P1313" s="46"/>
      <c r="Q1313" s="46"/>
      <c r="R1313" s="46">
        <v>1</v>
      </c>
      <c r="S1313" s="46"/>
      <c r="T1313" s="46"/>
      <c r="U1313" s="46"/>
      <c r="V1313" s="46"/>
      <c r="W1313" s="46"/>
      <c r="X1313" s="46"/>
      <c r="Y1313" s="46"/>
      <c r="Z1313" s="46"/>
      <c r="AA1313" s="61"/>
      <c r="AB1313" s="62"/>
      <c r="AC1313" s="62"/>
      <c r="AD1313" s="62"/>
      <c r="AE1313" s="62">
        <f t="shared" si="151"/>
        <v>0</v>
      </c>
      <c r="AF1313" s="64" t="s">
        <v>3631</v>
      </c>
      <c r="AG1313" s="49">
        <v>0.5</v>
      </c>
    </row>
    <row r="1314" spans="1:33" customFormat="1" ht="35.1" customHeight="1" x14ac:dyDescent="0.3">
      <c r="A1314" s="46">
        <v>1843</v>
      </c>
      <c r="B1314" s="46" t="s">
        <v>3632</v>
      </c>
      <c r="C1314" s="46" t="s">
        <v>46</v>
      </c>
      <c r="D1314" s="60">
        <v>2028</v>
      </c>
      <c r="E1314" s="60"/>
      <c r="F1314" s="46" t="s">
        <v>591</v>
      </c>
      <c r="G1314" s="46" t="s">
        <v>159</v>
      </c>
      <c r="H1314" s="46" t="s">
        <v>592</v>
      </c>
      <c r="I1314" s="46" t="s">
        <v>169</v>
      </c>
      <c r="J1314" s="46" t="s">
        <v>246</v>
      </c>
      <c r="K1314" s="46" t="s">
        <v>68</v>
      </c>
      <c r="L1314" s="46"/>
      <c r="M1314" s="46"/>
      <c r="N1314" s="46"/>
      <c r="O1314" s="46"/>
      <c r="P1314" s="46"/>
      <c r="Q1314" s="46"/>
      <c r="R1314" s="46"/>
      <c r="S1314" s="46"/>
      <c r="T1314" s="46"/>
      <c r="U1314" s="46"/>
      <c r="V1314" s="46"/>
      <c r="W1314" s="46"/>
      <c r="X1314" s="46"/>
      <c r="Y1314" s="46"/>
      <c r="Z1314" s="46" t="s">
        <v>1664</v>
      </c>
      <c r="AA1314" s="61">
        <v>300</v>
      </c>
      <c r="AB1314" s="62">
        <f>IF(OR(G1314="ALK",G1314="PEM",G1314="SOEC",G1314="Other Electrolysis"),
AA1314/VLOOKUP(G1314,ElectrolysisConvF,3,FALSE),
AC1314*10^6/(H2dens*HoursInYear))</f>
        <v>66666.666666666672</v>
      </c>
      <c r="AC1314" s="63">
        <f>AB1314*H2dens*HoursInYear/10^6</f>
        <v>51.975999999999999</v>
      </c>
      <c r="AD1314" s="62"/>
      <c r="AE1314" s="62">
        <f t="shared" si="151"/>
        <v>66666.666666666672</v>
      </c>
      <c r="AF1314" s="64" t="s">
        <v>3633</v>
      </c>
      <c r="AG1314" s="49">
        <v>0.55000000000000004</v>
      </c>
    </row>
    <row r="1315" spans="1:33" customFormat="1" ht="35.1" customHeight="1" x14ac:dyDescent="0.3">
      <c r="A1315" s="46">
        <v>1844</v>
      </c>
      <c r="B1315" s="46" t="s">
        <v>3634</v>
      </c>
      <c r="C1315" s="46" t="s">
        <v>46</v>
      </c>
      <c r="D1315" s="60">
        <v>2030</v>
      </c>
      <c r="E1315" s="60"/>
      <c r="F1315" s="46" t="s">
        <v>591</v>
      </c>
      <c r="G1315" s="46" t="s">
        <v>159</v>
      </c>
      <c r="H1315" s="46" t="s">
        <v>592</v>
      </c>
      <c r="I1315" s="46" t="s">
        <v>169</v>
      </c>
      <c r="J1315" s="46" t="s">
        <v>246</v>
      </c>
      <c r="K1315" s="46" t="s">
        <v>68</v>
      </c>
      <c r="L1315" s="46"/>
      <c r="M1315" s="46"/>
      <c r="N1315" s="46"/>
      <c r="O1315" s="46"/>
      <c r="P1315" s="46"/>
      <c r="Q1315" s="46"/>
      <c r="R1315" s="46"/>
      <c r="S1315" s="46"/>
      <c r="T1315" s="46"/>
      <c r="U1315" s="46"/>
      <c r="V1315" s="46"/>
      <c r="W1315" s="46"/>
      <c r="X1315" s="46"/>
      <c r="Y1315" s="46"/>
      <c r="Z1315" s="46" t="s">
        <v>672</v>
      </c>
      <c r="AA1315" s="61">
        <v>700</v>
      </c>
      <c r="AB1315" s="62">
        <f>IF(OR(G1315="ALK",G1315="PEM",G1315="SOEC",G1315="Other Electrolysis"),
AA1315/VLOOKUP(G1315,ElectrolysisConvF,3,FALSE),
AC1315*10^6/(H2dens*HoursInYear))</f>
        <v>155555.55555555556</v>
      </c>
      <c r="AC1315" s="63">
        <f>AB1315*H2dens*HoursInYear/10^6</f>
        <v>121.27733333333335</v>
      </c>
      <c r="AD1315" s="62"/>
      <c r="AE1315" s="62">
        <f t="shared" si="151"/>
        <v>155555.55555555556</v>
      </c>
      <c r="AF1315" s="64" t="s">
        <v>3633</v>
      </c>
      <c r="AG1315" s="49">
        <v>0.55000000000000004</v>
      </c>
    </row>
    <row r="1316" spans="1:33" customFormat="1" ht="35.1" customHeight="1" x14ac:dyDescent="0.3">
      <c r="A1316" s="46">
        <v>1845</v>
      </c>
      <c r="B1316" s="46" t="s">
        <v>3635</v>
      </c>
      <c r="C1316" s="46" t="s">
        <v>50</v>
      </c>
      <c r="D1316" s="60">
        <v>2023</v>
      </c>
      <c r="E1316" s="60"/>
      <c r="F1316" s="46" t="s">
        <v>285</v>
      </c>
      <c r="G1316" s="46" t="s">
        <v>159</v>
      </c>
      <c r="H1316" s="46" t="s">
        <v>592</v>
      </c>
      <c r="I1316" s="46" t="s">
        <v>169</v>
      </c>
      <c r="J1316" s="46" t="s">
        <v>69</v>
      </c>
      <c r="K1316" s="46" t="s">
        <v>68</v>
      </c>
      <c r="L1316" s="46"/>
      <c r="M1316" s="46"/>
      <c r="N1316" s="46"/>
      <c r="O1316" s="46"/>
      <c r="P1316" s="46"/>
      <c r="Q1316" s="46">
        <v>1</v>
      </c>
      <c r="R1316" s="46"/>
      <c r="S1316" s="46"/>
      <c r="T1316" s="46"/>
      <c r="U1316" s="46"/>
      <c r="V1316" s="46"/>
      <c r="W1316" s="46"/>
      <c r="X1316" s="46"/>
      <c r="Y1316" s="46"/>
      <c r="Z1316" s="46"/>
      <c r="AA1316" s="61">
        <f>IF(OR(G1316="ALK",G1316="PEM",G1316="SOEC",G1316="Other Electrolysis"),
AB1316*VLOOKUP(G1316,ElectrolysisConvF,3,FALSE),
"")</f>
        <v>0</v>
      </c>
      <c r="AB1316" s="62"/>
      <c r="AC1316" s="62"/>
      <c r="AD1316" s="62"/>
      <c r="AE1316" s="62">
        <f t="shared" si="151"/>
        <v>0</v>
      </c>
      <c r="AF1316" s="64" t="s">
        <v>3636</v>
      </c>
      <c r="AG1316" s="49">
        <v>0.5</v>
      </c>
    </row>
    <row r="1317" spans="1:33" customFormat="1" ht="35.1" customHeight="1" x14ac:dyDescent="0.3">
      <c r="A1317" s="46">
        <v>1846</v>
      </c>
      <c r="B1317" s="46" t="s">
        <v>3637</v>
      </c>
      <c r="C1317" s="46" t="s">
        <v>100</v>
      </c>
      <c r="D1317" s="60"/>
      <c r="E1317" s="60"/>
      <c r="F1317" s="46" t="s">
        <v>591</v>
      </c>
      <c r="G1317" s="46" t="s">
        <v>159</v>
      </c>
      <c r="H1317" s="46" t="s">
        <v>592</v>
      </c>
      <c r="I1317" s="46" t="s">
        <v>169</v>
      </c>
      <c r="J1317" s="46" t="s">
        <v>248</v>
      </c>
      <c r="K1317" s="46" t="s">
        <v>141</v>
      </c>
      <c r="L1317" s="46"/>
      <c r="M1317" s="46">
        <v>1</v>
      </c>
      <c r="N1317" s="46"/>
      <c r="O1317" s="46"/>
      <c r="P1317" s="46"/>
      <c r="Q1317" s="46"/>
      <c r="R1317" s="46"/>
      <c r="S1317" s="46"/>
      <c r="T1317" s="46"/>
      <c r="U1317" s="46"/>
      <c r="V1317" s="46"/>
      <c r="W1317" s="46"/>
      <c r="X1317" s="46"/>
      <c r="Y1317" s="46"/>
      <c r="Z1317" s="46"/>
      <c r="AA1317" s="61">
        <f>IF(OR(G1317="ALK",G1317="PEM",G1317="SOEC",G1317="Other Electrolysis"),
AB1317*VLOOKUP(G1317,ElectrolysisConvF,3,FALSE),
"")</f>
        <v>0</v>
      </c>
      <c r="AB1317" s="62"/>
      <c r="AC1317" s="62"/>
      <c r="AD1317" s="62"/>
      <c r="AE1317" s="62">
        <f t="shared" si="151"/>
        <v>0</v>
      </c>
      <c r="AF1317" s="64" t="s">
        <v>3638</v>
      </c>
      <c r="AG1317" s="49">
        <v>0.5</v>
      </c>
    </row>
    <row r="1318" spans="1:33" customFormat="1" ht="35.1" customHeight="1" x14ac:dyDescent="0.3">
      <c r="A1318" s="46">
        <v>1847</v>
      </c>
      <c r="B1318" s="46" t="s">
        <v>3639</v>
      </c>
      <c r="C1318" s="46" t="s">
        <v>505</v>
      </c>
      <c r="D1318" s="60"/>
      <c r="E1318" s="60"/>
      <c r="F1318" s="46" t="s">
        <v>591</v>
      </c>
      <c r="G1318" s="46" t="s">
        <v>159</v>
      </c>
      <c r="H1318" s="46" t="s">
        <v>592</v>
      </c>
      <c r="I1318" s="46" t="s">
        <v>169</v>
      </c>
      <c r="J1318" s="46" t="s">
        <v>69</v>
      </c>
      <c r="K1318" s="46" t="s">
        <v>68</v>
      </c>
      <c r="L1318" s="46"/>
      <c r="M1318" s="46"/>
      <c r="N1318" s="46"/>
      <c r="O1318" s="46"/>
      <c r="P1318" s="46"/>
      <c r="Q1318" s="46"/>
      <c r="R1318" s="46"/>
      <c r="S1318" s="46"/>
      <c r="T1318" s="46"/>
      <c r="U1318" s="46"/>
      <c r="V1318" s="46"/>
      <c r="W1318" s="46"/>
      <c r="X1318" s="46"/>
      <c r="Y1318" s="46"/>
      <c r="Z1318" s="46"/>
      <c r="AA1318" s="61">
        <f>IF(OR(G1318="ALK",G1318="PEM",G1318="SOEC",G1318="Other Electrolysis"),
AB1318*VLOOKUP(G1318,ElectrolysisConvF,3,FALSE),
"")</f>
        <v>0</v>
      </c>
      <c r="AB1318" s="62"/>
      <c r="AC1318" s="62"/>
      <c r="AD1318" s="62"/>
      <c r="AE1318" s="62">
        <f t="shared" si="151"/>
        <v>0</v>
      </c>
      <c r="AF1318" s="64" t="s">
        <v>3640</v>
      </c>
      <c r="AG1318" s="49">
        <v>0.5</v>
      </c>
    </row>
    <row r="1319" spans="1:33" customFormat="1" ht="35.1" customHeight="1" x14ac:dyDescent="0.3">
      <c r="A1319" s="46">
        <v>1848</v>
      </c>
      <c r="B1319" s="46" t="s">
        <v>3641</v>
      </c>
      <c r="C1319" s="46" t="s">
        <v>43</v>
      </c>
      <c r="D1319" s="60">
        <v>2026</v>
      </c>
      <c r="E1319" s="60"/>
      <c r="F1319" s="46" t="s">
        <v>591</v>
      </c>
      <c r="G1319" s="46" t="s">
        <v>3</v>
      </c>
      <c r="H1319" s="46"/>
      <c r="I1319" s="46" t="s">
        <v>169</v>
      </c>
      <c r="J1319" s="46" t="s">
        <v>248</v>
      </c>
      <c r="K1319" s="46" t="s">
        <v>141</v>
      </c>
      <c r="L1319" s="46"/>
      <c r="M1319" s="46">
        <v>1</v>
      </c>
      <c r="N1319" s="46"/>
      <c r="O1319" s="46"/>
      <c r="P1319" s="46"/>
      <c r="Q1319" s="46"/>
      <c r="R1319" s="46"/>
      <c r="S1319" s="46"/>
      <c r="T1319" s="46"/>
      <c r="U1319" s="46"/>
      <c r="V1319" s="46"/>
      <c r="W1319" s="46"/>
      <c r="X1319" s="46"/>
      <c r="Y1319" s="46"/>
      <c r="Z1319" s="46" t="s">
        <v>3642</v>
      </c>
      <c r="AA1319" s="61">
        <v>1300</v>
      </c>
      <c r="AB1319" s="62">
        <f>IF(OR(G1319="ALK",G1319="PEM",G1319="SOEC",G1319="Other Electrolysis"),
AA1319/VLOOKUP(G1319,ElectrolysisConvF,3,FALSE),
AC1319*10^6/(H2dens*HoursInYear))</f>
        <v>282608.69565217389</v>
      </c>
      <c r="AC1319" s="63">
        <f>AB1319*H2dens*HoursInYear/10^6</f>
        <v>220.33304347826083</v>
      </c>
      <c r="AD1319" s="62"/>
      <c r="AE1319" s="62">
        <f t="shared" si="151"/>
        <v>282608.69565217389</v>
      </c>
      <c r="AF1319" s="64" t="s">
        <v>3643</v>
      </c>
      <c r="AG1319" s="49">
        <v>0.5</v>
      </c>
    </row>
    <row r="1320" spans="1:33" customFormat="1" ht="35.1" customHeight="1" x14ac:dyDescent="0.3">
      <c r="A1320" s="46">
        <v>1849</v>
      </c>
      <c r="B1320" s="46" t="s">
        <v>3644</v>
      </c>
      <c r="C1320" s="46" t="s">
        <v>39</v>
      </c>
      <c r="D1320" s="60"/>
      <c r="E1320" s="60"/>
      <c r="F1320" s="46" t="s">
        <v>591</v>
      </c>
      <c r="G1320" s="46" t="s">
        <v>159</v>
      </c>
      <c r="H1320" s="46" t="s">
        <v>592</v>
      </c>
      <c r="I1320" s="46" t="s">
        <v>169</v>
      </c>
      <c r="J1320" s="46" t="s">
        <v>69</v>
      </c>
      <c r="K1320" s="46" t="s">
        <v>68</v>
      </c>
      <c r="L1320" s="46"/>
      <c r="M1320" s="46"/>
      <c r="N1320" s="46"/>
      <c r="O1320" s="46"/>
      <c r="P1320" s="46"/>
      <c r="Q1320" s="46"/>
      <c r="R1320" s="46"/>
      <c r="S1320" s="46"/>
      <c r="T1320" s="46"/>
      <c r="U1320" s="46"/>
      <c r="V1320" s="46"/>
      <c r="W1320" s="46"/>
      <c r="X1320" s="46"/>
      <c r="Y1320" s="46"/>
      <c r="Z1320" s="46"/>
      <c r="AA1320" s="61">
        <f>IF(OR(G1320="ALK",G1320="PEM",G1320="SOEC",G1320="Other Electrolysis"),
AB1320*VLOOKUP(G1320,ElectrolysisConvF,3,FALSE),
"")</f>
        <v>0</v>
      </c>
      <c r="AB1320" s="62"/>
      <c r="AC1320" s="62"/>
      <c r="AD1320" s="62"/>
      <c r="AE1320" s="62">
        <f t="shared" si="151"/>
        <v>0</v>
      </c>
      <c r="AF1320" s="64" t="s">
        <v>3645</v>
      </c>
      <c r="AG1320" s="49">
        <v>0.5</v>
      </c>
    </row>
    <row r="1321" spans="1:33" customFormat="1" ht="35.1" customHeight="1" x14ac:dyDescent="0.3">
      <c r="A1321" s="46">
        <v>1851</v>
      </c>
      <c r="B1321" s="46" t="s">
        <v>3646</v>
      </c>
      <c r="C1321" s="46" t="s">
        <v>238</v>
      </c>
      <c r="D1321" s="60"/>
      <c r="E1321" s="60"/>
      <c r="F1321" s="46" t="s">
        <v>225</v>
      </c>
      <c r="G1321" s="46" t="s">
        <v>159</v>
      </c>
      <c r="H1321" s="46" t="s">
        <v>592</v>
      </c>
      <c r="I1321" s="46" t="s">
        <v>169</v>
      </c>
      <c r="J1321" s="46" t="s">
        <v>248</v>
      </c>
      <c r="K1321" s="46" t="s">
        <v>140</v>
      </c>
      <c r="L1321" s="46"/>
      <c r="M1321" s="46"/>
      <c r="N1321" s="46">
        <v>1</v>
      </c>
      <c r="O1321" s="46"/>
      <c r="P1321" s="46"/>
      <c r="Q1321" s="46"/>
      <c r="R1321" s="46"/>
      <c r="S1321" s="46"/>
      <c r="T1321" s="46"/>
      <c r="U1321" s="46"/>
      <c r="V1321" s="46"/>
      <c r="W1321" s="46"/>
      <c r="X1321" s="46"/>
      <c r="Y1321" s="46"/>
      <c r="Z1321" s="46" t="s">
        <v>7221</v>
      </c>
      <c r="AA1321" s="61">
        <f>IF(OR(G1321="ALK",G1321="PEM",G1321="SOEC",G1321="Other Electrolysis"),
AB1321*VLOOKUP(G1321,ElectrolysisConvF,3,FALSE),
"")</f>
        <v>173.15684161920888</v>
      </c>
      <c r="AB1321" s="62">
        <f>AC1321/(H2dens*HoursInYear/10^6)</f>
        <v>38479.298137601974</v>
      </c>
      <c r="AC1321" s="62">
        <f>15/H2ProjectDB4578610[[#This Row],[Column33]]</f>
        <v>30</v>
      </c>
      <c r="AD1321" s="62"/>
      <c r="AE1321" s="62">
        <f t="shared" si="151"/>
        <v>38479.298137601974</v>
      </c>
      <c r="AF1321" s="64" t="s">
        <v>3647</v>
      </c>
      <c r="AG1321" s="49">
        <v>0.5</v>
      </c>
    </row>
    <row r="1322" spans="1:33" customFormat="1" ht="35.1" customHeight="1" x14ac:dyDescent="0.3">
      <c r="A1322" s="46">
        <v>1852</v>
      </c>
      <c r="B1322" s="46" t="s">
        <v>3648</v>
      </c>
      <c r="C1322" s="46" t="s">
        <v>67</v>
      </c>
      <c r="D1322" s="60"/>
      <c r="E1322" s="60"/>
      <c r="F1322" s="46" t="s">
        <v>591</v>
      </c>
      <c r="G1322" s="46" t="s">
        <v>159</v>
      </c>
      <c r="H1322" s="46" t="s">
        <v>592</v>
      </c>
      <c r="I1322" s="46" t="s">
        <v>169</v>
      </c>
      <c r="J1322" s="46" t="s">
        <v>246</v>
      </c>
      <c r="K1322" s="46" t="s">
        <v>68</v>
      </c>
      <c r="L1322" s="46"/>
      <c r="M1322" s="46"/>
      <c r="N1322" s="46"/>
      <c r="O1322" s="46"/>
      <c r="P1322" s="46">
        <v>1</v>
      </c>
      <c r="Q1322" s="46">
        <v>1</v>
      </c>
      <c r="R1322" s="46"/>
      <c r="S1322" s="46"/>
      <c r="T1322" s="46"/>
      <c r="U1322" s="46"/>
      <c r="V1322" s="46"/>
      <c r="W1322" s="46"/>
      <c r="X1322" s="46"/>
      <c r="Y1322" s="46"/>
      <c r="Z1322" s="46"/>
      <c r="AA1322" s="61">
        <f>IF(OR(G1322="ALK",G1322="PEM",G1322="SOEC",G1322="Other Electrolysis"),
AB1322*VLOOKUP(G1322,ElectrolysisConvF,3,FALSE),
"")</f>
        <v>0</v>
      </c>
      <c r="AB1322" s="62"/>
      <c r="AC1322" s="62"/>
      <c r="AD1322" s="62"/>
      <c r="AE1322" s="62">
        <f t="shared" si="151"/>
        <v>0</v>
      </c>
      <c r="AF1322" s="64" t="s">
        <v>3649</v>
      </c>
      <c r="AG1322" s="49">
        <v>0.55000000000000004</v>
      </c>
    </row>
    <row r="1323" spans="1:33" customFormat="1" ht="35.1" customHeight="1" x14ac:dyDescent="0.3">
      <c r="A1323" s="46">
        <v>1853</v>
      </c>
      <c r="B1323" s="46" t="s">
        <v>3650</v>
      </c>
      <c r="C1323" s="46" t="s">
        <v>90</v>
      </c>
      <c r="D1323" s="60">
        <v>2025</v>
      </c>
      <c r="E1323" s="60"/>
      <c r="F1323" s="46" t="s">
        <v>591</v>
      </c>
      <c r="G1323" s="46" t="s">
        <v>159</v>
      </c>
      <c r="H1323" s="46" t="s">
        <v>592</v>
      </c>
      <c r="I1323" s="46" t="s">
        <v>166</v>
      </c>
      <c r="J1323" s="46"/>
      <c r="K1323" s="46" t="s">
        <v>68</v>
      </c>
      <c r="L1323" s="46"/>
      <c r="M1323" s="46">
        <v>1</v>
      </c>
      <c r="N1323" s="46"/>
      <c r="O1323" s="46"/>
      <c r="P1323" s="46"/>
      <c r="Q1323" s="46"/>
      <c r="R1323" s="46"/>
      <c r="S1323" s="46"/>
      <c r="T1323" s="46"/>
      <c r="U1323" s="46"/>
      <c r="V1323" s="46"/>
      <c r="W1323" s="46"/>
      <c r="X1323" s="46"/>
      <c r="Y1323" s="46"/>
      <c r="Z1323" s="46" t="s">
        <v>711</v>
      </c>
      <c r="AA1323" s="61">
        <v>10</v>
      </c>
      <c r="AB1323" s="62">
        <f>IF(OR(G1323="ALK",G1323="PEM",G1323="SOEC",G1323="Other Electrolysis"),
AA1323/VLOOKUP(G1323,ElectrolysisConvF,3,FALSE),
AC1323*10^6/(H2dens*HoursInYear))</f>
        <v>2222.2222222222222</v>
      </c>
      <c r="AC1323" s="63">
        <f>AB1323*H2dens*HoursInYear/10^6</f>
        <v>1.7325333333333333</v>
      </c>
      <c r="AD1323" s="62"/>
      <c r="AE1323" s="62">
        <f t="shared" si="151"/>
        <v>2222.2222222222222</v>
      </c>
      <c r="AF1323" s="64" t="s">
        <v>3651</v>
      </c>
      <c r="AG1323" s="49">
        <v>0.56999999999999995</v>
      </c>
    </row>
    <row r="1324" spans="1:33" customFormat="1" ht="35.1" customHeight="1" x14ac:dyDescent="0.3">
      <c r="A1324" s="46">
        <v>1854</v>
      </c>
      <c r="B1324" s="46" t="s">
        <v>3652</v>
      </c>
      <c r="C1324" s="46" t="s">
        <v>90</v>
      </c>
      <c r="D1324" s="60"/>
      <c r="E1324" s="60"/>
      <c r="F1324" s="46" t="s">
        <v>591</v>
      </c>
      <c r="G1324" s="46" t="s">
        <v>159</v>
      </c>
      <c r="H1324" s="46" t="s">
        <v>592</v>
      </c>
      <c r="I1324" s="46" t="s">
        <v>166</v>
      </c>
      <c r="J1324" s="46"/>
      <c r="K1324" s="46" t="s">
        <v>68</v>
      </c>
      <c r="L1324" s="46"/>
      <c r="M1324" s="46"/>
      <c r="N1324" s="46"/>
      <c r="O1324" s="46"/>
      <c r="P1324" s="46"/>
      <c r="Q1324" s="46"/>
      <c r="R1324" s="46"/>
      <c r="S1324" s="46"/>
      <c r="T1324" s="46"/>
      <c r="U1324" s="46"/>
      <c r="V1324" s="46"/>
      <c r="W1324" s="46"/>
      <c r="X1324" s="46"/>
      <c r="Y1324" s="46"/>
      <c r="Z1324" s="46" t="s">
        <v>1177</v>
      </c>
      <c r="AA1324" s="61">
        <v>90</v>
      </c>
      <c r="AB1324" s="62">
        <f>IF(OR(G1324="ALK",G1324="PEM",G1324="SOEC",G1324="Other Electrolysis"),
AA1324/VLOOKUP(G1324,ElectrolysisConvF,3,FALSE),
AC1324*10^6/(H2dens*HoursInYear))</f>
        <v>20000</v>
      </c>
      <c r="AC1324" s="63">
        <f>AB1324*H2dens*HoursInYear/10^6</f>
        <v>15.5928</v>
      </c>
      <c r="AD1324" s="62"/>
      <c r="AE1324" s="62">
        <f t="shared" si="151"/>
        <v>20000</v>
      </c>
      <c r="AF1324" s="64" t="s">
        <v>3651</v>
      </c>
      <c r="AG1324" s="49">
        <v>0.56999999999999995</v>
      </c>
    </row>
    <row r="1325" spans="1:33" customFormat="1" ht="35.1" customHeight="1" x14ac:dyDescent="0.3">
      <c r="A1325" s="46">
        <v>1855</v>
      </c>
      <c r="B1325" s="64" t="s">
        <v>3653</v>
      </c>
      <c r="C1325" s="46" t="s">
        <v>47</v>
      </c>
      <c r="D1325" s="60"/>
      <c r="E1325" s="60"/>
      <c r="F1325" s="46" t="s">
        <v>591</v>
      </c>
      <c r="G1325" s="46" t="s">
        <v>159</v>
      </c>
      <c r="H1325" s="46" t="s">
        <v>592</v>
      </c>
      <c r="I1325" s="46" t="s">
        <v>169</v>
      </c>
      <c r="J1325" s="46" t="s">
        <v>244</v>
      </c>
      <c r="K1325" s="46" t="s">
        <v>141</v>
      </c>
      <c r="L1325" s="46"/>
      <c r="M1325" s="46">
        <v>1</v>
      </c>
      <c r="N1325" s="46"/>
      <c r="O1325" s="46"/>
      <c r="P1325" s="46"/>
      <c r="Q1325" s="46">
        <v>1</v>
      </c>
      <c r="R1325" s="46"/>
      <c r="S1325" s="46"/>
      <c r="T1325" s="46"/>
      <c r="U1325" s="46"/>
      <c r="V1325" s="46"/>
      <c r="W1325" s="46"/>
      <c r="X1325" s="46"/>
      <c r="Y1325" s="46"/>
      <c r="Z1325" s="46" t="s">
        <v>3654</v>
      </c>
      <c r="AA1325" s="61">
        <f>IF(OR(G1325="ALK",G1325="PEM",G1325="SOEC",G1325="Other Electrolysis"),
AB1325*VLOOKUP(G1325,ElectrolysisConvF,3,FALSE),
"")</f>
        <v>577.18947206402959</v>
      </c>
      <c r="AB1325" s="62">
        <f>AC1325/(H2dens*HoursInYear/10^6)</f>
        <v>128264.32712533991</v>
      </c>
      <c r="AC1325" s="62">
        <v>100</v>
      </c>
      <c r="AD1325" s="62"/>
      <c r="AE1325" s="62">
        <f t="shared" si="151"/>
        <v>128264.32712533991</v>
      </c>
      <c r="AF1325" s="64" t="s">
        <v>3636</v>
      </c>
      <c r="AG1325" s="49">
        <v>0.3</v>
      </c>
    </row>
    <row r="1326" spans="1:33" customFormat="1" ht="35.1" customHeight="1" x14ac:dyDescent="0.3">
      <c r="A1326" s="46">
        <v>1856</v>
      </c>
      <c r="B1326" s="46" t="s">
        <v>3655</v>
      </c>
      <c r="C1326" s="46" t="s">
        <v>46</v>
      </c>
      <c r="D1326" s="60">
        <v>2025</v>
      </c>
      <c r="E1326" s="60"/>
      <c r="F1326" s="46" t="s">
        <v>225</v>
      </c>
      <c r="G1326" s="46" t="s">
        <v>159</v>
      </c>
      <c r="H1326" s="46" t="s">
        <v>592</v>
      </c>
      <c r="I1326" s="46" t="s">
        <v>169</v>
      </c>
      <c r="J1326" s="46" t="s">
        <v>69</v>
      </c>
      <c r="K1326" s="46" t="s">
        <v>68</v>
      </c>
      <c r="L1326" s="46"/>
      <c r="M1326" s="46"/>
      <c r="N1326" s="46"/>
      <c r="O1326" s="46"/>
      <c r="P1326" s="46"/>
      <c r="Q1326" s="46">
        <v>1</v>
      </c>
      <c r="R1326" s="46">
        <v>1</v>
      </c>
      <c r="S1326" s="46"/>
      <c r="T1326" s="46"/>
      <c r="U1326" s="46"/>
      <c r="V1326" s="46"/>
      <c r="W1326" s="46"/>
      <c r="X1326" s="46"/>
      <c r="Y1326" s="46"/>
      <c r="Z1326" s="46" t="s">
        <v>2494</v>
      </c>
      <c r="AA1326" s="61">
        <v>35</v>
      </c>
      <c r="AB1326" s="62">
        <f>IF(OR(G1326="ALK",G1326="PEM",G1326="SOEC",G1326="Other Electrolysis"),
AA1326/VLOOKUP(G1326,ElectrolysisConvF,3,FALSE),
AC1326*10^6/(H2dens*HoursInYear))</f>
        <v>7777.7777777777783</v>
      </c>
      <c r="AC1326" s="63">
        <f>AB1326*H2dens*HoursInYear/10^6</f>
        <v>6.0638666666666667</v>
      </c>
      <c r="AD1326" s="62"/>
      <c r="AE1326" s="62">
        <f t="shared" si="151"/>
        <v>7777.7777777777783</v>
      </c>
      <c r="AF1326" s="64" t="s">
        <v>3656</v>
      </c>
      <c r="AG1326" s="49">
        <v>0.5</v>
      </c>
    </row>
    <row r="1327" spans="1:33" customFormat="1" ht="35.1" customHeight="1" x14ac:dyDescent="0.3">
      <c r="A1327" s="46">
        <v>1857</v>
      </c>
      <c r="B1327" s="46" t="s">
        <v>3657</v>
      </c>
      <c r="C1327" s="46" t="s">
        <v>321</v>
      </c>
      <c r="D1327" s="60">
        <v>2024</v>
      </c>
      <c r="E1327" s="60"/>
      <c r="F1327" s="46" t="s">
        <v>285</v>
      </c>
      <c r="G1327" s="46" t="s">
        <v>153</v>
      </c>
      <c r="H1327" s="46" t="s">
        <v>3658</v>
      </c>
      <c r="I1327" s="46"/>
      <c r="J1327" s="46"/>
      <c r="K1327" s="46" t="s">
        <v>167</v>
      </c>
      <c r="L1327" s="46"/>
      <c r="M1327" s="46"/>
      <c r="N1327" s="46"/>
      <c r="O1327" s="46"/>
      <c r="P1327" s="46"/>
      <c r="Q1327" s="46"/>
      <c r="R1327" s="46"/>
      <c r="S1327" s="46"/>
      <c r="T1327" s="46"/>
      <c r="U1327" s="46"/>
      <c r="V1327" s="46"/>
      <c r="W1327" s="46">
        <v>1</v>
      </c>
      <c r="X1327" s="46"/>
      <c r="Y1327" s="46"/>
      <c r="Z1327" s="46"/>
      <c r="AA1327" s="61" t="str">
        <f>IF(OR(G1327="ALK",G1327="PEM",G1327="SOEC",G1327="Other Electrolysis"),
AB1327*VLOOKUP(G1327,ElectrolysisConvF,3,FALSE),
"")</f>
        <v/>
      </c>
      <c r="AB1327" s="62"/>
      <c r="AC1327" s="62"/>
      <c r="AD1327" s="62"/>
      <c r="AE1327" s="62">
        <f t="shared" si="151"/>
        <v>0</v>
      </c>
      <c r="AF1327" s="64" t="s">
        <v>3659</v>
      </c>
      <c r="AG1327" s="49">
        <v>0.9</v>
      </c>
    </row>
    <row r="1328" spans="1:33" customFormat="1" ht="35.1" customHeight="1" x14ac:dyDescent="0.3">
      <c r="A1328" s="46">
        <v>1858</v>
      </c>
      <c r="B1328" s="46" t="s">
        <v>3660</v>
      </c>
      <c r="C1328" s="46" t="s">
        <v>203</v>
      </c>
      <c r="D1328" s="60"/>
      <c r="E1328" s="60"/>
      <c r="F1328" s="46" t="s">
        <v>675</v>
      </c>
      <c r="G1328" s="46" t="s">
        <v>153</v>
      </c>
      <c r="H1328" s="46" t="s">
        <v>3658</v>
      </c>
      <c r="I1328" s="46"/>
      <c r="J1328" s="46"/>
      <c r="K1328" s="46" t="s">
        <v>167</v>
      </c>
      <c r="L1328" s="46"/>
      <c r="M1328" s="46"/>
      <c r="N1328" s="46"/>
      <c r="O1328" s="46"/>
      <c r="P1328" s="46"/>
      <c r="Q1328" s="46"/>
      <c r="R1328" s="46"/>
      <c r="S1328" s="46"/>
      <c r="T1328" s="46"/>
      <c r="U1328" s="46"/>
      <c r="V1328" s="46"/>
      <c r="W1328" s="46">
        <v>1</v>
      </c>
      <c r="X1328" s="46"/>
      <c r="Y1328" s="46"/>
      <c r="Z1328" s="46"/>
      <c r="AA1328" s="61" t="str">
        <f>IF(OR(G1328="ALK",G1328="PEM",G1328="SOEC",G1328="Other Electrolysis"),
AB1328*VLOOKUP(G1328,ElectrolysisConvF,3,FALSE),
"")</f>
        <v/>
      </c>
      <c r="AB1328" s="62"/>
      <c r="AC1328" s="62"/>
      <c r="AD1328" s="62"/>
      <c r="AE1328" s="62">
        <f t="shared" si="151"/>
        <v>0</v>
      </c>
      <c r="AF1328" s="64" t="s">
        <v>3659</v>
      </c>
      <c r="AG1328" s="49">
        <v>0.9</v>
      </c>
    </row>
    <row r="1329" spans="1:33" customFormat="1" ht="35.1" customHeight="1" x14ac:dyDescent="0.3">
      <c r="A1329" s="46">
        <v>1859</v>
      </c>
      <c r="B1329" s="46" t="s">
        <v>3661</v>
      </c>
      <c r="C1329" s="46" t="s">
        <v>100</v>
      </c>
      <c r="D1329" s="60"/>
      <c r="E1329" s="60"/>
      <c r="F1329" s="46" t="s">
        <v>591</v>
      </c>
      <c r="G1329" s="46" t="s">
        <v>159</v>
      </c>
      <c r="H1329" s="46" t="s">
        <v>592</v>
      </c>
      <c r="I1329" s="46" t="s">
        <v>169</v>
      </c>
      <c r="J1329" s="46" t="s">
        <v>69</v>
      </c>
      <c r="K1329" s="46" t="s">
        <v>141</v>
      </c>
      <c r="L1329" s="46"/>
      <c r="M1329" s="46">
        <v>1</v>
      </c>
      <c r="N1329" s="46"/>
      <c r="O1329" s="46"/>
      <c r="P1329" s="46"/>
      <c r="Q1329" s="46"/>
      <c r="R1329" s="46"/>
      <c r="S1329" s="46"/>
      <c r="T1329" s="46"/>
      <c r="U1329" s="46"/>
      <c r="V1329" s="46"/>
      <c r="W1329" s="46"/>
      <c r="X1329" s="46"/>
      <c r="Y1329" s="46"/>
      <c r="Z1329" s="46"/>
      <c r="AA1329" s="61"/>
      <c r="AB1329" s="62"/>
      <c r="AC1329" s="62"/>
      <c r="AD1329" s="62"/>
      <c r="AE1329" s="62">
        <f t="shared" si="151"/>
        <v>0</v>
      </c>
      <c r="AF1329" s="64" t="s">
        <v>3662</v>
      </c>
      <c r="AG1329" s="49">
        <v>0.5</v>
      </c>
    </row>
    <row r="1330" spans="1:33" customFormat="1" ht="35.1" customHeight="1" x14ac:dyDescent="0.3">
      <c r="A1330" s="46">
        <v>1860</v>
      </c>
      <c r="B1330" s="46" t="s">
        <v>3663</v>
      </c>
      <c r="C1330" s="46" t="s">
        <v>43</v>
      </c>
      <c r="D1330" s="60">
        <v>2030</v>
      </c>
      <c r="E1330" s="60"/>
      <c r="F1330" s="46" t="s">
        <v>225</v>
      </c>
      <c r="G1330" s="46" t="s">
        <v>159</v>
      </c>
      <c r="H1330" s="46" t="s">
        <v>592</v>
      </c>
      <c r="I1330" s="46" t="s">
        <v>169</v>
      </c>
      <c r="J1330" s="46" t="s">
        <v>244</v>
      </c>
      <c r="K1330" s="46" t="s">
        <v>141</v>
      </c>
      <c r="L1330" s="46"/>
      <c r="M1330" s="46">
        <v>1</v>
      </c>
      <c r="N1330" s="46"/>
      <c r="O1330" s="46"/>
      <c r="P1330" s="46"/>
      <c r="Q1330" s="46"/>
      <c r="R1330" s="46"/>
      <c r="S1330" s="46"/>
      <c r="T1330" s="46"/>
      <c r="U1330" s="46"/>
      <c r="V1330" s="46"/>
      <c r="W1330" s="46"/>
      <c r="X1330" s="46"/>
      <c r="Y1330" s="46"/>
      <c r="Z1330" s="46" t="s">
        <v>3664</v>
      </c>
      <c r="AA1330" s="61">
        <v>1500</v>
      </c>
      <c r="AB1330" s="62">
        <f>IF(OR(G1330="ALK",G1330="PEM",G1330="SOEC",G1330="Other Electrolysis"),
AA1330/VLOOKUP(G1330,ElectrolysisConvF,3,FALSE),
AC1330*10^6/(H2dens*HoursInYear))</f>
        <v>333333.33333333337</v>
      </c>
      <c r="AC1330" s="63">
        <f>AB1330*H2dens*HoursInYear/10^6</f>
        <v>259.88</v>
      </c>
      <c r="AD1330" s="62"/>
      <c r="AE1330" s="62">
        <f t="shared" si="151"/>
        <v>333333.33333333337</v>
      </c>
      <c r="AF1330" s="64" t="s">
        <v>3665</v>
      </c>
      <c r="AG1330" s="49">
        <v>0.3</v>
      </c>
    </row>
    <row r="1331" spans="1:33" customFormat="1" ht="35.1" customHeight="1" x14ac:dyDescent="0.3">
      <c r="A1331" s="46">
        <v>1861</v>
      </c>
      <c r="B1331" s="46" t="s">
        <v>3666</v>
      </c>
      <c r="C1331" s="46" t="s">
        <v>90</v>
      </c>
      <c r="D1331" s="60">
        <v>2022</v>
      </c>
      <c r="E1331" s="60"/>
      <c r="F1331" s="46" t="s">
        <v>226</v>
      </c>
      <c r="G1331" s="46" t="s">
        <v>1</v>
      </c>
      <c r="H1331" s="46"/>
      <c r="I1331" s="46" t="s">
        <v>169</v>
      </c>
      <c r="J1331" s="46" t="s">
        <v>244</v>
      </c>
      <c r="K1331" s="46" t="s">
        <v>68</v>
      </c>
      <c r="L1331" s="46"/>
      <c r="M1331" s="46"/>
      <c r="N1331" s="46"/>
      <c r="O1331" s="46"/>
      <c r="P1331" s="46"/>
      <c r="Q1331" s="46"/>
      <c r="R1331" s="46"/>
      <c r="S1331" s="46"/>
      <c r="T1331" s="46"/>
      <c r="U1331" s="46"/>
      <c r="V1331" s="46"/>
      <c r="W1331" s="46"/>
      <c r="X1331" s="46"/>
      <c r="Y1331" s="46"/>
      <c r="Z1331" s="46" t="s">
        <v>1251</v>
      </c>
      <c r="AA1331" s="61">
        <v>3</v>
      </c>
      <c r="AB1331" s="62">
        <f>IF(OR(G1331="ALK",G1331="PEM",G1331="SOEC",G1331="Other Electrolysis"),
AA1331/VLOOKUP(G1331,ElectrolysisConvF,3,FALSE),
AC1331*10^6/(H2dens*HoursInYear))</f>
        <v>576.92307692307691</v>
      </c>
      <c r="AC1331" s="63">
        <f>AB1331*H2dens*HoursInYear/10^6</f>
        <v>0.4497923076923076</v>
      </c>
      <c r="AD1331" s="62"/>
      <c r="AE1331" s="62">
        <f t="shared" si="151"/>
        <v>576.92307692307691</v>
      </c>
      <c r="AF1331" s="64" t="s">
        <v>3667</v>
      </c>
      <c r="AG1331" s="49">
        <v>0.3</v>
      </c>
    </row>
    <row r="1332" spans="1:33" customFormat="1" ht="35.1" customHeight="1" x14ac:dyDescent="0.3">
      <c r="A1332" s="46">
        <v>1862</v>
      </c>
      <c r="B1332" s="46" t="s">
        <v>3668</v>
      </c>
      <c r="C1332" s="46" t="s">
        <v>203</v>
      </c>
      <c r="D1332" s="60"/>
      <c r="E1332" s="60"/>
      <c r="F1332" s="46" t="s">
        <v>225</v>
      </c>
      <c r="G1332" s="46" t="s">
        <v>2</v>
      </c>
      <c r="H1332" s="46"/>
      <c r="I1332" s="46" t="s">
        <v>169</v>
      </c>
      <c r="J1332" s="46" t="s">
        <v>69</v>
      </c>
      <c r="K1332" s="46" t="s">
        <v>141</v>
      </c>
      <c r="L1332" s="46"/>
      <c r="M1332" s="46">
        <v>1</v>
      </c>
      <c r="N1332" s="46"/>
      <c r="O1332" s="46"/>
      <c r="P1332" s="46"/>
      <c r="Q1332" s="46"/>
      <c r="R1332" s="46"/>
      <c r="S1332" s="46"/>
      <c r="T1332" s="46"/>
      <c r="U1332" s="46"/>
      <c r="V1332" s="46"/>
      <c r="W1332" s="46"/>
      <c r="X1332" s="46"/>
      <c r="Y1332" s="46"/>
      <c r="Z1332" s="46" t="s">
        <v>3669</v>
      </c>
      <c r="AA1332" s="61">
        <v>700</v>
      </c>
      <c r="AB1332" s="62">
        <f>IF(OR(G1332="ALK",G1332="PEM",G1332="SOEC",G1332="Other Electrolysis"),
AA1332/VLOOKUP(G1332,ElectrolysisConvF,3,FALSE),
AC1332*10^6/(H2dens*HoursInYear))</f>
        <v>184210.52631578947</v>
      </c>
      <c r="AC1332" s="63">
        <f>AB1332*H2dens*HoursInYear/10^6</f>
        <v>143.61789473684209</v>
      </c>
      <c r="AD1332" s="62"/>
      <c r="AE1332" s="62">
        <f t="shared" si="151"/>
        <v>184210.52631578947</v>
      </c>
      <c r="AF1332" s="64" t="s">
        <v>3670</v>
      </c>
      <c r="AG1332" s="49">
        <v>0.5</v>
      </c>
    </row>
    <row r="1333" spans="1:33" customFormat="1" ht="35.1" customHeight="1" x14ac:dyDescent="0.3">
      <c r="A1333" s="46">
        <v>1864</v>
      </c>
      <c r="B1333" s="46" t="s">
        <v>3671</v>
      </c>
      <c r="C1333" s="46" t="s">
        <v>64</v>
      </c>
      <c r="D1333" s="60">
        <v>2025</v>
      </c>
      <c r="E1333" s="60"/>
      <c r="F1333" s="46" t="s">
        <v>591</v>
      </c>
      <c r="G1333" s="46" t="s">
        <v>159</v>
      </c>
      <c r="H1333" s="46" t="s">
        <v>592</v>
      </c>
      <c r="I1333" s="46" t="s">
        <v>169</v>
      </c>
      <c r="J1333" s="46" t="s">
        <v>244</v>
      </c>
      <c r="K1333" s="46" t="s">
        <v>68</v>
      </c>
      <c r="L1333" s="46"/>
      <c r="M1333" s="46"/>
      <c r="N1333" s="46"/>
      <c r="O1333" s="46"/>
      <c r="P1333" s="46"/>
      <c r="Q1333" s="46">
        <v>1</v>
      </c>
      <c r="R1333" s="46"/>
      <c r="S1333" s="46"/>
      <c r="T1333" s="46"/>
      <c r="U1333" s="46"/>
      <c r="V1333" s="46"/>
      <c r="W1333" s="46"/>
      <c r="X1333" s="46"/>
      <c r="Y1333" s="46"/>
      <c r="Z1333" s="46"/>
      <c r="AA1333" s="61"/>
      <c r="AB1333" s="62"/>
      <c r="AC1333" s="62"/>
      <c r="AD1333" s="62"/>
      <c r="AE1333" s="62">
        <f t="shared" si="151"/>
        <v>0</v>
      </c>
      <c r="AF1333" s="64" t="s">
        <v>3672</v>
      </c>
      <c r="AG1333" s="49">
        <v>0.3</v>
      </c>
    </row>
    <row r="1334" spans="1:33" customFormat="1" ht="35.1" customHeight="1" x14ac:dyDescent="0.3">
      <c r="A1334" s="46">
        <v>1865</v>
      </c>
      <c r="B1334" s="46" t="s">
        <v>3673</v>
      </c>
      <c r="C1334" s="46" t="s">
        <v>40</v>
      </c>
      <c r="D1334" s="60">
        <v>2022</v>
      </c>
      <c r="E1334" s="60"/>
      <c r="F1334" s="46" t="s">
        <v>285</v>
      </c>
      <c r="G1334" s="46" t="s">
        <v>159</v>
      </c>
      <c r="H1334" s="46" t="s">
        <v>592</v>
      </c>
      <c r="I1334" s="46" t="s">
        <v>169</v>
      </c>
      <c r="J1334" s="46" t="s">
        <v>69</v>
      </c>
      <c r="K1334" s="46" t="s">
        <v>68</v>
      </c>
      <c r="L1334" s="46"/>
      <c r="M1334" s="46"/>
      <c r="N1334" s="46"/>
      <c r="O1334" s="46"/>
      <c r="P1334" s="46"/>
      <c r="Q1334" s="46"/>
      <c r="R1334" s="46"/>
      <c r="S1334" s="46">
        <v>1</v>
      </c>
      <c r="T1334" s="46"/>
      <c r="U1334" s="46"/>
      <c r="V1334" s="46"/>
      <c r="W1334" s="46"/>
      <c r="X1334" s="46"/>
      <c r="Y1334" s="46"/>
      <c r="Z1334" s="46" t="s">
        <v>1327</v>
      </c>
      <c r="AA1334" s="61">
        <v>1</v>
      </c>
      <c r="AB1334" s="62">
        <f>IF(OR(G1334="ALK",G1334="PEM",G1334="SOEC",G1334="Other Electrolysis"),
AA1334/VLOOKUP(G1334,ElectrolysisConvF,3,FALSE),
AC1334*10^6/(H2dens*HoursInYear))</f>
        <v>222.22222222222223</v>
      </c>
      <c r="AC1334" s="63">
        <f>AB1334*H2dens*HoursInYear/10^6</f>
        <v>0.17325333333333334</v>
      </c>
      <c r="AD1334" s="62"/>
      <c r="AE1334" s="62">
        <f t="shared" si="151"/>
        <v>222.22222222222223</v>
      </c>
      <c r="AF1334" s="64" t="s">
        <v>3674</v>
      </c>
      <c r="AG1334" s="49">
        <v>0.5</v>
      </c>
    </row>
    <row r="1335" spans="1:33" customFormat="1" ht="35.1" customHeight="1" x14ac:dyDescent="0.3">
      <c r="A1335" s="46">
        <v>1866</v>
      </c>
      <c r="B1335" s="46" t="s">
        <v>3675</v>
      </c>
      <c r="C1335" s="46" t="s">
        <v>35</v>
      </c>
      <c r="D1335" s="60">
        <v>2026</v>
      </c>
      <c r="E1335" s="60"/>
      <c r="F1335" s="46" t="s">
        <v>225</v>
      </c>
      <c r="G1335" s="46" t="s">
        <v>159</v>
      </c>
      <c r="H1335" s="46" t="s">
        <v>592</v>
      </c>
      <c r="I1335" s="46" t="s">
        <v>169</v>
      </c>
      <c r="J1335" s="46" t="s">
        <v>69</v>
      </c>
      <c r="K1335" s="46" t="s">
        <v>68</v>
      </c>
      <c r="L1335" s="46"/>
      <c r="M1335" s="46"/>
      <c r="N1335" s="46"/>
      <c r="O1335" s="46"/>
      <c r="P1335" s="46"/>
      <c r="Q1335" s="46"/>
      <c r="R1335" s="46"/>
      <c r="S1335" s="46"/>
      <c r="T1335" s="46"/>
      <c r="U1335" s="46"/>
      <c r="V1335" s="46"/>
      <c r="W1335" s="46"/>
      <c r="X1335" s="46"/>
      <c r="Y1335" s="46"/>
      <c r="Z1335" s="46" t="s">
        <v>1257</v>
      </c>
      <c r="AA1335" s="61">
        <v>100</v>
      </c>
      <c r="AB1335" s="62">
        <f>IF(OR(G1335="ALK",G1335="PEM",G1335="SOEC",G1335="Other Electrolysis"),
AA1335/VLOOKUP(G1335,ElectrolysisConvF,3,FALSE),
AC1335*10^6/(H2dens*HoursInYear))</f>
        <v>22222.222222222223</v>
      </c>
      <c r="AC1335" s="63">
        <f>AB1335*H2dens*HoursInYear/10^6</f>
        <v>17.325333333333333</v>
      </c>
      <c r="AD1335" s="62"/>
      <c r="AE1335" s="62">
        <f t="shared" si="151"/>
        <v>22222.222222222223</v>
      </c>
      <c r="AF1335" s="64" t="s">
        <v>3676</v>
      </c>
      <c r="AG1335" s="49">
        <v>0.5</v>
      </c>
    </row>
    <row r="1336" spans="1:33" customFormat="1" ht="35.1" customHeight="1" x14ac:dyDescent="0.3">
      <c r="A1336" s="46">
        <v>1867</v>
      </c>
      <c r="B1336" s="46" t="s">
        <v>3677</v>
      </c>
      <c r="C1336" s="46" t="s">
        <v>35</v>
      </c>
      <c r="D1336" s="60">
        <v>2025</v>
      </c>
      <c r="E1336" s="60"/>
      <c r="F1336" s="46" t="s">
        <v>591</v>
      </c>
      <c r="G1336" s="46" t="s">
        <v>159</v>
      </c>
      <c r="H1336" s="46" t="s">
        <v>592</v>
      </c>
      <c r="I1336" s="46" t="s">
        <v>169</v>
      </c>
      <c r="J1336" s="46" t="s">
        <v>69</v>
      </c>
      <c r="K1336" s="46" t="s">
        <v>68</v>
      </c>
      <c r="L1336" s="46"/>
      <c r="M1336" s="46"/>
      <c r="N1336" s="46"/>
      <c r="O1336" s="46"/>
      <c r="P1336" s="46"/>
      <c r="Q1336" s="46"/>
      <c r="R1336" s="46"/>
      <c r="S1336" s="46"/>
      <c r="T1336" s="46"/>
      <c r="U1336" s="46"/>
      <c r="V1336" s="46"/>
      <c r="W1336" s="46"/>
      <c r="X1336" s="46"/>
      <c r="Y1336" s="46"/>
      <c r="Z1336" s="46"/>
      <c r="AA1336" s="61">
        <f>IF(OR(G1336="ALK",G1336="PEM",G1336="SOEC",G1336="Other Electrolysis"),
AB1336*VLOOKUP(G1336,ElectrolysisConvF,3,FALSE),
"")</f>
        <v>0</v>
      </c>
      <c r="AB1336" s="62"/>
      <c r="AC1336" s="62"/>
      <c r="AD1336" s="62"/>
      <c r="AE1336" s="62">
        <f t="shared" si="151"/>
        <v>0</v>
      </c>
      <c r="AF1336" s="64" t="s">
        <v>3676</v>
      </c>
      <c r="AG1336" s="49">
        <v>0.5</v>
      </c>
    </row>
    <row r="1337" spans="1:33" customFormat="1" ht="35.1" customHeight="1" x14ac:dyDescent="0.3">
      <c r="A1337" s="46">
        <v>1868</v>
      </c>
      <c r="B1337" s="46" t="s">
        <v>3678</v>
      </c>
      <c r="C1337" s="46" t="s">
        <v>35</v>
      </c>
      <c r="D1337" s="60">
        <v>2026</v>
      </c>
      <c r="E1337" s="60"/>
      <c r="F1337" s="46" t="s">
        <v>225</v>
      </c>
      <c r="G1337" s="46" t="s">
        <v>159</v>
      </c>
      <c r="H1337" s="46" t="s">
        <v>592</v>
      </c>
      <c r="I1337" s="46" t="s">
        <v>169</v>
      </c>
      <c r="J1337" s="46" t="s">
        <v>69</v>
      </c>
      <c r="K1337" s="46" t="s">
        <v>68</v>
      </c>
      <c r="L1337" s="46"/>
      <c r="M1337" s="46"/>
      <c r="N1337" s="46"/>
      <c r="O1337" s="46"/>
      <c r="P1337" s="46"/>
      <c r="Q1337" s="46"/>
      <c r="R1337" s="46"/>
      <c r="S1337" s="46"/>
      <c r="T1337" s="46"/>
      <c r="U1337" s="46"/>
      <c r="V1337" s="46"/>
      <c r="W1337" s="46"/>
      <c r="X1337" s="46"/>
      <c r="Y1337" s="46"/>
      <c r="Z1337" s="46" t="s">
        <v>981</v>
      </c>
      <c r="AA1337" s="61">
        <v>20</v>
      </c>
      <c r="AB1337" s="62">
        <f>IF(OR(G1337="ALK",G1337="PEM",G1337="SOEC",G1337="Other Electrolysis"),
AA1337/VLOOKUP(G1337,ElectrolysisConvF,3,FALSE),
AC1337*10^6/(H2dens*HoursInYear))</f>
        <v>4444.4444444444443</v>
      </c>
      <c r="AC1337" s="63">
        <f>AB1337*H2dens*HoursInYear/10^6</f>
        <v>3.4650666666666665</v>
      </c>
      <c r="AD1337" s="62"/>
      <c r="AE1337" s="62">
        <f t="shared" si="151"/>
        <v>4444.4444444444443</v>
      </c>
      <c r="AF1337" s="64" t="s">
        <v>3676</v>
      </c>
      <c r="AG1337" s="49">
        <v>0.5</v>
      </c>
    </row>
    <row r="1338" spans="1:33" customFormat="1" ht="35.1" customHeight="1" x14ac:dyDescent="0.3">
      <c r="A1338" s="46">
        <v>1869</v>
      </c>
      <c r="B1338" s="46" t="s">
        <v>3679</v>
      </c>
      <c r="C1338" s="46" t="s">
        <v>37</v>
      </c>
      <c r="D1338" s="60">
        <v>2023</v>
      </c>
      <c r="E1338" s="60"/>
      <c r="F1338" s="46" t="s">
        <v>675</v>
      </c>
      <c r="G1338" s="46" t="s">
        <v>159</v>
      </c>
      <c r="H1338" s="46" t="s">
        <v>592</v>
      </c>
      <c r="I1338" s="46" t="s">
        <v>166</v>
      </c>
      <c r="J1338" s="46"/>
      <c r="K1338" s="46" t="s">
        <v>68</v>
      </c>
      <c r="L1338" s="46"/>
      <c r="M1338" s="46"/>
      <c r="N1338" s="46"/>
      <c r="O1338" s="46"/>
      <c r="P1338" s="46"/>
      <c r="Q1338" s="46">
        <v>1</v>
      </c>
      <c r="R1338" s="46"/>
      <c r="S1338" s="46"/>
      <c r="T1338" s="46"/>
      <c r="U1338" s="46"/>
      <c r="V1338" s="46"/>
      <c r="W1338" s="46"/>
      <c r="X1338" s="46"/>
      <c r="Y1338" s="46"/>
      <c r="Z1338" s="46" t="s">
        <v>3053</v>
      </c>
      <c r="AA1338" s="61">
        <f>IF(OR(G1338="ALK",G1338="PEM",G1338="SOEC",G1338="Other Electrolysis"),
AB1338*VLOOKUP(G1338,ElectrolysisConvF,3,FALSE),
"")</f>
        <v>2.1067415730337076</v>
      </c>
      <c r="AB1338" s="62">
        <f>AC1338/(H2dens*HoursInYear/10^6)</f>
        <v>468.16479400749063</v>
      </c>
      <c r="AC1338" s="62">
        <f>1*0.365</f>
        <v>0.36499999999999999</v>
      </c>
      <c r="AD1338" s="62"/>
      <c r="AE1338" s="62">
        <f t="shared" si="151"/>
        <v>468.16479400749063</v>
      </c>
      <c r="AF1338" s="64" t="s">
        <v>3680</v>
      </c>
      <c r="AG1338" s="49">
        <v>0.56999999999999995</v>
      </c>
    </row>
    <row r="1339" spans="1:33" customFormat="1" ht="35.1" customHeight="1" x14ac:dyDescent="0.3">
      <c r="A1339" s="46">
        <v>1870</v>
      </c>
      <c r="B1339" s="46" t="s">
        <v>3681</v>
      </c>
      <c r="C1339" s="46" t="s">
        <v>39</v>
      </c>
      <c r="D1339" s="60"/>
      <c r="E1339" s="60"/>
      <c r="F1339" s="46" t="s">
        <v>225</v>
      </c>
      <c r="G1339" s="46" t="s">
        <v>159</v>
      </c>
      <c r="H1339" s="46" t="s">
        <v>592</v>
      </c>
      <c r="I1339" s="46" t="s">
        <v>157</v>
      </c>
      <c r="J1339" s="46"/>
      <c r="K1339" s="46" t="s">
        <v>68</v>
      </c>
      <c r="L1339" s="46"/>
      <c r="M1339" s="46"/>
      <c r="N1339" s="46"/>
      <c r="O1339" s="46"/>
      <c r="P1339" s="46"/>
      <c r="Q1339" s="46">
        <v>1</v>
      </c>
      <c r="R1339" s="46"/>
      <c r="S1339" s="46"/>
      <c r="T1339" s="46"/>
      <c r="U1339" s="46"/>
      <c r="V1339" s="46"/>
      <c r="W1339" s="46"/>
      <c r="X1339" s="46"/>
      <c r="Y1339" s="46"/>
      <c r="Z1339" s="46"/>
      <c r="AA1339" s="61"/>
      <c r="AB1339" s="62"/>
      <c r="AC1339" s="62"/>
      <c r="AD1339" s="62"/>
      <c r="AE1339" s="62">
        <f t="shared" si="151"/>
        <v>0</v>
      </c>
      <c r="AF1339" s="64" t="s">
        <v>3682</v>
      </c>
      <c r="AG1339" s="49">
        <v>0.56999999999999995</v>
      </c>
    </row>
    <row r="1340" spans="1:33" customFormat="1" ht="35.1" customHeight="1" x14ac:dyDescent="0.3">
      <c r="A1340" s="46">
        <v>1871</v>
      </c>
      <c r="B1340" s="46" t="s">
        <v>3683</v>
      </c>
      <c r="C1340" s="46" t="s">
        <v>35</v>
      </c>
      <c r="D1340" s="60">
        <v>2023</v>
      </c>
      <c r="E1340" s="60"/>
      <c r="F1340" s="46" t="s">
        <v>675</v>
      </c>
      <c r="G1340" s="46" t="s">
        <v>1</v>
      </c>
      <c r="H1340" s="46"/>
      <c r="I1340" s="46" t="s">
        <v>169</v>
      </c>
      <c r="J1340" s="46" t="s">
        <v>69</v>
      </c>
      <c r="K1340" s="46" t="s">
        <v>68</v>
      </c>
      <c r="L1340" s="46"/>
      <c r="M1340" s="46"/>
      <c r="N1340" s="46"/>
      <c r="O1340" s="46"/>
      <c r="P1340" s="46"/>
      <c r="Q1340" s="46">
        <v>1</v>
      </c>
      <c r="R1340" s="46"/>
      <c r="S1340" s="46"/>
      <c r="T1340" s="46"/>
      <c r="U1340" s="46"/>
      <c r="V1340" s="46"/>
      <c r="W1340" s="46"/>
      <c r="X1340" s="46"/>
      <c r="Y1340" s="46"/>
      <c r="Z1340" s="46" t="s">
        <v>690</v>
      </c>
      <c r="AA1340" s="61">
        <v>4.5</v>
      </c>
      <c r="AB1340" s="62">
        <f>IF(OR(G1340="ALK",G1340="PEM",G1340="SOEC",G1340="Other Electrolysis"),
AA1340/VLOOKUP(G1340,ElectrolysisConvF,3,FALSE),
AC1340*10^6/(H2dens*HoursInYear))</f>
        <v>865.38461538461547</v>
      </c>
      <c r="AC1340" s="63">
        <f>AB1340*H2dens*HoursInYear/10^6</f>
        <v>0.67468846153846163</v>
      </c>
      <c r="AD1340" s="62"/>
      <c r="AE1340" s="62">
        <f t="shared" si="151"/>
        <v>865.38461538461547</v>
      </c>
      <c r="AF1340" s="64" t="s">
        <v>3684</v>
      </c>
      <c r="AG1340" s="49">
        <v>0.5</v>
      </c>
    </row>
    <row r="1341" spans="1:33" customFormat="1" ht="35.1" customHeight="1" x14ac:dyDescent="0.3">
      <c r="A1341" s="46">
        <v>1872</v>
      </c>
      <c r="B1341" s="46" t="s">
        <v>3685</v>
      </c>
      <c r="C1341" s="46" t="s">
        <v>47</v>
      </c>
      <c r="D1341" s="60"/>
      <c r="E1341" s="60"/>
      <c r="F1341" s="46" t="s">
        <v>591</v>
      </c>
      <c r="G1341" s="46" t="s">
        <v>161</v>
      </c>
      <c r="H1341" s="46" t="s">
        <v>2365</v>
      </c>
      <c r="I1341" s="46"/>
      <c r="J1341" s="46"/>
      <c r="K1341" s="46" t="s">
        <v>68</v>
      </c>
      <c r="L1341" s="46"/>
      <c r="M1341" s="46"/>
      <c r="N1341" s="46"/>
      <c r="O1341" s="46"/>
      <c r="P1341" s="46"/>
      <c r="Q1341" s="46"/>
      <c r="R1341" s="46"/>
      <c r="S1341" s="46"/>
      <c r="T1341" s="46"/>
      <c r="U1341" s="46"/>
      <c r="V1341" s="46"/>
      <c r="W1341" s="46"/>
      <c r="X1341" s="46"/>
      <c r="Y1341" s="46"/>
      <c r="Z1341" s="46"/>
      <c r="AA1341" s="61" t="str">
        <f>IF(OR(G1341="ALK",G1341="PEM",G1341="SOEC",G1341="Other Electrolysis"),
AB1341*VLOOKUP(G1341,ElectrolysisConvF,3,FALSE),
"")</f>
        <v/>
      </c>
      <c r="AB1341" s="62"/>
      <c r="AC1341" s="62"/>
      <c r="AD1341" s="62"/>
      <c r="AE1341" s="62">
        <f t="shared" si="151"/>
        <v>0</v>
      </c>
      <c r="AF1341" s="64" t="s">
        <v>3686</v>
      </c>
      <c r="AG1341" s="49">
        <v>0.9</v>
      </c>
    </row>
    <row r="1342" spans="1:33" customFormat="1" ht="35.1" customHeight="1" x14ac:dyDescent="0.3">
      <c r="A1342" s="46">
        <v>1873</v>
      </c>
      <c r="B1342" s="46" t="s">
        <v>3687</v>
      </c>
      <c r="C1342" s="46" t="s">
        <v>321</v>
      </c>
      <c r="D1342" s="60">
        <v>2024</v>
      </c>
      <c r="E1342" s="60"/>
      <c r="F1342" s="46" t="s">
        <v>675</v>
      </c>
      <c r="G1342" s="46" t="s">
        <v>1</v>
      </c>
      <c r="H1342" s="46"/>
      <c r="I1342" s="46" t="s">
        <v>169</v>
      </c>
      <c r="J1342" s="46" t="s">
        <v>244</v>
      </c>
      <c r="K1342" s="46" t="s">
        <v>68</v>
      </c>
      <c r="L1342" s="46"/>
      <c r="M1342" s="46"/>
      <c r="N1342" s="46"/>
      <c r="O1342" s="46"/>
      <c r="P1342" s="46">
        <v>1</v>
      </c>
      <c r="Q1342" s="46">
        <v>1</v>
      </c>
      <c r="R1342" s="46"/>
      <c r="S1342" s="46">
        <v>1</v>
      </c>
      <c r="T1342" s="46"/>
      <c r="U1342" s="46"/>
      <c r="V1342" s="46"/>
      <c r="W1342" s="46"/>
      <c r="X1342" s="46"/>
      <c r="Y1342" s="46"/>
      <c r="Z1342" s="46" t="s">
        <v>1396</v>
      </c>
      <c r="AA1342" s="61">
        <v>5</v>
      </c>
      <c r="AB1342" s="62">
        <f>IF(OR(G1342="ALK",G1342="PEM",G1342="SOEC",G1342="Other Electrolysis"),
AA1342/VLOOKUP(G1342,ElectrolysisConvF,3,FALSE),
AC1342*10^6/(H2dens*HoursInYear))</f>
        <v>961.53846153846155</v>
      </c>
      <c r="AC1342" s="63">
        <f>AB1342*H2dens*HoursInYear/10^6</f>
        <v>0.74965384615384612</v>
      </c>
      <c r="AD1342" s="62"/>
      <c r="AE1342" s="62">
        <f t="shared" si="151"/>
        <v>961.53846153846155</v>
      </c>
      <c r="AF1342" s="64" t="s">
        <v>3688</v>
      </c>
      <c r="AG1342" s="49">
        <v>0.3</v>
      </c>
    </row>
    <row r="1343" spans="1:33" customFormat="1" ht="35.1" customHeight="1" x14ac:dyDescent="0.3">
      <c r="A1343" s="46">
        <v>1874</v>
      </c>
      <c r="B1343" s="46" t="s">
        <v>3689</v>
      </c>
      <c r="C1343" s="46" t="s">
        <v>321</v>
      </c>
      <c r="D1343" s="60"/>
      <c r="E1343" s="60"/>
      <c r="F1343" s="46" t="s">
        <v>591</v>
      </c>
      <c r="G1343" s="46" t="s">
        <v>159</v>
      </c>
      <c r="H1343" s="46" t="s">
        <v>592</v>
      </c>
      <c r="I1343" s="46" t="s">
        <v>169</v>
      </c>
      <c r="J1343" s="46" t="s">
        <v>244</v>
      </c>
      <c r="K1343" s="46" t="s">
        <v>68</v>
      </c>
      <c r="L1343" s="46"/>
      <c r="M1343" s="46"/>
      <c r="N1343" s="46"/>
      <c r="O1343" s="46"/>
      <c r="P1343" s="46"/>
      <c r="Q1343" s="46">
        <v>1</v>
      </c>
      <c r="R1343" s="46"/>
      <c r="S1343" s="46"/>
      <c r="T1343" s="46"/>
      <c r="U1343" s="46"/>
      <c r="V1343" s="46"/>
      <c r="W1343" s="46"/>
      <c r="X1343" s="46"/>
      <c r="Y1343" s="46"/>
      <c r="Z1343" s="46" t="s">
        <v>3690</v>
      </c>
      <c r="AA1343" s="61">
        <v>440</v>
      </c>
      <c r="AB1343" s="62">
        <f>IF(OR(G1343="ALK",G1343="PEM",G1343="SOEC",G1343="Other Electrolysis"),
AA1343/VLOOKUP(G1343,ElectrolysisConvF,3,FALSE),
AC1343*10^6/(H2dens*HoursInYear))</f>
        <v>97777.777777777781</v>
      </c>
      <c r="AC1343" s="63">
        <f>AB1343*H2dens*HoursInYear/10^6</f>
        <v>76.231466666666677</v>
      </c>
      <c r="AD1343" s="62"/>
      <c r="AE1343" s="62">
        <f t="shared" si="151"/>
        <v>97777.777777777781</v>
      </c>
      <c r="AF1343" s="64" t="s">
        <v>3691</v>
      </c>
      <c r="AG1343" s="49">
        <v>0.3</v>
      </c>
    </row>
    <row r="1344" spans="1:33" customFormat="1" ht="35.1" customHeight="1" x14ac:dyDescent="0.3">
      <c r="A1344" s="46">
        <v>1875</v>
      </c>
      <c r="B1344" s="46" t="s">
        <v>3692</v>
      </c>
      <c r="C1344" s="46" t="s">
        <v>121</v>
      </c>
      <c r="D1344" s="60">
        <v>2026</v>
      </c>
      <c r="E1344" s="60"/>
      <c r="F1344" s="46" t="s">
        <v>225</v>
      </c>
      <c r="G1344" s="46" t="s">
        <v>1</v>
      </c>
      <c r="H1344" s="46"/>
      <c r="I1344" s="46" t="s">
        <v>169</v>
      </c>
      <c r="J1344" s="46" t="s">
        <v>69</v>
      </c>
      <c r="K1344" s="46" t="s">
        <v>68</v>
      </c>
      <c r="L1344" s="46">
        <v>1</v>
      </c>
      <c r="M1344" s="46"/>
      <c r="N1344" s="46">
        <v>1</v>
      </c>
      <c r="O1344" s="46"/>
      <c r="P1344" s="46"/>
      <c r="Q1344" s="46"/>
      <c r="R1344" s="46"/>
      <c r="S1344" s="46"/>
      <c r="T1344" s="46"/>
      <c r="U1344" s="46"/>
      <c r="V1344" s="46"/>
      <c r="W1344" s="46"/>
      <c r="X1344" s="46"/>
      <c r="Y1344" s="46"/>
      <c r="Z1344" s="46" t="s">
        <v>3693</v>
      </c>
      <c r="AA1344" s="61">
        <v>60</v>
      </c>
      <c r="AB1344" s="62">
        <f>IF(OR(G1344="ALK",G1344="PEM",G1344="SOEC",G1344="Other Electrolysis"),
AA1344/VLOOKUP(G1344,ElectrolysisConvF,3,FALSE),
AC1344*10^6/(H2dens*HoursInYear))</f>
        <v>11538.461538461539</v>
      </c>
      <c r="AC1344" s="63">
        <f>AB1344*H2dens*HoursInYear/10^6</f>
        <v>8.9958461538461538</v>
      </c>
      <c r="AD1344" s="62"/>
      <c r="AE1344" s="62">
        <f t="shared" si="151"/>
        <v>11538.461538461539</v>
      </c>
      <c r="AF1344" s="64" t="s">
        <v>3694</v>
      </c>
      <c r="AG1344" s="49">
        <v>0.5</v>
      </c>
    </row>
    <row r="1345" spans="1:33" customFormat="1" ht="35.1" customHeight="1" x14ac:dyDescent="0.3">
      <c r="A1345" s="46">
        <v>1876</v>
      </c>
      <c r="B1345" s="46" t="s">
        <v>3695</v>
      </c>
      <c r="C1345" s="46" t="s">
        <v>121</v>
      </c>
      <c r="D1345" s="60">
        <v>2026</v>
      </c>
      <c r="E1345" s="60"/>
      <c r="F1345" s="46" t="s">
        <v>225</v>
      </c>
      <c r="G1345" s="46" t="s">
        <v>1</v>
      </c>
      <c r="H1345" s="46"/>
      <c r="I1345" s="46" t="s">
        <v>169</v>
      </c>
      <c r="J1345" s="46" t="s">
        <v>69</v>
      </c>
      <c r="K1345" s="46" t="s">
        <v>68</v>
      </c>
      <c r="L1345" s="46">
        <v>1</v>
      </c>
      <c r="M1345" s="46"/>
      <c r="N1345" s="46">
        <v>1</v>
      </c>
      <c r="O1345" s="46"/>
      <c r="P1345" s="46"/>
      <c r="Q1345" s="46"/>
      <c r="R1345" s="46"/>
      <c r="S1345" s="46"/>
      <c r="T1345" s="46"/>
      <c r="U1345" s="46"/>
      <c r="V1345" s="46"/>
      <c r="W1345" s="46"/>
      <c r="X1345" s="46"/>
      <c r="Y1345" s="46"/>
      <c r="Z1345" s="46" t="s">
        <v>1350</v>
      </c>
      <c r="AA1345" s="61">
        <v>60</v>
      </c>
      <c r="AB1345" s="62">
        <f>IF(OR(G1345="ALK",G1345="PEM",G1345="SOEC",G1345="Other Electrolysis"),
AA1345/VLOOKUP(G1345,ElectrolysisConvF,3,FALSE),
AC1345*10^6/(H2dens*HoursInYear))</f>
        <v>11538.461538461539</v>
      </c>
      <c r="AC1345" s="63">
        <f>AB1345*H2dens*HoursInYear/10^6</f>
        <v>8.9958461538461538</v>
      </c>
      <c r="AD1345" s="62"/>
      <c r="AE1345" s="62">
        <f t="shared" si="151"/>
        <v>11538.461538461539</v>
      </c>
      <c r="AF1345" s="64" t="s">
        <v>3694</v>
      </c>
      <c r="AG1345" s="49">
        <v>0.5</v>
      </c>
    </row>
    <row r="1346" spans="1:33" customFormat="1" ht="35.1" customHeight="1" x14ac:dyDescent="0.3">
      <c r="A1346" s="46">
        <v>1877</v>
      </c>
      <c r="B1346" s="46" t="s">
        <v>3696</v>
      </c>
      <c r="C1346" s="46" t="s">
        <v>318</v>
      </c>
      <c r="D1346" s="60">
        <v>2027</v>
      </c>
      <c r="E1346" s="60"/>
      <c r="F1346" s="46" t="s">
        <v>591</v>
      </c>
      <c r="G1346" s="46" t="s">
        <v>159</v>
      </c>
      <c r="H1346" s="46" t="s">
        <v>592</v>
      </c>
      <c r="I1346" s="46" t="s">
        <v>169</v>
      </c>
      <c r="J1346" s="46" t="s">
        <v>69</v>
      </c>
      <c r="K1346" s="46" t="s">
        <v>68</v>
      </c>
      <c r="L1346" s="46">
        <v>1</v>
      </c>
      <c r="M1346" s="46"/>
      <c r="N1346" s="46"/>
      <c r="O1346" s="46"/>
      <c r="P1346" s="46"/>
      <c r="Q1346" s="46"/>
      <c r="R1346" s="46"/>
      <c r="S1346" s="46"/>
      <c r="T1346" s="46"/>
      <c r="U1346" s="46"/>
      <c r="V1346" s="46"/>
      <c r="W1346" s="46"/>
      <c r="X1346" s="46"/>
      <c r="Y1346" s="46"/>
      <c r="Z1346" s="46" t="s">
        <v>3697</v>
      </c>
      <c r="AA1346" s="61">
        <v>600</v>
      </c>
      <c r="AB1346" s="62">
        <f>IF(OR(G1346="ALK",G1346="PEM",G1346="SOEC",G1346="Other Electrolysis"),
AA1346/VLOOKUP(G1346,ElectrolysisConvF,3,FALSE),
AC1346*10^6/(H2dens*HoursInYear))</f>
        <v>133333.33333333334</v>
      </c>
      <c r="AC1346" s="63">
        <f>AB1346*H2dens*HoursInYear/10^6</f>
        <v>103.952</v>
      </c>
      <c r="AD1346" s="62"/>
      <c r="AE1346" s="62">
        <f t="shared" si="151"/>
        <v>133333.33333333334</v>
      </c>
      <c r="AF1346" s="64" t="s">
        <v>2434</v>
      </c>
      <c r="AG1346" s="49">
        <v>0.5</v>
      </c>
    </row>
    <row r="1347" spans="1:33" customFormat="1" ht="35.1" customHeight="1" x14ac:dyDescent="0.3">
      <c r="A1347" s="46">
        <v>1878</v>
      </c>
      <c r="B1347" s="46" t="s">
        <v>3698</v>
      </c>
      <c r="C1347" s="46" t="s">
        <v>49</v>
      </c>
      <c r="D1347" s="60">
        <v>2030</v>
      </c>
      <c r="E1347" s="60"/>
      <c r="F1347" s="46" t="s">
        <v>591</v>
      </c>
      <c r="G1347" s="46" t="s">
        <v>159</v>
      </c>
      <c r="H1347" s="46" t="s">
        <v>592</v>
      </c>
      <c r="I1347" s="46" t="s">
        <v>169</v>
      </c>
      <c r="J1347" s="46" t="s">
        <v>246</v>
      </c>
      <c r="K1347" s="46" t="s">
        <v>68</v>
      </c>
      <c r="L1347" s="46"/>
      <c r="M1347" s="46"/>
      <c r="N1347" s="46"/>
      <c r="O1347" s="46"/>
      <c r="P1347" s="46"/>
      <c r="Q1347" s="46"/>
      <c r="R1347" s="46"/>
      <c r="S1347" s="46"/>
      <c r="T1347" s="46"/>
      <c r="U1347" s="46"/>
      <c r="V1347" s="46"/>
      <c r="W1347" s="46"/>
      <c r="X1347" s="46"/>
      <c r="Y1347" s="46"/>
      <c r="Z1347" s="46" t="s">
        <v>3699</v>
      </c>
      <c r="AA1347" s="61">
        <f>IF(OR(G1347="ALK",G1347="PEM",G1347="SOEC",G1347="Other Electrolysis"),
AB1347*VLOOKUP(G1347,ElectrolysisConvF,3,FALSE),
"")</f>
        <v>10494.35403752781</v>
      </c>
      <c r="AB1347" s="62">
        <f>AC1347/(H2dens*HoursInYear/10^6)</f>
        <v>2332078.6750061801</v>
      </c>
      <c r="AC1347" s="62">
        <f>1000/H2ProjectDB4578610[[#This Row],[Column33]]</f>
        <v>1818.181818181818</v>
      </c>
      <c r="AD1347" s="62"/>
      <c r="AE1347" s="62">
        <f t="shared" si="151"/>
        <v>2332078.6750061801</v>
      </c>
      <c r="AF1347" s="64" t="s">
        <v>3700</v>
      </c>
      <c r="AG1347" s="49">
        <v>0.55000000000000004</v>
      </c>
    </row>
    <row r="1348" spans="1:33" customFormat="1" ht="35.1" customHeight="1" x14ac:dyDescent="0.3">
      <c r="A1348" s="46">
        <v>1879</v>
      </c>
      <c r="B1348" s="46" t="s">
        <v>3701</v>
      </c>
      <c r="C1348" s="46" t="s">
        <v>39</v>
      </c>
      <c r="D1348" s="60"/>
      <c r="E1348" s="60"/>
      <c r="F1348" s="46" t="s">
        <v>285</v>
      </c>
      <c r="G1348" s="46" t="s">
        <v>163</v>
      </c>
      <c r="H1348" s="46"/>
      <c r="I1348" s="46"/>
      <c r="J1348" s="46"/>
      <c r="K1348" s="46" t="s">
        <v>68</v>
      </c>
      <c r="L1348" s="46"/>
      <c r="M1348" s="46"/>
      <c r="N1348" s="46"/>
      <c r="O1348" s="46"/>
      <c r="P1348" s="46"/>
      <c r="Q1348" s="46"/>
      <c r="R1348" s="46"/>
      <c r="S1348" s="46"/>
      <c r="T1348" s="46"/>
      <c r="U1348" s="46"/>
      <c r="V1348" s="46"/>
      <c r="W1348" s="46"/>
      <c r="X1348" s="46"/>
      <c r="Y1348" s="46"/>
      <c r="Z1348" s="46"/>
      <c r="AA1348" s="61" t="str">
        <f>IF(OR(G1348="ALK",G1348="PEM",G1348="SOEC",G1348="Other Electrolysis"),
AB1348*VLOOKUP(G1348,ElectrolysisConvF,3,FALSE),
"")</f>
        <v/>
      </c>
      <c r="AB1348" s="62"/>
      <c r="AC1348" s="62"/>
      <c r="AD1348" s="62"/>
      <c r="AE1348" s="62">
        <f t="shared" si="151"/>
        <v>0</v>
      </c>
      <c r="AF1348" s="64" t="s">
        <v>3702</v>
      </c>
      <c r="AG1348" s="49">
        <v>0.9</v>
      </c>
    </row>
    <row r="1349" spans="1:33" customFormat="1" ht="35.1" customHeight="1" x14ac:dyDescent="0.3">
      <c r="A1349" s="46">
        <v>1880</v>
      </c>
      <c r="B1349" s="46" t="s">
        <v>3703</v>
      </c>
      <c r="C1349" s="46" t="s">
        <v>40</v>
      </c>
      <c r="D1349" s="60"/>
      <c r="E1349" s="60"/>
      <c r="F1349" s="46" t="s">
        <v>591</v>
      </c>
      <c r="G1349" s="46" t="s">
        <v>159</v>
      </c>
      <c r="H1349" s="46" t="s">
        <v>592</v>
      </c>
      <c r="I1349" s="46" t="s">
        <v>169</v>
      </c>
      <c r="J1349" s="46" t="s">
        <v>69</v>
      </c>
      <c r="K1349" s="46" t="s">
        <v>68</v>
      </c>
      <c r="L1349" s="46"/>
      <c r="M1349" s="46"/>
      <c r="N1349" s="46"/>
      <c r="O1349" s="46"/>
      <c r="P1349" s="46"/>
      <c r="Q1349" s="46"/>
      <c r="R1349" s="46"/>
      <c r="S1349" s="46"/>
      <c r="T1349" s="46"/>
      <c r="U1349" s="46"/>
      <c r="V1349" s="46"/>
      <c r="W1349" s="46"/>
      <c r="X1349" s="46"/>
      <c r="Y1349" s="46"/>
      <c r="Z1349" s="46"/>
      <c r="AA1349" s="61">
        <f>IF(OR(G1349="ALK",G1349="PEM",G1349="SOEC",G1349="Other Electrolysis"),
AB1349*VLOOKUP(G1349,ElectrolysisConvF,3,FALSE),
"")</f>
        <v>0</v>
      </c>
      <c r="AB1349" s="62"/>
      <c r="AC1349" s="62"/>
      <c r="AD1349" s="62"/>
      <c r="AE1349" s="62">
        <f t="shared" si="151"/>
        <v>0</v>
      </c>
      <c r="AF1349" s="64" t="s">
        <v>3704</v>
      </c>
      <c r="AG1349" s="49">
        <v>0.5</v>
      </c>
    </row>
    <row r="1350" spans="1:33" customFormat="1" ht="35.1" customHeight="1" x14ac:dyDescent="0.3">
      <c r="A1350" s="46">
        <v>1881</v>
      </c>
      <c r="B1350" s="46" t="s">
        <v>3705</v>
      </c>
      <c r="C1350" s="46" t="s">
        <v>318</v>
      </c>
      <c r="D1350" s="60">
        <v>2027</v>
      </c>
      <c r="E1350" s="60"/>
      <c r="F1350" s="46" t="s">
        <v>225</v>
      </c>
      <c r="G1350" s="46" t="s">
        <v>159</v>
      </c>
      <c r="H1350" s="46" t="s">
        <v>592</v>
      </c>
      <c r="I1350" s="46" t="s">
        <v>1317</v>
      </c>
      <c r="J1350" s="46" t="s">
        <v>244</v>
      </c>
      <c r="K1350" s="46" t="s">
        <v>68</v>
      </c>
      <c r="L1350" s="46"/>
      <c r="M1350" s="46">
        <v>1</v>
      </c>
      <c r="N1350" s="46"/>
      <c r="O1350" s="46"/>
      <c r="P1350" s="46"/>
      <c r="Q1350" s="46"/>
      <c r="R1350" s="46"/>
      <c r="S1350" s="46"/>
      <c r="T1350" s="46"/>
      <c r="U1350" s="46"/>
      <c r="V1350" s="46"/>
      <c r="W1350" s="46"/>
      <c r="X1350" s="46"/>
      <c r="Y1350" s="46"/>
      <c r="Z1350" s="46" t="s">
        <v>1654</v>
      </c>
      <c r="AA1350" s="61">
        <v>500</v>
      </c>
      <c r="AB1350" s="62">
        <f>IF(OR(G1350="ALK",G1350="PEM",G1350="SOEC",G1350="Other Electrolysis"),
AA1350/VLOOKUP(G1350,ElectrolysisConvF,3,FALSE),
AC1350*10^6/(H2dens*HoursInYear))</f>
        <v>111111.11111111112</v>
      </c>
      <c r="AC1350" s="63">
        <f>AB1350*H2dens*HoursInYear/10^6</f>
        <v>86.626666666666665</v>
      </c>
      <c r="AD1350" s="62"/>
      <c r="AE1350" s="62">
        <f t="shared" si="151"/>
        <v>111111.11111111112</v>
      </c>
      <c r="AF1350" s="64" t="s">
        <v>3706</v>
      </c>
      <c r="AG1350" s="49">
        <v>0.7</v>
      </c>
    </row>
    <row r="1351" spans="1:33" customFormat="1" ht="35.1" customHeight="1" x14ac:dyDescent="0.3">
      <c r="A1351" s="46">
        <v>1882</v>
      </c>
      <c r="B1351" s="46" t="s">
        <v>3707</v>
      </c>
      <c r="C1351" s="46" t="s">
        <v>39</v>
      </c>
      <c r="D1351" s="60">
        <v>2024</v>
      </c>
      <c r="E1351" s="60"/>
      <c r="F1351" s="46" t="s">
        <v>225</v>
      </c>
      <c r="G1351" s="46" t="s">
        <v>159</v>
      </c>
      <c r="H1351" s="46" t="s">
        <v>592</v>
      </c>
      <c r="I1351" s="46" t="s">
        <v>169</v>
      </c>
      <c r="J1351" s="46" t="s">
        <v>69</v>
      </c>
      <c r="K1351" s="46" t="s">
        <v>141</v>
      </c>
      <c r="L1351" s="46"/>
      <c r="M1351" s="46">
        <v>1</v>
      </c>
      <c r="N1351" s="46"/>
      <c r="O1351" s="46"/>
      <c r="P1351" s="46"/>
      <c r="Q1351" s="46"/>
      <c r="R1351" s="46"/>
      <c r="S1351" s="46"/>
      <c r="T1351" s="46"/>
      <c r="U1351" s="46"/>
      <c r="V1351" s="46"/>
      <c r="W1351" s="46"/>
      <c r="X1351" s="46"/>
      <c r="Y1351" s="46"/>
      <c r="Z1351" s="46" t="s">
        <v>3708</v>
      </c>
      <c r="AA1351" s="61">
        <f>IF(OR(G1351="ALK",G1351="PEM",G1351="SOEC",G1351="Other Electrolysis"),
AB1351*VLOOKUP(G1351,ElectrolysisConvF,3,FALSE),
"")</f>
        <v>1050.4848391565338</v>
      </c>
      <c r="AB1351" s="62">
        <f>AC1351/(H2dens*HoursInYear/10^6)</f>
        <v>233441.07536811862</v>
      </c>
      <c r="AC1351" s="62">
        <f>91/H2ProjectDB4578610[[#This Row],[Column33]]</f>
        <v>182</v>
      </c>
      <c r="AD1351" s="62"/>
      <c r="AE1351" s="62">
        <f t="shared" si="151"/>
        <v>233441.07536811862</v>
      </c>
      <c r="AF1351" s="64" t="s">
        <v>3709</v>
      </c>
      <c r="AG1351" s="49">
        <v>0.5</v>
      </c>
    </row>
    <row r="1352" spans="1:33" customFormat="1" ht="35.1" customHeight="1" x14ac:dyDescent="0.3">
      <c r="A1352" s="46">
        <v>1883</v>
      </c>
      <c r="B1352" s="46" t="s">
        <v>3710</v>
      </c>
      <c r="C1352" s="46" t="s">
        <v>86</v>
      </c>
      <c r="D1352" s="60"/>
      <c r="E1352" s="60"/>
      <c r="F1352" s="46" t="s">
        <v>591</v>
      </c>
      <c r="G1352" s="46" t="s">
        <v>159</v>
      </c>
      <c r="H1352" s="46" t="s">
        <v>592</v>
      </c>
      <c r="I1352" s="46" t="s">
        <v>169</v>
      </c>
      <c r="J1352" s="46" t="s">
        <v>245</v>
      </c>
      <c r="K1352" s="46" t="s">
        <v>68</v>
      </c>
      <c r="L1352" s="46"/>
      <c r="M1352" s="46"/>
      <c r="N1352" s="46"/>
      <c r="O1352" s="46"/>
      <c r="P1352" s="46"/>
      <c r="Q1352" s="46"/>
      <c r="R1352" s="46"/>
      <c r="S1352" s="46"/>
      <c r="T1352" s="46"/>
      <c r="U1352" s="46"/>
      <c r="V1352" s="46"/>
      <c r="W1352" s="46"/>
      <c r="X1352" s="46"/>
      <c r="Y1352" s="46"/>
      <c r="Z1352" s="46" t="s">
        <v>1654</v>
      </c>
      <c r="AA1352" s="61">
        <v>500</v>
      </c>
      <c r="AB1352" s="62">
        <f t="shared" ref="AB1352:AB1358" si="152">IF(OR(G1352="ALK",G1352="PEM",G1352="SOEC",G1352="Other Electrolysis"),
AA1352/VLOOKUP(G1352,ElectrolysisConvF,3,FALSE),
AC1352*10^6/(H2dens*HoursInYear))</f>
        <v>111111.11111111112</v>
      </c>
      <c r="AC1352" s="63">
        <f t="shared" ref="AC1352:AC1358" si="153">AB1352*H2dens*HoursInYear/10^6</f>
        <v>86.626666666666665</v>
      </c>
      <c r="AD1352" s="62"/>
      <c r="AE1352" s="62">
        <f t="shared" si="151"/>
        <v>111111.11111111112</v>
      </c>
      <c r="AF1352" s="64" t="s">
        <v>3711</v>
      </c>
      <c r="AG1352" s="49">
        <v>0.4</v>
      </c>
    </row>
    <row r="1353" spans="1:33" customFormat="1" ht="35.1" customHeight="1" x14ac:dyDescent="0.3">
      <c r="A1353" s="46">
        <v>1884</v>
      </c>
      <c r="B1353" s="46" t="s">
        <v>3712</v>
      </c>
      <c r="C1353" s="46" t="s">
        <v>86</v>
      </c>
      <c r="D1353" s="60"/>
      <c r="E1353" s="60"/>
      <c r="F1353" s="46" t="s">
        <v>591</v>
      </c>
      <c r="G1353" s="46" t="s">
        <v>159</v>
      </c>
      <c r="H1353" s="46" t="s">
        <v>592</v>
      </c>
      <c r="I1353" s="46" t="s">
        <v>169</v>
      </c>
      <c r="J1353" s="46" t="s">
        <v>245</v>
      </c>
      <c r="K1353" s="46" t="s">
        <v>68</v>
      </c>
      <c r="L1353" s="46"/>
      <c r="M1353" s="46"/>
      <c r="N1353" s="46"/>
      <c r="O1353" s="46"/>
      <c r="P1353" s="46"/>
      <c r="Q1353" s="46"/>
      <c r="R1353" s="46"/>
      <c r="S1353" s="46"/>
      <c r="T1353" s="46"/>
      <c r="U1353" s="46"/>
      <c r="V1353" s="46"/>
      <c r="W1353" s="46"/>
      <c r="X1353" s="46"/>
      <c r="Y1353" s="46"/>
      <c r="Z1353" s="46" t="s">
        <v>3713</v>
      </c>
      <c r="AA1353" s="61">
        <v>1200</v>
      </c>
      <c r="AB1353" s="62">
        <f t="shared" si="152"/>
        <v>266666.66666666669</v>
      </c>
      <c r="AC1353" s="63">
        <f t="shared" si="153"/>
        <v>207.904</v>
      </c>
      <c r="AD1353" s="62"/>
      <c r="AE1353" s="62">
        <f t="shared" si="151"/>
        <v>266666.66666666669</v>
      </c>
      <c r="AF1353" s="64" t="s">
        <v>3711</v>
      </c>
      <c r="AG1353" s="49">
        <v>0.4</v>
      </c>
    </row>
    <row r="1354" spans="1:33" customFormat="1" ht="35.1" customHeight="1" x14ac:dyDescent="0.3">
      <c r="A1354" s="46">
        <v>1885</v>
      </c>
      <c r="B1354" s="46" t="s">
        <v>3714</v>
      </c>
      <c r="C1354" s="46" t="s">
        <v>86</v>
      </c>
      <c r="D1354" s="60"/>
      <c r="E1354" s="60"/>
      <c r="F1354" s="46" t="s">
        <v>591</v>
      </c>
      <c r="G1354" s="46" t="s">
        <v>159</v>
      </c>
      <c r="H1354" s="46" t="s">
        <v>592</v>
      </c>
      <c r="I1354" s="46" t="s">
        <v>169</v>
      </c>
      <c r="J1354" s="46" t="s">
        <v>245</v>
      </c>
      <c r="K1354" s="46" t="s">
        <v>68</v>
      </c>
      <c r="L1354" s="46"/>
      <c r="M1354" s="46"/>
      <c r="N1354" s="46"/>
      <c r="O1354" s="46"/>
      <c r="P1354" s="46"/>
      <c r="Q1354" s="46"/>
      <c r="R1354" s="46"/>
      <c r="S1354" s="46"/>
      <c r="T1354" s="46"/>
      <c r="U1354" s="46"/>
      <c r="V1354" s="46"/>
      <c r="W1354" s="46"/>
      <c r="X1354" s="46"/>
      <c r="Y1354" s="46"/>
      <c r="Z1354" s="46" t="s">
        <v>1926</v>
      </c>
      <c r="AA1354" s="61">
        <v>1300</v>
      </c>
      <c r="AB1354" s="62">
        <f t="shared" si="152"/>
        <v>288888.88888888893</v>
      </c>
      <c r="AC1354" s="63">
        <f t="shared" si="153"/>
        <v>225.22933333333333</v>
      </c>
      <c r="AD1354" s="62"/>
      <c r="AE1354" s="62">
        <f t="shared" si="151"/>
        <v>288888.88888888893</v>
      </c>
      <c r="AF1354" s="64" t="s">
        <v>3711</v>
      </c>
      <c r="AG1354" s="49">
        <v>0.4</v>
      </c>
    </row>
    <row r="1355" spans="1:33" customFormat="1" ht="35.1" customHeight="1" x14ac:dyDescent="0.3">
      <c r="A1355" s="46">
        <v>1886</v>
      </c>
      <c r="B1355" s="46" t="s">
        <v>3715</v>
      </c>
      <c r="C1355" s="46" t="s">
        <v>203</v>
      </c>
      <c r="D1355" s="60">
        <v>2026</v>
      </c>
      <c r="E1355" s="60"/>
      <c r="F1355" s="46" t="s">
        <v>225</v>
      </c>
      <c r="G1355" s="46" t="s">
        <v>1</v>
      </c>
      <c r="H1355" s="46"/>
      <c r="I1355" s="46" t="s">
        <v>166</v>
      </c>
      <c r="J1355" s="46" t="str">
        <f>IF(I1355&lt;&gt;"Dedicated renewable","N/A",)</f>
        <v>N/A</v>
      </c>
      <c r="K1355" s="46" t="s">
        <v>140</v>
      </c>
      <c r="L1355" s="46"/>
      <c r="M1355" s="46"/>
      <c r="N1355" s="46">
        <v>1</v>
      </c>
      <c r="O1355" s="46"/>
      <c r="P1355" s="46"/>
      <c r="Q1355" s="46"/>
      <c r="R1355" s="46"/>
      <c r="S1355" s="46"/>
      <c r="T1355" s="46"/>
      <c r="U1355" s="46"/>
      <c r="V1355" s="46"/>
      <c r="W1355" s="46"/>
      <c r="X1355" s="46"/>
      <c r="Y1355" s="46"/>
      <c r="Z1355" s="46" t="s">
        <v>2033</v>
      </c>
      <c r="AA1355" s="61">
        <v>70</v>
      </c>
      <c r="AB1355" s="62">
        <f t="shared" si="152"/>
        <v>13461.538461538463</v>
      </c>
      <c r="AC1355" s="63">
        <f t="shared" si="153"/>
        <v>10.495153846153846</v>
      </c>
      <c r="AD1355" s="62"/>
      <c r="AE1355" s="62">
        <f t="shared" si="151"/>
        <v>13461.538461538463</v>
      </c>
      <c r="AF1355" s="64" t="s">
        <v>3716</v>
      </c>
      <c r="AG1355" s="49">
        <v>0.56999999999999995</v>
      </c>
    </row>
    <row r="1356" spans="1:33" customFormat="1" ht="35.1" customHeight="1" x14ac:dyDescent="0.3">
      <c r="A1356" s="46">
        <v>1887</v>
      </c>
      <c r="B1356" s="46" t="s">
        <v>3717</v>
      </c>
      <c r="C1356" s="46" t="s">
        <v>35</v>
      </c>
      <c r="D1356" s="60">
        <v>2026</v>
      </c>
      <c r="E1356" s="60"/>
      <c r="F1356" s="46" t="s">
        <v>225</v>
      </c>
      <c r="G1356" s="46" t="s">
        <v>159</v>
      </c>
      <c r="H1356" s="46" t="s">
        <v>592</v>
      </c>
      <c r="I1356" s="46" t="s">
        <v>169</v>
      </c>
      <c r="J1356" s="46" t="s">
        <v>69</v>
      </c>
      <c r="K1356" s="46" t="s">
        <v>141</v>
      </c>
      <c r="L1356" s="46"/>
      <c r="M1356" s="46">
        <v>1</v>
      </c>
      <c r="N1356" s="46"/>
      <c r="O1356" s="46"/>
      <c r="P1356" s="46"/>
      <c r="Q1356" s="46"/>
      <c r="R1356" s="46"/>
      <c r="S1356" s="46"/>
      <c r="T1356" s="46"/>
      <c r="U1356" s="46"/>
      <c r="V1356" s="46"/>
      <c r="W1356" s="46"/>
      <c r="X1356" s="46"/>
      <c r="Y1356" s="46"/>
      <c r="Z1356" s="46" t="s">
        <v>3718</v>
      </c>
      <c r="AA1356" s="61">
        <v>255</v>
      </c>
      <c r="AB1356" s="62">
        <f t="shared" si="152"/>
        <v>56666.666666666672</v>
      </c>
      <c r="AC1356" s="63">
        <f t="shared" si="153"/>
        <v>44.179600000000008</v>
      </c>
      <c r="AD1356" s="62"/>
      <c r="AE1356" s="62">
        <f t="shared" si="151"/>
        <v>56666.666666666672</v>
      </c>
      <c r="AF1356" s="64" t="s">
        <v>3716</v>
      </c>
      <c r="AG1356" s="49">
        <v>0.5</v>
      </c>
    </row>
    <row r="1357" spans="1:33" customFormat="1" ht="35.1" customHeight="1" x14ac:dyDescent="0.3">
      <c r="A1357" s="46">
        <v>1888</v>
      </c>
      <c r="B1357" s="46" t="s">
        <v>3719</v>
      </c>
      <c r="C1357" s="46" t="s">
        <v>34</v>
      </c>
      <c r="D1357" s="60">
        <v>2025</v>
      </c>
      <c r="E1357" s="60"/>
      <c r="F1357" s="46" t="s">
        <v>675</v>
      </c>
      <c r="G1357" s="46" t="s">
        <v>159</v>
      </c>
      <c r="H1357" s="46" t="s">
        <v>592</v>
      </c>
      <c r="I1357" s="46" t="s">
        <v>169</v>
      </c>
      <c r="J1357" s="46" t="s">
        <v>244</v>
      </c>
      <c r="K1357" s="46" t="s">
        <v>68</v>
      </c>
      <c r="L1357" s="46"/>
      <c r="M1357" s="46"/>
      <c r="N1357" s="46"/>
      <c r="O1357" s="46"/>
      <c r="P1357" s="46"/>
      <c r="Q1357" s="46">
        <v>1</v>
      </c>
      <c r="R1357" s="46"/>
      <c r="S1357" s="46">
        <v>1</v>
      </c>
      <c r="T1357" s="46"/>
      <c r="U1357" s="46"/>
      <c r="V1357" s="46"/>
      <c r="W1357" s="46"/>
      <c r="X1357" s="46"/>
      <c r="Y1357" s="46"/>
      <c r="Z1357" s="46" t="s">
        <v>964</v>
      </c>
      <c r="AA1357" s="61">
        <v>30</v>
      </c>
      <c r="AB1357" s="62">
        <f t="shared" si="152"/>
        <v>6666.666666666667</v>
      </c>
      <c r="AC1357" s="63">
        <f t="shared" si="153"/>
        <v>5.1976000000000004</v>
      </c>
      <c r="AD1357" s="62"/>
      <c r="AE1357" s="62">
        <f t="shared" si="151"/>
        <v>6666.666666666667</v>
      </c>
      <c r="AF1357" s="64" t="s">
        <v>3716</v>
      </c>
      <c r="AG1357" s="49">
        <v>0.3</v>
      </c>
    </row>
    <row r="1358" spans="1:33" customFormat="1" ht="35.1" customHeight="1" x14ac:dyDescent="0.3">
      <c r="A1358" s="46">
        <v>1889</v>
      </c>
      <c r="B1358" s="46" t="s">
        <v>3720</v>
      </c>
      <c r="C1358" s="46" t="s">
        <v>34</v>
      </c>
      <c r="D1358" s="60">
        <v>2028</v>
      </c>
      <c r="E1358" s="60"/>
      <c r="F1358" s="46" t="s">
        <v>225</v>
      </c>
      <c r="G1358" s="46" t="s">
        <v>159</v>
      </c>
      <c r="H1358" s="46" t="s">
        <v>592</v>
      </c>
      <c r="I1358" s="46" t="s">
        <v>169</v>
      </c>
      <c r="J1358" s="46" t="s">
        <v>69</v>
      </c>
      <c r="K1358" s="46" t="s">
        <v>167</v>
      </c>
      <c r="L1358" s="46"/>
      <c r="M1358" s="46"/>
      <c r="N1358" s="46">
        <v>1</v>
      </c>
      <c r="O1358" s="46"/>
      <c r="P1358" s="46"/>
      <c r="Q1358" s="46"/>
      <c r="R1358" s="46"/>
      <c r="S1358" s="46"/>
      <c r="T1358" s="46"/>
      <c r="U1358" s="46"/>
      <c r="V1358" s="46"/>
      <c r="W1358" s="46">
        <v>1</v>
      </c>
      <c r="X1358" s="46"/>
      <c r="Y1358" s="46"/>
      <c r="Z1358" s="46" t="s">
        <v>3721</v>
      </c>
      <c r="AA1358" s="61">
        <v>12.5</v>
      </c>
      <c r="AB1358" s="62">
        <f t="shared" si="152"/>
        <v>2777.7777777777778</v>
      </c>
      <c r="AC1358" s="63">
        <f t="shared" si="153"/>
        <v>2.1656666666666666</v>
      </c>
      <c r="AD1358" s="62"/>
      <c r="AE1358" s="62">
        <f t="shared" si="151"/>
        <v>2777.7777777777778</v>
      </c>
      <c r="AF1358" s="64" t="s">
        <v>3722</v>
      </c>
      <c r="AG1358" s="49">
        <v>0.5</v>
      </c>
    </row>
    <row r="1359" spans="1:33" customFormat="1" ht="35.1" customHeight="1" x14ac:dyDescent="0.3">
      <c r="A1359" s="46">
        <v>1890</v>
      </c>
      <c r="B1359" s="46" t="s">
        <v>3723</v>
      </c>
      <c r="C1359" s="46" t="s">
        <v>37</v>
      </c>
      <c r="D1359" s="60">
        <v>2026</v>
      </c>
      <c r="E1359" s="60"/>
      <c r="F1359" s="46" t="s">
        <v>225</v>
      </c>
      <c r="G1359" s="46" t="s">
        <v>159</v>
      </c>
      <c r="H1359" s="46" t="s">
        <v>592</v>
      </c>
      <c r="I1359" s="46" t="s">
        <v>169</v>
      </c>
      <c r="J1359" s="46" t="s">
        <v>69</v>
      </c>
      <c r="K1359" s="46" t="s">
        <v>141</v>
      </c>
      <c r="L1359" s="46"/>
      <c r="M1359" s="46">
        <v>1</v>
      </c>
      <c r="N1359" s="46"/>
      <c r="O1359" s="46"/>
      <c r="P1359" s="46"/>
      <c r="Q1359" s="46"/>
      <c r="R1359" s="46"/>
      <c r="S1359" s="46"/>
      <c r="T1359" s="46"/>
      <c r="U1359" s="46"/>
      <c r="V1359" s="46"/>
      <c r="W1359" s="46"/>
      <c r="X1359" s="46"/>
      <c r="Y1359" s="46"/>
      <c r="Z1359" s="46" t="s">
        <v>3724</v>
      </c>
      <c r="AA1359" s="61">
        <f>IF(OR(G1359="ALK",G1359="PEM",G1359="SOEC",G1359="Other Electrolysis"),
AB1359*VLOOKUP(G1359,ElectrolysisConvF,3,FALSE),
"")</f>
        <v>359.61745018155028</v>
      </c>
      <c r="AB1359" s="62">
        <f>AC1359/(H2dens*HoursInYear/10^6)</f>
        <v>79914.988929233397</v>
      </c>
      <c r="AC1359" s="63">
        <f>(173*3/17/0.98)/H2ProjectDB4578610[[#This Row],[Column33]]</f>
        <v>62.304921968787518</v>
      </c>
      <c r="AD1359" s="62"/>
      <c r="AE1359" s="62">
        <f t="shared" si="151"/>
        <v>79914.988929233397</v>
      </c>
      <c r="AF1359" s="64" t="s">
        <v>3725</v>
      </c>
      <c r="AG1359" s="49">
        <v>0.5</v>
      </c>
    </row>
    <row r="1360" spans="1:33" customFormat="1" ht="35.1" customHeight="1" x14ac:dyDescent="0.3">
      <c r="A1360" s="46">
        <v>1891</v>
      </c>
      <c r="B1360" s="46" t="s">
        <v>3726</v>
      </c>
      <c r="C1360" s="46" t="s">
        <v>46</v>
      </c>
      <c r="D1360" s="60"/>
      <c r="E1360" s="60"/>
      <c r="F1360" s="46" t="s">
        <v>225</v>
      </c>
      <c r="G1360" s="46" t="s">
        <v>159</v>
      </c>
      <c r="H1360" s="46" t="s">
        <v>592</v>
      </c>
      <c r="I1360" s="46" t="s">
        <v>169</v>
      </c>
      <c r="J1360" s="46" t="s">
        <v>245</v>
      </c>
      <c r="K1360" s="46" t="s">
        <v>68</v>
      </c>
      <c r="L1360" s="46"/>
      <c r="M1360" s="46"/>
      <c r="N1360" s="46"/>
      <c r="O1360" s="46"/>
      <c r="P1360" s="46"/>
      <c r="Q1360" s="46"/>
      <c r="R1360" s="46"/>
      <c r="S1360" s="46"/>
      <c r="T1360" s="46"/>
      <c r="U1360" s="46"/>
      <c r="V1360" s="46"/>
      <c r="W1360" s="46"/>
      <c r="X1360" s="46"/>
      <c r="Y1360" s="46"/>
      <c r="Z1360" s="46" t="s">
        <v>3727</v>
      </c>
      <c r="AA1360" s="61">
        <f>IF(OR(G1360="ALK",G1360="PEM",G1360="SOEC",G1360="Other Electrolysis"),
AB1360*VLOOKUP(G1360,ElectrolysisConvF,3,FALSE),
"")</f>
        <v>28.859473603201479</v>
      </c>
      <c r="AB1360" s="62">
        <f>AC1360/(H2dens*HoursInYear/10^6)</f>
        <v>6413.2163562669957</v>
      </c>
      <c r="AC1360" s="62">
        <f>2/H2ProjectDB4578610[[#This Row],[Column33]]</f>
        <v>5</v>
      </c>
      <c r="AD1360" s="62"/>
      <c r="AE1360" s="62">
        <f t="shared" si="151"/>
        <v>6413.2163562669957</v>
      </c>
      <c r="AF1360" s="64" t="s">
        <v>3728</v>
      </c>
      <c r="AG1360" s="49">
        <v>0.4</v>
      </c>
    </row>
    <row r="1361" spans="1:33" customFormat="1" ht="35.1" customHeight="1" x14ac:dyDescent="0.3">
      <c r="A1361" s="46">
        <v>1892</v>
      </c>
      <c r="B1361" s="46" t="s">
        <v>3729</v>
      </c>
      <c r="C1361" s="46" t="s">
        <v>40</v>
      </c>
      <c r="D1361" s="60">
        <v>2026</v>
      </c>
      <c r="E1361" s="60"/>
      <c r="F1361" s="46" t="s">
        <v>225</v>
      </c>
      <c r="G1361" s="46" t="s">
        <v>1</v>
      </c>
      <c r="H1361" s="46"/>
      <c r="I1361" s="46" t="s">
        <v>169</v>
      </c>
      <c r="J1361" s="46" t="s">
        <v>248</v>
      </c>
      <c r="K1361" s="46" t="s">
        <v>167</v>
      </c>
      <c r="L1361" s="46"/>
      <c r="M1361" s="46"/>
      <c r="N1361" s="46"/>
      <c r="O1361" s="46"/>
      <c r="P1361" s="46"/>
      <c r="Q1361" s="46"/>
      <c r="R1361" s="46"/>
      <c r="S1361" s="46"/>
      <c r="T1361" s="46"/>
      <c r="U1361" s="46"/>
      <c r="V1361" s="46"/>
      <c r="W1361" s="46">
        <v>1</v>
      </c>
      <c r="X1361" s="46"/>
      <c r="Y1361" s="46"/>
      <c r="Z1361" s="46" t="s">
        <v>2963</v>
      </c>
      <c r="AA1361" s="62">
        <v>1800</v>
      </c>
      <c r="AB1361" s="62">
        <f>IF(OR(G1361="ALK",G1361="PEM",G1361="SOEC",G1361="Other Electrolysis"),
AA1361/VLOOKUP(G1361,ElectrolysisConvF,3,FALSE),
AC1361*10^6/(H2dens*HoursInYear))</f>
        <v>346153.84615384619</v>
      </c>
      <c r="AC1361" s="63">
        <f>AB1361*H2dens*HoursInYear/10^6</f>
        <v>269.87538461538463</v>
      </c>
      <c r="AD1361" s="62"/>
      <c r="AE1361" s="62">
        <f t="shared" si="151"/>
        <v>346153.84615384619</v>
      </c>
      <c r="AF1361" s="64" t="s">
        <v>3730</v>
      </c>
      <c r="AG1361" s="49">
        <v>0.5</v>
      </c>
    </row>
    <row r="1362" spans="1:33" customFormat="1" ht="35.1" customHeight="1" x14ac:dyDescent="0.3">
      <c r="A1362" s="46">
        <v>1893</v>
      </c>
      <c r="B1362" s="46" t="s">
        <v>3731</v>
      </c>
      <c r="C1362" s="46" t="s">
        <v>39</v>
      </c>
      <c r="D1362" s="60">
        <v>2026</v>
      </c>
      <c r="E1362" s="60"/>
      <c r="F1362" s="46" t="s">
        <v>225</v>
      </c>
      <c r="G1362" s="46" t="s">
        <v>159</v>
      </c>
      <c r="H1362" s="46" t="s">
        <v>592</v>
      </c>
      <c r="I1362" s="46" t="s">
        <v>169</v>
      </c>
      <c r="J1362" s="46" t="s">
        <v>248</v>
      </c>
      <c r="K1362" s="46" t="s">
        <v>167</v>
      </c>
      <c r="L1362" s="46"/>
      <c r="M1362" s="46"/>
      <c r="N1362" s="46"/>
      <c r="O1362" s="46"/>
      <c r="P1362" s="46"/>
      <c r="Q1362" s="46">
        <v>1</v>
      </c>
      <c r="R1362" s="46"/>
      <c r="S1362" s="46"/>
      <c r="T1362" s="46"/>
      <c r="U1362" s="46"/>
      <c r="V1362" s="46"/>
      <c r="W1362" s="46">
        <v>1</v>
      </c>
      <c r="X1362" s="46"/>
      <c r="Y1362" s="46"/>
      <c r="Z1362" s="46" t="s">
        <v>1260</v>
      </c>
      <c r="AA1362" s="61">
        <v>250</v>
      </c>
      <c r="AB1362" s="62">
        <f>IF(OR(G1362="ALK",G1362="PEM",G1362="SOEC",G1362="Other Electrolysis"),
AA1362/VLOOKUP(G1362,ElectrolysisConvF,3,FALSE),
AC1362*10^6/(H2dens*HoursInYear))</f>
        <v>55555.555555555562</v>
      </c>
      <c r="AC1362" s="63">
        <f>AB1362*H2dens*HoursInYear/10^6</f>
        <v>43.313333333333333</v>
      </c>
      <c r="AD1362" s="62"/>
      <c r="AE1362" s="62">
        <f t="shared" ref="AE1362:AE1405" si="154">IF(AND(G1362&lt;&gt;"NG w CCUS",G1362&lt;&gt;"Oil w CCUS",G1362&lt;&gt;"Coal w CCUS"),AB1362,AD1362*10^3/(HoursInYear*IF(G1362="NG w CCUS",0.9105,1.9075)))</f>
        <v>55555.555555555562</v>
      </c>
      <c r="AF1362" s="64" t="s">
        <v>3730</v>
      </c>
      <c r="AG1362" s="49">
        <v>0.5</v>
      </c>
    </row>
    <row r="1363" spans="1:33" customFormat="1" ht="35.1" customHeight="1" x14ac:dyDescent="0.3">
      <c r="A1363" s="46">
        <v>1894</v>
      </c>
      <c r="B1363" s="46" t="s">
        <v>3732</v>
      </c>
      <c r="C1363" s="46" t="s">
        <v>39</v>
      </c>
      <c r="D1363" s="60">
        <v>2024</v>
      </c>
      <c r="E1363" s="60"/>
      <c r="F1363" s="46" t="s">
        <v>675</v>
      </c>
      <c r="G1363" s="46" t="s">
        <v>159</v>
      </c>
      <c r="H1363" s="46" t="s">
        <v>592</v>
      </c>
      <c r="I1363" s="46" t="s">
        <v>169</v>
      </c>
      <c r="J1363" s="46" t="s">
        <v>244</v>
      </c>
      <c r="K1363" s="46" t="s">
        <v>68</v>
      </c>
      <c r="L1363" s="46"/>
      <c r="M1363" s="46"/>
      <c r="N1363" s="46"/>
      <c r="O1363" s="46"/>
      <c r="P1363" s="46"/>
      <c r="Q1363" s="46"/>
      <c r="R1363" s="46"/>
      <c r="S1363" s="46"/>
      <c r="T1363" s="46"/>
      <c r="U1363" s="46"/>
      <c r="V1363" s="46"/>
      <c r="W1363" s="46"/>
      <c r="X1363" s="46"/>
      <c r="Y1363" s="46"/>
      <c r="Z1363" s="46" t="s">
        <v>3733</v>
      </c>
      <c r="AA1363" s="61">
        <v>7.6</v>
      </c>
      <c r="AB1363" s="62">
        <f>AA1363/0.0045</f>
        <v>1688.8888888888889</v>
      </c>
      <c r="AC1363" s="63">
        <f>AB1363*H2dens*HoursInYear/10^6</f>
        <v>1.3167253333333333</v>
      </c>
      <c r="AD1363" s="62"/>
      <c r="AE1363" s="62">
        <f t="shared" si="154"/>
        <v>1688.8888888888889</v>
      </c>
      <c r="AF1363" s="64" t="s">
        <v>3734</v>
      </c>
      <c r="AG1363" s="49">
        <v>0.3</v>
      </c>
    </row>
    <row r="1364" spans="1:33" customFormat="1" ht="35.1" customHeight="1" x14ac:dyDescent="0.3">
      <c r="A1364" s="46">
        <v>1895</v>
      </c>
      <c r="B1364" s="46" t="s">
        <v>3735</v>
      </c>
      <c r="C1364" s="46" t="s">
        <v>63</v>
      </c>
      <c r="D1364" s="60"/>
      <c r="E1364" s="60"/>
      <c r="F1364" s="46" t="s">
        <v>591</v>
      </c>
      <c r="G1364" s="46" t="s">
        <v>159</v>
      </c>
      <c r="H1364" s="46" t="s">
        <v>592</v>
      </c>
      <c r="I1364" s="46" t="s">
        <v>169</v>
      </c>
      <c r="J1364" s="46" t="s">
        <v>246</v>
      </c>
      <c r="K1364" s="46" t="s">
        <v>68</v>
      </c>
      <c r="L1364" s="46"/>
      <c r="M1364" s="46"/>
      <c r="N1364" s="46"/>
      <c r="O1364" s="46"/>
      <c r="P1364" s="46"/>
      <c r="Q1364" s="46"/>
      <c r="R1364" s="46"/>
      <c r="S1364" s="46"/>
      <c r="T1364" s="46"/>
      <c r="U1364" s="46"/>
      <c r="V1364" s="46"/>
      <c r="W1364" s="46"/>
      <c r="X1364" s="46"/>
      <c r="Y1364" s="46"/>
      <c r="Z1364" s="46" t="s">
        <v>1843</v>
      </c>
      <c r="AA1364" s="61">
        <v>600</v>
      </c>
      <c r="AB1364" s="62">
        <f>IF(OR(G1364="ALK",G1364="PEM",G1364="SOEC",G1364="Other Electrolysis"),
AA1364/VLOOKUP(G1364,ElectrolysisConvF,3,FALSE),
AC1364*10^6/(H2dens*HoursInYear))</f>
        <v>133333.33333333334</v>
      </c>
      <c r="AC1364" s="63">
        <f>AB1364*H2dens*HoursInYear/10^6</f>
        <v>103.952</v>
      </c>
      <c r="AD1364" s="62"/>
      <c r="AE1364" s="62">
        <f t="shared" si="154"/>
        <v>133333.33333333334</v>
      </c>
      <c r="AF1364" s="64" t="s">
        <v>3736</v>
      </c>
      <c r="AG1364" s="49">
        <v>0.55000000000000004</v>
      </c>
    </row>
    <row r="1365" spans="1:33" customFormat="1" ht="35.1" customHeight="1" x14ac:dyDescent="0.3">
      <c r="A1365" s="46">
        <v>1896</v>
      </c>
      <c r="B1365" s="46" t="s">
        <v>3737</v>
      </c>
      <c r="C1365" s="46" t="s">
        <v>78</v>
      </c>
      <c r="D1365" s="60"/>
      <c r="E1365" s="60"/>
      <c r="F1365" s="46" t="s">
        <v>225</v>
      </c>
      <c r="G1365" s="46" t="s">
        <v>1</v>
      </c>
      <c r="H1365" s="46"/>
      <c r="I1365" s="46" t="s">
        <v>169</v>
      </c>
      <c r="J1365" s="46" t="s">
        <v>245</v>
      </c>
      <c r="K1365" s="46" t="s">
        <v>68</v>
      </c>
      <c r="L1365" s="46"/>
      <c r="M1365" s="46"/>
      <c r="N1365" s="46"/>
      <c r="O1365" s="46"/>
      <c r="P1365" s="46"/>
      <c r="Q1365" s="46">
        <v>1</v>
      </c>
      <c r="R1365" s="46"/>
      <c r="S1365" s="46"/>
      <c r="T1365" s="46"/>
      <c r="U1365" s="46"/>
      <c r="V1365" s="46"/>
      <c r="W1365" s="46"/>
      <c r="X1365" s="46"/>
      <c r="Y1365" s="46"/>
      <c r="Z1365" s="46" t="s">
        <v>1327</v>
      </c>
      <c r="AA1365" s="61">
        <v>1</v>
      </c>
      <c r="AB1365" s="62">
        <f>IF(OR(G1365="ALK",G1365="PEM",G1365="SOEC",G1365="Other Electrolysis"),
AA1365/VLOOKUP(G1365,ElectrolysisConvF,3,FALSE),
AC1365*10^6/(H2dens*HoursInYear))</f>
        <v>192.30769230769232</v>
      </c>
      <c r="AC1365" s="63">
        <f>AB1365*H2dens*HoursInYear/10^6</f>
        <v>0.14993076923076926</v>
      </c>
      <c r="AD1365" s="62"/>
      <c r="AE1365" s="62">
        <f t="shared" si="154"/>
        <v>192.30769230769232</v>
      </c>
      <c r="AF1365" s="64" t="s">
        <v>3738</v>
      </c>
      <c r="AG1365" s="49">
        <v>0.4</v>
      </c>
    </row>
    <row r="1366" spans="1:33" customFormat="1" ht="35.1" customHeight="1" x14ac:dyDescent="0.3">
      <c r="A1366" s="46">
        <v>1897</v>
      </c>
      <c r="B1366" s="46" t="s">
        <v>3739</v>
      </c>
      <c r="C1366" s="46" t="s">
        <v>533</v>
      </c>
      <c r="D1366" s="60"/>
      <c r="E1366" s="60"/>
      <c r="F1366" s="46" t="s">
        <v>591</v>
      </c>
      <c r="G1366" s="46" t="s">
        <v>159</v>
      </c>
      <c r="H1366" s="46" t="s">
        <v>592</v>
      </c>
      <c r="I1366" s="46" t="s">
        <v>169</v>
      </c>
      <c r="J1366" s="46" t="s">
        <v>248</v>
      </c>
      <c r="K1366" s="46" t="s">
        <v>68</v>
      </c>
      <c r="L1366" s="46"/>
      <c r="M1366" s="46"/>
      <c r="N1366" s="46"/>
      <c r="O1366" s="46"/>
      <c r="P1366" s="46"/>
      <c r="Q1366" s="46"/>
      <c r="R1366" s="46"/>
      <c r="S1366" s="46"/>
      <c r="T1366" s="46"/>
      <c r="U1366" s="46"/>
      <c r="V1366" s="46"/>
      <c r="W1366" s="46"/>
      <c r="X1366" s="46"/>
      <c r="Y1366" s="46"/>
      <c r="Z1366" s="46"/>
      <c r="AA1366" s="61">
        <f>IF(OR(G1366="ALK",G1366="PEM",G1366="SOEC",G1366="Other Electrolysis"),
AB1366*VLOOKUP(G1366,ElectrolysisConvF,3,FALSE),
"")</f>
        <v>0</v>
      </c>
      <c r="AB1366" s="62"/>
      <c r="AC1366" s="62"/>
      <c r="AD1366" s="62"/>
      <c r="AE1366" s="62">
        <f t="shared" si="154"/>
        <v>0</v>
      </c>
      <c r="AF1366" s="64" t="s">
        <v>3740</v>
      </c>
      <c r="AG1366" s="49">
        <v>0.5</v>
      </c>
    </row>
    <row r="1367" spans="1:33" customFormat="1" ht="35.1" customHeight="1" x14ac:dyDescent="0.3">
      <c r="A1367" s="46">
        <v>1898</v>
      </c>
      <c r="B1367" s="46" t="s">
        <v>3741</v>
      </c>
      <c r="C1367" s="46" t="s">
        <v>37</v>
      </c>
      <c r="D1367" s="60">
        <v>2024</v>
      </c>
      <c r="E1367" s="60"/>
      <c r="F1367" s="46" t="s">
        <v>675</v>
      </c>
      <c r="G1367" s="46" t="s">
        <v>1</v>
      </c>
      <c r="H1367" s="46"/>
      <c r="I1367" s="46" t="s">
        <v>169</v>
      </c>
      <c r="J1367" s="46" t="s">
        <v>247</v>
      </c>
      <c r="K1367" s="46" t="s">
        <v>68</v>
      </c>
      <c r="L1367" s="46"/>
      <c r="M1367" s="46"/>
      <c r="N1367" s="46"/>
      <c r="O1367" s="46"/>
      <c r="P1367" s="46">
        <v>1</v>
      </c>
      <c r="Q1367" s="46">
        <v>1</v>
      </c>
      <c r="R1367" s="46">
        <v>1</v>
      </c>
      <c r="S1367" s="46"/>
      <c r="T1367" s="46"/>
      <c r="U1367" s="46"/>
      <c r="V1367" s="46"/>
      <c r="W1367" s="46"/>
      <c r="X1367" s="46"/>
      <c r="Y1367" s="46"/>
      <c r="Z1367" s="46" t="s">
        <v>981</v>
      </c>
      <c r="AA1367" s="61">
        <v>20</v>
      </c>
      <c r="AB1367" s="62">
        <f>IF(OR(G1367="ALK",G1367="PEM",G1367="SOEC",G1367="Other Electrolysis"),
AA1367/VLOOKUP(G1367,ElectrolysisConvF,3,FALSE),
AC1367*10^6/(H2dens*HoursInYear))</f>
        <v>3846.1538461538462</v>
      </c>
      <c r="AC1367" s="63">
        <f>AB1367*H2dens*HoursInYear/10^6</f>
        <v>2.9986153846153845</v>
      </c>
      <c r="AD1367" s="62"/>
      <c r="AE1367" s="62">
        <f t="shared" si="154"/>
        <v>3846.1538461538462</v>
      </c>
      <c r="AF1367" s="64" t="s">
        <v>3742</v>
      </c>
      <c r="AG1367" s="49">
        <v>0.8</v>
      </c>
    </row>
    <row r="1368" spans="1:33" customFormat="1" ht="35.1" customHeight="1" x14ac:dyDescent="0.3">
      <c r="A1368" s="46">
        <v>1899</v>
      </c>
      <c r="B1368" s="46" t="s">
        <v>3743</v>
      </c>
      <c r="C1368" s="46" t="s">
        <v>62</v>
      </c>
      <c r="D1368" s="60">
        <v>2024</v>
      </c>
      <c r="E1368" s="60"/>
      <c r="F1368" s="46" t="s">
        <v>591</v>
      </c>
      <c r="G1368" s="46" t="s">
        <v>159</v>
      </c>
      <c r="H1368" s="46" t="s">
        <v>592</v>
      </c>
      <c r="I1368" s="46" t="s">
        <v>169</v>
      </c>
      <c r="J1368" s="46" t="s">
        <v>69</v>
      </c>
      <c r="K1368" s="46" t="s">
        <v>140</v>
      </c>
      <c r="L1368" s="46"/>
      <c r="M1368" s="46"/>
      <c r="N1368" s="46"/>
      <c r="O1368" s="46"/>
      <c r="P1368" s="46"/>
      <c r="Q1368" s="46">
        <v>1</v>
      </c>
      <c r="R1368" s="46"/>
      <c r="S1368" s="46"/>
      <c r="T1368" s="46"/>
      <c r="U1368" s="46"/>
      <c r="V1368" s="46"/>
      <c r="W1368" s="46"/>
      <c r="X1368" s="46"/>
      <c r="Y1368" s="46"/>
      <c r="Z1368" s="46" t="s">
        <v>3744</v>
      </c>
      <c r="AA1368" s="61">
        <f>IF(OR(G1368="ALK",G1368="PEM",G1368="SOEC",G1368="Other Electrolysis"),
AB1368*VLOOKUP(G1368,ElectrolysisConvF,3,FALSE),
"")</f>
        <v>110.43193012159458</v>
      </c>
      <c r="AB1368" s="62">
        <f>AC1368/(0.089*24*365/10^6)</f>
        <v>24540.428915909906</v>
      </c>
      <c r="AC1368" s="62">
        <f>(50*0.191327)/H2ProjectDB4578610[[#This Row],[Column33]]</f>
        <v>19.1327</v>
      </c>
      <c r="AD1368" s="62"/>
      <c r="AE1368" s="62">
        <f t="shared" si="154"/>
        <v>24540.428915909906</v>
      </c>
      <c r="AF1368" s="64" t="s">
        <v>3745</v>
      </c>
      <c r="AG1368" s="49">
        <v>0.5</v>
      </c>
    </row>
    <row r="1369" spans="1:33" customFormat="1" ht="35.1" customHeight="1" x14ac:dyDescent="0.3">
      <c r="A1369" s="46">
        <v>1900</v>
      </c>
      <c r="B1369" s="46" t="s">
        <v>3746</v>
      </c>
      <c r="C1369" s="46" t="s">
        <v>39</v>
      </c>
      <c r="D1369" s="60">
        <v>2030</v>
      </c>
      <c r="E1369" s="60"/>
      <c r="F1369" s="46" t="s">
        <v>591</v>
      </c>
      <c r="G1369" s="46" t="s">
        <v>159</v>
      </c>
      <c r="H1369" s="46" t="s">
        <v>592</v>
      </c>
      <c r="I1369" s="46" t="s">
        <v>169</v>
      </c>
      <c r="J1369" s="46" t="s">
        <v>69</v>
      </c>
      <c r="K1369" s="46" t="s">
        <v>68</v>
      </c>
      <c r="L1369" s="46"/>
      <c r="M1369" s="46">
        <v>1</v>
      </c>
      <c r="N1369" s="46"/>
      <c r="O1369" s="46"/>
      <c r="P1369" s="46"/>
      <c r="Q1369" s="46"/>
      <c r="R1369" s="46"/>
      <c r="S1369" s="46"/>
      <c r="T1369" s="46"/>
      <c r="U1369" s="46"/>
      <c r="V1369" s="46"/>
      <c r="W1369" s="46"/>
      <c r="X1369" s="46"/>
      <c r="Y1369" s="46"/>
      <c r="Z1369" s="46" t="s">
        <v>3747</v>
      </c>
      <c r="AA1369" s="61">
        <v>1500</v>
      </c>
      <c r="AB1369" s="62">
        <f>AA1369/0.0045</f>
        <v>333333.33333333337</v>
      </c>
      <c r="AC1369" s="63">
        <f>AB1369*H2dens*HoursInYear/10^6</f>
        <v>259.88</v>
      </c>
      <c r="AD1369" s="62"/>
      <c r="AE1369" s="62">
        <f t="shared" si="154"/>
        <v>333333.33333333337</v>
      </c>
      <c r="AF1369" s="64" t="s">
        <v>3748</v>
      </c>
      <c r="AG1369" s="49">
        <v>0.5</v>
      </c>
    </row>
    <row r="1370" spans="1:33" customFormat="1" ht="35.1" customHeight="1" x14ac:dyDescent="0.3">
      <c r="A1370" s="46">
        <v>1901</v>
      </c>
      <c r="B1370" s="46" t="s">
        <v>3749</v>
      </c>
      <c r="C1370" s="46" t="s">
        <v>238</v>
      </c>
      <c r="D1370" s="60"/>
      <c r="E1370" s="60"/>
      <c r="F1370" s="46" t="s">
        <v>591</v>
      </c>
      <c r="G1370" s="46" t="s">
        <v>159</v>
      </c>
      <c r="H1370" s="46" t="s">
        <v>592</v>
      </c>
      <c r="I1370" s="46" t="s">
        <v>169</v>
      </c>
      <c r="J1370" s="46" t="s">
        <v>246</v>
      </c>
      <c r="K1370" s="46" t="s">
        <v>68</v>
      </c>
      <c r="L1370" s="46"/>
      <c r="M1370" s="46"/>
      <c r="N1370" s="46"/>
      <c r="O1370" s="46"/>
      <c r="P1370" s="46"/>
      <c r="Q1370" s="46"/>
      <c r="R1370" s="46"/>
      <c r="S1370" s="46"/>
      <c r="T1370" s="46"/>
      <c r="U1370" s="46"/>
      <c r="V1370" s="46"/>
      <c r="W1370" s="46"/>
      <c r="X1370" s="46"/>
      <c r="Y1370" s="46"/>
      <c r="Z1370" s="46"/>
      <c r="AA1370" s="61">
        <f>IF(OR(G1370="ALK",G1370="PEM",G1370="SOEC",G1370="Other Electrolysis"),
AB1370*VLOOKUP(G1370,ElectrolysisConvF,3,FALSE),
"")</f>
        <v>0</v>
      </c>
      <c r="AB1370" s="62"/>
      <c r="AC1370" s="62"/>
      <c r="AD1370" s="62"/>
      <c r="AE1370" s="62">
        <f t="shared" si="154"/>
        <v>0</v>
      </c>
      <c r="AF1370" s="64" t="s">
        <v>3750</v>
      </c>
      <c r="AG1370" s="49">
        <v>0.55000000000000004</v>
      </c>
    </row>
    <row r="1371" spans="1:33" customFormat="1" ht="35.1" customHeight="1" x14ac:dyDescent="0.3">
      <c r="A1371" s="46">
        <v>1902</v>
      </c>
      <c r="B1371" s="46" t="s">
        <v>3751</v>
      </c>
      <c r="C1371" s="46" t="s">
        <v>74</v>
      </c>
      <c r="D1371" s="60"/>
      <c r="E1371" s="60"/>
      <c r="F1371" s="46" t="s">
        <v>591</v>
      </c>
      <c r="G1371" s="46" t="s">
        <v>159</v>
      </c>
      <c r="H1371" s="46" t="s">
        <v>592</v>
      </c>
      <c r="I1371" s="46" t="s">
        <v>169</v>
      </c>
      <c r="J1371" s="46" t="s">
        <v>248</v>
      </c>
      <c r="K1371" s="46" t="s">
        <v>141</v>
      </c>
      <c r="L1371" s="46"/>
      <c r="M1371" s="46">
        <v>1</v>
      </c>
      <c r="N1371" s="46"/>
      <c r="O1371" s="46"/>
      <c r="P1371" s="46"/>
      <c r="Q1371" s="46"/>
      <c r="R1371" s="46"/>
      <c r="S1371" s="46"/>
      <c r="T1371" s="46"/>
      <c r="U1371" s="46"/>
      <c r="V1371" s="46"/>
      <c r="W1371" s="46"/>
      <c r="X1371" s="46"/>
      <c r="Y1371" s="46"/>
      <c r="Z1371" s="46" t="s">
        <v>3752</v>
      </c>
      <c r="AA1371" s="61">
        <v>1000</v>
      </c>
      <c r="AB1371" s="62">
        <f>AA1371/0.0045</f>
        <v>222222.22222222225</v>
      </c>
      <c r="AC1371" s="63">
        <f>AB1371*H2dens*HoursInYear/10^6</f>
        <v>173.25333333333333</v>
      </c>
      <c r="AD1371" s="62"/>
      <c r="AE1371" s="62">
        <f t="shared" si="154"/>
        <v>222222.22222222225</v>
      </c>
      <c r="AF1371" s="64" t="s">
        <v>3753</v>
      </c>
      <c r="AG1371" s="49">
        <v>0.5</v>
      </c>
    </row>
    <row r="1372" spans="1:33" customFormat="1" ht="35.1" customHeight="1" x14ac:dyDescent="0.3">
      <c r="A1372" s="46">
        <v>1903</v>
      </c>
      <c r="B1372" s="46" t="s">
        <v>3754</v>
      </c>
      <c r="C1372" s="46" t="s">
        <v>40</v>
      </c>
      <c r="D1372" s="60">
        <v>2026</v>
      </c>
      <c r="E1372" s="60"/>
      <c r="F1372" s="46" t="s">
        <v>675</v>
      </c>
      <c r="G1372" s="46" t="s">
        <v>161</v>
      </c>
      <c r="H1372" s="46" t="s">
        <v>1489</v>
      </c>
      <c r="I1372" s="46"/>
      <c r="J1372" s="46"/>
      <c r="K1372" s="46" t="s">
        <v>141</v>
      </c>
      <c r="L1372" s="46"/>
      <c r="M1372" s="46">
        <v>1</v>
      </c>
      <c r="N1372" s="46"/>
      <c r="O1372" s="46"/>
      <c r="P1372" s="46"/>
      <c r="Q1372" s="46"/>
      <c r="R1372" s="46"/>
      <c r="S1372" s="46"/>
      <c r="T1372" s="46"/>
      <c r="U1372" s="46"/>
      <c r="V1372" s="46"/>
      <c r="W1372" s="46"/>
      <c r="X1372" s="46"/>
      <c r="Y1372" s="46"/>
      <c r="Z1372" s="46" t="s">
        <v>3755</v>
      </c>
      <c r="AA1372" s="61" t="str">
        <f>IF(OR(G1372="ALK",G1372="PEM",G1372="SOEC",G1372="Other Electrolysis"),
AB1372*VLOOKUP(G1372,ElectrolysisConvF,3,FALSE),
"")</f>
        <v/>
      </c>
      <c r="AB1372" s="62">
        <f>AC1372/(H2dens*HoursInYear/10^6)</f>
        <v>323355.44653447036</v>
      </c>
      <c r="AC1372" s="63">
        <f>1400*3/17/0.98</f>
        <v>252.10084033613447</v>
      </c>
      <c r="AD1372" s="62">
        <v>2000000</v>
      </c>
      <c r="AE1372" s="62">
        <f t="shared" si="154"/>
        <v>250752.88553883036</v>
      </c>
      <c r="AF1372" s="64" t="s">
        <v>3756</v>
      </c>
      <c r="AG1372" s="49">
        <v>0.9</v>
      </c>
    </row>
    <row r="1373" spans="1:33" customFormat="1" ht="35.1" customHeight="1" x14ac:dyDescent="0.3">
      <c r="A1373" s="46">
        <v>1905</v>
      </c>
      <c r="B1373" s="46" t="s">
        <v>3757</v>
      </c>
      <c r="C1373" s="46" t="s">
        <v>83</v>
      </c>
      <c r="D1373" s="60"/>
      <c r="E1373" s="60"/>
      <c r="F1373" s="46" t="s">
        <v>225</v>
      </c>
      <c r="G1373" s="46" t="s">
        <v>159</v>
      </c>
      <c r="H1373" s="46" t="s">
        <v>592</v>
      </c>
      <c r="I1373" s="46" t="s">
        <v>169</v>
      </c>
      <c r="J1373" s="46" t="s">
        <v>69</v>
      </c>
      <c r="K1373" s="46" t="s">
        <v>68</v>
      </c>
      <c r="L1373" s="46"/>
      <c r="M1373" s="46"/>
      <c r="N1373" s="46"/>
      <c r="O1373" s="46"/>
      <c r="P1373" s="46"/>
      <c r="Q1373" s="46">
        <v>1</v>
      </c>
      <c r="R1373" s="46"/>
      <c r="S1373" s="46"/>
      <c r="T1373" s="46"/>
      <c r="U1373" s="46"/>
      <c r="V1373" s="46"/>
      <c r="W1373" s="46"/>
      <c r="X1373" s="46"/>
      <c r="Y1373" s="46"/>
      <c r="Z1373" s="46" t="s">
        <v>3758</v>
      </c>
      <c r="AA1373" s="61">
        <f t="shared" ref="AA1373:AA1382" si="155">IF(OR(G1373="ALK",G1373="PEM",G1373="SOEC",G1373="Other Electrolysis"),
AB1373*VLOOKUP(G1373,ElectrolysisConvF,3,FALSE),
"")</f>
        <v>5541.018931814684</v>
      </c>
      <c r="AB1373" s="62">
        <f>AC1373/(H2dens*HoursInYear/10^6)</f>
        <v>1231337.5404032632</v>
      </c>
      <c r="AC1373" s="62">
        <f>480/H2ProjectDB4578610[[#This Row],[Column33]]</f>
        <v>960</v>
      </c>
      <c r="AD1373" s="62"/>
      <c r="AE1373" s="62">
        <f t="shared" si="154"/>
        <v>1231337.5404032632</v>
      </c>
      <c r="AF1373" s="64" t="s">
        <v>3759</v>
      </c>
      <c r="AG1373" s="49">
        <v>0.5</v>
      </c>
    </row>
    <row r="1374" spans="1:33" customFormat="1" ht="35.1" customHeight="1" x14ac:dyDescent="0.3">
      <c r="A1374" s="46">
        <v>1906</v>
      </c>
      <c r="B1374" s="46" t="s">
        <v>3760</v>
      </c>
      <c r="C1374" s="46" t="s">
        <v>35</v>
      </c>
      <c r="D1374" s="60">
        <v>2024</v>
      </c>
      <c r="E1374" s="60"/>
      <c r="F1374" s="46" t="s">
        <v>225</v>
      </c>
      <c r="G1374" s="46" t="s">
        <v>159</v>
      </c>
      <c r="H1374" s="46" t="s">
        <v>592</v>
      </c>
      <c r="I1374" s="46" t="s">
        <v>169</v>
      </c>
      <c r="J1374" s="46" t="s">
        <v>248</v>
      </c>
      <c r="K1374" s="46" t="s">
        <v>167</v>
      </c>
      <c r="L1374" s="46"/>
      <c r="M1374" s="46"/>
      <c r="N1374" s="46"/>
      <c r="O1374" s="46"/>
      <c r="P1374" s="46"/>
      <c r="Q1374" s="46"/>
      <c r="R1374" s="46"/>
      <c r="S1374" s="46"/>
      <c r="T1374" s="46"/>
      <c r="U1374" s="46"/>
      <c r="V1374" s="46"/>
      <c r="W1374" s="46">
        <v>1</v>
      </c>
      <c r="X1374" s="46"/>
      <c r="Y1374" s="46"/>
      <c r="Z1374" s="46" t="s">
        <v>3761</v>
      </c>
      <c r="AA1374" s="61">
        <f t="shared" si="155"/>
        <v>47.44023058060516</v>
      </c>
      <c r="AB1374" s="62">
        <f>AC1374/(0.089*24*365/10^6)</f>
        <v>10542.273462356703</v>
      </c>
      <c r="AC1374" s="63">
        <f>(8*0.045/0.73/0.12)/H2ProjectDB4578610[[#This Row],[Column33]]</f>
        <v>8.2191780821917799</v>
      </c>
      <c r="AD1374" s="62"/>
      <c r="AE1374" s="62">
        <f t="shared" si="154"/>
        <v>10542.273462356703</v>
      </c>
      <c r="AF1374" s="64" t="s">
        <v>3762</v>
      </c>
      <c r="AG1374" s="49">
        <v>0.5</v>
      </c>
    </row>
    <row r="1375" spans="1:33" customFormat="1" ht="35.1" customHeight="1" x14ac:dyDescent="0.3">
      <c r="A1375" s="46">
        <v>1907</v>
      </c>
      <c r="B1375" s="46" t="s">
        <v>3760</v>
      </c>
      <c r="C1375" s="46" t="s">
        <v>35</v>
      </c>
      <c r="D1375" s="60">
        <v>2032</v>
      </c>
      <c r="E1375" s="60"/>
      <c r="F1375" s="46" t="s">
        <v>591</v>
      </c>
      <c r="G1375" s="46" t="s">
        <v>159</v>
      </c>
      <c r="H1375" s="46" t="s">
        <v>592</v>
      </c>
      <c r="I1375" s="46" t="s">
        <v>169</v>
      </c>
      <c r="J1375" s="46" t="s">
        <v>248</v>
      </c>
      <c r="K1375" s="46" t="s">
        <v>167</v>
      </c>
      <c r="L1375" s="46"/>
      <c r="M1375" s="46"/>
      <c r="N1375" s="46"/>
      <c r="O1375" s="46"/>
      <c r="P1375" s="46"/>
      <c r="Q1375" s="46"/>
      <c r="R1375" s="46"/>
      <c r="S1375" s="46"/>
      <c r="T1375" s="46"/>
      <c r="U1375" s="46"/>
      <c r="V1375" s="46"/>
      <c r="W1375" s="46">
        <v>1</v>
      </c>
      <c r="X1375" s="46"/>
      <c r="Y1375" s="46"/>
      <c r="Z1375" s="46" t="s">
        <v>3763</v>
      </c>
      <c r="AA1375" s="61">
        <f t="shared" si="155"/>
        <v>4696.5828274799114</v>
      </c>
      <c r="AB1375" s="62">
        <f>AC1375/(0.089*24*365/10^6)</f>
        <v>1043685.0727733137</v>
      </c>
      <c r="AC1375" s="63">
        <f>792*0.045/0.73/0.12/H2ProjectDB4578610[[#This Row],[Column33]]</f>
        <v>813.69863013698637</v>
      </c>
      <c r="AD1375" s="62"/>
      <c r="AE1375" s="62">
        <f t="shared" si="154"/>
        <v>1043685.0727733137</v>
      </c>
      <c r="AF1375" s="64" t="s">
        <v>3762</v>
      </c>
      <c r="AG1375" s="49">
        <v>0.5</v>
      </c>
    </row>
    <row r="1376" spans="1:33" customFormat="1" ht="35.1" customHeight="1" x14ac:dyDescent="0.3">
      <c r="A1376" s="46">
        <v>1908</v>
      </c>
      <c r="B1376" s="46" t="s">
        <v>3764</v>
      </c>
      <c r="C1376" s="46" t="s">
        <v>47</v>
      </c>
      <c r="D1376" s="60"/>
      <c r="E1376" s="60"/>
      <c r="F1376" s="46" t="s">
        <v>591</v>
      </c>
      <c r="G1376" s="46" t="s">
        <v>161</v>
      </c>
      <c r="H1376" s="46" t="s">
        <v>2365</v>
      </c>
      <c r="I1376" s="46"/>
      <c r="J1376" s="46"/>
      <c r="K1376" s="46" t="s">
        <v>68</v>
      </c>
      <c r="L1376" s="46"/>
      <c r="M1376" s="46"/>
      <c r="N1376" s="46"/>
      <c r="O1376" s="46"/>
      <c r="P1376" s="46"/>
      <c r="Q1376" s="46"/>
      <c r="R1376" s="46"/>
      <c r="S1376" s="46"/>
      <c r="T1376" s="46"/>
      <c r="U1376" s="46"/>
      <c r="V1376" s="46"/>
      <c r="W1376" s="46"/>
      <c r="X1376" s="46"/>
      <c r="Y1376" s="46"/>
      <c r="Z1376" s="46" t="s">
        <v>3765</v>
      </c>
      <c r="AA1376" s="61" t="str">
        <f t="shared" si="155"/>
        <v/>
      </c>
      <c r="AB1376" s="62">
        <f t="shared" ref="AB1376:AB1382" si="156">AC1376/(H2dens*HoursInYear/10^6)</f>
        <v>64132.163562669957</v>
      </c>
      <c r="AC1376" s="62">
        <v>50</v>
      </c>
      <c r="AD1376" s="62"/>
      <c r="AE1376" s="62">
        <f t="shared" si="154"/>
        <v>0</v>
      </c>
      <c r="AF1376" s="64" t="s">
        <v>3766</v>
      </c>
      <c r="AG1376" s="49">
        <v>0.9</v>
      </c>
    </row>
    <row r="1377" spans="1:33" customFormat="1" ht="35.1" customHeight="1" x14ac:dyDescent="0.3">
      <c r="A1377" s="46">
        <v>1909</v>
      </c>
      <c r="B1377" s="46" t="s">
        <v>3764</v>
      </c>
      <c r="C1377" s="46" t="s">
        <v>47</v>
      </c>
      <c r="D1377" s="60"/>
      <c r="E1377" s="60"/>
      <c r="F1377" s="46" t="s">
        <v>591</v>
      </c>
      <c r="G1377" s="46" t="s">
        <v>161</v>
      </c>
      <c r="H1377" s="46" t="s">
        <v>2365</v>
      </c>
      <c r="I1377" s="46"/>
      <c r="J1377" s="46"/>
      <c r="K1377" s="46" t="s">
        <v>68</v>
      </c>
      <c r="L1377" s="46"/>
      <c r="M1377" s="46"/>
      <c r="N1377" s="46"/>
      <c r="O1377" s="46"/>
      <c r="P1377" s="46"/>
      <c r="Q1377" s="46"/>
      <c r="R1377" s="46"/>
      <c r="S1377" s="46"/>
      <c r="T1377" s="46"/>
      <c r="U1377" s="46"/>
      <c r="V1377" s="46"/>
      <c r="W1377" s="46"/>
      <c r="X1377" s="46"/>
      <c r="Y1377" s="46"/>
      <c r="Z1377" s="46" t="s">
        <v>1923</v>
      </c>
      <c r="AA1377" s="61" t="str">
        <f t="shared" si="155"/>
        <v/>
      </c>
      <c r="AB1377" s="62">
        <f t="shared" si="156"/>
        <v>192396.49068800986</v>
      </c>
      <c r="AC1377" s="62">
        <v>150</v>
      </c>
      <c r="AD1377" s="62"/>
      <c r="AE1377" s="62">
        <f t="shared" si="154"/>
        <v>0</v>
      </c>
      <c r="AF1377" s="64" t="s">
        <v>3766</v>
      </c>
      <c r="AG1377" s="49">
        <v>0.9</v>
      </c>
    </row>
    <row r="1378" spans="1:33" customFormat="1" ht="35.1" customHeight="1" x14ac:dyDescent="0.3">
      <c r="A1378" s="46">
        <v>1910</v>
      </c>
      <c r="B1378" s="46" t="s">
        <v>3767</v>
      </c>
      <c r="C1378" s="46" t="s">
        <v>50</v>
      </c>
      <c r="D1378" s="60">
        <v>2030</v>
      </c>
      <c r="E1378" s="60"/>
      <c r="F1378" s="46" t="s">
        <v>591</v>
      </c>
      <c r="G1378" s="46" t="s">
        <v>159</v>
      </c>
      <c r="H1378" s="46" t="s">
        <v>592</v>
      </c>
      <c r="I1378" s="46" t="s">
        <v>169</v>
      </c>
      <c r="J1378" s="46" t="s">
        <v>246</v>
      </c>
      <c r="K1378" s="46" t="s">
        <v>141</v>
      </c>
      <c r="L1378" s="46"/>
      <c r="M1378" s="46">
        <v>1</v>
      </c>
      <c r="N1378" s="46"/>
      <c r="O1378" s="46"/>
      <c r="P1378" s="46"/>
      <c r="Q1378" s="46"/>
      <c r="R1378" s="46"/>
      <c r="S1378" s="46"/>
      <c r="T1378" s="46"/>
      <c r="U1378" s="46"/>
      <c r="V1378" s="46"/>
      <c r="W1378" s="46"/>
      <c r="X1378" s="46"/>
      <c r="Y1378" s="46"/>
      <c r="Z1378" s="46" t="s">
        <v>3768</v>
      </c>
      <c r="AA1378" s="61">
        <f t="shared" si="155"/>
        <v>4197.7416150111239</v>
      </c>
      <c r="AB1378" s="62">
        <f t="shared" si="156"/>
        <v>932831.47000247205</v>
      </c>
      <c r="AC1378" s="62">
        <f>400/H2ProjectDB4578610[[#This Row],[Column33]]</f>
        <v>727.27272727272725</v>
      </c>
      <c r="AD1378" s="62"/>
      <c r="AE1378" s="62">
        <f t="shared" si="154"/>
        <v>932831.47000247205</v>
      </c>
      <c r="AF1378" s="64" t="s">
        <v>3769</v>
      </c>
      <c r="AG1378" s="49">
        <v>0.55000000000000004</v>
      </c>
    </row>
    <row r="1379" spans="1:33" customFormat="1" ht="35.1" customHeight="1" x14ac:dyDescent="0.3">
      <c r="A1379" s="46">
        <v>1911</v>
      </c>
      <c r="B1379" s="46" t="s">
        <v>3770</v>
      </c>
      <c r="C1379" s="46" t="s">
        <v>50</v>
      </c>
      <c r="D1379" s="60">
        <v>2043</v>
      </c>
      <c r="E1379" s="60"/>
      <c r="F1379" s="46" t="s">
        <v>591</v>
      </c>
      <c r="G1379" s="46" t="s">
        <v>159</v>
      </c>
      <c r="H1379" s="46" t="s">
        <v>592</v>
      </c>
      <c r="I1379" s="46" t="s">
        <v>169</v>
      </c>
      <c r="J1379" s="46" t="s">
        <v>246</v>
      </c>
      <c r="K1379" s="46" t="s">
        <v>141</v>
      </c>
      <c r="L1379" s="46"/>
      <c r="M1379" s="46">
        <v>1</v>
      </c>
      <c r="N1379" s="46"/>
      <c r="O1379" s="46"/>
      <c r="P1379" s="46"/>
      <c r="Q1379" s="46"/>
      <c r="R1379" s="46"/>
      <c r="S1379" s="46"/>
      <c r="T1379" s="46"/>
      <c r="U1379" s="46"/>
      <c r="V1379" s="46"/>
      <c r="W1379" s="46"/>
      <c r="X1379" s="46"/>
      <c r="Y1379" s="46"/>
      <c r="Z1379" s="46" t="s">
        <v>3699</v>
      </c>
      <c r="AA1379" s="61">
        <f t="shared" si="155"/>
        <v>6296.612422516685</v>
      </c>
      <c r="AB1379" s="62">
        <f t="shared" si="156"/>
        <v>1399247.2050037079</v>
      </c>
      <c r="AC1379" s="62">
        <f>600/H2ProjectDB4578610[[#This Row],[Column33]]</f>
        <v>1090.9090909090908</v>
      </c>
      <c r="AD1379" s="62"/>
      <c r="AE1379" s="62">
        <f t="shared" si="154"/>
        <v>1399247.2050037079</v>
      </c>
      <c r="AF1379" s="64" t="s">
        <v>3769</v>
      </c>
      <c r="AG1379" s="49">
        <v>0.55000000000000004</v>
      </c>
    </row>
    <row r="1380" spans="1:33" customFormat="1" ht="35.1" customHeight="1" x14ac:dyDescent="0.3">
      <c r="A1380" s="46">
        <v>1912</v>
      </c>
      <c r="B1380" s="46" t="s">
        <v>3771</v>
      </c>
      <c r="C1380" s="46" t="s">
        <v>39</v>
      </c>
      <c r="D1380" s="60"/>
      <c r="E1380" s="60"/>
      <c r="F1380" s="46" t="s">
        <v>591</v>
      </c>
      <c r="G1380" s="46" t="s">
        <v>163</v>
      </c>
      <c r="H1380" s="46"/>
      <c r="I1380" s="46"/>
      <c r="J1380" s="46"/>
      <c r="K1380" s="46" t="s">
        <v>141</v>
      </c>
      <c r="L1380" s="46"/>
      <c r="M1380" s="46">
        <v>1</v>
      </c>
      <c r="N1380" s="46"/>
      <c r="O1380" s="46"/>
      <c r="P1380" s="46"/>
      <c r="Q1380" s="46"/>
      <c r="R1380" s="46"/>
      <c r="S1380" s="46"/>
      <c r="T1380" s="46"/>
      <c r="U1380" s="46"/>
      <c r="V1380" s="46"/>
      <c r="W1380" s="46"/>
      <c r="X1380" s="46"/>
      <c r="Y1380" s="46"/>
      <c r="Z1380" s="46" t="s">
        <v>3772</v>
      </c>
      <c r="AA1380" s="61" t="str">
        <f t="shared" si="155"/>
        <v/>
      </c>
      <c r="AB1380" s="62">
        <f t="shared" si="156"/>
        <v>23096.817609605027</v>
      </c>
      <c r="AC1380" s="63">
        <f>100*3/17/0.98</f>
        <v>18.007202881152462</v>
      </c>
      <c r="AD1380" s="62"/>
      <c r="AE1380" s="62">
        <f t="shared" si="154"/>
        <v>23096.817609605027</v>
      </c>
      <c r="AF1380" s="64" t="s">
        <v>3773</v>
      </c>
      <c r="AG1380" s="49">
        <v>0.9</v>
      </c>
    </row>
    <row r="1381" spans="1:33" customFormat="1" ht="35.1" customHeight="1" x14ac:dyDescent="0.3">
      <c r="A1381" s="46">
        <v>1913</v>
      </c>
      <c r="B1381" s="46" t="s">
        <v>3774</v>
      </c>
      <c r="C1381" s="46" t="s">
        <v>39</v>
      </c>
      <c r="D1381" s="60">
        <v>2028</v>
      </c>
      <c r="E1381" s="60"/>
      <c r="F1381" s="46" t="s">
        <v>591</v>
      </c>
      <c r="G1381" s="46" t="s">
        <v>161</v>
      </c>
      <c r="H1381" s="46" t="s">
        <v>2365</v>
      </c>
      <c r="I1381" s="46" t="str">
        <f>IF(AND(G1381&lt;&gt;"ALK",G1381&lt;&gt;"PEM",G1381&lt;&gt;"SOEC",G1381&lt;&gt;"Other electrolysis"),"N/A","")</f>
        <v>N/A</v>
      </c>
      <c r="J1381" s="46" t="str">
        <f>IF(I1381&lt;&gt;"Dedicated renewable","N/A",)</f>
        <v>N/A</v>
      </c>
      <c r="K1381" s="46" t="s">
        <v>141</v>
      </c>
      <c r="L1381" s="46"/>
      <c r="M1381" s="46">
        <v>1</v>
      </c>
      <c r="N1381" s="46"/>
      <c r="O1381" s="46"/>
      <c r="P1381" s="46"/>
      <c r="Q1381" s="46"/>
      <c r="R1381" s="46"/>
      <c r="S1381" s="46"/>
      <c r="T1381" s="46"/>
      <c r="U1381" s="46"/>
      <c r="V1381" s="46"/>
      <c r="W1381" s="46"/>
      <c r="X1381" s="46"/>
      <c r="Y1381" s="46"/>
      <c r="Z1381" s="46" t="s">
        <v>3775</v>
      </c>
      <c r="AA1381" s="61" t="str">
        <f t="shared" si="155"/>
        <v/>
      </c>
      <c r="AB1381" s="62">
        <f t="shared" si="156"/>
        <v>230968.17609605024</v>
      </c>
      <c r="AC1381" s="63">
        <f>1000*3/17/0.98</f>
        <v>180.0720288115246</v>
      </c>
      <c r="AD1381" s="62"/>
      <c r="AE1381" s="62">
        <f t="shared" si="154"/>
        <v>0</v>
      </c>
      <c r="AF1381" s="64" t="s">
        <v>3776</v>
      </c>
      <c r="AG1381" s="49">
        <v>0.9</v>
      </c>
    </row>
    <row r="1382" spans="1:33" customFormat="1" ht="35.1" customHeight="1" x14ac:dyDescent="0.3">
      <c r="A1382" s="46">
        <v>1914</v>
      </c>
      <c r="B1382" s="46" t="s">
        <v>3777</v>
      </c>
      <c r="C1382" s="46" t="s">
        <v>74</v>
      </c>
      <c r="D1382" s="60"/>
      <c r="E1382" s="60"/>
      <c r="F1382" s="46" t="s">
        <v>591</v>
      </c>
      <c r="G1382" s="46" t="s">
        <v>153</v>
      </c>
      <c r="H1382" s="46" t="s">
        <v>3462</v>
      </c>
      <c r="I1382" s="46"/>
      <c r="J1382" s="46"/>
      <c r="K1382" s="46" t="s">
        <v>68</v>
      </c>
      <c r="L1382" s="46"/>
      <c r="M1382" s="46"/>
      <c r="N1382" s="46"/>
      <c r="O1382" s="46"/>
      <c r="P1382" s="46"/>
      <c r="Q1382" s="46"/>
      <c r="R1382" s="46"/>
      <c r="S1382" s="46"/>
      <c r="T1382" s="46"/>
      <c r="U1382" s="46"/>
      <c r="V1382" s="46"/>
      <c r="W1382" s="46">
        <v>1</v>
      </c>
      <c r="X1382" s="46"/>
      <c r="Y1382" s="46"/>
      <c r="Z1382" s="46" t="s">
        <v>3778</v>
      </c>
      <c r="AA1382" s="61" t="str">
        <f t="shared" si="155"/>
        <v/>
      </c>
      <c r="AB1382" s="62">
        <f t="shared" si="156"/>
        <v>85937.099173977738</v>
      </c>
      <c r="AC1382" s="62">
        <v>67</v>
      </c>
      <c r="AD1382" s="62"/>
      <c r="AE1382" s="62">
        <f t="shared" si="154"/>
        <v>85937.099173977738</v>
      </c>
      <c r="AF1382" s="64" t="s">
        <v>3779</v>
      </c>
      <c r="AG1382" s="49">
        <v>0.9</v>
      </c>
    </row>
    <row r="1383" spans="1:33" customFormat="1" ht="35.1" customHeight="1" x14ac:dyDescent="0.3">
      <c r="A1383" s="46">
        <v>1915</v>
      </c>
      <c r="B1383" s="46" t="s">
        <v>3780</v>
      </c>
      <c r="C1383" s="46" t="s">
        <v>135</v>
      </c>
      <c r="D1383" s="60"/>
      <c r="E1383" s="60"/>
      <c r="F1383" s="46" t="s">
        <v>591</v>
      </c>
      <c r="G1383" s="46" t="s">
        <v>159</v>
      </c>
      <c r="H1383" s="46" t="s">
        <v>592</v>
      </c>
      <c r="I1383" s="46" t="s">
        <v>169</v>
      </c>
      <c r="J1383" s="46" t="s">
        <v>248</v>
      </c>
      <c r="K1383" s="46" t="s">
        <v>68</v>
      </c>
      <c r="L1383" s="46"/>
      <c r="M1383" s="46">
        <v>1</v>
      </c>
      <c r="N1383" s="46"/>
      <c r="O1383" s="46"/>
      <c r="P1383" s="46"/>
      <c r="Q1383" s="46"/>
      <c r="R1383" s="46"/>
      <c r="S1383" s="46"/>
      <c r="T1383" s="46"/>
      <c r="U1383" s="46"/>
      <c r="V1383" s="46"/>
      <c r="W1383" s="46"/>
      <c r="X1383" s="46"/>
      <c r="Y1383" s="46"/>
      <c r="Z1383" s="46"/>
      <c r="AA1383" s="61"/>
      <c r="AB1383" s="62"/>
      <c r="AC1383" s="62"/>
      <c r="AD1383" s="62"/>
      <c r="AE1383" s="62">
        <f t="shared" si="154"/>
        <v>0</v>
      </c>
      <c r="AF1383" s="64" t="s">
        <v>3781</v>
      </c>
      <c r="AG1383" s="49">
        <v>0.5</v>
      </c>
    </row>
    <row r="1384" spans="1:33" customFormat="1" ht="35.1" customHeight="1" x14ac:dyDescent="0.3">
      <c r="A1384" s="46">
        <v>1916</v>
      </c>
      <c r="B1384" s="46" t="s">
        <v>3782</v>
      </c>
      <c r="C1384" s="46" t="s">
        <v>46</v>
      </c>
      <c r="D1384" s="60"/>
      <c r="E1384" s="60"/>
      <c r="F1384" s="46" t="s">
        <v>225</v>
      </c>
      <c r="G1384" s="46" t="s">
        <v>159</v>
      </c>
      <c r="H1384" s="46" t="s">
        <v>592</v>
      </c>
      <c r="I1384" s="46" t="s">
        <v>157</v>
      </c>
      <c r="J1384" s="46" t="str">
        <f>IF(I1384&lt;&gt;"Dedicated renewable","N/A",)</f>
        <v>N/A</v>
      </c>
      <c r="K1384" s="46" t="s">
        <v>68</v>
      </c>
      <c r="L1384" s="46"/>
      <c r="M1384" s="46"/>
      <c r="N1384" s="46"/>
      <c r="O1384" s="46"/>
      <c r="P1384" s="46"/>
      <c r="Q1384" s="46">
        <v>1</v>
      </c>
      <c r="R1384" s="46"/>
      <c r="S1384" s="46"/>
      <c r="T1384" s="46"/>
      <c r="U1384" s="46"/>
      <c r="V1384" s="46"/>
      <c r="W1384" s="46"/>
      <c r="X1384" s="46"/>
      <c r="Y1384" s="46"/>
      <c r="Z1384" s="46" t="s">
        <v>3783</v>
      </c>
      <c r="AA1384" s="61">
        <v>30</v>
      </c>
      <c r="AB1384" s="62">
        <f>IF(OR(G1384="ALK",G1384="PEM",G1384="SOEC",G1384="Other Electrolysis"),
AA1384/VLOOKUP(G1384,ElectrolysisConvF,3,FALSE),
AC1384*10^6/(H2dens*HoursInYear))</f>
        <v>6666.666666666667</v>
      </c>
      <c r="AC1384" s="63">
        <f>AB1384*H2dens*HoursInYear/10^6</f>
        <v>5.1976000000000004</v>
      </c>
      <c r="AD1384" s="62"/>
      <c r="AE1384" s="62">
        <f t="shared" si="154"/>
        <v>6666.666666666667</v>
      </c>
      <c r="AF1384" s="64" t="s">
        <v>3784</v>
      </c>
      <c r="AG1384" s="49">
        <v>0.56999999999999995</v>
      </c>
    </row>
    <row r="1385" spans="1:33" customFormat="1" ht="35.1" customHeight="1" x14ac:dyDescent="0.3">
      <c r="A1385" s="46">
        <v>1917</v>
      </c>
      <c r="B1385" s="46" t="s">
        <v>3785</v>
      </c>
      <c r="C1385" s="46" t="s">
        <v>46</v>
      </c>
      <c r="D1385" s="60"/>
      <c r="E1385" s="60"/>
      <c r="F1385" s="46" t="s">
        <v>225</v>
      </c>
      <c r="G1385" s="46" t="s">
        <v>159</v>
      </c>
      <c r="H1385" s="46" t="s">
        <v>592</v>
      </c>
      <c r="I1385" s="46" t="s">
        <v>157</v>
      </c>
      <c r="J1385" s="46" t="str">
        <f>IF(I1385&lt;&gt;"Dedicated renewable","N/A",)</f>
        <v>N/A</v>
      </c>
      <c r="K1385" s="46" t="s">
        <v>68</v>
      </c>
      <c r="L1385" s="46"/>
      <c r="M1385" s="46"/>
      <c r="N1385" s="46"/>
      <c r="O1385" s="46"/>
      <c r="P1385" s="46"/>
      <c r="Q1385" s="46">
        <v>1</v>
      </c>
      <c r="R1385" s="46"/>
      <c r="S1385" s="46"/>
      <c r="T1385" s="46"/>
      <c r="U1385" s="46"/>
      <c r="V1385" s="46"/>
      <c r="W1385" s="46"/>
      <c r="X1385" s="46"/>
      <c r="Y1385" s="46"/>
      <c r="Z1385" s="46" t="s">
        <v>3091</v>
      </c>
      <c r="AA1385" s="61">
        <v>40</v>
      </c>
      <c r="AB1385" s="62">
        <f>IF(OR(G1385="ALK",G1385="PEM",G1385="SOEC",G1385="Other Electrolysis"),
AA1385/VLOOKUP(G1385,ElectrolysisConvF,3,FALSE),
AC1385*10^6/(H2dens*HoursInYear))</f>
        <v>8888.8888888888887</v>
      </c>
      <c r="AC1385" s="63">
        <f>AB1385*H2dens*HoursInYear/10^6</f>
        <v>6.930133333333333</v>
      </c>
      <c r="AD1385" s="62"/>
      <c r="AE1385" s="62">
        <f t="shared" si="154"/>
        <v>8888.8888888888887</v>
      </c>
      <c r="AF1385" s="64" t="s">
        <v>3786</v>
      </c>
      <c r="AG1385" s="49">
        <v>0.56999999999999995</v>
      </c>
    </row>
    <row r="1386" spans="1:33" customFormat="1" ht="35.1" customHeight="1" x14ac:dyDescent="0.3">
      <c r="A1386" s="46">
        <v>1918</v>
      </c>
      <c r="B1386" s="46" t="s">
        <v>3787</v>
      </c>
      <c r="C1386" s="46" t="s">
        <v>46</v>
      </c>
      <c r="D1386" s="60"/>
      <c r="E1386" s="60"/>
      <c r="F1386" s="46" t="s">
        <v>225</v>
      </c>
      <c r="G1386" s="46" t="s">
        <v>159</v>
      </c>
      <c r="H1386" s="46" t="s">
        <v>592</v>
      </c>
      <c r="I1386" s="46" t="s">
        <v>157</v>
      </c>
      <c r="J1386" s="46" t="str">
        <f>IF(I1386&lt;&gt;"Dedicated renewable","N/A",)</f>
        <v>N/A</v>
      </c>
      <c r="K1386" s="46" t="s">
        <v>68</v>
      </c>
      <c r="L1386" s="46"/>
      <c r="M1386" s="46"/>
      <c r="N1386" s="46"/>
      <c r="O1386" s="46"/>
      <c r="P1386" s="46"/>
      <c r="Q1386" s="46">
        <v>1</v>
      </c>
      <c r="R1386" s="46"/>
      <c r="S1386" s="46"/>
      <c r="T1386" s="46"/>
      <c r="U1386" s="46"/>
      <c r="V1386" s="46"/>
      <c r="W1386" s="46"/>
      <c r="X1386" s="46"/>
      <c r="Y1386" s="46"/>
      <c r="Z1386" s="46" t="s">
        <v>3783</v>
      </c>
      <c r="AA1386" s="61">
        <v>30</v>
      </c>
      <c r="AB1386" s="62">
        <f>IF(OR(G1386="ALK",G1386="PEM",G1386="SOEC",G1386="Other Electrolysis"),
AA1386/VLOOKUP(G1386,ElectrolysisConvF,3,FALSE),
AC1386*10^6/(H2dens*HoursInYear))</f>
        <v>6666.666666666667</v>
      </c>
      <c r="AC1386" s="63">
        <f>AB1386*H2dens*HoursInYear/10^6</f>
        <v>5.1976000000000004</v>
      </c>
      <c r="AD1386" s="62"/>
      <c r="AE1386" s="62">
        <f t="shared" si="154"/>
        <v>6666.666666666667</v>
      </c>
      <c r="AF1386" s="64" t="s">
        <v>3784</v>
      </c>
      <c r="AG1386" s="49">
        <v>0.56999999999999995</v>
      </c>
    </row>
    <row r="1387" spans="1:33" customFormat="1" ht="35.1" customHeight="1" x14ac:dyDescent="0.3">
      <c r="A1387" s="46">
        <v>1919</v>
      </c>
      <c r="B1387" s="46" t="s">
        <v>3788</v>
      </c>
      <c r="C1387" s="46" t="s">
        <v>46</v>
      </c>
      <c r="D1387" s="60"/>
      <c r="E1387" s="60"/>
      <c r="F1387" s="46" t="s">
        <v>225</v>
      </c>
      <c r="G1387" s="46" t="s">
        <v>159</v>
      </c>
      <c r="H1387" s="46" t="s">
        <v>592</v>
      </c>
      <c r="I1387" s="46" t="s">
        <v>157</v>
      </c>
      <c r="J1387" s="46" t="str">
        <f>IF(I1387&lt;&gt;"Dedicated renewable","N/A",)</f>
        <v>N/A</v>
      </c>
      <c r="K1387" s="46" t="s">
        <v>68</v>
      </c>
      <c r="L1387" s="46"/>
      <c r="M1387" s="46"/>
      <c r="N1387" s="46"/>
      <c r="O1387" s="46"/>
      <c r="P1387" s="46"/>
      <c r="Q1387" s="46">
        <v>1</v>
      </c>
      <c r="R1387" s="46"/>
      <c r="S1387" s="46"/>
      <c r="T1387" s="46"/>
      <c r="U1387" s="46"/>
      <c r="V1387" s="46"/>
      <c r="W1387" s="46"/>
      <c r="X1387" s="46"/>
      <c r="Y1387" s="46"/>
      <c r="Z1387" s="46" t="s">
        <v>3091</v>
      </c>
      <c r="AA1387" s="61">
        <v>40</v>
      </c>
      <c r="AB1387" s="62">
        <f>IF(OR(G1387="ALK",G1387="PEM",G1387="SOEC",G1387="Other Electrolysis"),
AA1387/VLOOKUP(G1387,ElectrolysisConvF,3,FALSE),
AC1387*10^6/(H2dens*HoursInYear))</f>
        <v>8888.8888888888887</v>
      </c>
      <c r="AC1387" s="63">
        <f>AB1387*H2dens*HoursInYear/10^6</f>
        <v>6.930133333333333</v>
      </c>
      <c r="AD1387" s="62"/>
      <c r="AE1387" s="62">
        <f t="shared" si="154"/>
        <v>8888.8888888888887</v>
      </c>
      <c r="AF1387" s="64" t="s">
        <v>3786</v>
      </c>
      <c r="AG1387" s="49">
        <v>0.56999999999999995</v>
      </c>
    </row>
    <row r="1388" spans="1:33" customFormat="1" ht="35.1" customHeight="1" x14ac:dyDescent="0.3">
      <c r="A1388" s="46">
        <v>1920</v>
      </c>
      <c r="B1388" s="46" t="s">
        <v>3789</v>
      </c>
      <c r="C1388" s="46" t="s">
        <v>39</v>
      </c>
      <c r="D1388" s="60"/>
      <c r="E1388" s="60"/>
      <c r="F1388" s="46" t="s">
        <v>591</v>
      </c>
      <c r="G1388" s="46" t="s">
        <v>159</v>
      </c>
      <c r="H1388" s="46" t="s">
        <v>592</v>
      </c>
      <c r="I1388" s="46" t="s">
        <v>169</v>
      </c>
      <c r="J1388" s="46" t="s">
        <v>244</v>
      </c>
      <c r="K1388" s="46" t="s">
        <v>68</v>
      </c>
      <c r="L1388" s="46"/>
      <c r="M1388" s="46"/>
      <c r="N1388" s="46"/>
      <c r="O1388" s="46"/>
      <c r="P1388" s="46"/>
      <c r="Q1388" s="46"/>
      <c r="R1388" s="46"/>
      <c r="S1388" s="46"/>
      <c r="T1388" s="46"/>
      <c r="U1388" s="46"/>
      <c r="V1388" s="46"/>
      <c r="W1388" s="46"/>
      <c r="X1388" s="46"/>
      <c r="Y1388" s="46"/>
      <c r="Z1388" s="46" t="s">
        <v>3790</v>
      </c>
      <c r="AA1388" s="61">
        <v>1000</v>
      </c>
      <c r="AB1388" s="62">
        <f>IF(OR(G1388="ALK",G1388="PEM",G1388="SOEC",G1388="Other Electrolysis"),
AA1388/VLOOKUP(G1388,ElectrolysisConvF,3,FALSE),
AC1388*10^6/(H2dens*HoursInYear))</f>
        <v>222222.22222222225</v>
      </c>
      <c r="AC1388" s="63">
        <f>AB1388*H2dens*HoursInYear/10^6</f>
        <v>173.25333333333333</v>
      </c>
      <c r="AD1388" s="62"/>
      <c r="AE1388" s="62">
        <f t="shared" si="154"/>
        <v>222222.22222222225</v>
      </c>
      <c r="AF1388" s="64" t="s">
        <v>3791</v>
      </c>
      <c r="AG1388" s="49">
        <v>0.3</v>
      </c>
    </row>
    <row r="1389" spans="1:33" customFormat="1" ht="35.1" customHeight="1" x14ac:dyDescent="0.3">
      <c r="A1389" s="46">
        <v>1921</v>
      </c>
      <c r="B1389" s="46" t="s">
        <v>3792</v>
      </c>
      <c r="C1389" s="46" t="s">
        <v>41</v>
      </c>
      <c r="D1389" s="60">
        <v>2025</v>
      </c>
      <c r="E1389" s="60"/>
      <c r="F1389" s="46" t="s">
        <v>225</v>
      </c>
      <c r="G1389" s="46" t="s">
        <v>159</v>
      </c>
      <c r="H1389" s="46" t="s">
        <v>592</v>
      </c>
      <c r="I1389" s="46" t="s">
        <v>169</v>
      </c>
      <c r="J1389" s="46" t="s">
        <v>248</v>
      </c>
      <c r="K1389" s="46" t="s">
        <v>68</v>
      </c>
      <c r="L1389" s="46"/>
      <c r="M1389" s="46"/>
      <c r="N1389" s="46"/>
      <c r="O1389" s="46">
        <v>1</v>
      </c>
      <c r="P1389" s="46"/>
      <c r="Q1389" s="46"/>
      <c r="R1389" s="46"/>
      <c r="S1389" s="46"/>
      <c r="T1389" s="46"/>
      <c r="U1389" s="46"/>
      <c r="V1389" s="46"/>
      <c r="W1389" s="46"/>
      <c r="X1389" s="46"/>
      <c r="Y1389" s="46"/>
      <c r="Z1389" s="46" t="s">
        <v>3793</v>
      </c>
      <c r="AA1389" s="63">
        <f>IF(OR(G1389="ALK",G1389="PEM",G1389="SOEC",G1389="Other Electrolysis"),
AB1389*VLOOKUP(G1389,ElectrolysisConvF,3,FALSE),
"")</f>
        <v>2449.7639597627567</v>
      </c>
      <c r="AB1389" s="62">
        <f>AC1389/(H2dens*HoursInYear/10^6)</f>
        <v>544391.99105839047</v>
      </c>
      <c r="AC1389" s="62">
        <f>300/H2ProjectDB4578610[[#This Row],[Column33]]-AC1390</f>
        <v>424.42977190876348</v>
      </c>
      <c r="AD1389" s="62"/>
      <c r="AE1389" s="62">
        <f t="shared" si="154"/>
        <v>544391.99105839047</v>
      </c>
      <c r="AF1389" s="64" t="s">
        <v>3794</v>
      </c>
      <c r="AG1389" s="49">
        <v>0.5</v>
      </c>
    </row>
    <row r="1390" spans="1:33" customFormat="1" ht="35.1" customHeight="1" x14ac:dyDescent="0.3">
      <c r="A1390" s="46">
        <v>1922</v>
      </c>
      <c r="B1390" s="46" t="s">
        <v>3795</v>
      </c>
      <c r="C1390" s="46" t="s">
        <v>41</v>
      </c>
      <c r="D1390" s="60">
        <v>2025</v>
      </c>
      <c r="E1390" s="60"/>
      <c r="F1390" s="46" t="s">
        <v>675</v>
      </c>
      <c r="G1390" s="46" t="s">
        <v>159</v>
      </c>
      <c r="H1390" s="46" t="s">
        <v>592</v>
      </c>
      <c r="I1390" s="46" t="s">
        <v>169</v>
      </c>
      <c r="J1390" s="46" t="s">
        <v>245</v>
      </c>
      <c r="K1390" s="46" t="s">
        <v>68</v>
      </c>
      <c r="L1390" s="46"/>
      <c r="M1390" s="46">
        <v>1</v>
      </c>
      <c r="N1390" s="46"/>
      <c r="O1390" s="46"/>
      <c r="P1390" s="46"/>
      <c r="Q1390" s="46"/>
      <c r="R1390" s="46"/>
      <c r="S1390" s="46"/>
      <c r="T1390" s="46"/>
      <c r="U1390" s="46"/>
      <c r="V1390" s="46"/>
      <c r="W1390" s="46"/>
      <c r="X1390" s="46"/>
      <c r="Y1390" s="46"/>
      <c r="Z1390" s="46" t="s">
        <v>3796</v>
      </c>
      <c r="AA1390" s="63">
        <f>IF(OR(G1390="ALK",G1390="PEM",G1390="SOEC",G1390="Other Electrolysis"),
AB1390*VLOOKUP(G1390,ElectrolysisConvF,3,FALSE),
"")</f>
        <v>1013.3728726214205</v>
      </c>
      <c r="AB1390" s="62">
        <f>AC1390/(H2dens*HoursInYear/10^6)</f>
        <v>225193.97169364901</v>
      </c>
      <c r="AC1390" s="63">
        <f>(390*3/17/0.98)/H2ProjectDB4578610[[#This Row],[Column33]]</f>
        <v>175.57022809123652</v>
      </c>
      <c r="AD1390" s="62"/>
      <c r="AE1390" s="62">
        <f t="shared" si="154"/>
        <v>225193.97169364901</v>
      </c>
      <c r="AF1390" s="64" t="s">
        <v>3797</v>
      </c>
      <c r="AG1390" s="49">
        <v>0.4</v>
      </c>
    </row>
    <row r="1391" spans="1:33" customFormat="1" ht="35.1" customHeight="1" x14ac:dyDescent="0.3">
      <c r="A1391" s="46">
        <v>1923</v>
      </c>
      <c r="B1391" s="46" t="s">
        <v>3798</v>
      </c>
      <c r="C1391" s="46" t="s">
        <v>75</v>
      </c>
      <c r="D1391" s="60">
        <v>2025</v>
      </c>
      <c r="E1391" s="60"/>
      <c r="F1391" s="46" t="s">
        <v>225</v>
      </c>
      <c r="G1391" s="46" t="s">
        <v>159</v>
      </c>
      <c r="H1391" s="46" t="s">
        <v>592</v>
      </c>
      <c r="I1391" s="46" t="s">
        <v>169</v>
      </c>
      <c r="J1391" s="46" t="s">
        <v>248</v>
      </c>
      <c r="K1391" s="46" t="s">
        <v>141</v>
      </c>
      <c r="L1391" s="46"/>
      <c r="M1391" s="46">
        <v>1</v>
      </c>
      <c r="N1391" s="46"/>
      <c r="O1391" s="46"/>
      <c r="P1391" s="46"/>
      <c r="Q1391" s="46"/>
      <c r="R1391" s="46"/>
      <c r="S1391" s="46"/>
      <c r="T1391" s="46"/>
      <c r="U1391" s="46"/>
      <c r="V1391" s="46"/>
      <c r="W1391" s="46"/>
      <c r="X1391" s="46"/>
      <c r="Y1391" s="46"/>
      <c r="Z1391" s="46" t="s">
        <v>3799</v>
      </c>
      <c r="AA1391" s="63">
        <f>IF(OR(G1391="ALK",G1391="PEM",G1391="SOEC",G1391="Other Electrolysis"),
AB1391*VLOOKUP(G1391,ElectrolysisConvF,3,FALSE),
"")</f>
        <v>148.91488379251965</v>
      </c>
      <c r="AB1391" s="62">
        <f>AC1391/(H2dens*HoursInYear/10^6)</f>
        <v>33092.196398337699</v>
      </c>
      <c r="AC1391" s="62">
        <f>12.9/H2ProjectDB4578610[[#This Row],[Column33]]</f>
        <v>25.8</v>
      </c>
      <c r="AD1391" s="62"/>
      <c r="AE1391" s="62">
        <f t="shared" si="154"/>
        <v>33092.196398337699</v>
      </c>
      <c r="AF1391" s="64" t="s">
        <v>3800</v>
      </c>
      <c r="AG1391" s="49">
        <v>0.5</v>
      </c>
    </row>
    <row r="1392" spans="1:33" customFormat="1" ht="35.1" customHeight="1" x14ac:dyDescent="0.3">
      <c r="A1392" s="46">
        <v>1924</v>
      </c>
      <c r="B1392" s="46" t="s">
        <v>3801</v>
      </c>
      <c r="C1392" s="46" t="s">
        <v>75</v>
      </c>
      <c r="D1392" s="60">
        <v>2030</v>
      </c>
      <c r="E1392" s="60"/>
      <c r="F1392" s="46" t="s">
        <v>591</v>
      </c>
      <c r="G1392" s="46" t="s">
        <v>159</v>
      </c>
      <c r="H1392" s="46" t="s">
        <v>592</v>
      </c>
      <c r="I1392" s="46" t="s">
        <v>169</v>
      </c>
      <c r="J1392" s="46" t="s">
        <v>248</v>
      </c>
      <c r="K1392" s="46" t="s">
        <v>141</v>
      </c>
      <c r="L1392" s="46"/>
      <c r="M1392" s="46">
        <v>1</v>
      </c>
      <c r="N1392" s="46"/>
      <c r="O1392" s="46"/>
      <c r="P1392" s="46"/>
      <c r="Q1392" s="46"/>
      <c r="R1392" s="46"/>
      <c r="S1392" s="46"/>
      <c r="T1392" s="46"/>
      <c r="U1392" s="46"/>
      <c r="V1392" s="46"/>
      <c r="W1392" s="46"/>
      <c r="X1392" s="46"/>
      <c r="Y1392" s="46"/>
      <c r="Z1392" s="46" t="s">
        <v>3802</v>
      </c>
      <c r="AA1392" s="63">
        <f>IF(OR(G1392="ALK",G1392="PEM",G1392="SOEC",G1392="Other Electrolysis"),
AB1392*VLOOKUP(G1392,ElectrolysisConvF,3,FALSE),
"")</f>
        <v>5622.9798368477759</v>
      </c>
      <c r="AB1392" s="62">
        <f>AC1392/(H2dens*HoursInYear/10^6)</f>
        <v>1249551.0748550615</v>
      </c>
      <c r="AC1392" s="62">
        <f>500/H2ProjectDB4578610[[#This Row],[Column33]]-AC1391</f>
        <v>974.2</v>
      </c>
      <c r="AD1392" s="62"/>
      <c r="AE1392" s="62">
        <f t="shared" si="154"/>
        <v>1249551.0748550615</v>
      </c>
      <c r="AF1392" s="64" t="s">
        <v>3800</v>
      </c>
      <c r="AG1392" s="49">
        <v>0.5</v>
      </c>
    </row>
    <row r="1393" spans="1:33" customFormat="1" ht="35.1" customHeight="1" x14ac:dyDescent="0.3">
      <c r="A1393" s="46">
        <v>1925</v>
      </c>
      <c r="B1393" s="46" t="s">
        <v>3803</v>
      </c>
      <c r="C1393" s="46" t="s">
        <v>40</v>
      </c>
      <c r="D1393" s="60">
        <v>2026</v>
      </c>
      <c r="E1393" s="60"/>
      <c r="F1393" s="46" t="s">
        <v>225</v>
      </c>
      <c r="G1393" s="46" t="s">
        <v>159</v>
      </c>
      <c r="H1393" s="46" t="s">
        <v>592</v>
      </c>
      <c r="I1393" s="46" t="s">
        <v>169</v>
      </c>
      <c r="J1393" s="46" t="s">
        <v>245</v>
      </c>
      <c r="K1393" s="46" t="s">
        <v>141</v>
      </c>
      <c r="L1393" s="46"/>
      <c r="M1393" s="46">
        <v>1</v>
      </c>
      <c r="N1393" s="46"/>
      <c r="O1393" s="46"/>
      <c r="P1393" s="46"/>
      <c r="Q1393" s="46"/>
      <c r="R1393" s="46"/>
      <c r="S1393" s="46"/>
      <c r="T1393" s="46"/>
      <c r="U1393" s="46"/>
      <c r="V1393" s="46"/>
      <c r="W1393" s="46"/>
      <c r="X1393" s="46"/>
      <c r="Y1393" s="46"/>
      <c r="Z1393" s="46" t="s">
        <v>3804</v>
      </c>
      <c r="AA1393" s="63">
        <f>IF(OR(G1393="ALK",G1393="PEM",G1393="SOEC",G1393="Other Electrolysis"),
AB1393*VLOOKUP(G1393,ElectrolysisConvF,3,FALSE),
"")</f>
        <v>426.78588289248279</v>
      </c>
      <c r="AB1393" s="62">
        <f>AC1393/(H2dens*HoursInYear/10^6)</f>
        <v>94841.307309440628</v>
      </c>
      <c r="AC1393" s="62">
        <f>(0.45*365*3/17/0.98)/H2ProjectDB4578610[[#This Row],[Column33]]</f>
        <v>73.94207683073229</v>
      </c>
      <c r="AD1393" s="62"/>
      <c r="AE1393" s="62">
        <f t="shared" si="154"/>
        <v>94841.307309440628</v>
      </c>
      <c r="AF1393" s="64" t="s">
        <v>3805</v>
      </c>
      <c r="AG1393" s="49">
        <v>0.4</v>
      </c>
    </row>
    <row r="1394" spans="1:33" customFormat="1" ht="35.1" customHeight="1" x14ac:dyDescent="0.3">
      <c r="A1394" s="46">
        <v>1926</v>
      </c>
      <c r="B1394" s="46" t="s">
        <v>3806</v>
      </c>
      <c r="C1394" s="46" t="s">
        <v>46</v>
      </c>
      <c r="D1394" s="60"/>
      <c r="E1394" s="60"/>
      <c r="F1394" s="46" t="s">
        <v>225</v>
      </c>
      <c r="G1394" s="46" t="s">
        <v>159</v>
      </c>
      <c r="H1394" s="46" t="s">
        <v>592</v>
      </c>
      <c r="I1394" s="46" t="s">
        <v>157</v>
      </c>
      <c r="J1394" s="46"/>
      <c r="K1394" s="46" t="s">
        <v>68</v>
      </c>
      <c r="L1394" s="46"/>
      <c r="M1394" s="46"/>
      <c r="N1394" s="46"/>
      <c r="O1394" s="46"/>
      <c r="P1394" s="46"/>
      <c r="Q1394" s="46">
        <v>1</v>
      </c>
      <c r="R1394" s="46"/>
      <c r="S1394" s="46"/>
      <c r="T1394" s="46"/>
      <c r="U1394" s="46"/>
      <c r="V1394" s="46"/>
      <c r="W1394" s="46"/>
      <c r="X1394" s="46"/>
      <c r="Y1394" s="46"/>
      <c r="Z1394" s="46" t="s">
        <v>696</v>
      </c>
      <c r="AA1394" s="61">
        <v>20</v>
      </c>
      <c r="AB1394" s="62">
        <f t="shared" ref="AB1394:AB1399" si="157">IF(OR(G1394="ALK",G1394="PEM",G1394="SOEC",G1394="Other Electrolysis"),
AA1394/VLOOKUP(G1394,ElectrolysisConvF,3,FALSE),
AC1394*10^6/(H2dens*HoursInYear))</f>
        <v>4444.4444444444443</v>
      </c>
      <c r="AC1394" s="63">
        <f t="shared" ref="AC1394:AC1399" si="158">AB1394*H2dens*HoursInYear/10^6</f>
        <v>3.4650666666666665</v>
      </c>
      <c r="AD1394" s="62"/>
      <c r="AE1394" s="62">
        <f t="shared" si="154"/>
        <v>4444.4444444444443</v>
      </c>
      <c r="AF1394" s="64" t="s">
        <v>3807</v>
      </c>
      <c r="AG1394" s="49">
        <v>0.56999999999999995</v>
      </c>
    </row>
    <row r="1395" spans="1:33" customFormat="1" ht="35.1" customHeight="1" x14ac:dyDescent="0.3">
      <c r="A1395" s="46">
        <v>1927</v>
      </c>
      <c r="B1395" s="46" t="s">
        <v>3808</v>
      </c>
      <c r="C1395" s="46" t="s">
        <v>46</v>
      </c>
      <c r="D1395" s="60">
        <v>2030</v>
      </c>
      <c r="E1395" s="60"/>
      <c r="F1395" s="46" t="s">
        <v>591</v>
      </c>
      <c r="G1395" s="46" t="s">
        <v>1</v>
      </c>
      <c r="H1395" s="46"/>
      <c r="I1395" s="46" t="s">
        <v>169</v>
      </c>
      <c r="J1395" s="46" t="s">
        <v>69</v>
      </c>
      <c r="K1395" s="46" t="s">
        <v>68</v>
      </c>
      <c r="L1395" s="46"/>
      <c r="M1395" s="46"/>
      <c r="N1395" s="46"/>
      <c r="O1395" s="46"/>
      <c r="P1395" s="46">
        <v>1</v>
      </c>
      <c r="Q1395" s="46"/>
      <c r="R1395" s="46"/>
      <c r="S1395" s="46"/>
      <c r="T1395" s="46"/>
      <c r="U1395" s="46"/>
      <c r="V1395" s="46"/>
      <c r="W1395" s="46"/>
      <c r="X1395" s="46"/>
      <c r="Y1395" s="46"/>
      <c r="Z1395" s="46" t="s">
        <v>1664</v>
      </c>
      <c r="AA1395" s="61">
        <f>300-30</f>
        <v>270</v>
      </c>
      <c r="AB1395" s="62">
        <f t="shared" si="157"/>
        <v>51923.076923076922</v>
      </c>
      <c r="AC1395" s="63">
        <f t="shared" si="158"/>
        <v>40.481307692307688</v>
      </c>
      <c r="AD1395" s="62"/>
      <c r="AE1395" s="62">
        <f t="shared" si="154"/>
        <v>51923.076923076922</v>
      </c>
      <c r="AF1395" s="64" t="s">
        <v>2668</v>
      </c>
      <c r="AG1395" s="49">
        <v>0.5</v>
      </c>
    </row>
    <row r="1396" spans="1:33" customFormat="1" ht="35.1" customHeight="1" x14ac:dyDescent="0.3">
      <c r="A1396" s="46">
        <v>1928</v>
      </c>
      <c r="B1396" s="46" t="s">
        <v>3809</v>
      </c>
      <c r="C1396" s="46" t="s">
        <v>74</v>
      </c>
      <c r="D1396" s="60">
        <v>2024</v>
      </c>
      <c r="E1396" s="60"/>
      <c r="F1396" s="46" t="s">
        <v>591</v>
      </c>
      <c r="G1396" s="46" t="s">
        <v>159</v>
      </c>
      <c r="H1396" s="46" t="s">
        <v>592</v>
      </c>
      <c r="I1396" s="46" t="s">
        <v>169</v>
      </c>
      <c r="J1396" s="46" t="s">
        <v>69</v>
      </c>
      <c r="K1396" s="46" t="s">
        <v>68</v>
      </c>
      <c r="L1396" s="46"/>
      <c r="M1396" s="46"/>
      <c r="N1396" s="46"/>
      <c r="O1396" s="46">
        <v>1</v>
      </c>
      <c r="P1396" s="46"/>
      <c r="Q1396" s="46"/>
      <c r="R1396" s="46"/>
      <c r="S1396" s="46"/>
      <c r="T1396" s="46"/>
      <c r="U1396" s="46"/>
      <c r="V1396" s="46"/>
      <c r="W1396" s="46"/>
      <c r="X1396" s="46"/>
      <c r="Y1396" s="46"/>
      <c r="Z1396" s="46" t="s">
        <v>2494</v>
      </c>
      <c r="AA1396" s="61">
        <v>35</v>
      </c>
      <c r="AB1396" s="62">
        <f t="shared" si="157"/>
        <v>7777.7777777777783</v>
      </c>
      <c r="AC1396" s="63">
        <f t="shared" si="158"/>
        <v>6.0638666666666667</v>
      </c>
      <c r="AD1396" s="62"/>
      <c r="AE1396" s="62">
        <f t="shared" si="154"/>
        <v>7777.7777777777783</v>
      </c>
      <c r="AF1396" s="64" t="s">
        <v>3810</v>
      </c>
      <c r="AG1396" s="49">
        <v>0.5</v>
      </c>
    </row>
    <row r="1397" spans="1:33" customFormat="1" ht="35.1" customHeight="1" x14ac:dyDescent="0.3">
      <c r="A1397" s="46">
        <v>1929</v>
      </c>
      <c r="B1397" s="46" t="s">
        <v>3811</v>
      </c>
      <c r="C1397" s="46" t="s">
        <v>74</v>
      </c>
      <c r="D1397" s="60"/>
      <c r="E1397" s="60"/>
      <c r="F1397" s="46" t="s">
        <v>591</v>
      </c>
      <c r="G1397" s="46" t="s">
        <v>159</v>
      </c>
      <c r="H1397" s="46" t="s">
        <v>592</v>
      </c>
      <c r="I1397" s="46" t="s">
        <v>169</v>
      </c>
      <c r="J1397" s="46" t="s">
        <v>69</v>
      </c>
      <c r="K1397" s="46" t="s">
        <v>68</v>
      </c>
      <c r="L1397" s="46"/>
      <c r="M1397" s="46"/>
      <c r="N1397" s="46"/>
      <c r="O1397" s="46">
        <v>1</v>
      </c>
      <c r="P1397" s="46"/>
      <c r="Q1397" s="46"/>
      <c r="R1397" s="46"/>
      <c r="S1397" s="46"/>
      <c r="T1397" s="46"/>
      <c r="U1397" s="46"/>
      <c r="V1397" s="46"/>
      <c r="W1397" s="46"/>
      <c r="X1397" s="46"/>
      <c r="Y1397" s="46"/>
      <c r="Z1397" s="46" t="s">
        <v>3063</v>
      </c>
      <c r="AA1397" s="61">
        <v>315</v>
      </c>
      <c r="AB1397" s="62">
        <f t="shared" si="157"/>
        <v>70000</v>
      </c>
      <c r="AC1397" s="63">
        <f t="shared" si="158"/>
        <v>54.574800000000003</v>
      </c>
      <c r="AD1397" s="62"/>
      <c r="AE1397" s="62">
        <f t="shared" si="154"/>
        <v>70000</v>
      </c>
      <c r="AF1397" s="64" t="s">
        <v>3810</v>
      </c>
      <c r="AG1397" s="49">
        <v>0.5</v>
      </c>
    </row>
    <row r="1398" spans="1:33" customFormat="1" ht="35.1" customHeight="1" x14ac:dyDescent="0.3">
      <c r="A1398" s="46">
        <v>1930</v>
      </c>
      <c r="B1398" s="46" t="s">
        <v>3812</v>
      </c>
      <c r="C1398" s="46" t="s">
        <v>43</v>
      </c>
      <c r="D1398" s="60"/>
      <c r="E1398" s="60"/>
      <c r="F1398" s="46" t="s">
        <v>225</v>
      </c>
      <c r="G1398" s="46" t="s">
        <v>159</v>
      </c>
      <c r="H1398" s="46" t="s">
        <v>592</v>
      </c>
      <c r="I1398" s="46" t="s">
        <v>169</v>
      </c>
      <c r="J1398" s="46" t="s">
        <v>244</v>
      </c>
      <c r="K1398" s="46" t="s">
        <v>141</v>
      </c>
      <c r="L1398" s="46"/>
      <c r="M1398" s="46">
        <v>1</v>
      </c>
      <c r="N1398" s="46"/>
      <c r="O1398" s="46"/>
      <c r="P1398" s="46"/>
      <c r="Q1398" s="46"/>
      <c r="R1398" s="46"/>
      <c r="S1398" s="46"/>
      <c r="T1398" s="46"/>
      <c r="U1398" s="46"/>
      <c r="V1398" s="46"/>
      <c r="W1398" s="46"/>
      <c r="X1398" s="46"/>
      <c r="Y1398" s="46"/>
      <c r="Z1398" s="46" t="s">
        <v>3664</v>
      </c>
      <c r="AA1398" s="61">
        <v>1500</v>
      </c>
      <c r="AB1398" s="62">
        <f t="shared" si="157"/>
        <v>333333.33333333337</v>
      </c>
      <c r="AC1398" s="63">
        <f t="shared" si="158"/>
        <v>259.88</v>
      </c>
      <c r="AD1398" s="62"/>
      <c r="AE1398" s="62">
        <f t="shared" si="154"/>
        <v>333333.33333333337</v>
      </c>
      <c r="AF1398" s="64" t="s">
        <v>3813</v>
      </c>
      <c r="AG1398" s="49">
        <v>0.3</v>
      </c>
    </row>
    <row r="1399" spans="1:33" customFormat="1" ht="35.1" customHeight="1" x14ac:dyDescent="0.3">
      <c r="A1399" s="46">
        <v>1931</v>
      </c>
      <c r="B1399" s="46" t="s">
        <v>3814</v>
      </c>
      <c r="C1399" s="46" t="s">
        <v>46</v>
      </c>
      <c r="D1399" s="60">
        <v>2023</v>
      </c>
      <c r="E1399" s="60"/>
      <c r="F1399" s="46" t="s">
        <v>226</v>
      </c>
      <c r="G1399" s="46" t="s">
        <v>159</v>
      </c>
      <c r="H1399" s="46" t="s">
        <v>592</v>
      </c>
      <c r="I1399" s="46" t="s">
        <v>157</v>
      </c>
      <c r="J1399" s="46"/>
      <c r="K1399" s="46" t="s">
        <v>68</v>
      </c>
      <c r="L1399" s="46"/>
      <c r="M1399" s="46"/>
      <c r="N1399" s="46"/>
      <c r="O1399" s="46"/>
      <c r="P1399" s="46"/>
      <c r="Q1399" s="46">
        <v>1</v>
      </c>
      <c r="R1399" s="46"/>
      <c r="S1399" s="46"/>
      <c r="T1399" s="46"/>
      <c r="U1399" s="46"/>
      <c r="V1399" s="46"/>
      <c r="W1399" s="46"/>
      <c r="X1399" s="46"/>
      <c r="Y1399" s="46"/>
      <c r="Z1399" s="46" t="s">
        <v>1327</v>
      </c>
      <c r="AA1399" s="61">
        <v>1</v>
      </c>
      <c r="AB1399" s="62">
        <f t="shared" si="157"/>
        <v>222.22222222222223</v>
      </c>
      <c r="AC1399" s="63">
        <f t="shared" si="158"/>
        <v>0.17325333333333334</v>
      </c>
      <c r="AD1399" s="62"/>
      <c r="AE1399" s="62">
        <f t="shared" si="154"/>
        <v>222.22222222222223</v>
      </c>
      <c r="AF1399" s="64" t="s">
        <v>3815</v>
      </c>
      <c r="AG1399" s="49">
        <v>0.56999999999999995</v>
      </c>
    </row>
    <row r="1400" spans="1:33" customFormat="1" ht="35.1" customHeight="1" x14ac:dyDescent="0.3">
      <c r="A1400" s="46">
        <v>1932</v>
      </c>
      <c r="B1400" s="46" t="s">
        <v>3816</v>
      </c>
      <c r="C1400" s="46" t="s">
        <v>40</v>
      </c>
      <c r="D1400" s="60">
        <v>2027</v>
      </c>
      <c r="E1400" s="60"/>
      <c r="F1400" s="46" t="s">
        <v>225</v>
      </c>
      <c r="G1400" s="46" t="s">
        <v>161</v>
      </c>
      <c r="H1400" s="46" t="s">
        <v>2365</v>
      </c>
      <c r="I1400" s="46" t="str">
        <f>IF(AND(G1400&lt;&gt;"ALK",G1400&lt;&gt;"PEM",G1400&lt;&gt;"SOEC",G1400&lt;&gt;"Other electrolysis"),"N/A","")</f>
        <v>N/A</v>
      </c>
      <c r="J1400" s="46" t="str">
        <f>IF(I1400&lt;&gt;"Dedicated renewable","N/A",)</f>
        <v>N/A</v>
      </c>
      <c r="K1400" s="46" t="s">
        <v>141</v>
      </c>
      <c r="L1400" s="46"/>
      <c r="M1400" s="46">
        <v>1</v>
      </c>
      <c r="N1400" s="46"/>
      <c r="O1400" s="46"/>
      <c r="P1400" s="46"/>
      <c r="Q1400" s="46"/>
      <c r="R1400" s="46"/>
      <c r="S1400" s="46"/>
      <c r="T1400" s="46"/>
      <c r="U1400" s="46"/>
      <c r="V1400" s="46"/>
      <c r="W1400" s="46"/>
      <c r="X1400" s="46"/>
      <c r="Y1400" s="46"/>
      <c r="Z1400" s="46" t="s">
        <v>3817</v>
      </c>
      <c r="AA1400" s="63" t="str">
        <f>IF(OR(G1400="ALK",G1400="PEM",G1400="SOEC",G1400="Other Electrolysis"),
AB1400*VLOOKUP(G1400,ElectrolysisConvF,3,FALSE),
"")</f>
        <v/>
      </c>
      <c r="AB1400" s="62">
        <f>AC1400/(H2dens*HoursInYear/10^6)</f>
        <v>323355.44653447036</v>
      </c>
      <c r="AC1400" s="62">
        <f>1400*3/17/0.98</f>
        <v>252.10084033613447</v>
      </c>
      <c r="AD1400" s="62"/>
      <c r="AE1400" s="62">
        <f t="shared" si="154"/>
        <v>0</v>
      </c>
      <c r="AF1400" s="64" t="s">
        <v>3818</v>
      </c>
      <c r="AG1400" s="49">
        <v>0.9</v>
      </c>
    </row>
    <row r="1401" spans="1:33" customFormat="1" ht="35.1" customHeight="1" x14ac:dyDescent="0.3">
      <c r="A1401" s="46">
        <v>1933</v>
      </c>
      <c r="B1401" s="46" t="s">
        <v>3819</v>
      </c>
      <c r="C1401" s="46" t="s">
        <v>42</v>
      </c>
      <c r="D1401" s="60">
        <v>2024</v>
      </c>
      <c r="E1401" s="60"/>
      <c r="F1401" s="46" t="s">
        <v>285</v>
      </c>
      <c r="G1401" s="46" t="s">
        <v>3</v>
      </c>
      <c r="H1401" s="46"/>
      <c r="I1401" s="46" t="s">
        <v>166</v>
      </c>
      <c r="J1401" s="46" t="str">
        <f>IF(I1401&lt;&gt;"Dedicated renewable","N/A",)</f>
        <v>N/A</v>
      </c>
      <c r="K1401" s="46" t="s">
        <v>68</v>
      </c>
      <c r="L1401" s="46"/>
      <c r="M1401" s="46"/>
      <c r="N1401" s="46"/>
      <c r="O1401" s="46"/>
      <c r="P1401" s="46"/>
      <c r="Q1401" s="46"/>
      <c r="R1401" s="46"/>
      <c r="S1401" s="46"/>
      <c r="T1401" s="46"/>
      <c r="U1401" s="46"/>
      <c r="V1401" s="46"/>
      <c r="W1401" s="46"/>
      <c r="X1401" s="46"/>
      <c r="Y1401" s="46"/>
      <c r="Z1401" s="46" t="s">
        <v>3820</v>
      </c>
      <c r="AA1401" s="61">
        <v>3.2</v>
      </c>
      <c r="AB1401" s="62">
        <f>IF(OR(G1401="ALK",G1401="PEM",G1401="SOEC",G1401="Other Electrolysis"),
AA1401/VLOOKUP(G1401,ElectrolysisConvF,3,FALSE),
AC1401*10^6/(H2dens*HoursInYear))</f>
        <v>695.6521739130435</v>
      </c>
      <c r="AC1401" s="63">
        <f>AB1401*H2dens*HoursInYear/10^6</f>
        <v>0.54235826086956518</v>
      </c>
      <c r="AD1401" s="62"/>
      <c r="AE1401" s="62">
        <f t="shared" si="154"/>
        <v>695.6521739130435</v>
      </c>
      <c r="AF1401" s="64" t="s">
        <v>3821</v>
      </c>
      <c r="AG1401" s="49">
        <v>0.56999999999999995</v>
      </c>
    </row>
    <row r="1402" spans="1:33" customFormat="1" ht="35.1" customHeight="1" x14ac:dyDescent="0.3">
      <c r="A1402" s="46">
        <v>1934</v>
      </c>
      <c r="B1402" s="46" t="s">
        <v>3822</v>
      </c>
      <c r="C1402" s="46" t="s">
        <v>58</v>
      </c>
      <c r="D1402" s="60">
        <v>2022</v>
      </c>
      <c r="E1402" s="60"/>
      <c r="F1402" s="46" t="s">
        <v>226</v>
      </c>
      <c r="G1402" s="46" t="s">
        <v>159</v>
      </c>
      <c r="H1402" s="46" t="s">
        <v>592</v>
      </c>
      <c r="I1402" s="46" t="s">
        <v>169</v>
      </c>
      <c r="J1402" s="46" t="s">
        <v>69</v>
      </c>
      <c r="K1402" s="46" t="s">
        <v>68</v>
      </c>
      <c r="L1402" s="46"/>
      <c r="M1402" s="46"/>
      <c r="N1402" s="46"/>
      <c r="O1402" s="46"/>
      <c r="P1402" s="46">
        <v>1</v>
      </c>
      <c r="Q1402" s="46"/>
      <c r="R1402" s="46"/>
      <c r="S1402" s="46"/>
      <c r="T1402" s="46"/>
      <c r="U1402" s="46"/>
      <c r="V1402" s="46"/>
      <c r="W1402" s="46"/>
      <c r="X1402" s="46"/>
      <c r="Y1402" s="46"/>
      <c r="Z1402" s="46" t="s">
        <v>1327</v>
      </c>
      <c r="AA1402" s="61">
        <v>1</v>
      </c>
      <c r="AB1402" s="62">
        <f>IF(OR(G1402="ALK",G1402="PEM",G1402="SOEC",G1402="Other Electrolysis"),
AA1402/VLOOKUP(G1402,ElectrolysisConvF,3,FALSE),
AC1402*10^6/(H2dens*HoursInYear))</f>
        <v>222.22222222222223</v>
      </c>
      <c r="AC1402" s="63">
        <f>AB1402*H2dens*HoursInYear/10^6</f>
        <v>0.17325333333333334</v>
      </c>
      <c r="AD1402" s="62"/>
      <c r="AE1402" s="62">
        <f t="shared" si="154"/>
        <v>222.22222222222223</v>
      </c>
      <c r="AF1402" s="64" t="s">
        <v>3823</v>
      </c>
      <c r="AG1402" s="49">
        <v>0.5</v>
      </c>
    </row>
    <row r="1403" spans="1:33" customFormat="1" ht="35.1" customHeight="1" x14ac:dyDescent="0.3">
      <c r="A1403" s="46">
        <v>1935</v>
      </c>
      <c r="B1403" s="46" t="s">
        <v>3824</v>
      </c>
      <c r="C1403" s="46" t="s">
        <v>90</v>
      </c>
      <c r="D1403" s="60">
        <v>2022</v>
      </c>
      <c r="E1403" s="60"/>
      <c r="F1403" s="46" t="s">
        <v>226</v>
      </c>
      <c r="G1403" s="46" t="s">
        <v>159</v>
      </c>
      <c r="H1403" s="46" t="s">
        <v>592</v>
      </c>
      <c r="I1403" s="46" t="s">
        <v>169</v>
      </c>
      <c r="J1403" s="46" t="s">
        <v>244</v>
      </c>
      <c r="K1403" s="46" t="s">
        <v>68</v>
      </c>
      <c r="L1403" s="46"/>
      <c r="M1403" s="46"/>
      <c r="N1403" s="46"/>
      <c r="O1403" s="46"/>
      <c r="P1403" s="46"/>
      <c r="Q1403" s="46"/>
      <c r="R1403" s="46"/>
      <c r="S1403" s="46"/>
      <c r="T1403" s="46"/>
      <c r="U1403" s="46"/>
      <c r="V1403" s="46"/>
      <c r="W1403" s="46"/>
      <c r="X1403" s="46"/>
      <c r="Y1403" s="46"/>
      <c r="Z1403" s="46" t="s">
        <v>3825</v>
      </c>
      <c r="AA1403" s="61">
        <f>IF(OR(G1403="ALK",G1403="PEM",G1403="SOEC",G1403="Other Electrolysis"),
AB1403*VLOOKUP(G1403,ElectrolysisConvF,3,FALSE),
"")</f>
        <v>0.90041557641988601</v>
      </c>
      <c r="AB1403" s="62">
        <f>AC1403/(0.089*24*365/10^6)</f>
        <v>200.09235031553024</v>
      </c>
      <c r="AC1403" s="62">
        <v>0.156</v>
      </c>
      <c r="AD1403" s="62"/>
      <c r="AE1403" s="62">
        <f t="shared" si="154"/>
        <v>200.09235031553024</v>
      </c>
      <c r="AF1403" s="64" t="s">
        <v>3826</v>
      </c>
      <c r="AG1403" s="49">
        <v>0.3</v>
      </c>
    </row>
    <row r="1404" spans="1:33" customFormat="1" ht="35.1" customHeight="1" x14ac:dyDescent="0.3">
      <c r="A1404" s="46">
        <v>1936</v>
      </c>
      <c r="B1404" s="46" t="s">
        <v>3827</v>
      </c>
      <c r="C1404" s="46" t="s">
        <v>39</v>
      </c>
      <c r="D1404" s="60">
        <v>2022</v>
      </c>
      <c r="E1404" s="60"/>
      <c r="F1404" s="46" t="s">
        <v>226</v>
      </c>
      <c r="G1404" s="46" t="s">
        <v>159</v>
      </c>
      <c r="H1404" s="46" t="s">
        <v>592</v>
      </c>
      <c r="I1404" s="46" t="s">
        <v>169</v>
      </c>
      <c r="J1404" s="46" t="s">
        <v>244</v>
      </c>
      <c r="K1404" s="46" t="s">
        <v>68</v>
      </c>
      <c r="L1404" s="46"/>
      <c r="M1404" s="46"/>
      <c r="N1404" s="46"/>
      <c r="O1404" s="46"/>
      <c r="P1404" s="46"/>
      <c r="Q1404" s="46"/>
      <c r="R1404" s="46">
        <v>1</v>
      </c>
      <c r="S1404" s="46"/>
      <c r="T1404" s="46"/>
      <c r="U1404" s="46"/>
      <c r="V1404" s="46"/>
      <c r="W1404" s="46"/>
      <c r="X1404" s="46"/>
      <c r="Y1404" s="46"/>
      <c r="Z1404" s="46" t="s">
        <v>3828</v>
      </c>
      <c r="AA1404" s="61">
        <v>0.34799999999999998</v>
      </c>
      <c r="AB1404" s="62">
        <f>IF(OR(G1404="ALK",G1404="PEM",G1404="SOEC",G1404="Other Electrolysis"),
AA1404/VLOOKUP(G1404,ElectrolysisConvF,3,FALSE),
AC1404*10^6/(H2dens*HoursInYear))</f>
        <v>77.333333333333329</v>
      </c>
      <c r="AC1404" s="63">
        <f>AB1404*H2dens*HoursInYear/10^6</f>
        <v>6.0292159999999997E-2</v>
      </c>
      <c r="AD1404" s="62"/>
      <c r="AE1404" s="62">
        <f t="shared" si="154"/>
        <v>77.333333333333329</v>
      </c>
      <c r="AF1404" s="64" t="s">
        <v>3829</v>
      </c>
      <c r="AG1404" s="49">
        <v>0.3</v>
      </c>
    </row>
    <row r="1405" spans="1:33" customFormat="1" ht="35.1" customHeight="1" x14ac:dyDescent="0.3">
      <c r="A1405" s="46">
        <v>1937</v>
      </c>
      <c r="B1405" s="46" t="s">
        <v>3830</v>
      </c>
      <c r="C1405" s="46" t="s">
        <v>121</v>
      </c>
      <c r="D1405" s="60">
        <v>2022</v>
      </c>
      <c r="E1405" s="60"/>
      <c r="F1405" s="46" t="s">
        <v>226</v>
      </c>
      <c r="G1405" s="46" t="s">
        <v>159</v>
      </c>
      <c r="H1405" s="46" t="s">
        <v>592</v>
      </c>
      <c r="I1405" s="46" t="s">
        <v>169</v>
      </c>
      <c r="J1405" s="46" t="s">
        <v>69</v>
      </c>
      <c r="K1405" s="46" t="s">
        <v>68</v>
      </c>
      <c r="L1405" s="46"/>
      <c r="M1405" s="46"/>
      <c r="N1405" s="46"/>
      <c r="O1405" s="46"/>
      <c r="P1405" s="46"/>
      <c r="Q1405" s="46">
        <v>1</v>
      </c>
      <c r="R1405" s="46"/>
      <c r="S1405" s="46"/>
      <c r="T1405" s="46"/>
      <c r="U1405" s="46"/>
      <c r="V1405" s="46"/>
      <c r="W1405" s="46"/>
      <c r="X1405" s="46"/>
      <c r="Y1405" s="46"/>
      <c r="Z1405" s="46" t="s">
        <v>3831</v>
      </c>
      <c r="AA1405" s="61">
        <f>IF(OR(G1405="ALK",G1405="PEM",G1405="SOEC",G1405="Other Electrolysis"),
AB1405*VLOOKUP(G1405,ElectrolysisConvF,3,FALSE),
"")</f>
        <v>8.4269662921348295E-3</v>
      </c>
      <c r="AB1405" s="62">
        <f>AC1405/(0.089*24*365/10^6)</f>
        <v>1.8726591760299622</v>
      </c>
      <c r="AC1405" s="73">
        <f>4/1000*0.365</f>
        <v>1.4599999999999999E-3</v>
      </c>
      <c r="AD1405" s="62"/>
      <c r="AE1405" s="62">
        <f t="shared" si="154"/>
        <v>1.8726591760299622</v>
      </c>
      <c r="AF1405" s="64" t="s">
        <v>3832</v>
      </c>
      <c r="AG1405" s="49">
        <v>0.5</v>
      </c>
    </row>
    <row r="1406" spans="1:33" customFormat="1" ht="35.1" customHeight="1" x14ac:dyDescent="0.3">
      <c r="A1406" s="46">
        <v>1938</v>
      </c>
      <c r="B1406" s="46" t="s">
        <v>3833</v>
      </c>
      <c r="C1406" s="46" t="s">
        <v>34</v>
      </c>
      <c r="D1406" s="60">
        <v>2024</v>
      </c>
      <c r="E1406" s="60"/>
      <c r="F1406" s="46" t="s">
        <v>675</v>
      </c>
      <c r="G1406" s="46" t="s">
        <v>3</v>
      </c>
      <c r="H1406" s="46"/>
      <c r="I1406" s="46" t="s">
        <v>169</v>
      </c>
      <c r="J1406" s="46" t="s">
        <v>69</v>
      </c>
      <c r="K1406" s="46" t="s">
        <v>68</v>
      </c>
      <c r="L1406" s="46"/>
      <c r="M1406" s="46"/>
      <c r="N1406" s="46"/>
      <c r="O1406" s="46"/>
      <c r="P1406" s="46"/>
      <c r="Q1406" s="46">
        <v>1</v>
      </c>
      <c r="R1406" s="46"/>
      <c r="S1406" s="46"/>
      <c r="T1406" s="46"/>
      <c r="U1406" s="46"/>
      <c r="V1406" s="46"/>
      <c r="W1406" s="46"/>
      <c r="X1406" s="46"/>
      <c r="Y1406" s="46"/>
      <c r="Z1406" s="46" t="s">
        <v>676</v>
      </c>
      <c r="AA1406" s="61">
        <f>2.5-0.75</f>
        <v>1.75</v>
      </c>
      <c r="AB1406" s="62">
        <f>IF(OR(G1406="ALK",G1406="PEM",G1406="SOEC",G1406="Other Electrolysis"),
AA1406/VLOOKUP(G1406,ElectrolysisConvF,3,FALSE),
AC1406*10^6/(H2dens*HoursInYear))</f>
        <v>380.43478260869568</v>
      </c>
      <c r="AC1406" s="63">
        <f>AB1406*H2dens*HoursInYear/10^6</f>
        <v>0.29660217391304344</v>
      </c>
      <c r="AD1406" s="62"/>
      <c r="AE1406" s="62">
        <f>AB1406</f>
        <v>380.43478260869568</v>
      </c>
      <c r="AF1406" s="64" t="s">
        <v>3834</v>
      </c>
      <c r="AG1406" s="49">
        <v>0.5</v>
      </c>
    </row>
    <row r="1407" spans="1:33" customFormat="1" ht="35.1" customHeight="1" x14ac:dyDescent="0.3">
      <c r="A1407" s="46">
        <v>1939</v>
      </c>
      <c r="B1407" s="46" t="s">
        <v>3835</v>
      </c>
      <c r="C1407" s="46" t="s">
        <v>34</v>
      </c>
      <c r="D1407" s="60">
        <v>2024</v>
      </c>
      <c r="E1407" s="60"/>
      <c r="F1407" s="46" t="s">
        <v>675</v>
      </c>
      <c r="G1407" s="46" t="s">
        <v>159</v>
      </c>
      <c r="H1407" s="46" t="s">
        <v>592</v>
      </c>
      <c r="I1407" s="46" t="s">
        <v>169</v>
      </c>
      <c r="J1407" s="46" t="s">
        <v>69</v>
      </c>
      <c r="K1407" s="46" t="s">
        <v>68</v>
      </c>
      <c r="L1407" s="46"/>
      <c r="M1407" s="46"/>
      <c r="N1407" s="46"/>
      <c r="O1407" s="46"/>
      <c r="P1407" s="46"/>
      <c r="Q1407" s="46"/>
      <c r="R1407" s="46"/>
      <c r="S1407" s="46"/>
      <c r="T1407" s="46"/>
      <c r="U1407" s="46"/>
      <c r="V1407" s="46"/>
      <c r="W1407" s="46"/>
      <c r="X1407" s="46"/>
      <c r="Y1407" s="46"/>
      <c r="Z1407" s="46" t="s">
        <v>3836</v>
      </c>
      <c r="AA1407" s="61">
        <v>5</v>
      </c>
      <c r="AB1407" s="62">
        <f>IF(OR(G1407="ALK",G1407="PEM",G1407="SOEC",G1407="Other Electrolysis"),
AA1407/VLOOKUP(G1407,ElectrolysisConvF,3,FALSE),
AC1407*10^6/(H2dens*HoursInYear))</f>
        <v>1111.1111111111111</v>
      </c>
      <c r="AC1407" s="63">
        <f>AB1407*H2dens*HoursInYear/10^6</f>
        <v>0.86626666666666663</v>
      </c>
      <c r="AD1407" s="62"/>
      <c r="AE1407" s="62">
        <f t="shared" ref="AE1407:AE1412" si="159">IF(AND(G1407&lt;&gt;"NG w CCUS",G1407&lt;&gt;"Oil w CCUS",G1407&lt;&gt;"Coal w CCUS"),AB1407,AD1407*10^3/(HoursInYear*IF(G1407="NG w CCUS",0.9105,1.9075)))</f>
        <v>1111.1111111111111</v>
      </c>
      <c r="AF1407" s="64" t="s">
        <v>3834</v>
      </c>
      <c r="AG1407" s="49">
        <v>0.5</v>
      </c>
    </row>
    <row r="1408" spans="1:33" customFormat="1" ht="35.1" customHeight="1" x14ac:dyDescent="0.3">
      <c r="A1408" s="46">
        <v>1940</v>
      </c>
      <c r="B1408" s="46" t="s">
        <v>3837</v>
      </c>
      <c r="C1408" s="46" t="s">
        <v>41</v>
      </c>
      <c r="D1408" s="60">
        <v>2024</v>
      </c>
      <c r="E1408" s="60"/>
      <c r="F1408" s="46" t="s">
        <v>675</v>
      </c>
      <c r="G1408" s="46" t="s">
        <v>3</v>
      </c>
      <c r="H1408" s="46"/>
      <c r="I1408" s="46" t="s">
        <v>157</v>
      </c>
      <c r="J1408" s="46" t="s">
        <v>69</v>
      </c>
      <c r="K1408" s="46" t="s">
        <v>68</v>
      </c>
      <c r="L1408" s="46"/>
      <c r="M1408" s="46"/>
      <c r="N1408" s="46"/>
      <c r="O1408" s="46"/>
      <c r="P1408" s="46">
        <v>1</v>
      </c>
      <c r="Q1408" s="46"/>
      <c r="R1408" s="46"/>
      <c r="S1408" s="46"/>
      <c r="T1408" s="46"/>
      <c r="U1408" s="46"/>
      <c r="V1408" s="46"/>
      <c r="W1408" s="46"/>
      <c r="X1408" s="46"/>
      <c r="Y1408" s="46"/>
      <c r="Z1408" s="46" t="s">
        <v>3838</v>
      </c>
      <c r="AA1408" s="61">
        <f>IF(OR(G1408="ALK",G1408="PEM",G1408="SOEC",G1408="Other Electrolysis"),
AB1408*VLOOKUP(G1408,ElectrolysisConvF,3,FALSE),
"")</f>
        <v>22.54</v>
      </c>
      <c r="AB1408" s="62">
        <f>7000-AB1262</f>
        <v>4900</v>
      </c>
      <c r="AC1408" s="63">
        <f>AB1408*H2dens*HoursInYear/10^6</f>
        <v>3.8202359999999995</v>
      </c>
      <c r="AD1408" s="62"/>
      <c r="AE1408" s="62">
        <f t="shared" si="159"/>
        <v>4900</v>
      </c>
      <c r="AF1408" s="64" t="s">
        <v>3518</v>
      </c>
      <c r="AG1408" s="49">
        <v>0.56999999999999995</v>
      </c>
    </row>
    <row r="1409" spans="1:33" customFormat="1" ht="35.1" customHeight="1" x14ac:dyDescent="0.3">
      <c r="A1409" s="46">
        <v>1942</v>
      </c>
      <c r="B1409" s="46" t="s">
        <v>3839</v>
      </c>
      <c r="C1409" s="46" t="s">
        <v>40</v>
      </c>
      <c r="D1409" s="60">
        <v>2023</v>
      </c>
      <c r="E1409" s="60"/>
      <c r="F1409" s="46" t="s">
        <v>285</v>
      </c>
      <c r="G1409" s="46" t="s">
        <v>163</v>
      </c>
      <c r="H1409" s="46" t="s">
        <v>3840</v>
      </c>
      <c r="I1409" s="46"/>
      <c r="J1409" s="46"/>
      <c r="K1409" s="46" t="s">
        <v>68</v>
      </c>
      <c r="L1409" s="46"/>
      <c r="M1409" s="46"/>
      <c r="N1409" s="46"/>
      <c r="O1409" s="46"/>
      <c r="P1409" s="46"/>
      <c r="Q1409" s="46">
        <v>1</v>
      </c>
      <c r="R1409" s="46"/>
      <c r="S1409" s="46"/>
      <c r="T1409" s="46"/>
      <c r="U1409" s="46"/>
      <c r="V1409" s="46"/>
      <c r="W1409" s="46"/>
      <c r="X1409" s="46"/>
      <c r="Y1409" s="46"/>
      <c r="Z1409" s="46" t="s">
        <v>3841</v>
      </c>
      <c r="AA1409" s="61" t="str">
        <f>IF(OR(G1409="ALK",G1409="PEM",G1409="SOEC",G1409="Other Electrolysis"),
AB1409*VLOOKUP(G1409,ElectrolysisConvF,3,FALSE),
"")</f>
        <v/>
      </c>
      <c r="AB1409" s="62">
        <f>AC1409/(0.089*24*365/10^6)</f>
        <v>105.33707865168539</v>
      </c>
      <c r="AC1409" s="62">
        <f>225*365/1000000</f>
        <v>8.2125000000000004E-2</v>
      </c>
      <c r="AD1409" s="62"/>
      <c r="AE1409" s="62">
        <f t="shared" si="159"/>
        <v>105.33707865168539</v>
      </c>
      <c r="AF1409" s="64" t="s">
        <v>3842</v>
      </c>
      <c r="AG1409" s="49">
        <v>0.9</v>
      </c>
    </row>
    <row r="1410" spans="1:33" customFormat="1" ht="35.1" customHeight="1" x14ac:dyDescent="0.3">
      <c r="A1410" s="46">
        <v>1943</v>
      </c>
      <c r="B1410" s="46" t="s">
        <v>3843</v>
      </c>
      <c r="C1410" s="46" t="s">
        <v>321</v>
      </c>
      <c r="D1410" s="60">
        <v>2024</v>
      </c>
      <c r="E1410" s="60"/>
      <c r="F1410" s="46" t="s">
        <v>675</v>
      </c>
      <c r="G1410" s="46" t="s">
        <v>1</v>
      </c>
      <c r="H1410" s="46"/>
      <c r="I1410" s="46" t="s">
        <v>169</v>
      </c>
      <c r="J1410" s="46" t="s">
        <v>244</v>
      </c>
      <c r="K1410" s="46" t="s">
        <v>68</v>
      </c>
      <c r="L1410" s="46"/>
      <c r="M1410" s="46"/>
      <c r="N1410" s="46"/>
      <c r="O1410" s="46"/>
      <c r="P1410" s="46">
        <v>1</v>
      </c>
      <c r="Q1410" s="46">
        <v>1</v>
      </c>
      <c r="R1410" s="46"/>
      <c r="S1410" s="46"/>
      <c r="T1410" s="46"/>
      <c r="U1410" s="46"/>
      <c r="V1410" s="46"/>
      <c r="W1410" s="46"/>
      <c r="X1410" s="46"/>
      <c r="Y1410" s="46"/>
      <c r="Z1410" s="46" t="s">
        <v>1327</v>
      </c>
      <c r="AA1410" s="61">
        <v>1</v>
      </c>
      <c r="AB1410" s="62">
        <f>IF(OR(G1410="ALK",G1410="PEM",G1410="SOEC",G1410="Other Electrolysis"),
AA1410/VLOOKUP(G1410,ElectrolysisConvF,3,FALSE),
AC1410*10^6/(H2dens*HoursInYear))</f>
        <v>192.30769230769232</v>
      </c>
      <c r="AC1410" s="63">
        <f>AB1410*H2dens*HoursInYear/10^6</f>
        <v>0.14993076923076926</v>
      </c>
      <c r="AD1410" s="62"/>
      <c r="AE1410" s="62">
        <f t="shared" si="159"/>
        <v>192.30769230769232</v>
      </c>
      <c r="AF1410" s="64" t="s">
        <v>3844</v>
      </c>
      <c r="AG1410" s="49">
        <v>0.3</v>
      </c>
    </row>
    <row r="1411" spans="1:33" customFormat="1" ht="35.1" customHeight="1" x14ac:dyDescent="0.3">
      <c r="A1411" s="46">
        <v>1944</v>
      </c>
      <c r="B1411" s="46" t="s">
        <v>3845</v>
      </c>
      <c r="C1411" s="46" t="s">
        <v>321</v>
      </c>
      <c r="D1411" s="60"/>
      <c r="E1411" s="60"/>
      <c r="F1411" s="46" t="s">
        <v>591</v>
      </c>
      <c r="G1411" s="46" t="s">
        <v>159</v>
      </c>
      <c r="H1411" s="46" t="s">
        <v>592</v>
      </c>
      <c r="I1411" s="46" t="s">
        <v>169</v>
      </c>
      <c r="J1411" s="46" t="s">
        <v>244</v>
      </c>
      <c r="K1411" s="46" t="s">
        <v>68</v>
      </c>
      <c r="L1411" s="46"/>
      <c r="M1411" s="46"/>
      <c r="N1411" s="46"/>
      <c r="O1411" s="46"/>
      <c r="P1411" s="46">
        <v>1</v>
      </c>
      <c r="Q1411" s="46">
        <v>1</v>
      </c>
      <c r="R1411" s="46"/>
      <c r="S1411" s="46">
        <v>1</v>
      </c>
      <c r="T1411" s="46"/>
      <c r="U1411" s="46">
        <v>1</v>
      </c>
      <c r="V1411" s="46"/>
      <c r="W1411" s="46"/>
      <c r="X1411" s="46"/>
      <c r="Y1411" s="46"/>
      <c r="Z1411" s="46" t="s">
        <v>1274</v>
      </c>
      <c r="AA1411" s="61">
        <v>49</v>
      </c>
      <c r="AB1411" s="62">
        <f>IF(OR(G1411="ALK",G1411="PEM",G1411="SOEC",G1411="Other Electrolysis"),
AA1411/VLOOKUP(G1411,ElectrolysisConvF,3,FALSE),
AC1411*10^6/(H2dens*HoursInYear))</f>
        <v>10888.888888888891</v>
      </c>
      <c r="AC1411" s="63">
        <f>AB1411*H2dens*HoursInYear/10^6</f>
        <v>8.4894133333333333</v>
      </c>
      <c r="AD1411" s="62"/>
      <c r="AE1411" s="62">
        <f t="shared" si="159"/>
        <v>10888.888888888891</v>
      </c>
      <c r="AF1411" s="64" t="s">
        <v>3844</v>
      </c>
      <c r="AG1411" s="49">
        <v>0.3</v>
      </c>
    </row>
    <row r="1412" spans="1:33" customFormat="1" ht="35.1" customHeight="1" x14ac:dyDescent="0.3">
      <c r="A1412" s="46">
        <v>1945</v>
      </c>
      <c r="B1412" s="46" t="s">
        <v>3846</v>
      </c>
      <c r="C1412" s="46" t="s">
        <v>78</v>
      </c>
      <c r="D1412" s="60"/>
      <c r="E1412" s="60"/>
      <c r="F1412" s="46" t="s">
        <v>285</v>
      </c>
      <c r="G1412" s="46" t="s">
        <v>159</v>
      </c>
      <c r="H1412" s="46" t="s">
        <v>2855</v>
      </c>
      <c r="I1412" s="46" t="s">
        <v>157</v>
      </c>
      <c r="J1412" s="46" t="s">
        <v>69</v>
      </c>
      <c r="K1412" s="46" t="s">
        <v>68</v>
      </c>
      <c r="L1412" s="46"/>
      <c r="M1412" s="46"/>
      <c r="N1412" s="46"/>
      <c r="O1412" s="46"/>
      <c r="P1412" s="46"/>
      <c r="Q1412" s="46"/>
      <c r="R1412" s="46"/>
      <c r="S1412" s="46"/>
      <c r="T1412" s="46"/>
      <c r="U1412" s="46"/>
      <c r="V1412" s="46"/>
      <c r="W1412" s="46"/>
      <c r="X1412" s="46"/>
      <c r="Y1412" s="46"/>
      <c r="Z1412" s="46" t="s">
        <v>3847</v>
      </c>
      <c r="AA1412" s="61">
        <v>4</v>
      </c>
      <c r="AB1412" s="62">
        <f>IF(OR(G1412="ALK",G1412="PEM",G1412="SOEC",G1412="Other Electrolysis"),
AA1412/VLOOKUP(G1412,ElectrolysisConvF,3,FALSE),
AC1412*10^6/(H2dens*HoursInYear))</f>
        <v>888.88888888888891</v>
      </c>
      <c r="AC1412" s="63">
        <f>AB1412*H2dens*HoursInYear/10^6</f>
        <v>0.69301333333333337</v>
      </c>
      <c r="AD1412" s="62"/>
      <c r="AE1412" s="62">
        <f t="shared" si="159"/>
        <v>888.88888888888891</v>
      </c>
      <c r="AF1412" s="64" t="s">
        <v>3848</v>
      </c>
      <c r="AG1412" s="49">
        <v>0.56999999999999995</v>
      </c>
    </row>
    <row r="1413" spans="1:33" customFormat="1" ht="35.1" customHeight="1" x14ac:dyDescent="0.3">
      <c r="A1413" s="46">
        <v>1946</v>
      </c>
      <c r="B1413" s="46" t="s">
        <v>1722</v>
      </c>
      <c r="C1413" s="46" t="s">
        <v>40</v>
      </c>
      <c r="D1413" s="60">
        <v>2025</v>
      </c>
      <c r="E1413" s="60"/>
      <c r="F1413" s="46" t="s">
        <v>675</v>
      </c>
      <c r="G1413" s="46" t="s">
        <v>159</v>
      </c>
      <c r="H1413" s="46" t="s">
        <v>592</v>
      </c>
      <c r="I1413" s="46" t="s">
        <v>166</v>
      </c>
      <c r="J1413" s="46"/>
      <c r="K1413" s="46" t="s">
        <v>68</v>
      </c>
      <c r="L1413" s="46"/>
      <c r="M1413" s="46"/>
      <c r="N1413" s="46"/>
      <c r="O1413" s="46"/>
      <c r="P1413" s="46"/>
      <c r="Q1413" s="46"/>
      <c r="R1413" s="46">
        <v>1</v>
      </c>
      <c r="S1413" s="46"/>
      <c r="T1413" s="46"/>
      <c r="U1413" s="46"/>
      <c r="V1413" s="46"/>
      <c r="W1413" s="46"/>
      <c r="X1413" s="46"/>
      <c r="Y1413" s="46"/>
      <c r="Z1413" s="46" t="s">
        <v>1396</v>
      </c>
      <c r="AA1413" s="61">
        <v>5</v>
      </c>
      <c r="AB1413" s="62">
        <f>AA1413/0.0045</f>
        <v>1111.1111111111111</v>
      </c>
      <c r="AC1413" s="63">
        <f>AB1413*H2dens*HoursInYear/10^6</f>
        <v>0.86626666666666663</v>
      </c>
      <c r="AD1413" s="62"/>
      <c r="AE1413" s="62">
        <f>AB1413</f>
        <v>1111.1111111111111</v>
      </c>
      <c r="AF1413" s="64" t="s">
        <v>3849</v>
      </c>
      <c r="AG1413" s="49">
        <v>0.56999999999999995</v>
      </c>
    </row>
    <row r="1414" spans="1:33" customFormat="1" ht="35.1" customHeight="1" x14ac:dyDescent="0.3">
      <c r="A1414" s="46">
        <v>1947</v>
      </c>
      <c r="B1414" s="46" t="s">
        <v>3850</v>
      </c>
      <c r="C1414" s="46" t="s">
        <v>42</v>
      </c>
      <c r="D1414" s="60">
        <v>2025</v>
      </c>
      <c r="E1414" s="60"/>
      <c r="F1414" s="46" t="s">
        <v>675</v>
      </c>
      <c r="G1414" s="46" t="s">
        <v>161</v>
      </c>
      <c r="H1414" s="46" t="s">
        <v>3851</v>
      </c>
      <c r="I1414" s="46"/>
      <c r="J1414" s="46"/>
      <c r="K1414" s="46" t="s">
        <v>141</v>
      </c>
      <c r="L1414" s="46"/>
      <c r="M1414" s="46">
        <v>1</v>
      </c>
      <c r="N1414" s="46"/>
      <c r="O1414" s="46"/>
      <c r="P1414" s="46"/>
      <c r="Q1414" s="46"/>
      <c r="R1414" s="46"/>
      <c r="S1414" s="46"/>
      <c r="T1414" s="46"/>
      <c r="U1414" s="46"/>
      <c r="V1414" s="46"/>
      <c r="W1414" s="46"/>
      <c r="X1414" s="46"/>
      <c r="Y1414" s="46"/>
      <c r="Z1414" s="46" t="s">
        <v>3852</v>
      </c>
      <c r="AA1414" s="61" t="str">
        <f>IF(OR(G1414="ALK",G1414="PEM",G1414="SOEC",G1414="Other Electrolysis"),
AB1414*VLOOKUP(G1414,ElectrolysisConvF,3,FALSE),
"")</f>
        <v/>
      </c>
      <c r="AB1414" s="62"/>
      <c r="AC1414" s="62">
        <v>0.7</v>
      </c>
      <c r="AD1414" s="62"/>
      <c r="AE1414" s="62">
        <f>IF(AND(G1414&lt;&gt;"NG w CCUS",G1414&lt;&gt;"Oil w CCUS",G1414&lt;&gt;"Coal w CCUS"),AB1414,AD1414*10^3/(HoursInYear*IF(G1414="NG w CCUS",0.9105,1.9075)))</f>
        <v>0</v>
      </c>
      <c r="AF1414" s="64" t="s">
        <v>3853</v>
      </c>
      <c r="AG1414" s="49">
        <v>0.9</v>
      </c>
    </row>
    <row r="1415" spans="1:33" customFormat="1" ht="35.1" customHeight="1" x14ac:dyDescent="0.3">
      <c r="A1415" s="46">
        <v>1948</v>
      </c>
      <c r="B1415" s="46" t="s">
        <v>3854</v>
      </c>
      <c r="C1415" s="46" t="s">
        <v>42</v>
      </c>
      <c r="D1415" s="60">
        <v>2030</v>
      </c>
      <c r="E1415" s="60"/>
      <c r="F1415" s="46" t="s">
        <v>591</v>
      </c>
      <c r="G1415" s="46" t="s">
        <v>161</v>
      </c>
      <c r="H1415" s="46" t="s">
        <v>3851</v>
      </c>
      <c r="I1415" s="46"/>
      <c r="J1415" s="46"/>
      <c r="K1415" s="46" t="s">
        <v>141</v>
      </c>
      <c r="L1415" s="46"/>
      <c r="M1415" s="46">
        <v>1</v>
      </c>
      <c r="N1415" s="46"/>
      <c r="O1415" s="46"/>
      <c r="P1415" s="46"/>
      <c r="Q1415" s="46"/>
      <c r="R1415" s="46"/>
      <c r="S1415" s="46"/>
      <c r="T1415" s="46"/>
      <c r="U1415" s="46"/>
      <c r="V1415" s="46"/>
      <c r="W1415" s="46"/>
      <c r="X1415" s="46"/>
      <c r="Y1415" s="46"/>
      <c r="Z1415" s="46"/>
      <c r="AA1415" s="61" t="str">
        <f>IF(OR(G1415="ALK",G1415="PEM",G1415="SOEC",G1415="Other Electrolysis"),
AB1415*VLOOKUP(G1415,ElectrolysisConvF,3,FALSE),
"")</f>
        <v/>
      </c>
      <c r="AB1415" s="62"/>
      <c r="AC1415" s="62"/>
      <c r="AD1415" s="62"/>
      <c r="AE1415" s="62">
        <f>IF(AND(G1415&lt;&gt;"NG w CCUS",G1415&lt;&gt;"Oil w CCUS",G1415&lt;&gt;"Coal w CCUS"),AB1415,AD1415*10^3/(HoursInYear*IF(G1415="NG w CCUS",0.9105,1.9075)))</f>
        <v>0</v>
      </c>
      <c r="AF1415" s="64" t="s">
        <v>3853</v>
      </c>
      <c r="AG1415" s="49">
        <v>0.9</v>
      </c>
    </row>
    <row r="1416" spans="1:33" customFormat="1" ht="35.1" customHeight="1" x14ac:dyDescent="0.3">
      <c r="A1416" s="46">
        <v>1949</v>
      </c>
      <c r="B1416" s="46" t="s">
        <v>3855</v>
      </c>
      <c r="C1416" s="46" t="s">
        <v>34</v>
      </c>
      <c r="D1416" s="60">
        <v>2025</v>
      </c>
      <c r="E1416" s="60"/>
      <c r="F1416" s="46" t="s">
        <v>675</v>
      </c>
      <c r="G1416" s="46" t="s">
        <v>161</v>
      </c>
      <c r="H1416" s="46" t="s">
        <v>3856</v>
      </c>
      <c r="I1416" s="46"/>
      <c r="J1416" s="46"/>
      <c r="K1416" s="46" t="s">
        <v>68</v>
      </c>
      <c r="L1416" s="46"/>
      <c r="M1416" s="46"/>
      <c r="N1416" s="46"/>
      <c r="O1416" s="46"/>
      <c r="P1416" s="46"/>
      <c r="Q1416" s="46"/>
      <c r="R1416" s="46"/>
      <c r="S1416" s="46"/>
      <c r="T1416" s="46"/>
      <c r="U1416" s="46"/>
      <c r="V1416" s="46">
        <v>1</v>
      </c>
      <c r="W1416" s="46"/>
      <c r="X1416" s="46"/>
      <c r="Y1416" s="46"/>
      <c r="Z1416" s="46" t="s">
        <v>3857</v>
      </c>
      <c r="AA1416" s="61" t="str">
        <f>IF(OR(G1416="ALK",G1416="PEM",G1416="SOEC",G1416="Other Electrolysis"),
AB1416*VLOOKUP(G1416,ElectrolysisConvF,3,FALSE),
"")</f>
        <v/>
      </c>
      <c r="AB1416" s="62"/>
      <c r="AC1416" s="62">
        <v>20</v>
      </c>
      <c r="AD1416" s="62">
        <v>110000</v>
      </c>
      <c r="AE1416" s="62">
        <f>IF(AND(G1416&lt;&gt;"NG w CCUS",G1416&lt;&gt;"Oil w CCUS",G1416&lt;&gt;"Coal w CCUS"),AB1416,AD1416*10^3/(HoursInYear*IF(G1416="NG w CCUS",0.9105,1.9075)))</f>
        <v>13791.408704635669</v>
      </c>
      <c r="AF1416" s="64" t="s">
        <v>3858</v>
      </c>
      <c r="AG1416" s="49">
        <v>0.9</v>
      </c>
    </row>
    <row r="1417" spans="1:33" customFormat="1" ht="35.1" customHeight="1" x14ac:dyDescent="0.3">
      <c r="A1417" s="46">
        <v>1950</v>
      </c>
      <c r="B1417" s="46" t="s">
        <v>3859</v>
      </c>
      <c r="C1417" s="46" t="s">
        <v>74</v>
      </c>
      <c r="D1417" s="60">
        <v>2030</v>
      </c>
      <c r="E1417" s="60"/>
      <c r="F1417" s="46" t="s">
        <v>225</v>
      </c>
      <c r="G1417" s="46" t="s">
        <v>159</v>
      </c>
      <c r="H1417" s="46" t="s">
        <v>592</v>
      </c>
      <c r="I1417" s="46" t="s">
        <v>169</v>
      </c>
      <c r="J1417" s="46" t="s">
        <v>248</v>
      </c>
      <c r="K1417" s="46" t="s">
        <v>68</v>
      </c>
      <c r="L1417" s="46"/>
      <c r="M1417" s="46">
        <v>1</v>
      </c>
      <c r="N1417" s="46">
        <v>1</v>
      </c>
      <c r="O1417" s="46"/>
      <c r="P1417" s="46"/>
      <c r="Q1417" s="46"/>
      <c r="R1417" s="46"/>
      <c r="S1417" s="46"/>
      <c r="T1417" s="46"/>
      <c r="U1417" s="46"/>
      <c r="V1417" s="46"/>
      <c r="W1417" s="46">
        <v>1</v>
      </c>
      <c r="X1417" s="46">
        <v>1</v>
      </c>
      <c r="Y1417" s="46"/>
      <c r="Z1417" s="46" t="s">
        <v>3642</v>
      </c>
      <c r="AA1417" s="61">
        <v>1300</v>
      </c>
      <c r="AB1417" s="62">
        <f>IF(OR(G1417="ALK",G1417="PEM",G1417="SOEC",G1417="Other Electrolysis"),
AA1417/VLOOKUP(G1417,ElectrolysisConvF,3,FALSE),
AC1417*10^6/(H2dens*HoursInYear))</f>
        <v>288888.88888888893</v>
      </c>
      <c r="AC1417" s="63">
        <f>AB1417*H2dens*HoursInYear/10^6</f>
        <v>225.22933333333333</v>
      </c>
      <c r="AD1417" s="62"/>
      <c r="AE1417" s="62">
        <f>IF(AND(G1417&lt;&gt;"NG w CCUS",G1417&lt;&gt;"Oil w CCUS",G1417&lt;&gt;"Coal w CCUS"),AB1417,AD1417*10^3/(HoursInYear*IF(G1417="NG w CCUS",0.9105,1.9075)))</f>
        <v>288888.88888888893</v>
      </c>
      <c r="AF1417" s="64" t="s">
        <v>3860</v>
      </c>
      <c r="AG1417" s="49">
        <v>0.5</v>
      </c>
    </row>
    <row r="1418" spans="1:33" customFormat="1" ht="35.1" customHeight="1" x14ac:dyDescent="0.3">
      <c r="A1418" s="46">
        <v>1954</v>
      </c>
      <c r="B1418" s="46" t="s">
        <v>3861</v>
      </c>
      <c r="C1418" s="46" t="s">
        <v>74</v>
      </c>
      <c r="D1418" s="60"/>
      <c r="E1418" s="60"/>
      <c r="F1418" s="46" t="s">
        <v>225</v>
      </c>
      <c r="G1418" s="46" t="s">
        <v>159</v>
      </c>
      <c r="H1418" s="46" t="s">
        <v>592</v>
      </c>
      <c r="I1418" s="46" t="s">
        <v>169</v>
      </c>
      <c r="J1418" s="46" t="s">
        <v>69</v>
      </c>
      <c r="K1418" s="46" t="s">
        <v>68</v>
      </c>
      <c r="L1418" s="46"/>
      <c r="M1418" s="46"/>
      <c r="N1418" s="46"/>
      <c r="O1418" s="46"/>
      <c r="P1418" s="46"/>
      <c r="Q1418" s="46"/>
      <c r="R1418" s="46"/>
      <c r="S1418" s="46"/>
      <c r="T1418" s="46"/>
      <c r="U1418" s="46"/>
      <c r="V1418" s="46"/>
      <c r="W1418" s="46"/>
      <c r="X1418" s="46"/>
      <c r="Y1418" s="46"/>
      <c r="Z1418" s="46" t="s">
        <v>2341</v>
      </c>
      <c r="AA1418" s="76">
        <f t="shared" ref="AA1418:AA1431" si="160">IF(OR(G1418="ALK",G1418="PEM",G1418="SOEC",G1418="Other Electrolysis"),
AB1418*VLOOKUP(G1418,ElectrolysisConvF,3,FALSE),
"")</f>
        <v>1731.5684161920883</v>
      </c>
      <c r="AB1418" s="62">
        <f>AC1418/(0.089*24*365/10^6)</f>
        <v>384792.98137601966</v>
      </c>
      <c r="AC1418" s="62">
        <f>150/H2ProjectDB4578610[[#This Row],[Column33]]</f>
        <v>300</v>
      </c>
      <c r="AD1418" s="62"/>
      <c r="AE1418" s="62">
        <f t="shared" ref="AE1418:AE1481" si="161">IF(AND(G1418&lt;&gt;"NG w CCUS",G1418&lt;&gt;"Oil w CCUS",G1418&lt;&gt;"Coal w CCUS"),AB1418,AD1418*10^3/(HoursInYear*IF(G1418="NG w CCUS",0.9105,1.9075)))</f>
        <v>384792.98137601966</v>
      </c>
      <c r="AF1418" s="64"/>
      <c r="AG1418" s="49">
        <v>0.5</v>
      </c>
    </row>
    <row r="1419" spans="1:33" customFormat="1" ht="35.1" customHeight="1" x14ac:dyDescent="0.3">
      <c r="A1419" s="46">
        <v>1955</v>
      </c>
      <c r="B1419" s="46" t="s">
        <v>3862</v>
      </c>
      <c r="C1419" s="46" t="s">
        <v>74</v>
      </c>
      <c r="D1419" s="60"/>
      <c r="E1419" s="60"/>
      <c r="F1419" s="46" t="s">
        <v>225</v>
      </c>
      <c r="G1419" s="46" t="s">
        <v>159</v>
      </c>
      <c r="H1419" s="46" t="s">
        <v>592</v>
      </c>
      <c r="I1419" s="46" t="s">
        <v>169</v>
      </c>
      <c r="J1419" s="46" t="s">
        <v>69</v>
      </c>
      <c r="K1419" s="46" t="s">
        <v>68</v>
      </c>
      <c r="L1419" s="46"/>
      <c r="M1419" s="46"/>
      <c r="N1419" s="46"/>
      <c r="O1419" s="46"/>
      <c r="P1419" s="46"/>
      <c r="Q1419" s="46"/>
      <c r="R1419" s="46"/>
      <c r="S1419" s="46"/>
      <c r="T1419" s="46"/>
      <c r="U1419" s="46"/>
      <c r="V1419" s="46"/>
      <c r="W1419" s="46"/>
      <c r="X1419" s="46"/>
      <c r="Y1419" s="46"/>
      <c r="Z1419" s="46" t="s">
        <v>2341</v>
      </c>
      <c r="AA1419" s="76">
        <f t="shared" si="160"/>
        <v>1731.5684161920883</v>
      </c>
      <c r="AB1419" s="62">
        <f>AC1419/(0.089*24*365/10^6)</f>
        <v>384792.98137601966</v>
      </c>
      <c r="AC1419" s="62">
        <f>150/H2ProjectDB4578610[[#This Row],[Column33]]</f>
        <v>300</v>
      </c>
      <c r="AD1419" s="62"/>
      <c r="AE1419" s="62">
        <f t="shared" si="161"/>
        <v>384792.98137601966</v>
      </c>
      <c r="AF1419" s="64"/>
      <c r="AG1419" s="49">
        <v>0.5</v>
      </c>
    </row>
    <row r="1420" spans="1:33" customFormat="1" ht="35.1" customHeight="1" x14ac:dyDescent="0.3">
      <c r="A1420" s="46">
        <v>1956</v>
      </c>
      <c r="B1420" s="46" t="s">
        <v>3863</v>
      </c>
      <c r="C1420" s="46" t="s">
        <v>40</v>
      </c>
      <c r="D1420" s="60">
        <v>2008</v>
      </c>
      <c r="E1420" s="60"/>
      <c r="F1420" s="46" t="s">
        <v>226</v>
      </c>
      <c r="G1420" s="46" t="s">
        <v>1</v>
      </c>
      <c r="H1420" s="46"/>
      <c r="I1420" s="46" t="s">
        <v>157</v>
      </c>
      <c r="J1420" s="46"/>
      <c r="K1420" s="46" t="s">
        <v>68</v>
      </c>
      <c r="L1420" s="46"/>
      <c r="M1420" s="46"/>
      <c r="N1420" s="46"/>
      <c r="O1420" s="46"/>
      <c r="P1420" s="46"/>
      <c r="Q1420" s="46"/>
      <c r="R1420" s="46"/>
      <c r="S1420" s="46"/>
      <c r="T1420" s="46"/>
      <c r="U1420" s="46"/>
      <c r="V1420" s="46"/>
      <c r="W1420" s="46"/>
      <c r="X1420" s="46"/>
      <c r="Y1420" s="46"/>
      <c r="Z1420" s="46" t="s">
        <v>3864</v>
      </c>
      <c r="AA1420" s="61">
        <f t="shared" si="160"/>
        <v>15.823970037453183</v>
      </c>
      <c r="AB1420" s="62">
        <f>AC1420/(H2dens*HoursInYear/10^6)</f>
        <v>3043.0711610486892</v>
      </c>
      <c r="AC1420" s="62">
        <f>6.5*365/1000</f>
        <v>2.3725000000000001</v>
      </c>
      <c r="AD1420" s="62"/>
      <c r="AE1420" s="62">
        <f t="shared" si="161"/>
        <v>3043.0711610486892</v>
      </c>
      <c r="AF1420" s="64" t="s">
        <v>3865</v>
      </c>
      <c r="AG1420" s="49">
        <v>0.56999999999999995</v>
      </c>
    </row>
    <row r="1421" spans="1:33" customFormat="1" ht="35.1" customHeight="1" x14ac:dyDescent="0.3">
      <c r="A1421" s="46">
        <v>1957</v>
      </c>
      <c r="B1421" s="46" t="s">
        <v>3866</v>
      </c>
      <c r="C1421" s="46" t="s">
        <v>40</v>
      </c>
      <c r="D1421" s="60">
        <v>2021</v>
      </c>
      <c r="E1421" s="60"/>
      <c r="F1421" s="46" t="s">
        <v>226</v>
      </c>
      <c r="G1421" s="46" t="s">
        <v>1</v>
      </c>
      <c r="H1421" s="46"/>
      <c r="I1421" s="46" t="s">
        <v>157</v>
      </c>
      <c r="J1421" s="46"/>
      <c r="K1421" s="46" t="s">
        <v>68</v>
      </c>
      <c r="L1421" s="46"/>
      <c r="M1421" s="46"/>
      <c r="N1421" s="46"/>
      <c r="O1421" s="46"/>
      <c r="P1421" s="46"/>
      <c r="Q1421" s="46"/>
      <c r="R1421" s="46"/>
      <c r="S1421" s="46"/>
      <c r="T1421" s="46"/>
      <c r="U1421" s="46"/>
      <c r="V1421" s="46"/>
      <c r="W1421" s="46"/>
      <c r="X1421" s="46"/>
      <c r="Y1421" s="46"/>
      <c r="Z1421" s="46" t="s">
        <v>3867</v>
      </c>
      <c r="AA1421" s="61">
        <f t="shared" si="160"/>
        <v>8.5205992509363302</v>
      </c>
      <c r="AB1421" s="62">
        <f>AC1421/(H2dens*HoursInYear/10^6)</f>
        <v>1638.5767790262175</v>
      </c>
      <c r="AC1421" s="62">
        <f>3.5*365/1000</f>
        <v>1.2775000000000001</v>
      </c>
      <c r="AD1421" s="62"/>
      <c r="AE1421" s="62">
        <f t="shared" si="161"/>
        <v>1638.5767790262175</v>
      </c>
      <c r="AF1421" s="64" t="s">
        <v>3868</v>
      </c>
      <c r="AG1421" s="49">
        <v>0.56999999999999995</v>
      </c>
    </row>
    <row r="1422" spans="1:33" customFormat="1" ht="35.1" customHeight="1" x14ac:dyDescent="0.3">
      <c r="A1422" s="46">
        <v>1958</v>
      </c>
      <c r="B1422" s="46" t="s">
        <v>3869</v>
      </c>
      <c r="C1422" s="46" t="s">
        <v>40</v>
      </c>
      <c r="D1422" s="60">
        <v>2023</v>
      </c>
      <c r="E1422" s="60"/>
      <c r="F1422" s="46" t="s">
        <v>675</v>
      </c>
      <c r="G1422" s="46" t="s">
        <v>1</v>
      </c>
      <c r="H1422" s="46"/>
      <c r="I1422" s="46" t="s">
        <v>157</v>
      </c>
      <c r="J1422" s="46"/>
      <c r="K1422" s="46" t="s">
        <v>68</v>
      </c>
      <c r="L1422" s="46"/>
      <c r="M1422" s="46"/>
      <c r="N1422" s="46"/>
      <c r="O1422" s="46"/>
      <c r="P1422" s="46"/>
      <c r="Q1422" s="46"/>
      <c r="R1422" s="46"/>
      <c r="S1422" s="46"/>
      <c r="T1422" s="46"/>
      <c r="U1422" s="46"/>
      <c r="V1422" s="46"/>
      <c r="W1422" s="46"/>
      <c r="X1422" s="46"/>
      <c r="Y1422" s="46"/>
      <c r="Z1422" s="46" t="s">
        <v>2462</v>
      </c>
      <c r="AA1422" s="61">
        <f t="shared" si="160"/>
        <v>21.354885340692558</v>
      </c>
      <c r="AB1422" s="62">
        <f>AC1422/(H2dens*HoursInYear/10^6)</f>
        <v>4106.7087193639536</v>
      </c>
      <c r="AC1422" s="62">
        <f>(5*365/1000)/H2ProjectDB4578610[[#This Row],[Column33]]</f>
        <v>3.2017543859649127</v>
      </c>
      <c r="AD1422" s="62"/>
      <c r="AE1422" s="62">
        <f t="shared" si="161"/>
        <v>4106.7087193639536</v>
      </c>
      <c r="AF1422" s="64" t="s">
        <v>3870</v>
      </c>
      <c r="AG1422" s="49">
        <v>0.56999999999999995</v>
      </c>
    </row>
    <row r="1423" spans="1:33" customFormat="1" ht="35.1" customHeight="1" x14ac:dyDescent="0.3">
      <c r="A1423" s="46">
        <v>1959</v>
      </c>
      <c r="B1423" s="46" t="s">
        <v>3871</v>
      </c>
      <c r="C1423" s="46" t="s">
        <v>41</v>
      </c>
      <c r="D1423" s="60">
        <v>2024</v>
      </c>
      <c r="E1423" s="60"/>
      <c r="F1423" s="46" t="s">
        <v>675</v>
      </c>
      <c r="G1423" s="46" t="s">
        <v>159</v>
      </c>
      <c r="H1423" s="46" t="s">
        <v>592</v>
      </c>
      <c r="I1423" s="46" t="s">
        <v>169</v>
      </c>
      <c r="J1423" s="46" t="s">
        <v>248</v>
      </c>
      <c r="K1423" s="46" t="s">
        <v>141</v>
      </c>
      <c r="L1423" s="46"/>
      <c r="M1423" s="46">
        <v>1</v>
      </c>
      <c r="N1423" s="46"/>
      <c r="O1423" s="46"/>
      <c r="P1423" s="46"/>
      <c r="Q1423" s="46"/>
      <c r="R1423" s="46"/>
      <c r="S1423" s="46"/>
      <c r="T1423" s="46"/>
      <c r="U1423" s="46"/>
      <c r="V1423" s="46"/>
      <c r="W1423" s="46"/>
      <c r="X1423" s="46"/>
      <c r="Y1423" s="46"/>
      <c r="Z1423" s="46" t="s">
        <v>3872</v>
      </c>
      <c r="AA1423" s="61">
        <f t="shared" si="160"/>
        <v>207.78820994305062</v>
      </c>
      <c r="AB1423" s="62">
        <f>AC1423/(H2dens*HoursInYear/10^6)</f>
        <v>46175.157765122363</v>
      </c>
      <c r="AC1423" s="62">
        <v>36</v>
      </c>
      <c r="AD1423" s="62"/>
      <c r="AE1423" s="62">
        <f t="shared" si="161"/>
        <v>46175.157765122363</v>
      </c>
      <c r="AF1423" s="64" t="s">
        <v>3873</v>
      </c>
      <c r="AG1423" s="49">
        <v>0.5</v>
      </c>
    </row>
    <row r="1424" spans="1:33" customFormat="1" ht="35.1" customHeight="1" x14ac:dyDescent="0.3">
      <c r="A1424" s="46">
        <v>1961</v>
      </c>
      <c r="B1424" s="46" t="s">
        <v>3874</v>
      </c>
      <c r="C1424" s="46" t="s">
        <v>41</v>
      </c>
      <c r="D1424" s="60">
        <v>2024</v>
      </c>
      <c r="E1424" s="60"/>
      <c r="F1424" s="46" t="s">
        <v>675</v>
      </c>
      <c r="G1424" s="46" t="s">
        <v>159</v>
      </c>
      <c r="H1424" s="46" t="s">
        <v>592</v>
      </c>
      <c r="I1424" s="46" t="s">
        <v>169</v>
      </c>
      <c r="J1424" s="46" t="s">
        <v>245</v>
      </c>
      <c r="K1424" s="46" t="s">
        <v>141</v>
      </c>
      <c r="L1424" s="46"/>
      <c r="M1424" s="46">
        <v>1</v>
      </c>
      <c r="N1424" s="46"/>
      <c r="O1424" s="46"/>
      <c r="P1424" s="46"/>
      <c r="Q1424" s="46"/>
      <c r="R1424" s="46"/>
      <c r="S1424" s="46"/>
      <c r="T1424" s="46"/>
      <c r="U1424" s="46"/>
      <c r="V1424" s="46"/>
      <c r="W1424" s="46"/>
      <c r="X1424" s="46"/>
      <c r="Y1424" s="46"/>
      <c r="Z1424" s="46" t="s">
        <v>3875</v>
      </c>
      <c r="AA1424" s="61">
        <f t="shared" si="160"/>
        <v>124.67292596583039</v>
      </c>
      <c r="AB1424" s="62">
        <f t="shared" ref="AB1424:AB1431" si="162">AC1424/(H2dens*HoursInYear/10^6)</f>
        <v>27705.09465907342</v>
      </c>
      <c r="AC1424" s="63">
        <v>21.6</v>
      </c>
      <c r="AD1424" s="62"/>
      <c r="AE1424" s="62">
        <f t="shared" si="161"/>
        <v>27705.09465907342</v>
      </c>
      <c r="AF1424" s="64" t="s">
        <v>3873</v>
      </c>
      <c r="AG1424" s="49">
        <v>0.4</v>
      </c>
    </row>
    <row r="1425" spans="1:33" customFormat="1" ht="35.1" customHeight="1" x14ac:dyDescent="0.3">
      <c r="A1425" s="46">
        <v>1962</v>
      </c>
      <c r="B1425" s="46" t="s">
        <v>3876</v>
      </c>
      <c r="C1425" s="46" t="s">
        <v>41</v>
      </c>
      <c r="D1425" s="60">
        <v>2023</v>
      </c>
      <c r="E1425" s="60"/>
      <c r="F1425" s="46" t="s">
        <v>675</v>
      </c>
      <c r="G1425" s="46" t="s">
        <v>159</v>
      </c>
      <c r="H1425" s="46" t="s">
        <v>592</v>
      </c>
      <c r="I1425" s="46" t="s">
        <v>169</v>
      </c>
      <c r="J1425" s="46" t="s">
        <v>248</v>
      </c>
      <c r="K1425" s="46" t="s">
        <v>141</v>
      </c>
      <c r="L1425" s="46"/>
      <c r="M1425" s="46">
        <v>1</v>
      </c>
      <c r="N1425" s="46"/>
      <c r="O1425" s="46"/>
      <c r="P1425" s="46"/>
      <c r="Q1425" s="46"/>
      <c r="R1425" s="46"/>
      <c r="S1425" s="46"/>
      <c r="T1425" s="46"/>
      <c r="U1425" s="46"/>
      <c r="V1425" s="46"/>
      <c r="W1425" s="46"/>
      <c r="X1425" s="46"/>
      <c r="Y1425" s="46"/>
      <c r="Z1425" s="46" t="s">
        <v>3877</v>
      </c>
      <c r="AA1425" s="61">
        <f t="shared" si="160"/>
        <v>139.67985223949515</v>
      </c>
      <c r="AB1425" s="62">
        <f t="shared" si="162"/>
        <v>31039.967164332258</v>
      </c>
      <c r="AC1425" s="63">
        <v>24.2</v>
      </c>
      <c r="AD1425" s="62"/>
      <c r="AE1425" s="62">
        <f t="shared" si="161"/>
        <v>31039.967164332258</v>
      </c>
      <c r="AF1425" s="64" t="s">
        <v>3873</v>
      </c>
      <c r="AG1425" s="49">
        <v>0.5</v>
      </c>
    </row>
    <row r="1426" spans="1:33" customFormat="1" ht="35.1" customHeight="1" x14ac:dyDescent="0.3">
      <c r="A1426" s="46">
        <v>1963</v>
      </c>
      <c r="B1426" s="46" t="s">
        <v>3878</v>
      </c>
      <c r="C1426" s="46" t="s">
        <v>41</v>
      </c>
      <c r="D1426" s="60">
        <v>2024</v>
      </c>
      <c r="E1426" s="60"/>
      <c r="F1426" s="46" t="s">
        <v>675</v>
      </c>
      <c r="G1426" s="46" t="s">
        <v>159</v>
      </c>
      <c r="H1426" s="46" t="s">
        <v>592</v>
      </c>
      <c r="I1426" s="46" t="s">
        <v>169</v>
      </c>
      <c r="J1426" s="46" t="s">
        <v>248</v>
      </c>
      <c r="K1426" s="46" t="s">
        <v>141</v>
      </c>
      <c r="L1426" s="46"/>
      <c r="M1426" s="46">
        <v>1</v>
      </c>
      <c r="N1426" s="46"/>
      <c r="O1426" s="46"/>
      <c r="P1426" s="46"/>
      <c r="Q1426" s="46"/>
      <c r="R1426" s="46"/>
      <c r="S1426" s="46"/>
      <c r="T1426" s="46"/>
      <c r="U1426" s="46"/>
      <c r="V1426" s="46"/>
      <c r="W1426" s="46"/>
      <c r="X1426" s="46"/>
      <c r="Y1426" s="46"/>
      <c r="Z1426" s="46" t="s">
        <v>3879</v>
      </c>
      <c r="AA1426" s="61">
        <f t="shared" si="160"/>
        <v>107.3572418039095</v>
      </c>
      <c r="AB1426" s="62">
        <f t="shared" si="162"/>
        <v>23857.164845313226</v>
      </c>
      <c r="AC1426" s="63">
        <v>18.600000000000001</v>
      </c>
      <c r="AD1426" s="62"/>
      <c r="AE1426" s="62">
        <f t="shared" si="161"/>
        <v>23857.164845313226</v>
      </c>
      <c r="AF1426" s="64" t="s">
        <v>3873</v>
      </c>
      <c r="AG1426" s="49">
        <v>0.5</v>
      </c>
    </row>
    <row r="1427" spans="1:33" customFormat="1" ht="35.1" customHeight="1" x14ac:dyDescent="0.3">
      <c r="A1427" s="46">
        <v>1964</v>
      </c>
      <c r="B1427" s="46" t="s">
        <v>3880</v>
      </c>
      <c r="C1427" s="46" t="s">
        <v>41</v>
      </c>
      <c r="D1427" s="60">
        <v>2024</v>
      </c>
      <c r="E1427" s="60"/>
      <c r="F1427" s="46" t="s">
        <v>675</v>
      </c>
      <c r="G1427" s="46" t="s">
        <v>159</v>
      </c>
      <c r="H1427" s="46" t="s">
        <v>592</v>
      </c>
      <c r="I1427" s="46" t="s">
        <v>169</v>
      </c>
      <c r="J1427" s="46" t="s">
        <v>248</v>
      </c>
      <c r="K1427" s="46" t="s">
        <v>68</v>
      </c>
      <c r="L1427" s="46"/>
      <c r="M1427" s="46"/>
      <c r="N1427" s="46"/>
      <c r="O1427" s="46"/>
      <c r="P1427" s="46"/>
      <c r="Q1427" s="46">
        <v>1</v>
      </c>
      <c r="R1427" s="46"/>
      <c r="S1427" s="46"/>
      <c r="T1427" s="46"/>
      <c r="U1427" s="46"/>
      <c r="V1427" s="46"/>
      <c r="W1427" s="46"/>
      <c r="X1427" s="46"/>
      <c r="Y1427" s="46"/>
      <c r="Z1427" s="46" t="s">
        <v>3881</v>
      </c>
      <c r="AA1427" s="61">
        <f t="shared" si="160"/>
        <v>31.427966753886409</v>
      </c>
      <c r="AB1427" s="62">
        <f t="shared" si="162"/>
        <v>6983.9926119747579</v>
      </c>
      <c r="AC1427" s="63">
        <v>5.4450000000000003</v>
      </c>
      <c r="AD1427" s="62"/>
      <c r="AE1427" s="62">
        <f t="shared" si="161"/>
        <v>6983.9926119747579</v>
      </c>
      <c r="AF1427" s="64" t="s">
        <v>3873</v>
      </c>
      <c r="AG1427" s="49">
        <v>0.5</v>
      </c>
    </row>
    <row r="1428" spans="1:33" customFormat="1" ht="35.1" customHeight="1" x14ac:dyDescent="0.3">
      <c r="A1428" s="46">
        <v>1965</v>
      </c>
      <c r="B1428" s="46" t="s">
        <v>3882</v>
      </c>
      <c r="C1428" s="46" t="s">
        <v>41</v>
      </c>
      <c r="D1428" s="60">
        <v>2024</v>
      </c>
      <c r="E1428" s="60"/>
      <c r="F1428" s="46" t="s">
        <v>675</v>
      </c>
      <c r="G1428" s="46" t="s">
        <v>159</v>
      </c>
      <c r="H1428" s="46" t="s">
        <v>592</v>
      </c>
      <c r="I1428" s="46" t="s">
        <v>169</v>
      </c>
      <c r="J1428" s="46" t="s">
        <v>248</v>
      </c>
      <c r="K1428" s="46" t="s">
        <v>141</v>
      </c>
      <c r="L1428" s="46"/>
      <c r="M1428" s="46">
        <v>1</v>
      </c>
      <c r="N1428" s="46"/>
      <c r="O1428" s="46"/>
      <c r="P1428" s="46"/>
      <c r="Q1428" s="46"/>
      <c r="R1428" s="46"/>
      <c r="S1428" s="46"/>
      <c r="T1428" s="46"/>
      <c r="U1428" s="46"/>
      <c r="V1428" s="46"/>
      <c r="W1428" s="46"/>
      <c r="X1428" s="46"/>
      <c r="Y1428" s="46"/>
      <c r="Z1428" s="46" t="s">
        <v>3883</v>
      </c>
      <c r="AA1428" s="61">
        <f t="shared" si="160"/>
        <v>120.21125134677544</v>
      </c>
      <c r="AB1428" s="62">
        <f t="shared" si="162"/>
        <v>26713.611410394544</v>
      </c>
      <c r="AC1428" s="63">
        <v>20.827000000000002</v>
      </c>
      <c r="AD1428" s="62"/>
      <c r="AE1428" s="62">
        <f t="shared" si="161"/>
        <v>26713.611410394544</v>
      </c>
      <c r="AF1428" s="64" t="s">
        <v>3873</v>
      </c>
      <c r="AG1428" s="49">
        <v>0.5</v>
      </c>
    </row>
    <row r="1429" spans="1:33" customFormat="1" ht="35.1" customHeight="1" x14ac:dyDescent="0.3">
      <c r="A1429" s="46">
        <v>1966</v>
      </c>
      <c r="B1429" s="46" t="s">
        <v>3884</v>
      </c>
      <c r="C1429" s="46" t="s">
        <v>41</v>
      </c>
      <c r="D1429" s="60">
        <v>2024</v>
      </c>
      <c r="E1429" s="60"/>
      <c r="F1429" s="46" t="s">
        <v>675</v>
      </c>
      <c r="G1429" s="46" t="s">
        <v>159</v>
      </c>
      <c r="H1429" s="46" t="s">
        <v>592</v>
      </c>
      <c r="I1429" s="46" t="s">
        <v>169</v>
      </c>
      <c r="J1429" s="46" t="s">
        <v>248</v>
      </c>
      <c r="K1429" s="46" t="s">
        <v>141</v>
      </c>
      <c r="L1429" s="46"/>
      <c r="M1429" s="46">
        <v>1</v>
      </c>
      <c r="N1429" s="46"/>
      <c r="O1429" s="46"/>
      <c r="P1429" s="46"/>
      <c r="Q1429" s="46"/>
      <c r="R1429" s="46"/>
      <c r="S1429" s="46"/>
      <c r="T1429" s="46"/>
      <c r="U1429" s="46"/>
      <c r="V1429" s="46"/>
      <c r="W1429" s="46"/>
      <c r="X1429" s="46"/>
      <c r="Y1429" s="46"/>
      <c r="Z1429" s="46" t="s">
        <v>3885</v>
      </c>
      <c r="AA1429" s="61">
        <f t="shared" si="160"/>
        <v>89.233492381098969</v>
      </c>
      <c r="AB1429" s="62">
        <f t="shared" si="162"/>
        <v>19829.66497357755</v>
      </c>
      <c r="AC1429" s="63">
        <v>15.46</v>
      </c>
      <c r="AD1429" s="62"/>
      <c r="AE1429" s="62">
        <f t="shared" si="161"/>
        <v>19829.66497357755</v>
      </c>
      <c r="AF1429" s="64" t="s">
        <v>3873</v>
      </c>
      <c r="AG1429" s="49">
        <v>0.5</v>
      </c>
    </row>
    <row r="1430" spans="1:33" customFormat="1" ht="35.1" customHeight="1" x14ac:dyDescent="0.3">
      <c r="A1430" s="46">
        <v>1967</v>
      </c>
      <c r="B1430" s="46" t="s">
        <v>3886</v>
      </c>
      <c r="C1430" s="46" t="s">
        <v>41</v>
      </c>
      <c r="D1430" s="60">
        <v>2024</v>
      </c>
      <c r="E1430" s="60"/>
      <c r="F1430" s="46" t="s">
        <v>675</v>
      </c>
      <c r="G1430" s="46" t="s">
        <v>159</v>
      </c>
      <c r="H1430" s="46" t="s">
        <v>592</v>
      </c>
      <c r="I1430" s="46" t="s">
        <v>169</v>
      </c>
      <c r="J1430" s="46" t="s">
        <v>245</v>
      </c>
      <c r="K1430" s="46" t="s">
        <v>141</v>
      </c>
      <c r="L1430" s="46"/>
      <c r="M1430" s="46">
        <v>1</v>
      </c>
      <c r="N1430" s="46"/>
      <c r="O1430" s="46"/>
      <c r="P1430" s="46"/>
      <c r="Q1430" s="46"/>
      <c r="R1430" s="46"/>
      <c r="S1430" s="46"/>
      <c r="T1430" s="46"/>
      <c r="U1430" s="46"/>
      <c r="V1430" s="46"/>
      <c r="W1430" s="46"/>
      <c r="X1430" s="46"/>
      <c r="Y1430" s="46"/>
      <c r="Z1430" s="46" t="s">
        <v>3887</v>
      </c>
      <c r="AA1430" s="61">
        <f t="shared" si="160"/>
        <v>161.61305217792827</v>
      </c>
      <c r="AB1430" s="62">
        <f t="shared" si="162"/>
        <v>35914.011595095173</v>
      </c>
      <c r="AC1430" s="63">
        <v>28</v>
      </c>
      <c r="AD1430" s="62"/>
      <c r="AE1430" s="62">
        <f t="shared" si="161"/>
        <v>35914.011595095173</v>
      </c>
      <c r="AF1430" s="64" t="s">
        <v>3873</v>
      </c>
      <c r="AG1430" s="49">
        <v>0.4</v>
      </c>
    </row>
    <row r="1431" spans="1:33" customFormat="1" ht="35.1" customHeight="1" x14ac:dyDescent="0.3">
      <c r="A1431" s="46">
        <v>1968</v>
      </c>
      <c r="B1431" s="46" t="s">
        <v>3888</v>
      </c>
      <c r="C1431" s="46" t="s">
        <v>41</v>
      </c>
      <c r="D1431" s="60">
        <v>2024</v>
      </c>
      <c r="E1431" s="60"/>
      <c r="F1431" s="46" t="s">
        <v>675</v>
      </c>
      <c r="G1431" s="46" t="s">
        <v>159</v>
      </c>
      <c r="H1431" s="46" t="s">
        <v>592</v>
      </c>
      <c r="I1431" s="46" t="s">
        <v>169</v>
      </c>
      <c r="J1431" s="46" t="s">
        <v>248</v>
      </c>
      <c r="K1431" s="46" t="s">
        <v>141</v>
      </c>
      <c r="L1431" s="46"/>
      <c r="M1431" s="46">
        <v>1</v>
      </c>
      <c r="N1431" s="46"/>
      <c r="O1431" s="46"/>
      <c r="P1431" s="46"/>
      <c r="Q1431" s="46"/>
      <c r="R1431" s="46"/>
      <c r="S1431" s="46"/>
      <c r="T1431" s="46"/>
      <c r="U1431" s="46"/>
      <c r="V1431" s="46"/>
      <c r="W1431" s="46"/>
      <c r="X1431" s="46"/>
      <c r="Y1431" s="46"/>
      <c r="Z1431" s="46" t="s">
        <v>3889</v>
      </c>
      <c r="AA1431" s="61">
        <f t="shared" si="160"/>
        <v>148.3376943204556</v>
      </c>
      <c r="AB1431" s="62">
        <f t="shared" si="162"/>
        <v>32963.932071212359</v>
      </c>
      <c r="AC1431" s="63">
        <v>25.7</v>
      </c>
      <c r="AD1431" s="62"/>
      <c r="AE1431" s="62">
        <f t="shared" si="161"/>
        <v>32963.932071212359</v>
      </c>
      <c r="AF1431" s="64" t="s">
        <v>3873</v>
      </c>
      <c r="AG1431" s="49">
        <v>0.5</v>
      </c>
    </row>
    <row r="1432" spans="1:33" customFormat="1" ht="35.1" customHeight="1" x14ac:dyDescent="0.3">
      <c r="A1432" s="46">
        <v>1969</v>
      </c>
      <c r="B1432" s="64" t="s">
        <v>3890</v>
      </c>
      <c r="C1432" s="46" t="s">
        <v>46</v>
      </c>
      <c r="D1432" s="60">
        <v>2027</v>
      </c>
      <c r="E1432" s="60"/>
      <c r="F1432" s="46" t="s">
        <v>591</v>
      </c>
      <c r="G1432" s="46" t="s">
        <v>159</v>
      </c>
      <c r="H1432" s="46" t="s">
        <v>592</v>
      </c>
      <c r="I1432" s="46" t="s">
        <v>169</v>
      </c>
      <c r="J1432" s="46" t="s">
        <v>248</v>
      </c>
      <c r="K1432" s="46" t="s">
        <v>68</v>
      </c>
      <c r="L1432" s="46"/>
      <c r="M1432" s="46"/>
      <c r="N1432" s="46"/>
      <c r="O1432" s="46"/>
      <c r="P1432" s="46">
        <v>1</v>
      </c>
      <c r="Q1432" s="46">
        <v>1</v>
      </c>
      <c r="R1432" s="46"/>
      <c r="S1432" s="46"/>
      <c r="T1432" s="46"/>
      <c r="U1432" s="46"/>
      <c r="V1432" s="46"/>
      <c r="W1432" s="46"/>
      <c r="X1432" s="46"/>
      <c r="Y1432" s="46"/>
      <c r="Z1432" s="46" t="s">
        <v>1691</v>
      </c>
      <c r="AA1432" s="61">
        <f>200-AA864</f>
        <v>180</v>
      </c>
      <c r="AB1432" s="62">
        <f>IF(OR(G1432="ALK",G1432="PEM",G1432="SOEC",G1432="Other Electrolysis"),
AA1432/VLOOKUP(G1432,ElectrolysisConvF,3,FALSE),
AC1432*10^6/(H2dens*HoursInYear))</f>
        <v>40000</v>
      </c>
      <c r="AC1432" s="63">
        <f>AB1432*H2dens*HoursInYear/10^6</f>
        <v>31.185600000000001</v>
      </c>
      <c r="AD1432" s="62"/>
      <c r="AE1432" s="62">
        <f t="shared" si="161"/>
        <v>40000</v>
      </c>
      <c r="AF1432" s="64" t="s">
        <v>2634</v>
      </c>
      <c r="AG1432" s="49">
        <v>0.5</v>
      </c>
    </row>
    <row r="1433" spans="1:33" customFormat="1" ht="35.1" customHeight="1" x14ac:dyDescent="0.3">
      <c r="A1433" s="46">
        <v>1970</v>
      </c>
      <c r="B1433" s="46" t="s">
        <v>3891</v>
      </c>
      <c r="C1433" s="46" t="s">
        <v>43</v>
      </c>
      <c r="D1433" s="60">
        <v>2023</v>
      </c>
      <c r="E1433" s="60"/>
      <c r="F1433" s="46" t="s">
        <v>226</v>
      </c>
      <c r="G1433" s="46" t="s">
        <v>1</v>
      </c>
      <c r="H1433" s="46"/>
      <c r="I1433" s="46" t="s">
        <v>1317</v>
      </c>
      <c r="J1433" s="46" t="s">
        <v>69</v>
      </c>
      <c r="K1433" s="46" t="s">
        <v>68</v>
      </c>
      <c r="L1433" s="46"/>
      <c r="M1433" s="46"/>
      <c r="N1433" s="46"/>
      <c r="O1433" s="46"/>
      <c r="P1433" s="46"/>
      <c r="Q1433" s="46"/>
      <c r="R1433" s="46"/>
      <c r="S1433" s="46">
        <v>1</v>
      </c>
      <c r="T1433" s="46"/>
      <c r="U1433" s="46"/>
      <c r="V1433" s="46"/>
      <c r="W1433" s="46"/>
      <c r="X1433" s="46"/>
      <c r="Y1433" s="46"/>
      <c r="Z1433" s="46" t="s">
        <v>3892</v>
      </c>
      <c r="AA1433" s="61">
        <v>6.4999999999999997E-3</v>
      </c>
      <c r="AB1433" s="62">
        <f>IF(OR(G1433="ALK",G1433="PEM",G1433="SOEC",G1433="Other Electrolysis"),
AA1433/VLOOKUP(G1433,ElectrolysisConvF,3,FALSE),
AC1433*10^6/(H2dens*HoursInYear))</f>
        <v>1.25</v>
      </c>
      <c r="AC1433" s="63">
        <f>AB1433*H2dens*HoursInYear/10^6</f>
        <v>9.7454999999999981E-4</v>
      </c>
      <c r="AD1433" s="62"/>
      <c r="AE1433" s="62">
        <f t="shared" si="161"/>
        <v>1.25</v>
      </c>
      <c r="AF1433" s="64"/>
      <c r="AG1433" s="49">
        <v>0.7</v>
      </c>
    </row>
    <row r="1434" spans="1:33" customFormat="1" ht="35.1" customHeight="1" x14ac:dyDescent="0.3">
      <c r="A1434" s="46">
        <v>1971</v>
      </c>
      <c r="B1434" s="46" t="s">
        <v>3893</v>
      </c>
      <c r="C1434" s="46" t="s">
        <v>43</v>
      </c>
      <c r="D1434" s="60">
        <v>2023</v>
      </c>
      <c r="E1434" s="60"/>
      <c r="F1434" s="46" t="s">
        <v>675</v>
      </c>
      <c r="G1434" s="46" t="s">
        <v>3</v>
      </c>
      <c r="H1434" s="46"/>
      <c r="I1434" s="46" t="s">
        <v>1317</v>
      </c>
      <c r="J1434" s="46" t="s">
        <v>69</v>
      </c>
      <c r="K1434" s="46" t="s">
        <v>68</v>
      </c>
      <c r="L1434" s="46"/>
      <c r="M1434" s="46"/>
      <c r="N1434" s="46"/>
      <c r="O1434" s="46"/>
      <c r="P1434" s="46"/>
      <c r="Q1434" s="46">
        <v>1</v>
      </c>
      <c r="R1434" s="46"/>
      <c r="S1434" s="46"/>
      <c r="T1434" s="46"/>
      <c r="U1434" s="46"/>
      <c r="V1434" s="46"/>
      <c r="W1434" s="46"/>
      <c r="X1434" s="46"/>
      <c r="Y1434" s="46"/>
      <c r="Z1434" s="46" t="s">
        <v>3894</v>
      </c>
      <c r="AA1434" s="61">
        <v>1.6</v>
      </c>
      <c r="AB1434" s="62">
        <f>IF(OR(G1434="ALK",G1434="PEM",G1434="SOEC",G1434="Other Electrolysis"),
AA1434/VLOOKUP(G1434,ElectrolysisConvF,3,FALSE),
AC1434*10^6/(H2dens*HoursInYear))</f>
        <v>347.82608695652175</v>
      </c>
      <c r="AC1434" s="63">
        <f>AB1434*H2dens*HoursInYear/10^6</f>
        <v>0.27117913043478259</v>
      </c>
      <c r="AD1434" s="62"/>
      <c r="AE1434" s="62">
        <f t="shared" si="161"/>
        <v>347.82608695652175</v>
      </c>
      <c r="AF1434" s="64"/>
      <c r="AG1434" s="49">
        <v>0.7</v>
      </c>
    </row>
    <row r="1435" spans="1:33" customFormat="1" ht="35.1" customHeight="1" x14ac:dyDescent="0.3">
      <c r="A1435" s="46">
        <v>1972</v>
      </c>
      <c r="B1435" s="46" t="s">
        <v>3895</v>
      </c>
      <c r="C1435" s="39" t="s">
        <v>203</v>
      </c>
      <c r="D1435" s="60">
        <v>2025</v>
      </c>
      <c r="E1435" s="60"/>
      <c r="F1435" s="46" t="s">
        <v>675</v>
      </c>
      <c r="G1435" s="46" t="s">
        <v>3</v>
      </c>
      <c r="H1435" s="46"/>
      <c r="I1435" s="46" t="s">
        <v>169</v>
      </c>
      <c r="J1435" s="46" t="s">
        <v>247</v>
      </c>
      <c r="K1435" s="46" t="s">
        <v>68</v>
      </c>
      <c r="L1435" s="46"/>
      <c r="M1435" s="46"/>
      <c r="N1435" s="46"/>
      <c r="O1435" s="46"/>
      <c r="P1435" s="46"/>
      <c r="Q1435" s="46"/>
      <c r="R1435" s="46"/>
      <c r="S1435" s="46"/>
      <c r="T1435" s="46"/>
      <c r="U1435" s="46"/>
      <c r="V1435" s="46"/>
      <c r="W1435" s="46"/>
      <c r="X1435" s="46"/>
      <c r="Y1435" s="46"/>
      <c r="Z1435" s="46" t="s">
        <v>3896</v>
      </c>
      <c r="AA1435" s="61">
        <f>IF(OR(G1435="ALK",G1435="PEM",G1435="SOEC",G1435="Other Electrolysis"),
AB1435*VLOOKUP(G1435,ElectrolysisConvF,3,FALSE),
"")</f>
        <v>4.2481145143912578</v>
      </c>
      <c r="AB1435" s="62">
        <f>AC1435/(H2dens*HoursInYear/10^6)</f>
        <v>923.50315530244734</v>
      </c>
      <c r="AC1435" s="62">
        <v>0.72</v>
      </c>
      <c r="AD1435" s="62"/>
      <c r="AE1435" s="62">
        <f t="shared" si="161"/>
        <v>923.50315530244734</v>
      </c>
      <c r="AF1435" s="64" t="s">
        <v>3897</v>
      </c>
      <c r="AG1435" s="49">
        <v>0.8</v>
      </c>
    </row>
    <row r="1436" spans="1:33" customFormat="1" ht="35.1" customHeight="1" x14ac:dyDescent="0.3">
      <c r="A1436" s="46">
        <v>1973</v>
      </c>
      <c r="B1436" s="46" t="s">
        <v>3898</v>
      </c>
      <c r="C1436" s="46" t="s">
        <v>203</v>
      </c>
      <c r="D1436" s="60">
        <v>2027</v>
      </c>
      <c r="E1436" s="60"/>
      <c r="F1436" s="46" t="s">
        <v>225</v>
      </c>
      <c r="G1436" s="46" t="s">
        <v>159</v>
      </c>
      <c r="H1436" s="46" t="s">
        <v>592</v>
      </c>
      <c r="I1436" s="46" t="s">
        <v>169</v>
      </c>
      <c r="J1436" s="46" t="s">
        <v>246</v>
      </c>
      <c r="K1436" s="46" t="s">
        <v>68</v>
      </c>
      <c r="L1436" s="46"/>
      <c r="M1436" s="46"/>
      <c r="N1436" s="46"/>
      <c r="O1436" s="46"/>
      <c r="P1436" s="46"/>
      <c r="Q1436" s="46"/>
      <c r="R1436" s="46"/>
      <c r="S1436" s="46"/>
      <c r="T1436" s="46"/>
      <c r="U1436" s="46"/>
      <c r="V1436" s="46"/>
      <c r="W1436" s="46"/>
      <c r="X1436" s="46"/>
      <c r="Y1436" s="46"/>
      <c r="Z1436" s="46" t="s">
        <v>1257</v>
      </c>
      <c r="AA1436" s="61">
        <v>100</v>
      </c>
      <c r="AB1436" s="62">
        <f>IF(OR(G1436="ALK",G1436="PEM",G1436="SOEC",G1436="Other Electrolysis"),
AA1436/VLOOKUP(G1436,ElectrolysisConvF,3,FALSE),
AC1436*10^6/(H2dens*HoursInYear))</f>
        <v>22222.222222222223</v>
      </c>
      <c r="AC1436" s="63">
        <f>AB1436*H2dens*HoursInYear/10^6</f>
        <v>17.325333333333333</v>
      </c>
      <c r="AD1436" s="62"/>
      <c r="AE1436" s="62">
        <f t="shared" si="161"/>
        <v>22222.222222222223</v>
      </c>
      <c r="AF1436" s="64" t="s">
        <v>3899</v>
      </c>
      <c r="AG1436" s="49">
        <v>0.55000000000000004</v>
      </c>
    </row>
    <row r="1437" spans="1:33" customFormat="1" ht="35.1" customHeight="1" x14ac:dyDescent="0.3">
      <c r="A1437" s="46">
        <v>1974</v>
      </c>
      <c r="B1437" s="46" t="s">
        <v>3900</v>
      </c>
      <c r="C1437" s="46" t="s">
        <v>37</v>
      </c>
      <c r="D1437" s="60">
        <v>2024</v>
      </c>
      <c r="E1437" s="60"/>
      <c r="F1437" s="46" t="s">
        <v>675</v>
      </c>
      <c r="G1437" s="46" t="s">
        <v>159</v>
      </c>
      <c r="H1437" s="46" t="s">
        <v>592</v>
      </c>
      <c r="I1437" s="46" t="s">
        <v>169</v>
      </c>
      <c r="J1437" s="46" t="s">
        <v>247</v>
      </c>
      <c r="K1437" s="46" t="s">
        <v>68</v>
      </c>
      <c r="L1437" s="46"/>
      <c r="M1437" s="46"/>
      <c r="N1437" s="46"/>
      <c r="O1437" s="46"/>
      <c r="P1437" s="46"/>
      <c r="Q1437" s="46">
        <v>1</v>
      </c>
      <c r="R1437" s="46"/>
      <c r="S1437" s="46"/>
      <c r="T1437" s="46"/>
      <c r="U1437" s="46"/>
      <c r="V1437" s="46"/>
      <c r="W1437" s="46"/>
      <c r="X1437" s="46"/>
      <c r="Y1437" s="46"/>
      <c r="Z1437" s="46" t="s">
        <v>3901</v>
      </c>
      <c r="AA1437" s="61">
        <f>2*5</f>
        <v>10</v>
      </c>
      <c r="AB1437" s="62">
        <f>IF(OR(G1437="ALK",G1437="PEM",G1437="SOEC",G1437="Other Electrolysis"),
AA1437/VLOOKUP(G1437,ElectrolysisConvF,3,FALSE),
AC1437*10^6/(H2dens*HoursInYear))</f>
        <v>2222.2222222222222</v>
      </c>
      <c r="AC1437" s="63">
        <f>AB1437*H2dens*HoursInYear/10^6</f>
        <v>1.7325333333333333</v>
      </c>
      <c r="AD1437" s="62"/>
      <c r="AE1437" s="62">
        <f t="shared" si="161"/>
        <v>2222.2222222222222</v>
      </c>
      <c r="AF1437" s="64" t="s">
        <v>3902</v>
      </c>
      <c r="AG1437" s="49">
        <v>0.8</v>
      </c>
    </row>
    <row r="1438" spans="1:33" customFormat="1" ht="35.1" customHeight="1" x14ac:dyDescent="0.3">
      <c r="A1438" s="46">
        <v>1975</v>
      </c>
      <c r="B1438" s="46" t="s">
        <v>3903</v>
      </c>
      <c r="C1438" s="46" t="s">
        <v>34</v>
      </c>
      <c r="D1438" s="60">
        <v>2024</v>
      </c>
      <c r="E1438" s="60"/>
      <c r="F1438" s="46" t="s">
        <v>675</v>
      </c>
      <c r="G1438" s="46" t="s">
        <v>1</v>
      </c>
      <c r="H1438" s="46"/>
      <c r="I1438" s="46" t="s">
        <v>157</v>
      </c>
      <c r="J1438" s="46"/>
      <c r="K1438" s="46" t="s">
        <v>68</v>
      </c>
      <c r="L1438" s="46"/>
      <c r="M1438" s="46"/>
      <c r="N1438" s="46"/>
      <c r="O1438" s="46"/>
      <c r="P1438" s="46"/>
      <c r="Q1438" s="46">
        <v>1</v>
      </c>
      <c r="R1438" s="46"/>
      <c r="S1438" s="46"/>
      <c r="T1438" s="46"/>
      <c r="U1438" s="46"/>
      <c r="V1438" s="46"/>
      <c r="W1438" s="46"/>
      <c r="X1438" s="46"/>
      <c r="Y1438" s="46"/>
      <c r="Z1438" s="46" t="s">
        <v>1327</v>
      </c>
      <c r="AA1438" s="61">
        <v>1</v>
      </c>
      <c r="AB1438" s="62">
        <f>IF(OR(G1438="ALK",G1438="PEM",G1438="SOEC",G1438="Other Electrolysis"),
AA1438/VLOOKUP(G1438,ElectrolysisConvF,3,FALSE),
AC1438*10^6/(H2dens*HoursInYear))</f>
        <v>192.30769230769232</v>
      </c>
      <c r="AC1438" s="63">
        <f>AB1438*H2dens*HoursInYear/10^6</f>
        <v>0.14993076923076926</v>
      </c>
      <c r="AD1438" s="62"/>
      <c r="AE1438" s="62">
        <f t="shared" si="161"/>
        <v>192.30769230769232</v>
      </c>
      <c r="AF1438" s="64" t="s">
        <v>3904</v>
      </c>
      <c r="AG1438" s="49">
        <v>0.56999999999999995</v>
      </c>
    </row>
    <row r="1439" spans="1:33" customFormat="1" ht="35.1" customHeight="1" x14ac:dyDescent="0.3">
      <c r="A1439" s="46">
        <v>1976</v>
      </c>
      <c r="B1439" s="46" t="s">
        <v>3905</v>
      </c>
      <c r="C1439" s="46" t="s">
        <v>50</v>
      </c>
      <c r="D1439" s="60">
        <v>2023</v>
      </c>
      <c r="E1439" s="60"/>
      <c r="F1439" s="46" t="s">
        <v>285</v>
      </c>
      <c r="G1439" s="46" t="s">
        <v>163</v>
      </c>
      <c r="H1439" s="46" t="s">
        <v>1805</v>
      </c>
      <c r="I1439" s="46"/>
      <c r="J1439" s="46"/>
      <c r="K1439" s="46" t="s">
        <v>68</v>
      </c>
      <c r="L1439" s="46"/>
      <c r="M1439" s="46"/>
      <c r="N1439" s="46"/>
      <c r="O1439" s="46"/>
      <c r="P1439" s="46"/>
      <c r="Q1439" s="46"/>
      <c r="R1439" s="46"/>
      <c r="S1439" s="46"/>
      <c r="T1439" s="46"/>
      <c r="U1439" s="46"/>
      <c r="V1439" s="46"/>
      <c r="W1439" s="46"/>
      <c r="X1439" s="46"/>
      <c r="Y1439" s="46"/>
      <c r="Z1439" s="46" t="s">
        <v>3906</v>
      </c>
      <c r="AA1439" s="61" t="str">
        <f>IF(OR(G1439="ALK",G1439="PEM",G1439="SOEC",G1439="Other Electrolysis"),
AB1439*VLOOKUP(G1439,ElectrolysisConvF,3,FALSE),
"")</f>
        <v/>
      </c>
      <c r="AB1439" s="62">
        <f>AC1439/(H2dens*HoursInYear/10^6)</f>
        <v>1628.9569544918168</v>
      </c>
      <c r="AC1439" s="62">
        <f>AVERAGE(240,2300)/1000</f>
        <v>1.27</v>
      </c>
      <c r="AD1439" s="62"/>
      <c r="AE1439" s="62">
        <f t="shared" si="161"/>
        <v>1628.9569544918168</v>
      </c>
      <c r="AF1439" s="64" t="s">
        <v>3907</v>
      </c>
      <c r="AG1439" s="49">
        <v>0.9</v>
      </c>
    </row>
    <row r="1440" spans="1:33" customFormat="1" ht="35.1" customHeight="1" x14ac:dyDescent="0.3">
      <c r="A1440" s="46">
        <v>1977</v>
      </c>
      <c r="B1440" s="46" t="s">
        <v>3908</v>
      </c>
      <c r="C1440" s="46" t="s">
        <v>50</v>
      </c>
      <c r="D1440" s="60">
        <v>2025</v>
      </c>
      <c r="E1440" s="60"/>
      <c r="F1440" s="46" t="s">
        <v>225</v>
      </c>
      <c r="G1440" s="46" t="s">
        <v>163</v>
      </c>
      <c r="H1440" s="46" t="s">
        <v>1684</v>
      </c>
      <c r="I1440" s="46"/>
      <c r="J1440" s="46"/>
      <c r="K1440" s="46" t="s">
        <v>68</v>
      </c>
      <c r="L1440" s="46"/>
      <c r="M1440" s="46"/>
      <c r="N1440" s="46"/>
      <c r="O1440" s="46"/>
      <c r="P1440" s="46"/>
      <c r="Q1440" s="46"/>
      <c r="R1440" s="46"/>
      <c r="S1440" s="46"/>
      <c r="T1440" s="46"/>
      <c r="U1440" s="46"/>
      <c r="V1440" s="46"/>
      <c r="W1440" s="46"/>
      <c r="X1440" s="46"/>
      <c r="Y1440" s="46"/>
      <c r="Z1440" s="46" t="s">
        <v>3909</v>
      </c>
      <c r="AA1440" s="61" t="str">
        <f>IF(OR(G1440="ALK",G1440="PEM",G1440="SOEC",G1440="Other Electrolysis"),
AB1440*VLOOKUP(G1440,ElectrolysisConvF,3,FALSE),
"")</f>
        <v/>
      </c>
      <c r="AB1440" s="62">
        <f>AC1440/(H2dens*HoursInYear/10^6)</f>
        <v>168.53932584269663</v>
      </c>
      <c r="AC1440" s="76">
        <f>15*HoursInYear/10^6</f>
        <v>0.13139999999999999</v>
      </c>
      <c r="AD1440" s="62"/>
      <c r="AE1440" s="62">
        <f t="shared" si="161"/>
        <v>168.53932584269663</v>
      </c>
      <c r="AF1440" s="64" t="s">
        <v>3907</v>
      </c>
      <c r="AG1440" s="49">
        <v>0.9</v>
      </c>
    </row>
    <row r="1441" spans="1:33" customFormat="1" ht="35.1" customHeight="1" x14ac:dyDescent="0.3">
      <c r="A1441" s="46">
        <v>1978</v>
      </c>
      <c r="B1441" s="46" t="s">
        <v>3910</v>
      </c>
      <c r="C1441" s="46" t="s">
        <v>50</v>
      </c>
      <c r="D1441" s="60"/>
      <c r="E1441" s="60"/>
      <c r="F1441" s="46" t="s">
        <v>285</v>
      </c>
      <c r="G1441" s="46" t="s">
        <v>163</v>
      </c>
      <c r="H1441" s="46" t="s">
        <v>3911</v>
      </c>
      <c r="I1441" s="46"/>
      <c r="J1441" s="46"/>
      <c r="K1441" s="46" t="s">
        <v>68</v>
      </c>
      <c r="L1441" s="46"/>
      <c r="M1441" s="46"/>
      <c r="N1441" s="46"/>
      <c r="O1441" s="46"/>
      <c r="P1441" s="46"/>
      <c r="Q1441" s="46"/>
      <c r="R1441" s="46"/>
      <c r="S1441" s="46"/>
      <c r="T1441" s="46"/>
      <c r="U1441" s="46"/>
      <c r="V1441" s="46"/>
      <c r="W1441" s="46"/>
      <c r="X1441" s="46"/>
      <c r="Y1441" s="46"/>
      <c r="Z1441" s="46" t="s">
        <v>3912</v>
      </c>
      <c r="AA1441" s="61"/>
      <c r="AB1441" s="62">
        <f>AC1441/(H2dens*HoursInYear/10^6)</f>
        <v>5956.179775280898</v>
      </c>
      <c r="AC1441" s="62">
        <f>18.6*HoursInYear*0.95*3600/120/10^6</f>
        <v>4.6436759999999992</v>
      </c>
      <c r="AD1441" s="62"/>
      <c r="AE1441" s="62">
        <f t="shared" si="161"/>
        <v>5956.179775280898</v>
      </c>
      <c r="AF1441" s="64" t="s">
        <v>3913</v>
      </c>
      <c r="AG1441" s="49">
        <v>0.9</v>
      </c>
    </row>
    <row r="1442" spans="1:33" customFormat="1" ht="35.1" customHeight="1" x14ac:dyDescent="0.3">
      <c r="A1442" s="46">
        <v>1979</v>
      </c>
      <c r="B1442" s="46" t="s">
        <v>3914</v>
      </c>
      <c r="C1442" s="46" t="s">
        <v>50</v>
      </c>
      <c r="D1442" s="60">
        <v>2023</v>
      </c>
      <c r="E1442" s="60"/>
      <c r="F1442" s="46" t="s">
        <v>226</v>
      </c>
      <c r="G1442" s="46" t="s">
        <v>159</v>
      </c>
      <c r="H1442" s="46" t="s">
        <v>592</v>
      </c>
      <c r="I1442" s="46" t="s">
        <v>169</v>
      </c>
      <c r="J1442" s="46" t="s">
        <v>69</v>
      </c>
      <c r="K1442" s="46" t="s">
        <v>68</v>
      </c>
      <c r="L1442" s="46"/>
      <c r="M1442" s="46"/>
      <c r="N1442" s="46"/>
      <c r="O1442" s="46"/>
      <c r="P1442" s="46">
        <v>1</v>
      </c>
      <c r="Q1442" s="46"/>
      <c r="R1442" s="46"/>
      <c r="S1442" s="46"/>
      <c r="T1442" s="46"/>
      <c r="U1442" s="46"/>
      <c r="V1442" s="46"/>
      <c r="W1442" s="46"/>
      <c r="X1442" s="46"/>
      <c r="Y1442" s="46"/>
      <c r="Z1442" s="46" t="s">
        <v>2444</v>
      </c>
      <c r="AA1442" s="61">
        <v>0.5</v>
      </c>
      <c r="AB1442" s="62">
        <f>IF(OR(G1442="ALK",G1442="PEM",G1442="SOEC",G1442="Other Electrolysis"),
AA1442/VLOOKUP(G1442,ElectrolysisConvF,3,FALSE),
AC1442*10^6/(H2dens*HoursInYear))</f>
        <v>111.11111111111111</v>
      </c>
      <c r="AC1442" s="63">
        <f>AB1442*H2dens*HoursInYear/10^6</f>
        <v>8.6626666666666671E-2</v>
      </c>
      <c r="AD1442" s="62"/>
      <c r="AE1442" s="62">
        <f t="shared" si="161"/>
        <v>111.11111111111111</v>
      </c>
      <c r="AF1442" s="64" t="s">
        <v>3907</v>
      </c>
      <c r="AG1442" s="49">
        <v>0.5</v>
      </c>
    </row>
    <row r="1443" spans="1:33" customFormat="1" ht="35.1" customHeight="1" x14ac:dyDescent="0.3">
      <c r="A1443" s="46">
        <v>1980</v>
      </c>
      <c r="B1443" s="46" t="s">
        <v>3915</v>
      </c>
      <c r="C1443" s="46" t="s">
        <v>40</v>
      </c>
      <c r="D1443" s="60">
        <v>2023</v>
      </c>
      <c r="E1443" s="60"/>
      <c r="F1443" s="46" t="s">
        <v>285</v>
      </c>
      <c r="G1443" s="46" t="s">
        <v>2</v>
      </c>
      <c r="H1443" s="46"/>
      <c r="I1443" s="46" t="s">
        <v>157</v>
      </c>
      <c r="J1443" s="46"/>
      <c r="K1443" s="46" t="s">
        <v>68</v>
      </c>
      <c r="L1443" s="46"/>
      <c r="M1443" s="46"/>
      <c r="N1443" s="46"/>
      <c r="O1443" s="46"/>
      <c r="P1443" s="46"/>
      <c r="Q1443" s="46"/>
      <c r="R1443" s="46"/>
      <c r="S1443" s="46"/>
      <c r="T1443" s="46"/>
      <c r="U1443" s="46"/>
      <c r="V1443" s="46"/>
      <c r="W1443" s="46"/>
      <c r="X1443" s="46"/>
      <c r="Y1443" s="46"/>
      <c r="Z1443" s="46" t="s">
        <v>1828</v>
      </c>
      <c r="AA1443" s="61">
        <v>4</v>
      </c>
      <c r="AB1443" s="62">
        <f>IF(OR(G1443="ALK",G1443="PEM",G1443="SOEC",G1443="Other Electrolysis"),
AA1443/VLOOKUP(G1443,ElectrolysisConvF,3,FALSE),
AC1443*10^6/(H2dens*HoursInYear))</f>
        <v>1052.6315789473683</v>
      </c>
      <c r="AC1443" s="63">
        <f>AB1443*H2dens*HoursInYear/10^6</f>
        <v>0.82067368421052633</v>
      </c>
      <c r="AD1443" s="62"/>
      <c r="AE1443" s="62">
        <f t="shared" si="161"/>
        <v>1052.6315789473683</v>
      </c>
      <c r="AF1443" s="64" t="s">
        <v>3916</v>
      </c>
      <c r="AG1443" s="49">
        <v>0.56999999999999995</v>
      </c>
    </row>
    <row r="1444" spans="1:33" customFormat="1" ht="35.1" customHeight="1" x14ac:dyDescent="0.3">
      <c r="A1444" s="46">
        <v>1981</v>
      </c>
      <c r="B1444" s="46" t="s">
        <v>3917</v>
      </c>
      <c r="C1444" s="46" t="s">
        <v>50</v>
      </c>
      <c r="D1444" s="60"/>
      <c r="E1444" s="60"/>
      <c r="F1444" s="46" t="s">
        <v>225</v>
      </c>
      <c r="G1444" s="46" t="s">
        <v>159</v>
      </c>
      <c r="H1444" s="46" t="s">
        <v>592</v>
      </c>
      <c r="I1444" s="46" t="s">
        <v>157</v>
      </c>
      <c r="J1444" s="46" t="s">
        <v>69</v>
      </c>
      <c r="K1444" s="46" t="s">
        <v>68</v>
      </c>
      <c r="L1444" s="46"/>
      <c r="M1444" s="46"/>
      <c r="N1444" s="46"/>
      <c r="O1444" s="46"/>
      <c r="P1444" s="46"/>
      <c r="Q1444" s="46">
        <v>1</v>
      </c>
      <c r="R1444" s="46"/>
      <c r="S1444" s="46"/>
      <c r="T1444" s="46"/>
      <c r="U1444" s="46"/>
      <c r="V1444" s="46"/>
      <c r="W1444" s="46"/>
      <c r="X1444" s="46"/>
      <c r="Y1444" s="46"/>
      <c r="Z1444" s="46"/>
      <c r="AA1444" s="61">
        <f>IF(OR(G1444="ALK",G1444="PEM",G1444="SOEC",G1444="Other Electrolysis"),
AB1444*VLOOKUP(G1444,ElectrolysisConvF,3,FALSE),
"")</f>
        <v>0</v>
      </c>
      <c r="AB1444" s="62"/>
      <c r="AC1444" s="62"/>
      <c r="AD1444" s="62"/>
      <c r="AE1444" s="62">
        <f t="shared" si="161"/>
        <v>0</v>
      </c>
      <c r="AF1444" s="64" t="s">
        <v>3907</v>
      </c>
      <c r="AG1444" s="49">
        <v>0.56999999999999995</v>
      </c>
    </row>
    <row r="1445" spans="1:33" customFormat="1" ht="35.1" customHeight="1" x14ac:dyDescent="0.3">
      <c r="A1445" s="46">
        <v>1982</v>
      </c>
      <c r="B1445" s="46" t="s">
        <v>3918</v>
      </c>
      <c r="C1445" s="46" t="s">
        <v>50</v>
      </c>
      <c r="D1445" s="60">
        <v>2023</v>
      </c>
      <c r="E1445" s="60"/>
      <c r="F1445" s="46" t="s">
        <v>285</v>
      </c>
      <c r="G1445" s="46" t="s">
        <v>159</v>
      </c>
      <c r="H1445" s="46" t="s">
        <v>592</v>
      </c>
      <c r="I1445" s="46" t="s">
        <v>157</v>
      </c>
      <c r="J1445" s="46" t="s">
        <v>69</v>
      </c>
      <c r="K1445" s="46" t="s">
        <v>68</v>
      </c>
      <c r="L1445" s="46"/>
      <c r="M1445" s="46"/>
      <c r="N1445" s="46"/>
      <c r="O1445" s="46"/>
      <c r="P1445" s="46"/>
      <c r="Q1445" s="46"/>
      <c r="R1445" s="46"/>
      <c r="S1445" s="46">
        <v>1</v>
      </c>
      <c r="T1445" s="46"/>
      <c r="U1445" s="46"/>
      <c r="V1445" s="46"/>
      <c r="W1445" s="46"/>
      <c r="X1445" s="46"/>
      <c r="Y1445" s="46"/>
      <c r="Z1445" s="46"/>
      <c r="AA1445" s="61">
        <f>IF(OR(G1445="ALK",G1445="PEM",G1445="SOEC",G1445="Other Electrolysis"),
AB1445*VLOOKUP(G1445,ElectrolysisConvF,3,FALSE),
"")</f>
        <v>0</v>
      </c>
      <c r="AB1445" s="62"/>
      <c r="AC1445" s="62"/>
      <c r="AD1445" s="62"/>
      <c r="AE1445" s="62">
        <f t="shared" si="161"/>
        <v>0</v>
      </c>
      <c r="AF1445" s="64" t="s">
        <v>3907</v>
      </c>
      <c r="AG1445" s="49">
        <v>0.56999999999999995</v>
      </c>
    </row>
    <row r="1446" spans="1:33" customFormat="1" ht="35.1" customHeight="1" x14ac:dyDescent="0.3">
      <c r="A1446" s="46">
        <v>1983</v>
      </c>
      <c r="B1446" s="46" t="s">
        <v>3919</v>
      </c>
      <c r="C1446" s="46" t="s">
        <v>50</v>
      </c>
      <c r="D1446" s="60">
        <v>2025</v>
      </c>
      <c r="E1446" s="60"/>
      <c r="F1446" s="46" t="s">
        <v>225</v>
      </c>
      <c r="G1446" s="46" t="s">
        <v>159</v>
      </c>
      <c r="H1446" s="46" t="s">
        <v>592</v>
      </c>
      <c r="I1446" s="46" t="s">
        <v>157</v>
      </c>
      <c r="J1446" s="46" t="s">
        <v>244</v>
      </c>
      <c r="K1446" s="46" t="s">
        <v>68</v>
      </c>
      <c r="L1446" s="46"/>
      <c r="M1446" s="46"/>
      <c r="N1446" s="46"/>
      <c r="O1446" s="46"/>
      <c r="P1446" s="46"/>
      <c r="Q1446" s="46"/>
      <c r="R1446" s="46"/>
      <c r="S1446" s="46">
        <v>1</v>
      </c>
      <c r="T1446" s="46"/>
      <c r="U1446" s="46"/>
      <c r="V1446" s="46"/>
      <c r="W1446" s="46"/>
      <c r="X1446" s="46"/>
      <c r="Y1446" s="46"/>
      <c r="Z1446" s="46"/>
      <c r="AA1446" s="61">
        <f>IF(OR(G1446="ALK",G1446="PEM",G1446="SOEC",G1446="Other Electrolysis"),
AB1446*VLOOKUP(G1446,ElectrolysisConvF,3,FALSE),
"")</f>
        <v>0</v>
      </c>
      <c r="AB1446" s="62"/>
      <c r="AC1446" s="62"/>
      <c r="AD1446" s="62"/>
      <c r="AE1446" s="62">
        <f t="shared" si="161"/>
        <v>0</v>
      </c>
      <c r="AF1446" s="64" t="s">
        <v>3907</v>
      </c>
      <c r="AG1446" s="49">
        <v>0.56999999999999995</v>
      </c>
    </row>
    <row r="1447" spans="1:33" customFormat="1" ht="35.1" customHeight="1" x14ac:dyDescent="0.3">
      <c r="A1447" s="46">
        <v>1985</v>
      </c>
      <c r="B1447" s="46" t="s">
        <v>3920</v>
      </c>
      <c r="C1447" s="46" t="s">
        <v>35</v>
      </c>
      <c r="D1447" s="60">
        <v>2028</v>
      </c>
      <c r="E1447" s="60"/>
      <c r="F1447" s="46" t="s">
        <v>591</v>
      </c>
      <c r="G1447" s="46" t="s">
        <v>159</v>
      </c>
      <c r="H1447" s="46" t="s">
        <v>592</v>
      </c>
      <c r="I1447" s="46" t="s">
        <v>169</v>
      </c>
      <c r="J1447" s="46" t="s">
        <v>69</v>
      </c>
      <c r="K1447" s="46" t="s">
        <v>141</v>
      </c>
      <c r="L1447" s="46"/>
      <c r="M1447" s="46"/>
      <c r="N1447" s="46"/>
      <c r="O1447" s="46"/>
      <c r="P1447" s="46"/>
      <c r="Q1447" s="46"/>
      <c r="R1447" s="46"/>
      <c r="S1447" s="46"/>
      <c r="T1447" s="46"/>
      <c r="U1447" s="46"/>
      <c r="V1447" s="46"/>
      <c r="W1447" s="46"/>
      <c r="X1447" s="46"/>
      <c r="Y1447" s="46"/>
      <c r="Z1447" s="46" t="s">
        <v>3921</v>
      </c>
      <c r="AA1447" s="61">
        <f>IF(OR(G1447="ALK",G1447="PEM",G1447="SOEC",G1447="Other Electrolysis"),
AB1447*VLOOKUP(G1447,ElectrolysisConvF,3,FALSE),
"")</f>
        <v>379.36522923776261</v>
      </c>
      <c r="AB1447" s="62">
        <f>AC1447/(H2dens*HoursInYear/10^6)</f>
        <v>84303.384275058357</v>
      </c>
      <c r="AC1447" s="62">
        <f>1*365*(3/17/0.98)</f>
        <v>65.72629051620649</v>
      </c>
      <c r="AD1447" s="62"/>
      <c r="AE1447" s="62">
        <f t="shared" si="161"/>
        <v>84303.384275058357</v>
      </c>
      <c r="AF1447" s="64" t="s">
        <v>3922</v>
      </c>
      <c r="AG1447" s="49">
        <v>0.5</v>
      </c>
    </row>
    <row r="1448" spans="1:33" customFormat="1" ht="35.1" customHeight="1" x14ac:dyDescent="0.3">
      <c r="A1448" s="46">
        <v>1986</v>
      </c>
      <c r="B1448" s="46" t="s">
        <v>3923</v>
      </c>
      <c r="C1448" s="46" t="s">
        <v>40</v>
      </c>
      <c r="D1448" s="60">
        <v>2023</v>
      </c>
      <c r="E1448" s="60"/>
      <c r="F1448" s="46" t="s">
        <v>226</v>
      </c>
      <c r="G1448" s="46" t="s">
        <v>1</v>
      </c>
      <c r="H1448" s="46"/>
      <c r="I1448" s="46" t="s">
        <v>288</v>
      </c>
      <c r="J1448" s="46"/>
      <c r="K1448" s="46" t="s">
        <v>68</v>
      </c>
      <c r="L1448" s="46"/>
      <c r="M1448" s="46"/>
      <c r="N1448" s="46"/>
      <c r="O1448" s="46"/>
      <c r="P1448" s="46">
        <v>1</v>
      </c>
      <c r="Q1448" s="46">
        <v>1</v>
      </c>
      <c r="R1448" s="46"/>
      <c r="S1448" s="46"/>
      <c r="T1448" s="46"/>
      <c r="U1448" s="46"/>
      <c r="V1448" s="46"/>
      <c r="W1448" s="46"/>
      <c r="X1448" s="46"/>
      <c r="Y1448" s="46"/>
      <c r="Z1448" s="46" t="s">
        <v>708</v>
      </c>
      <c r="AA1448" s="61">
        <v>1</v>
      </c>
      <c r="AB1448" s="62">
        <f>IF(OR(G1448="ALK",G1448="PEM",G1448="SOEC",G1448="Other Electrolysis"),
AA1448/VLOOKUP(G1448,ElectrolysisConvF,3,FALSE),
AC1448*10^6/(H2dens*HoursInYear))</f>
        <v>192.30769230769232</v>
      </c>
      <c r="AC1448" s="63">
        <f>AB1448*H2dens*HoursInYear/10^6</f>
        <v>0.14993076923076926</v>
      </c>
      <c r="AD1448" s="62"/>
      <c r="AE1448" s="62">
        <f t="shared" si="161"/>
        <v>192.30769230769232</v>
      </c>
      <c r="AF1448" s="64" t="s">
        <v>3924</v>
      </c>
      <c r="AG1448" s="49">
        <v>0.8</v>
      </c>
    </row>
    <row r="1449" spans="1:33" customFormat="1" ht="35.1" customHeight="1" x14ac:dyDescent="0.3">
      <c r="A1449" s="46">
        <v>1987</v>
      </c>
      <c r="B1449" s="46" t="s">
        <v>3925</v>
      </c>
      <c r="C1449" s="46" t="s">
        <v>313</v>
      </c>
      <c r="D1449" s="60">
        <v>2026</v>
      </c>
      <c r="E1449" s="60"/>
      <c r="F1449" s="46" t="s">
        <v>225</v>
      </c>
      <c r="G1449" s="46" t="s">
        <v>159</v>
      </c>
      <c r="H1449" s="46" t="s">
        <v>592</v>
      </c>
      <c r="I1449" s="46" t="s">
        <v>169</v>
      </c>
      <c r="J1449" s="46" t="s">
        <v>246</v>
      </c>
      <c r="K1449" s="46" t="s">
        <v>141</v>
      </c>
      <c r="L1449" s="46"/>
      <c r="M1449" s="46">
        <v>1</v>
      </c>
      <c r="N1449" s="46"/>
      <c r="O1449" s="46"/>
      <c r="P1449" s="46"/>
      <c r="Q1449" s="46"/>
      <c r="R1449" s="46"/>
      <c r="S1449" s="46"/>
      <c r="T1449" s="46"/>
      <c r="U1449" s="46"/>
      <c r="V1449" s="46"/>
      <c r="W1449" s="46"/>
      <c r="X1449" s="46"/>
      <c r="Y1449" s="46"/>
      <c r="Z1449" s="46" t="s">
        <v>3926</v>
      </c>
      <c r="AA1449" s="61">
        <v>3200</v>
      </c>
      <c r="AB1449" s="62">
        <f>IF(OR(G1449="ALK",G1449="PEM",G1449="SOEC",G1449="Other Electrolysis"),
AA1449/VLOOKUP(G1449,ElectrolysisConvF,3,FALSE),
AC1449*10^6/(H2dens*HoursInYear))</f>
        <v>711111.11111111112</v>
      </c>
      <c r="AC1449" s="63">
        <f>AB1449*H2dens*HoursInYear/10^6</f>
        <v>554.41066666666666</v>
      </c>
      <c r="AD1449" s="62"/>
      <c r="AE1449" s="62">
        <f t="shared" si="161"/>
        <v>711111.11111111112</v>
      </c>
      <c r="AF1449" s="64" t="s">
        <v>3927</v>
      </c>
      <c r="AG1449" s="49">
        <v>0.55000000000000004</v>
      </c>
    </row>
    <row r="1450" spans="1:33" customFormat="1" ht="35.1" customHeight="1" x14ac:dyDescent="0.3">
      <c r="A1450" s="46">
        <v>1988</v>
      </c>
      <c r="B1450" s="46" t="s">
        <v>3928</v>
      </c>
      <c r="C1450" s="46" t="s">
        <v>90</v>
      </c>
      <c r="D1450" s="60">
        <v>2026</v>
      </c>
      <c r="E1450" s="60"/>
      <c r="F1450" s="46" t="s">
        <v>225</v>
      </c>
      <c r="G1450" s="46" t="s">
        <v>159</v>
      </c>
      <c r="H1450" s="46" t="s">
        <v>592</v>
      </c>
      <c r="I1450" s="46" t="s">
        <v>157</v>
      </c>
      <c r="J1450" s="46" t="s">
        <v>69</v>
      </c>
      <c r="K1450" s="46" t="s">
        <v>141</v>
      </c>
      <c r="L1450" s="46"/>
      <c r="M1450" s="46">
        <v>1</v>
      </c>
      <c r="N1450" s="46"/>
      <c r="O1450" s="46"/>
      <c r="P1450" s="46"/>
      <c r="Q1450" s="46"/>
      <c r="R1450" s="46"/>
      <c r="S1450" s="46"/>
      <c r="T1450" s="46"/>
      <c r="U1450" s="46"/>
      <c r="V1450" s="46"/>
      <c r="W1450" s="46"/>
      <c r="X1450" s="46"/>
      <c r="Y1450" s="46"/>
      <c r="Z1450" s="46" t="s">
        <v>3929</v>
      </c>
      <c r="AA1450" s="61">
        <v>2400</v>
      </c>
      <c r="AB1450" s="62">
        <f>IF(OR(G1450="ALK",G1450="PEM",G1450="SOEC",G1450="Other Electrolysis"),
AA1450/VLOOKUP(G1450,ElectrolysisConvF,3,FALSE),
AC1450*10^6/(H2dens*HoursInYear))</f>
        <v>533333.33333333337</v>
      </c>
      <c r="AC1450" s="63">
        <f>AB1450*H2dens*HoursInYear/10^6</f>
        <v>415.80799999999999</v>
      </c>
      <c r="AD1450" s="62"/>
      <c r="AE1450" s="62">
        <f t="shared" si="161"/>
        <v>533333.33333333337</v>
      </c>
      <c r="AF1450" s="64" t="s">
        <v>3930</v>
      </c>
      <c r="AG1450" s="49">
        <v>0.56999999999999995</v>
      </c>
    </row>
    <row r="1451" spans="1:33" customFormat="1" ht="35.1" customHeight="1" x14ac:dyDescent="0.3">
      <c r="A1451" s="46">
        <v>1989</v>
      </c>
      <c r="B1451" s="46" t="s">
        <v>3931</v>
      </c>
      <c r="C1451" s="46" t="s">
        <v>135</v>
      </c>
      <c r="D1451" s="60"/>
      <c r="E1451" s="60"/>
      <c r="F1451" s="46" t="s">
        <v>591</v>
      </c>
      <c r="G1451" s="46" t="s">
        <v>159</v>
      </c>
      <c r="H1451" s="46" t="s">
        <v>592</v>
      </c>
      <c r="I1451" s="46" t="s">
        <v>169</v>
      </c>
      <c r="J1451" s="46" t="s">
        <v>248</v>
      </c>
      <c r="K1451" s="46" t="s">
        <v>68</v>
      </c>
      <c r="L1451" s="46"/>
      <c r="M1451" s="46">
        <v>1</v>
      </c>
      <c r="N1451" s="46"/>
      <c r="O1451" s="46"/>
      <c r="P1451" s="46"/>
      <c r="Q1451" s="46"/>
      <c r="R1451" s="46"/>
      <c r="S1451" s="46"/>
      <c r="T1451" s="46"/>
      <c r="U1451" s="46"/>
      <c r="V1451" s="46"/>
      <c r="W1451" s="46"/>
      <c r="X1451" s="46"/>
      <c r="Y1451" s="46"/>
      <c r="Z1451" s="46"/>
      <c r="AA1451" s="61"/>
      <c r="AB1451" s="62"/>
      <c r="AC1451" s="62"/>
      <c r="AD1451" s="62"/>
      <c r="AE1451" s="62">
        <f t="shared" si="161"/>
        <v>0</v>
      </c>
      <c r="AF1451" s="64" t="s">
        <v>3781</v>
      </c>
      <c r="AG1451" s="49">
        <v>0.5</v>
      </c>
    </row>
    <row r="1452" spans="1:33" customFormat="1" ht="35.1" customHeight="1" x14ac:dyDescent="0.3">
      <c r="A1452" s="46">
        <v>1990</v>
      </c>
      <c r="B1452" s="46" t="s">
        <v>3932</v>
      </c>
      <c r="C1452" s="46" t="s">
        <v>39</v>
      </c>
      <c r="D1452" s="60">
        <v>2032</v>
      </c>
      <c r="E1452" s="60"/>
      <c r="F1452" s="46" t="s">
        <v>591</v>
      </c>
      <c r="G1452" s="46" t="s">
        <v>159</v>
      </c>
      <c r="H1452" s="46" t="s">
        <v>592</v>
      </c>
      <c r="I1452" s="46" t="s">
        <v>169</v>
      </c>
      <c r="J1452" s="46" t="s">
        <v>248</v>
      </c>
      <c r="K1452" s="46" t="s">
        <v>141</v>
      </c>
      <c r="L1452" s="46"/>
      <c r="M1452" s="46"/>
      <c r="N1452" s="46"/>
      <c r="O1452" s="46"/>
      <c r="P1452" s="46"/>
      <c r="Q1452" s="46"/>
      <c r="R1452" s="46"/>
      <c r="S1452" s="46"/>
      <c r="T1452" s="46"/>
      <c r="U1452" s="46"/>
      <c r="V1452" s="46"/>
      <c r="W1452" s="46"/>
      <c r="X1452" s="46"/>
      <c r="Y1452" s="46"/>
      <c r="Z1452" s="46" t="s">
        <v>3933</v>
      </c>
      <c r="AA1452" s="63">
        <f>IF(OR(G1452="ALK",G1452="PEM",G1452="SOEC",G1452="Other Electrolysis"),
AB1452*VLOOKUP(G1452,ElectrolysisConvF,3,FALSE),
"")</f>
        <v>3741.6844527560133</v>
      </c>
      <c r="AB1452" s="62">
        <f>AC1452/(H2dens*HoursInYear/10^6)</f>
        <v>831485.43394578085</v>
      </c>
      <c r="AC1452" s="62">
        <f>(1800*3/17/0.98)/H2ProjectDB4578610[[#This Row],[Column33]]</f>
        <v>648.25930372148855</v>
      </c>
      <c r="AD1452" s="62"/>
      <c r="AE1452" s="62">
        <f t="shared" si="161"/>
        <v>831485.43394578085</v>
      </c>
      <c r="AF1452" s="64" t="s">
        <v>3934</v>
      </c>
      <c r="AG1452" s="49">
        <v>0.5</v>
      </c>
    </row>
    <row r="1453" spans="1:33" customFormat="1" ht="35.1" customHeight="1" x14ac:dyDescent="0.3">
      <c r="A1453" s="46">
        <v>1991</v>
      </c>
      <c r="B1453" s="46" t="s">
        <v>3935</v>
      </c>
      <c r="C1453" s="46" t="s">
        <v>39</v>
      </c>
      <c r="D1453" s="60">
        <v>2030</v>
      </c>
      <c r="E1453" s="60"/>
      <c r="F1453" s="46" t="s">
        <v>591</v>
      </c>
      <c r="G1453" s="46"/>
      <c r="H1453" s="46"/>
      <c r="I1453" s="46" t="str">
        <f>IF(AND(G1453&lt;&gt;"ALK",G1453&lt;&gt;"PEM",G1453&lt;&gt;"SOEC",G1453&lt;&gt;"Other electrolysis"),"N/A","")</f>
        <v>N/A</v>
      </c>
      <c r="J1453" s="46" t="str">
        <f>IF(I1453&lt;&gt;"Dedicated renewable","N/A",)</f>
        <v>N/A</v>
      </c>
      <c r="K1453" s="46"/>
      <c r="L1453" s="46"/>
      <c r="M1453" s="46"/>
      <c r="N1453" s="46"/>
      <c r="O1453" s="46"/>
      <c r="P1453" s="46"/>
      <c r="Q1453" s="46"/>
      <c r="R1453" s="46"/>
      <c r="S1453" s="46"/>
      <c r="T1453" s="46"/>
      <c r="U1453" s="46"/>
      <c r="V1453" s="46"/>
      <c r="W1453" s="46"/>
      <c r="X1453" s="46"/>
      <c r="Y1453" s="46"/>
      <c r="Z1453" s="46"/>
      <c r="AA1453" s="61" t="str">
        <f>IF(OR(G1453="ALK",G1453="PEM",G1453="SOEC",G1453="Other Electrolysis"),
AB1453*VLOOKUP(G1453,ElectrolysisConvF,3,FALSE),
"")</f>
        <v/>
      </c>
      <c r="AB1453" s="62"/>
      <c r="AC1453" s="62"/>
      <c r="AD1453" s="62"/>
      <c r="AE1453" s="62">
        <f t="shared" si="161"/>
        <v>0</v>
      </c>
      <c r="AF1453" s="64"/>
      <c r="AG1453" s="49">
        <v>0.56999999999999995</v>
      </c>
    </row>
    <row r="1454" spans="1:33" customFormat="1" ht="35.1" customHeight="1" x14ac:dyDescent="0.3">
      <c r="A1454" s="46">
        <v>1993</v>
      </c>
      <c r="B1454" s="46" t="s">
        <v>3936</v>
      </c>
      <c r="C1454" s="46" t="s">
        <v>39</v>
      </c>
      <c r="D1454" s="60">
        <v>2030</v>
      </c>
      <c r="E1454" s="60"/>
      <c r="F1454" s="46" t="s">
        <v>591</v>
      </c>
      <c r="G1454" s="46" t="s">
        <v>159</v>
      </c>
      <c r="H1454" s="46" t="s">
        <v>592</v>
      </c>
      <c r="I1454" s="46" t="s">
        <v>157</v>
      </c>
      <c r="J1454" s="46" t="s">
        <v>69</v>
      </c>
      <c r="K1454" s="46" t="s">
        <v>72</v>
      </c>
      <c r="L1454" s="46"/>
      <c r="M1454" s="46"/>
      <c r="N1454" s="46"/>
      <c r="O1454" s="46"/>
      <c r="P1454" s="46"/>
      <c r="Q1454" s="46"/>
      <c r="R1454" s="46"/>
      <c r="S1454" s="46"/>
      <c r="T1454" s="46"/>
      <c r="U1454" s="46"/>
      <c r="V1454" s="46"/>
      <c r="W1454" s="46"/>
      <c r="X1454" s="46"/>
      <c r="Y1454" s="46"/>
      <c r="Z1454" s="46" t="s">
        <v>3937</v>
      </c>
      <c r="AA1454" s="61">
        <f>IF(OR(G1454="ALK",G1454="PEM",G1454="SOEC",G1454="Other Electrolysis"),
AB1454*VLOOKUP(G1454,ElectrolysisConvF,3,FALSE),
"")</f>
        <v>346.78531126173368</v>
      </c>
      <c r="AB1454" s="62">
        <f>AC1454/(H2dens*HoursInYear/10^6)</f>
        <v>77063.402502607496</v>
      </c>
      <c r="AC1454" s="62">
        <f>(60*50/120/0.73)/H2ProjectDB4578610[[#This Row],[Column33]]</f>
        <v>60.081711127132905</v>
      </c>
      <c r="AD1454" s="62"/>
      <c r="AE1454" s="62">
        <f t="shared" si="161"/>
        <v>77063.402502607496</v>
      </c>
      <c r="AF1454" s="64" t="s">
        <v>3938</v>
      </c>
      <c r="AG1454" s="49">
        <v>0.56999999999999995</v>
      </c>
    </row>
    <row r="1455" spans="1:33" customFormat="1" ht="35.1" customHeight="1" x14ac:dyDescent="0.3">
      <c r="A1455" s="46">
        <v>1994</v>
      </c>
      <c r="B1455" s="46" t="s">
        <v>3939</v>
      </c>
      <c r="C1455" s="46" t="s">
        <v>40</v>
      </c>
      <c r="D1455" s="60">
        <v>2030</v>
      </c>
      <c r="E1455" s="60"/>
      <c r="F1455" s="46" t="s">
        <v>591</v>
      </c>
      <c r="G1455" s="46" t="s">
        <v>159</v>
      </c>
      <c r="H1455" s="46" t="s">
        <v>592</v>
      </c>
      <c r="I1455" s="46" t="s">
        <v>157</v>
      </c>
      <c r="J1455" s="46" t="s">
        <v>69</v>
      </c>
      <c r="K1455" s="46" t="s">
        <v>72</v>
      </c>
      <c r="L1455" s="46"/>
      <c r="M1455" s="46"/>
      <c r="N1455" s="46"/>
      <c r="O1455" s="46"/>
      <c r="P1455" s="46"/>
      <c r="Q1455" s="46"/>
      <c r="R1455" s="46"/>
      <c r="S1455" s="46"/>
      <c r="T1455" s="46"/>
      <c r="U1455" s="46"/>
      <c r="V1455" s="46"/>
      <c r="W1455" s="46"/>
      <c r="X1455" s="46"/>
      <c r="Y1455" s="46"/>
      <c r="Z1455" s="46" t="s">
        <v>3940</v>
      </c>
      <c r="AA1455" s="61">
        <f>IF(OR(G1455="ALK",G1455="PEM",G1455="SOEC",G1455="Other Electrolysis"),
AB1455*VLOOKUP(G1455,ElectrolysisConvF,3,FALSE),
"")</f>
        <v>751.36817440042307</v>
      </c>
      <c r="AB1455" s="62">
        <f>AC1455/(H2dens*HoursInYear/10^6)</f>
        <v>166970.70542231624</v>
      </c>
      <c r="AC1455" s="62">
        <f>(130*50/120/0.73)/H2ProjectDB4578610[[#This Row],[Column33]]</f>
        <v>130.17704077545463</v>
      </c>
      <c r="AD1455" s="62"/>
      <c r="AE1455" s="62">
        <f t="shared" si="161"/>
        <v>166970.70542231624</v>
      </c>
      <c r="AF1455" s="64" t="s">
        <v>3941</v>
      </c>
      <c r="AG1455" s="49">
        <v>0.56999999999999995</v>
      </c>
    </row>
    <row r="1456" spans="1:33" customFormat="1" ht="35.1" customHeight="1" x14ac:dyDescent="0.3">
      <c r="A1456" s="46">
        <v>1995</v>
      </c>
      <c r="B1456" s="46" t="s">
        <v>3942</v>
      </c>
      <c r="C1456" s="46" t="s">
        <v>64</v>
      </c>
      <c r="D1456" s="60">
        <v>2025</v>
      </c>
      <c r="E1456" s="60"/>
      <c r="F1456" s="46" t="s">
        <v>225</v>
      </c>
      <c r="G1456" s="46" t="s">
        <v>159</v>
      </c>
      <c r="H1456" s="46" t="s">
        <v>592</v>
      </c>
      <c r="I1456" s="46" t="s">
        <v>169</v>
      </c>
      <c r="J1456" s="46" t="s">
        <v>244</v>
      </c>
      <c r="K1456" s="46" t="s">
        <v>141</v>
      </c>
      <c r="L1456" s="46"/>
      <c r="M1456" s="46"/>
      <c r="N1456" s="46"/>
      <c r="O1456" s="46"/>
      <c r="P1456" s="46"/>
      <c r="Q1456" s="46"/>
      <c r="R1456" s="46"/>
      <c r="S1456" s="46"/>
      <c r="T1456" s="46"/>
      <c r="U1456" s="46"/>
      <c r="V1456" s="46"/>
      <c r="W1456" s="46"/>
      <c r="X1456" s="46"/>
      <c r="Y1456" s="46"/>
      <c r="Z1456" s="46" t="s">
        <v>3279</v>
      </c>
      <c r="AA1456" s="61">
        <f>400-100</f>
        <v>300</v>
      </c>
      <c r="AB1456" s="62">
        <f t="shared" ref="AB1456:AB1461" si="163">IF(OR(G1456="ALK",G1456="PEM",G1456="SOEC",G1456="Other Electrolysis"),
AA1456/VLOOKUP(G1456,ElectrolysisConvF,3,FALSE),
AC1456*10^6/(H2dens*HoursInYear))</f>
        <v>66666.666666666672</v>
      </c>
      <c r="AC1456" s="63">
        <f t="shared" ref="AC1456:AC1461" si="164">AB1456*H2dens*HoursInYear/10^6</f>
        <v>51.975999999999999</v>
      </c>
      <c r="AD1456" s="62"/>
      <c r="AE1456" s="62">
        <f t="shared" si="161"/>
        <v>66666.666666666672</v>
      </c>
      <c r="AF1456" s="64" t="s">
        <v>3943</v>
      </c>
      <c r="AG1456" s="49">
        <v>0.3</v>
      </c>
    </row>
    <row r="1457" spans="1:33" customFormat="1" ht="35.1" customHeight="1" x14ac:dyDescent="0.3">
      <c r="A1457" s="46">
        <v>1996</v>
      </c>
      <c r="B1457" s="64" t="s">
        <v>3944</v>
      </c>
      <c r="C1457" s="46" t="s">
        <v>321</v>
      </c>
      <c r="D1457" s="60">
        <v>2029</v>
      </c>
      <c r="E1457" s="60"/>
      <c r="F1457" s="46" t="s">
        <v>225</v>
      </c>
      <c r="G1457" s="46" t="s">
        <v>159</v>
      </c>
      <c r="H1457" s="46" t="s">
        <v>592</v>
      </c>
      <c r="I1457" s="46" t="s">
        <v>157</v>
      </c>
      <c r="J1457" s="46" t="s">
        <v>69</v>
      </c>
      <c r="K1457" s="46" t="s">
        <v>168</v>
      </c>
      <c r="L1457" s="46">
        <v>1</v>
      </c>
      <c r="M1457" s="46">
        <v>1</v>
      </c>
      <c r="N1457" s="46"/>
      <c r="O1457" s="46"/>
      <c r="P1457" s="46"/>
      <c r="Q1457" s="46">
        <v>1</v>
      </c>
      <c r="R1457" s="46"/>
      <c r="S1457" s="46"/>
      <c r="T1457" s="46"/>
      <c r="U1457" s="46"/>
      <c r="V1457" s="46"/>
      <c r="W1457" s="46">
        <v>1</v>
      </c>
      <c r="X1457" s="46"/>
      <c r="Y1457" s="46"/>
      <c r="Z1457" s="46" t="s">
        <v>672</v>
      </c>
      <c r="AA1457" s="61">
        <v>1000</v>
      </c>
      <c r="AB1457" s="62">
        <f t="shared" si="163"/>
        <v>222222.22222222225</v>
      </c>
      <c r="AC1457" s="63">
        <f t="shared" si="164"/>
        <v>173.25333333333333</v>
      </c>
      <c r="AD1457" s="62"/>
      <c r="AE1457" s="62">
        <f t="shared" si="161"/>
        <v>222222.22222222225</v>
      </c>
      <c r="AF1457" s="64" t="s">
        <v>3945</v>
      </c>
      <c r="AG1457" s="49">
        <v>0.56999999999999995</v>
      </c>
    </row>
    <row r="1458" spans="1:33" customFormat="1" ht="35.1" customHeight="1" x14ac:dyDescent="0.3">
      <c r="A1458" s="46">
        <v>1997</v>
      </c>
      <c r="B1458" s="64" t="s">
        <v>3946</v>
      </c>
      <c r="C1458" s="46" t="s">
        <v>321</v>
      </c>
      <c r="D1458" s="60">
        <v>2026</v>
      </c>
      <c r="E1458" s="60"/>
      <c r="F1458" s="46" t="s">
        <v>225</v>
      </c>
      <c r="G1458" s="46" t="s">
        <v>159</v>
      </c>
      <c r="H1458" s="46" t="s">
        <v>592</v>
      </c>
      <c r="I1458" s="46" t="s">
        <v>1317</v>
      </c>
      <c r="J1458" s="46" t="s">
        <v>244</v>
      </c>
      <c r="K1458" s="46" t="s">
        <v>168</v>
      </c>
      <c r="L1458" s="46">
        <v>1</v>
      </c>
      <c r="M1458" s="46">
        <v>1</v>
      </c>
      <c r="N1458" s="46">
        <v>1</v>
      </c>
      <c r="O1458" s="46"/>
      <c r="P1458" s="46">
        <v>1</v>
      </c>
      <c r="Q1458" s="46">
        <v>1</v>
      </c>
      <c r="R1458" s="46"/>
      <c r="S1458" s="46"/>
      <c r="T1458" s="46"/>
      <c r="U1458" s="46"/>
      <c r="V1458" s="46"/>
      <c r="W1458" s="46"/>
      <c r="X1458" s="46"/>
      <c r="Y1458" s="46"/>
      <c r="Z1458" s="46" t="s">
        <v>1843</v>
      </c>
      <c r="AA1458" s="61">
        <v>600</v>
      </c>
      <c r="AB1458" s="62">
        <f t="shared" si="163"/>
        <v>133333.33333333334</v>
      </c>
      <c r="AC1458" s="63">
        <f t="shared" si="164"/>
        <v>103.952</v>
      </c>
      <c r="AD1458" s="62"/>
      <c r="AE1458" s="62">
        <f t="shared" si="161"/>
        <v>133333.33333333334</v>
      </c>
      <c r="AF1458" s="64" t="s">
        <v>3947</v>
      </c>
      <c r="AG1458" s="49">
        <v>0.7</v>
      </c>
    </row>
    <row r="1459" spans="1:33" customFormat="1" ht="35.1" customHeight="1" x14ac:dyDescent="0.3">
      <c r="A1459" s="46">
        <v>1998</v>
      </c>
      <c r="B1459" s="46" t="s">
        <v>3948</v>
      </c>
      <c r="C1459" s="46" t="s">
        <v>83</v>
      </c>
      <c r="D1459" s="60"/>
      <c r="E1459" s="60"/>
      <c r="F1459" s="46" t="s">
        <v>591</v>
      </c>
      <c r="G1459" s="46" t="s">
        <v>159</v>
      </c>
      <c r="H1459" s="46" t="s">
        <v>592</v>
      </c>
      <c r="I1459" s="46" t="s">
        <v>169</v>
      </c>
      <c r="J1459" s="46" t="s">
        <v>248</v>
      </c>
      <c r="K1459" s="46" t="s">
        <v>140</v>
      </c>
      <c r="L1459" s="46"/>
      <c r="M1459" s="46"/>
      <c r="N1459" s="46">
        <v>1</v>
      </c>
      <c r="O1459" s="46"/>
      <c r="P1459" s="46"/>
      <c r="Q1459" s="46"/>
      <c r="R1459" s="46"/>
      <c r="S1459" s="46"/>
      <c r="T1459" s="46"/>
      <c r="U1459" s="46"/>
      <c r="V1459" s="46"/>
      <c r="W1459" s="46"/>
      <c r="X1459" s="46"/>
      <c r="Y1459" s="46"/>
      <c r="Z1459" s="46" t="s">
        <v>3949</v>
      </c>
      <c r="AA1459" s="61">
        <v>60</v>
      </c>
      <c r="AB1459" s="62">
        <f t="shared" si="163"/>
        <v>13333.333333333334</v>
      </c>
      <c r="AC1459" s="63">
        <f t="shared" si="164"/>
        <v>10.395200000000001</v>
      </c>
      <c r="AD1459" s="62"/>
      <c r="AE1459" s="62">
        <f t="shared" si="161"/>
        <v>13333.333333333334</v>
      </c>
      <c r="AF1459" s="64" t="s">
        <v>3950</v>
      </c>
      <c r="AG1459" s="49">
        <v>0.5</v>
      </c>
    </row>
    <row r="1460" spans="1:33" customFormat="1" ht="35.1" customHeight="1" x14ac:dyDescent="0.3">
      <c r="A1460" s="46">
        <v>2000</v>
      </c>
      <c r="B1460" s="46" t="s">
        <v>3951</v>
      </c>
      <c r="C1460" s="46" t="s">
        <v>100</v>
      </c>
      <c r="D1460" s="60">
        <v>2028</v>
      </c>
      <c r="E1460" s="60"/>
      <c r="F1460" s="46" t="s">
        <v>591</v>
      </c>
      <c r="G1460" s="46" t="s">
        <v>2</v>
      </c>
      <c r="H1460" s="46"/>
      <c r="I1460" s="46" t="s">
        <v>288</v>
      </c>
      <c r="J1460" s="46"/>
      <c r="K1460" s="46" t="s">
        <v>68</v>
      </c>
      <c r="L1460" s="46"/>
      <c r="M1460" s="46">
        <v>1</v>
      </c>
      <c r="N1460" s="46"/>
      <c r="O1460" s="46"/>
      <c r="P1460" s="46"/>
      <c r="Q1460" s="46"/>
      <c r="R1460" s="46"/>
      <c r="S1460" s="46"/>
      <c r="T1460" s="46"/>
      <c r="U1460" s="46"/>
      <c r="V1460" s="46"/>
      <c r="W1460" s="46"/>
      <c r="X1460" s="46"/>
      <c r="Y1460" s="46"/>
      <c r="Z1460" s="46" t="s">
        <v>2826</v>
      </c>
      <c r="AA1460" s="61">
        <v>1000</v>
      </c>
      <c r="AB1460" s="62">
        <f t="shared" si="163"/>
        <v>263157.89473684208</v>
      </c>
      <c r="AC1460" s="63">
        <f t="shared" si="164"/>
        <v>205.16842105263152</v>
      </c>
      <c r="AD1460" s="62"/>
      <c r="AE1460" s="62">
        <f t="shared" si="161"/>
        <v>263157.89473684208</v>
      </c>
      <c r="AF1460" s="64" t="s">
        <v>3952</v>
      </c>
      <c r="AG1460" s="49">
        <v>0.8</v>
      </c>
    </row>
    <row r="1461" spans="1:33" customFormat="1" ht="35.1" customHeight="1" x14ac:dyDescent="0.3">
      <c r="A1461" s="46">
        <v>2001</v>
      </c>
      <c r="B1461" s="46" t="s">
        <v>3953</v>
      </c>
      <c r="C1461" s="46" t="s">
        <v>112</v>
      </c>
      <c r="D1461" s="60">
        <v>2025</v>
      </c>
      <c r="E1461" s="60"/>
      <c r="F1461" s="46" t="s">
        <v>225</v>
      </c>
      <c r="G1461" s="46" t="s">
        <v>159</v>
      </c>
      <c r="H1461" s="46" t="s">
        <v>592</v>
      </c>
      <c r="I1461" s="46" t="s">
        <v>169</v>
      </c>
      <c r="J1461" s="46" t="s">
        <v>244</v>
      </c>
      <c r="K1461" s="46" t="s">
        <v>68</v>
      </c>
      <c r="L1461" s="46">
        <v>1</v>
      </c>
      <c r="M1461" s="46"/>
      <c r="N1461" s="46"/>
      <c r="O1461" s="46"/>
      <c r="P1461" s="46"/>
      <c r="Q1461" s="46"/>
      <c r="R1461" s="46"/>
      <c r="S1461" s="46"/>
      <c r="T1461" s="46"/>
      <c r="U1461" s="46"/>
      <c r="V1461" s="46"/>
      <c r="W1461" s="46"/>
      <c r="X1461" s="46"/>
      <c r="Y1461" s="46"/>
      <c r="Z1461" s="46" t="s">
        <v>696</v>
      </c>
      <c r="AA1461" s="61">
        <v>20</v>
      </c>
      <c r="AB1461" s="62">
        <f t="shared" si="163"/>
        <v>4444.4444444444443</v>
      </c>
      <c r="AC1461" s="63">
        <f t="shared" si="164"/>
        <v>3.4650666666666665</v>
      </c>
      <c r="AD1461" s="62"/>
      <c r="AE1461" s="62">
        <f t="shared" si="161"/>
        <v>4444.4444444444443</v>
      </c>
      <c r="AF1461" s="64" t="s">
        <v>3954</v>
      </c>
      <c r="AG1461" s="49">
        <v>0.3</v>
      </c>
    </row>
    <row r="1462" spans="1:33" customFormat="1" ht="35.1" customHeight="1" x14ac:dyDescent="0.3">
      <c r="A1462" s="46">
        <v>2002</v>
      </c>
      <c r="B1462" s="46" t="s">
        <v>3955</v>
      </c>
      <c r="C1462" s="46" t="s">
        <v>101</v>
      </c>
      <c r="D1462" s="60">
        <v>2024</v>
      </c>
      <c r="E1462" s="60"/>
      <c r="F1462" s="46" t="s">
        <v>675</v>
      </c>
      <c r="G1462" s="46" t="s">
        <v>159</v>
      </c>
      <c r="H1462" s="46" t="s">
        <v>592</v>
      </c>
      <c r="I1462" s="46" t="s">
        <v>169</v>
      </c>
      <c r="J1462" s="46" t="s">
        <v>69</v>
      </c>
      <c r="K1462" s="46" t="s">
        <v>141</v>
      </c>
      <c r="L1462" s="46"/>
      <c r="M1462" s="46">
        <v>1</v>
      </c>
      <c r="N1462" s="46"/>
      <c r="O1462" s="46"/>
      <c r="P1462" s="46"/>
      <c r="Q1462" s="46"/>
      <c r="R1462" s="46"/>
      <c r="S1462" s="46"/>
      <c r="T1462" s="46"/>
      <c r="U1462" s="46"/>
      <c r="V1462" s="46"/>
      <c r="W1462" s="46"/>
      <c r="X1462" s="46"/>
      <c r="Y1462" s="46"/>
      <c r="Z1462" s="46" t="s">
        <v>3956</v>
      </c>
      <c r="AA1462" s="61">
        <f>IF(OR(G1462="ALK",G1462="PEM",G1462="SOEC",G1462="Other Electrolysis"),
AB1462*VLOOKUP(G1462,ElectrolysisConvF,3,FALSE),
"")</f>
        <v>34.63136832384177</v>
      </c>
      <c r="AB1462" s="62">
        <f>AC1462/(H2dens*HoursInYear/10^6)</f>
        <v>7695.8596275203945</v>
      </c>
      <c r="AC1462" s="63">
        <f>(3)/H2ProjectDB4578610[[#This Row],[Column33]]</f>
        <v>6</v>
      </c>
      <c r="AD1462" s="62"/>
      <c r="AE1462" s="62">
        <f t="shared" si="161"/>
        <v>7695.8596275203945</v>
      </c>
      <c r="AF1462" s="64" t="s">
        <v>3957</v>
      </c>
      <c r="AG1462" s="49">
        <v>0.5</v>
      </c>
    </row>
    <row r="1463" spans="1:33" customFormat="1" ht="35.1" customHeight="1" x14ac:dyDescent="0.3">
      <c r="A1463" s="46">
        <v>2003</v>
      </c>
      <c r="B1463" s="46" t="s">
        <v>3958</v>
      </c>
      <c r="C1463" s="46" t="s">
        <v>101</v>
      </c>
      <c r="D1463" s="60"/>
      <c r="E1463" s="60"/>
      <c r="F1463" s="46" t="s">
        <v>591</v>
      </c>
      <c r="G1463" s="46" t="s">
        <v>159</v>
      </c>
      <c r="H1463" s="46" t="s">
        <v>592</v>
      </c>
      <c r="I1463" s="46" t="s">
        <v>169</v>
      </c>
      <c r="J1463" s="46" t="s">
        <v>69</v>
      </c>
      <c r="K1463" s="46" t="s">
        <v>141</v>
      </c>
      <c r="L1463" s="46"/>
      <c r="M1463" s="46">
        <v>1</v>
      </c>
      <c r="N1463" s="46"/>
      <c r="O1463" s="46"/>
      <c r="P1463" s="46"/>
      <c r="Q1463" s="46"/>
      <c r="R1463" s="46"/>
      <c r="S1463" s="46"/>
      <c r="T1463" s="46"/>
      <c r="U1463" s="46"/>
      <c r="V1463" s="46"/>
      <c r="W1463" s="46"/>
      <c r="X1463" s="46"/>
      <c r="Y1463" s="46"/>
      <c r="Z1463" s="46" t="s">
        <v>3959</v>
      </c>
      <c r="AA1463" s="63">
        <f>IF(OR(G1463="ALK",G1463="PEM",G1463="SOEC",G1463="Other Electrolysis"),
AB1463*VLOOKUP(G1463,ElectrolysisConvF,3,FALSE),
"")</f>
        <v>1039.356792432226</v>
      </c>
      <c r="AB1463" s="62">
        <f>AC1463/(H2dens*HoursInYear/10^6)</f>
        <v>230968.17609605024</v>
      </c>
      <c r="AC1463" s="62">
        <f>(500*3/17/0.98)/H2ProjectDB4578610[[#This Row],[Column33]]</f>
        <v>180.0720288115246</v>
      </c>
      <c r="AD1463" s="62"/>
      <c r="AE1463" s="62">
        <f t="shared" si="161"/>
        <v>230968.17609605024</v>
      </c>
      <c r="AF1463" s="64" t="s">
        <v>3957</v>
      </c>
      <c r="AG1463" s="49">
        <v>0.5</v>
      </c>
    </row>
    <row r="1464" spans="1:33" customFormat="1" ht="35.1" customHeight="1" x14ac:dyDescent="0.3">
      <c r="A1464" s="46">
        <v>2004</v>
      </c>
      <c r="B1464" s="46" t="s">
        <v>3960</v>
      </c>
      <c r="C1464" s="46" t="s">
        <v>58</v>
      </c>
      <c r="D1464" s="60">
        <v>2027</v>
      </c>
      <c r="E1464" s="60"/>
      <c r="F1464" s="46" t="s">
        <v>225</v>
      </c>
      <c r="G1464" s="46" t="s">
        <v>159</v>
      </c>
      <c r="H1464" s="46" t="s">
        <v>592</v>
      </c>
      <c r="I1464" s="46" t="s">
        <v>169</v>
      </c>
      <c r="J1464" s="46" t="s">
        <v>69</v>
      </c>
      <c r="K1464" s="46" t="s">
        <v>68</v>
      </c>
      <c r="L1464" s="46"/>
      <c r="M1464" s="46"/>
      <c r="N1464" s="46"/>
      <c r="O1464" s="46"/>
      <c r="P1464" s="46"/>
      <c r="Q1464" s="46">
        <v>1</v>
      </c>
      <c r="R1464" s="46">
        <v>1</v>
      </c>
      <c r="S1464" s="46"/>
      <c r="T1464" s="46"/>
      <c r="U1464" s="46"/>
      <c r="V1464" s="46"/>
      <c r="W1464" s="46"/>
      <c r="X1464" s="46"/>
      <c r="Y1464" s="46"/>
      <c r="Z1464" s="46" t="s">
        <v>1257</v>
      </c>
      <c r="AA1464" s="61">
        <v>100</v>
      </c>
      <c r="AB1464" s="62">
        <f>IF(OR(G1464="ALK",G1464="PEM",G1464="SOEC",G1464="Other Electrolysis"),
AA1464/VLOOKUP(G1464,ElectrolysisConvF,3,FALSE),
AC1464*10^6/(H2dens*HoursInYear))</f>
        <v>22222.222222222223</v>
      </c>
      <c r="AC1464" s="63">
        <f>AB1464*H2dens*HoursInYear/10^6</f>
        <v>17.325333333333333</v>
      </c>
      <c r="AD1464" s="62"/>
      <c r="AE1464" s="62">
        <f t="shared" si="161"/>
        <v>22222.222222222223</v>
      </c>
      <c r="AF1464" s="64" t="s">
        <v>3961</v>
      </c>
      <c r="AG1464" s="49">
        <v>0.5</v>
      </c>
    </row>
    <row r="1465" spans="1:33" customFormat="1" ht="35.1" customHeight="1" x14ac:dyDescent="0.3">
      <c r="A1465" s="46">
        <v>2005</v>
      </c>
      <c r="B1465" s="46" t="s">
        <v>3962</v>
      </c>
      <c r="C1465" s="46" t="s">
        <v>36</v>
      </c>
      <c r="D1465" s="60">
        <v>2024</v>
      </c>
      <c r="E1465" s="60"/>
      <c r="F1465" s="46" t="s">
        <v>675</v>
      </c>
      <c r="G1465" s="46" t="s">
        <v>153</v>
      </c>
      <c r="H1465" s="46" t="s">
        <v>1715</v>
      </c>
      <c r="I1465" s="46"/>
      <c r="J1465" s="46"/>
      <c r="K1465" s="46" t="s">
        <v>68</v>
      </c>
      <c r="L1465" s="46"/>
      <c r="M1465" s="46"/>
      <c r="N1465" s="46"/>
      <c r="O1465" s="46"/>
      <c r="P1465" s="46"/>
      <c r="Q1465" s="46"/>
      <c r="R1465" s="46"/>
      <c r="S1465" s="46"/>
      <c r="T1465" s="46"/>
      <c r="U1465" s="46"/>
      <c r="V1465" s="46"/>
      <c r="W1465" s="46"/>
      <c r="X1465" s="46"/>
      <c r="Y1465" s="46"/>
      <c r="Z1465" s="46" t="s">
        <v>2887</v>
      </c>
      <c r="AA1465" s="61" t="str">
        <f>IF(OR(G1465="ALK",G1465="PEM",G1465="SOEC",G1465="Other Electrolysis"),
AB1465*VLOOKUP(G1465,ElectrolysisConvF,3,FALSE),
"")</f>
        <v/>
      </c>
      <c r="AB1465" s="62">
        <f>AC1465/(H2dens*HoursInYear/10^6)</f>
        <v>2565.286542506798</v>
      </c>
      <c r="AC1465" s="62">
        <v>2</v>
      </c>
      <c r="AD1465" s="62"/>
      <c r="AE1465" s="62">
        <f t="shared" si="161"/>
        <v>2565.286542506798</v>
      </c>
      <c r="AF1465" s="64" t="s">
        <v>3963</v>
      </c>
      <c r="AG1465" s="49">
        <v>0.9</v>
      </c>
    </row>
    <row r="1466" spans="1:33" customFormat="1" ht="35.1" customHeight="1" x14ac:dyDescent="0.3">
      <c r="A1466" s="46">
        <v>2006</v>
      </c>
      <c r="B1466" s="46" t="s">
        <v>3964</v>
      </c>
      <c r="C1466" s="46" t="s">
        <v>45</v>
      </c>
      <c r="D1466" s="60"/>
      <c r="E1466" s="60"/>
      <c r="F1466" s="46" t="s">
        <v>591</v>
      </c>
      <c r="G1466" s="46" t="s">
        <v>159</v>
      </c>
      <c r="H1466" s="46" t="s">
        <v>592</v>
      </c>
      <c r="I1466" s="46" t="s">
        <v>157</v>
      </c>
      <c r="J1466" s="46"/>
      <c r="K1466" s="46" t="s">
        <v>68</v>
      </c>
      <c r="L1466" s="46"/>
      <c r="M1466" s="46"/>
      <c r="N1466" s="46"/>
      <c r="O1466" s="46"/>
      <c r="P1466" s="46">
        <v>1</v>
      </c>
      <c r="Q1466" s="46">
        <v>1</v>
      </c>
      <c r="R1466" s="46"/>
      <c r="S1466" s="46"/>
      <c r="T1466" s="46"/>
      <c r="U1466" s="46"/>
      <c r="V1466" s="46"/>
      <c r="W1466" s="46"/>
      <c r="X1466" s="46"/>
      <c r="Y1466" s="46"/>
      <c r="Z1466" s="46" t="s">
        <v>3965</v>
      </c>
      <c r="AA1466" s="61">
        <v>15</v>
      </c>
      <c r="AB1466" s="62">
        <f t="shared" ref="AB1466:AB1471" si="165">IF(OR(G1466="ALK",G1466="PEM",G1466="SOEC",G1466="Other Electrolysis"),
AA1466/VLOOKUP(G1466,ElectrolysisConvF,3,FALSE),
AC1466*10^6/(H2dens*HoursInYear))</f>
        <v>3333.3333333333335</v>
      </c>
      <c r="AC1466" s="63">
        <f t="shared" ref="AC1466:AC1471" si="166">AB1466*H2dens*HoursInYear/10^6</f>
        <v>2.5988000000000002</v>
      </c>
      <c r="AD1466" s="62"/>
      <c r="AE1466" s="62">
        <f t="shared" si="161"/>
        <v>3333.3333333333335</v>
      </c>
      <c r="AF1466" s="77" t="s">
        <v>2684</v>
      </c>
      <c r="AG1466" s="49">
        <v>0.56999999999999995</v>
      </c>
    </row>
    <row r="1467" spans="1:33" customFormat="1" ht="35.1" customHeight="1" x14ac:dyDescent="0.3">
      <c r="A1467" s="46">
        <v>2007</v>
      </c>
      <c r="B1467" s="46" t="s">
        <v>3966</v>
      </c>
      <c r="C1467" s="46" t="s">
        <v>39</v>
      </c>
      <c r="D1467" s="60">
        <v>2024</v>
      </c>
      <c r="E1467" s="60"/>
      <c r="F1467" s="46" t="s">
        <v>675</v>
      </c>
      <c r="G1467" s="46" t="s">
        <v>1</v>
      </c>
      <c r="H1467" s="46"/>
      <c r="I1467" s="46" t="s">
        <v>169</v>
      </c>
      <c r="J1467" s="46" t="s">
        <v>244</v>
      </c>
      <c r="K1467" s="46" t="s">
        <v>68</v>
      </c>
      <c r="L1467" s="46"/>
      <c r="M1467" s="46"/>
      <c r="N1467" s="46"/>
      <c r="O1467" s="46"/>
      <c r="P1467" s="46"/>
      <c r="Q1467" s="46">
        <v>1</v>
      </c>
      <c r="R1467" s="46"/>
      <c r="S1467" s="46"/>
      <c r="T1467" s="46"/>
      <c r="U1467" s="46"/>
      <c r="V1467" s="46"/>
      <c r="W1467" s="46"/>
      <c r="X1467" s="46"/>
      <c r="Y1467" s="46"/>
      <c r="Z1467" s="46" t="s">
        <v>3607</v>
      </c>
      <c r="AA1467" s="61">
        <v>10</v>
      </c>
      <c r="AB1467" s="62">
        <f t="shared" si="165"/>
        <v>1923.0769230769231</v>
      </c>
      <c r="AC1467" s="63">
        <f t="shared" si="166"/>
        <v>1.4993076923076922</v>
      </c>
      <c r="AD1467" s="62"/>
      <c r="AE1467" s="62">
        <f t="shared" si="161"/>
        <v>1923.0769230769231</v>
      </c>
      <c r="AF1467" s="64" t="s">
        <v>3967</v>
      </c>
      <c r="AG1467" s="49">
        <v>0.3</v>
      </c>
    </row>
    <row r="1468" spans="1:33" customFormat="1" ht="35.1" customHeight="1" x14ac:dyDescent="0.3">
      <c r="A1468" s="46">
        <v>2008</v>
      </c>
      <c r="B1468" s="46" t="s">
        <v>3968</v>
      </c>
      <c r="C1468" s="46" t="s">
        <v>39</v>
      </c>
      <c r="D1468" s="60">
        <v>2028</v>
      </c>
      <c r="E1468" s="60"/>
      <c r="F1468" s="46" t="s">
        <v>591</v>
      </c>
      <c r="G1468" s="46" t="s">
        <v>3</v>
      </c>
      <c r="H1468" s="46"/>
      <c r="I1468" s="46" t="s">
        <v>169</v>
      </c>
      <c r="J1468" s="46" t="s">
        <v>248</v>
      </c>
      <c r="K1468" s="46" t="s">
        <v>68</v>
      </c>
      <c r="L1468" s="46"/>
      <c r="M1468" s="46"/>
      <c r="N1468" s="46"/>
      <c r="O1468" s="46"/>
      <c r="P1468" s="46"/>
      <c r="Q1468" s="46"/>
      <c r="R1468" s="46"/>
      <c r="S1468" s="46"/>
      <c r="T1468" s="46"/>
      <c r="U1468" s="46"/>
      <c r="V1468" s="46"/>
      <c r="W1468" s="46"/>
      <c r="X1468" s="46"/>
      <c r="Y1468" s="46"/>
      <c r="Z1468" s="46" t="s">
        <v>3969</v>
      </c>
      <c r="AA1468" s="61">
        <v>300</v>
      </c>
      <c r="AB1468" s="62">
        <f t="shared" si="165"/>
        <v>65217.391304347824</v>
      </c>
      <c r="AC1468" s="63">
        <f t="shared" si="166"/>
        <v>50.846086956521738</v>
      </c>
      <c r="AD1468" s="62"/>
      <c r="AE1468" s="62">
        <f t="shared" si="161"/>
        <v>65217.391304347824</v>
      </c>
      <c r="AF1468" s="64" t="s">
        <v>3967</v>
      </c>
      <c r="AG1468" s="49">
        <v>0.5</v>
      </c>
    </row>
    <row r="1469" spans="1:33" customFormat="1" ht="35.1" customHeight="1" x14ac:dyDescent="0.3">
      <c r="A1469" s="46">
        <v>2009</v>
      </c>
      <c r="B1469" s="46" t="s">
        <v>3970</v>
      </c>
      <c r="C1469" s="46" t="s">
        <v>39</v>
      </c>
      <c r="D1469" s="60">
        <v>2028</v>
      </c>
      <c r="E1469" s="60"/>
      <c r="F1469" s="46" t="s">
        <v>591</v>
      </c>
      <c r="G1469" s="46" t="s">
        <v>3</v>
      </c>
      <c r="H1469" s="46"/>
      <c r="I1469" s="46" t="s">
        <v>169</v>
      </c>
      <c r="J1469" s="46" t="s">
        <v>248</v>
      </c>
      <c r="K1469" s="46" t="s">
        <v>68</v>
      </c>
      <c r="L1469" s="46"/>
      <c r="M1469" s="46"/>
      <c r="N1469" s="46"/>
      <c r="O1469" s="46"/>
      <c r="P1469" s="46"/>
      <c r="Q1469" s="46"/>
      <c r="R1469" s="46"/>
      <c r="S1469" s="46"/>
      <c r="T1469" s="46"/>
      <c r="U1469" s="46"/>
      <c r="V1469" s="46"/>
      <c r="W1469" s="46"/>
      <c r="X1469" s="46"/>
      <c r="Y1469" s="46"/>
      <c r="Z1469" s="46" t="s">
        <v>3969</v>
      </c>
      <c r="AA1469" s="61">
        <v>300</v>
      </c>
      <c r="AB1469" s="62">
        <f t="shared" si="165"/>
        <v>65217.391304347824</v>
      </c>
      <c r="AC1469" s="63">
        <f t="shared" si="166"/>
        <v>50.846086956521738</v>
      </c>
      <c r="AD1469" s="62"/>
      <c r="AE1469" s="62">
        <f t="shared" si="161"/>
        <v>65217.391304347824</v>
      </c>
      <c r="AF1469" s="64" t="s">
        <v>3967</v>
      </c>
      <c r="AG1469" s="49">
        <v>0.5</v>
      </c>
    </row>
    <row r="1470" spans="1:33" customFormat="1" ht="35.1" customHeight="1" x14ac:dyDescent="0.3">
      <c r="A1470" s="46">
        <v>2010</v>
      </c>
      <c r="B1470" s="46" t="s">
        <v>3971</v>
      </c>
      <c r="C1470" s="46" t="s">
        <v>45</v>
      </c>
      <c r="D1470" s="60">
        <v>2025</v>
      </c>
      <c r="E1470" s="60"/>
      <c r="F1470" s="46" t="s">
        <v>225</v>
      </c>
      <c r="G1470" s="46" t="s">
        <v>1</v>
      </c>
      <c r="H1470" s="46"/>
      <c r="I1470" s="46" t="s">
        <v>169</v>
      </c>
      <c r="J1470" s="46" t="s">
        <v>248</v>
      </c>
      <c r="K1470" s="46" t="s">
        <v>68</v>
      </c>
      <c r="L1470" s="46"/>
      <c r="M1470" s="46"/>
      <c r="N1470" s="46"/>
      <c r="O1470" s="46"/>
      <c r="P1470" s="46">
        <v>1</v>
      </c>
      <c r="Q1470" s="46">
        <v>1</v>
      </c>
      <c r="R1470" s="46"/>
      <c r="S1470" s="46"/>
      <c r="T1470" s="46"/>
      <c r="U1470" s="46"/>
      <c r="V1470" s="46"/>
      <c r="W1470" s="46"/>
      <c r="X1470" s="46"/>
      <c r="Y1470" s="46"/>
      <c r="Z1470" s="46" t="s">
        <v>1161</v>
      </c>
      <c r="AA1470" s="61">
        <v>25</v>
      </c>
      <c r="AB1470" s="62">
        <f t="shared" si="165"/>
        <v>4807.6923076923076</v>
      </c>
      <c r="AC1470" s="63">
        <f t="shared" si="166"/>
        <v>3.7482692307692305</v>
      </c>
      <c r="AD1470" s="62"/>
      <c r="AE1470" s="62">
        <f t="shared" si="161"/>
        <v>4807.6923076923076</v>
      </c>
      <c r="AF1470" s="64" t="s">
        <v>3967</v>
      </c>
      <c r="AG1470" s="49">
        <v>0.5</v>
      </c>
    </row>
    <row r="1471" spans="1:33" customFormat="1" ht="35.1" customHeight="1" x14ac:dyDescent="0.3">
      <c r="A1471" s="46">
        <v>2011</v>
      </c>
      <c r="B1471" s="46" t="s">
        <v>3972</v>
      </c>
      <c r="C1471" s="46" t="s">
        <v>53</v>
      </c>
      <c r="D1471" s="60"/>
      <c r="E1471" s="60"/>
      <c r="F1471" s="46" t="s">
        <v>225</v>
      </c>
      <c r="G1471" s="46" t="s">
        <v>3</v>
      </c>
      <c r="H1471" s="46"/>
      <c r="I1471" s="46" t="s">
        <v>169</v>
      </c>
      <c r="J1471" s="46" t="s">
        <v>248</v>
      </c>
      <c r="K1471" s="46" t="s">
        <v>68</v>
      </c>
      <c r="L1471" s="46"/>
      <c r="M1471" s="46"/>
      <c r="N1471" s="46"/>
      <c r="O1471" s="46"/>
      <c r="P1471" s="46"/>
      <c r="Q1471" s="46"/>
      <c r="R1471" s="46"/>
      <c r="S1471" s="46"/>
      <c r="T1471" s="46"/>
      <c r="U1471" s="46"/>
      <c r="V1471" s="46"/>
      <c r="W1471" s="46"/>
      <c r="X1471" s="46"/>
      <c r="Y1471" s="46"/>
      <c r="Z1471" s="46" t="s">
        <v>3973</v>
      </c>
      <c r="AA1471" s="61">
        <v>600</v>
      </c>
      <c r="AB1471" s="62">
        <f t="shared" si="165"/>
        <v>130434.78260869565</v>
      </c>
      <c r="AC1471" s="63">
        <f t="shared" si="166"/>
        <v>101.69217391304348</v>
      </c>
      <c r="AD1471" s="62"/>
      <c r="AE1471" s="62">
        <f t="shared" si="161"/>
        <v>130434.78260869565</v>
      </c>
      <c r="AF1471" s="64"/>
      <c r="AG1471" s="49">
        <v>0.5</v>
      </c>
    </row>
    <row r="1472" spans="1:33" customFormat="1" ht="35.1" customHeight="1" x14ac:dyDescent="0.3">
      <c r="A1472" s="46">
        <v>2012</v>
      </c>
      <c r="B1472" s="46" t="s">
        <v>3974</v>
      </c>
      <c r="C1472" s="46" t="s">
        <v>83</v>
      </c>
      <c r="D1472" s="60"/>
      <c r="E1472" s="60"/>
      <c r="F1472" s="46" t="s">
        <v>225</v>
      </c>
      <c r="G1472" s="46" t="s">
        <v>159</v>
      </c>
      <c r="H1472" s="46" t="s">
        <v>592</v>
      </c>
      <c r="I1472" s="46" t="s">
        <v>169</v>
      </c>
      <c r="J1472" s="46" t="s">
        <v>248</v>
      </c>
      <c r="K1472" s="46" t="s">
        <v>141</v>
      </c>
      <c r="L1472" s="46"/>
      <c r="M1472" s="46">
        <v>1</v>
      </c>
      <c r="N1472" s="46"/>
      <c r="O1472" s="46"/>
      <c r="P1472" s="46"/>
      <c r="Q1472" s="46"/>
      <c r="R1472" s="46"/>
      <c r="S1472" s="46"/>
      <c r="T1472" s="46"/>
      <c r="U1472" s="46"/>
      <c r="V1472" s="46"/>
      <c r="W1472" s="46"/>
      <c r="X1472" s="46"/>
      <c r="Y1472" s="46"/>
      <c r="Z1472" s="46" t="s">
        <v>3975</v>
      </c>
      <c r="AA1472" s="63">
        <f>IF(OR(G1472="ALK",G1472="PEM",G1472="SOEC",G1472="Other Electrolysis"),
AB1472*VLOOKUP(G1472,ElectrolysisConvF,3,FALSE),
"")</f>
        <v>259.83919810805651</v>
      </c>
      <c r="AB1472" s="62">
        <f>AC1472/(H2dens*HoursInYear/10^6)</f>
        <v>57742.044024012561</v>
      </c>
      <c r="AC1472" s="62">
        <f>(125*3/17/0.98)/H2ProjectDB4578610[[#This Row],[Column33]]</f>
        <v>45.018007202881151</v>
      </c>
      <c r="AD1472" s="62"/>
      <c r="AE1472" s="62">
        <f t="shared" si="161"/>
        <v>57742.044024012561</v>
      </c>
      <c r="AF1472" s="64" t="s">
        <v>3976</v>
      </c>
      <c r="AG1472" s="49">
        <v>0.5</v>
      </c>
    </row>
    <row r="1473" spans="1:33" customFormat="1" ht="35.1" customHeight="1" x14ac:dyDescent="0.3">
      <c r="A1473" s="46">
        <v>2013</v>
      </c>
      <c r="B1473" s="46" t="s">
        <v>3977</v>
      </c>
      <c r="C1473" s="46" t="s">
        <v>37</v>
      </c>
      <c r="D1473" s="60"/>
      <c r="E1473" s="60"/>
      <c r="F1473" s="46" t="s">
        <v>285</v>
      </c>
      <c r="G1473" s="46" t="s">
        <v>153</v>
      </c>
      <c r="H1473" s="46" t="s">
        <v>3978</v>
      </c>
      <c r="I1473" s="46"/>
      <c r="J1473" s="46"/>
      <c r="K1473" s="46" t="s">
        <v>68</v>
      </c>
      <c r="L1473" s="46"/>
      <c r="M1473" s="46"/>
      <c r="N1473" s="46"/>
      <c r="O1473" s="46"/>
      <c r="P1473" s="46"/>
      <c r="Q1473" s="46"/>
      <c r="R1473" s="46"/>
      <c r="S1473" s="46"/>
      <c r="T1473" s="46"/>
      <c r="U1473" s="46"/>
      <c r="V1473" s="46"/>
      <c r="W1473" s="46"/>
      <c r="X1473" s="46"/>
      <c r="Y1473" s="46"/>
      <c r="Z1473" s="46"/>
      <c r="AA1473" s="61" t="str">
        <f>IF(OR(G1473="ALK",G1473="PEM",G1473="SOEC",G1473="Other Electrolysis"),
AB1473*VLOOKUP(G1473,ElectrolysisConvF,3,FALSE),
"")</f>
        <v/>
      </c>
      <c r="AB1473" s="62"/>
      <c r="AC1473" s="62"/>
      <c r="AD1473" s="62"/>
      <c r="AE1473" s="62">
        <f t="shared" si="161"/>
        <v>0</v>
      </c>
      <c r="AF1473" s="64" t="s">
        <v>3979</v>
      </c>
      <c r="AG1473" s="49">
        <v>0.9</v>
      </c>
    </row>
    <row r="1474" spans="1:33" customFormat="1" ht="35.1" customHeight="1" x14ac:dyDescent="0.3">
      <c r="A1474" s="46">
        <v>2014</v>
      </c>
      <c r="B1474" s="46" t="s">
        <v>3980</v>
      </c>
      <c r="C1474" s="46" t="s">
        <v>37</v>
      </c>
      <c r="D1474" s="60"/>
      <c r="E1474" s="60"/>
      <c r="F1474" s="46" t="s">
        <v>225</v>
      </c>
      <c r="G1474" s="46" t="s">
        <v>153</v>
      </c>
      <c r="H1474" s="46" t="s">
        <v>3978</v>
      </c>
      <c r="I1474" s="46"/>
      <c r="J1474" s="46"/>
      <c r="K1474" s="46" t="s">
        <v>68</v>
      </c>
      <c r="L1474" s="46"/>
      <c r="M1474" s="46"/>
      <c r="N1474" s="46"/>
      <c r="O1474" s="46"/>
      <c r="P1474" s="46"/>
      <c r="Q1474" s="46"/>
      <c r="R1474" s="46"/>
      <c r="S1474" s="46"/>
      <c r="T1474" s="46"/>
      <c r="U1474" s="46"/>
      <c r="V1474" s="46"/>
      <c r="W1474" s="46"/>
      <c r="X1474" s="46"/>
      <c r="Y1474" s="46"/>
      <c r="Z1474" s="46" t="s">
        <v>3981</v>
      </c>
      <c r="AA1474" s="61" t="str">
        <f>IF(OR(G1474="ALK",G1474="PEM",G1474="SOEC",G1474="Other Electrolysis"),
AB1474*VLOOKUP(G1474,ElectrolysisConvF,3,FALSE),
"")</f>
        <v/>
      </c>
      <c r="AB1474" s="62">
        <f>AC1474/(H2dens*HoursInYear/10^6)</f>
        <v>234082.39700374534</v>
      </c>
      <c r="AC1474" s="62">
        <f>0.5*365</f>
        <v>182.5</v>
      </c>
      <c r="AD1474" s="62"/>
      <c r="AE1474" s="62">
        <f t="shared" si="161"/>
        <v>234082.39700374534</v>
      </c>
      <c r="AF1474" s="64" t="s">
        <v>3979</v>
      </c>
      <c r="AG1474" s="49">
        <v>0.9</v>
      </c>
    </row>
    <row r="1475" spans="1:33" customFormat="1" ht="35.1" customHeight="1" x14ac:dyDescent="0.3">
      <c r="A1475" s="46">
        <v>2015</v>
      </c>
      <c r="B1475" s="46" t="s">
        <v>3982</v>
      </c>
      <c r="C1475" s="46" t="s">
        <v>36</v>
      </c>
      <c r="D1475" s="60">
        <v>2030</v>
      </c>
      <c r="E1475" s="60"/>
      <c r="F1475" s="46" t="s">
        <v>225</v>
      </c>
      <c r="G1475" s="46" t="s">
        <v>1</v>
      </c>
      <c r="H1475" s="46"/>
      <c r="I1475" s="46" t="s">
        <v>166</v>
      </c>
      <c r="J1475" s="46"/>
      <c r="K1475" s="46" t="s">
        <v>141</v>
      </c>
      <c r="L1475" s="46"/>
      <c r="M1475" s="46">
        <v>1</v>
      </c>
      <c r="N1475" s="46"/>
      <c r="O1475" s="46"/>
      <c r="P1475" s="46"/>
      <c r="Q1475" s="46"/>
      <c r="R1475" s="46"/>
      <c r="S1475" s="46"/>
      <c r="T1475" s="46"/>
      <c r="U1475" s="46"/>
      <c r="V1475" s="46"/>
      <c r="W1475" s="46"/>
      <c r="X1475" s="46"/>
      <c r="Y1475" s="46"/>
      <c r="Z1475" s="46" t="s">
        <v>672</v>
      </c>
      <c r="AA1475" s="61">
        <v>1000</v>
      </c>
      <c r="AB1475" s="62">
        <f t="shared" ref="AB1475:AB1489" si="167">IF(OR(G1475="ALK",G1475="PEM",G1475="SOEC",G1475="Other Electrolysis"),
AA1475/VLOOKUP(G1475,ElectrolysisConvF,3,FALSE),
AC1475*10^6/(H2dens*HoursInYear))</f>
        <v>192307.69230769231</v>
      </c>
      <c r="AC1475" s="63">
        <f t="shared" ref="AC1475:AC1489" si="168">AB1475*H2dens*HoursInYear/10^6</f>
        <v>149.93076923076922</v>
      </c>
      <c r="AD1475" s="62"/>
      <c r="AE1475" s="62">
        <f t="shared" si="161"/>
        <v>192307.69230769231</v>
      </c>
      <c r="AF1475" s="64" t="s">
        <v>3983</v>
      </c>
      <c r="AG1475" s="49">
        <v>0.56999999999999995</v>
      </c>
    </row>
    <row r="1476" spans="1:33" customFormat="1" ht="35.1" customHeight="1" x14ac:dyDescent="0.3">
      <c r="A1476" s="46">
        <v>2016</v>
      </c>
      <c r="B1476" s="46" t="s">
        <v>3984</v>
      </c>
      <c r="C1476" s="46" t="s">
        <v>36</v>
      </c>
      <c r="D1476" s="60">
        <v>2030</v>
      </c>
      <c r="E1476" s="60"/>
      <c r="F1476" s="46" t="s">
        <v>225</v>
      </c>
      <c r="G1476" s="46" t="s">
        <v>1</v>
      </c>
      <c r="H1476" s="46"/>
      <c r="I1476" s="46" t="s">
        <v>166</v>
      </c>
      <c r="J1476" s="46"/>
      <c r="K1476" s="46" t="s">
        <v>68</v>
      </c>
      <c r="L1476" s="46"/>
      <c r="M1476" s="46"/>
      <c r="N1476" s="46"/>
      <c r="O1476" s="46">
        <v>1</v>
      </c>
      <c r="P1476" s="46"/>
      <c r="Q1476" s="46"/>
      <c r="R1476" s="46"/>
      <c r="S1476" s="46"/>
      <c r="T1476" s="46"/>
      <c r="U1476" s="46"/>
      <c r="V1476" s="46"/>
      <c r="W1476" s="46"/>
      <c r="X1476" s="46"/>
      <c r="Y1476" s="46"/>
      <c r="Z1476" s="46" t="s">
        <v>672</v>
      </c>
      <c r="AA1476" s="61">
        <v>1000</v>
      </c>
      <c r="AB1476" s="62">
        <f t="shared" si="167"/>
        <v>192307.69230769231</v>
      </c>
      <c r="AC1476" s="63">
        <f t="shared" si="168"/>
        <v>149.93076923076922</v>
      </c>
      <c r="AD1476" s="62"/>
      <c r="AE1476" s="62">
        <f t="shared" si="161"/>
        <v>192307.69230769231</v>
      </c>
      <c r="AF1476" s="64" t="s">
        <v>3983</v>
      </c>
      <c r="AG1476" s="49">
        <v>0.56999999999999995</v>
      </c>
    </row>
    <row r="1477" spans="1:33" customFormat="1" ht="35.1" customHeight="1" x14ac:dyDescent="0.3">
      <c r="A1477" s="46">
        <v>2017</v>
      </c>
      <c r="B1477" s="46" t="s">
        <v>3985</v>
      </c>
      <c r="C1477" s="46" t="s">
        <v>36</v>
      </c>
      <c r="D1477" s="60">
        <v>2030</v>
      </c>
      <c r="E1477" s="60"/>
      <c r="F1477" s="46" t="s">
        <v>225</v>
      </c>
      <c r="G1477" s="46" t="s">
        <v>1</v>
      </c>
      <c r="H1477" s="46"/>
      <c r="I1477" s="46" t="s">
        <v>166</v>
      </c>
      <c r="J1477" s="46"/>
      <c r="K1477" s="46" t="s">
        <v>68</v>
      </c>
      <c r="L1477" s="46"/>
      <c r="M1477" s="46"/>
      <c r="N1477" s="46"/>
      <c r="O1477" s="46"/>
      <c r="P1477" s="46"/>
      <c r="Q1477" s="46">
        <v>1</v>
      </c>
      <c r="R1477" s="46"/>
      <c r="S1477" s="46"/>
      <c r="T1477" s="46"/>
      <c r="U1477" s="46"/>
      <c r="V1477" s="46"/>
      <c r="W1477" s="46"/>
      <c r="X1477" s="46"/>
      <c r="Y1477" s="46"/>
      <c r="Z1477" s="46" t="s">
        <v>1691</v>
      </c>
      <c r="AA1477" s="61">
        <v>200</v>
      </c>
      <c r="AB1477" s="62">
        <f t="shared" si="167"/>
        <v>38461.538461538461</v>
      </c>
      <c r="AC1477" s="63">
        <f t="shared" si="168"/>
        <v>29.986153846153844</v>
      </c>
      <c r="AD1477" s="62"/>
      <c r="AE1477" s="62">
        <f t="shared" si="161"/>
        <v>38461.538461538461</v>
      </c>
      <c r="AF1477" s="64" t="s">
        <v>3983</v>
      </c>
      <c r="AG1477" s="49">
        <v>0.56999999999999995</v>
      </c>
    </row>
    <row r="1478" spans="1:33" customFormat="1" ht="35.1" customHeight="1" x14ac:dyDescent="0.3">
      <c r="A1478" s="46">
        <v>2018</v>
      </c>
      <c r="B1478" s="46" t="s">
        <v>3986</v>
      </c>
      <c r="C1478" s="46" t="s">
        <v>321</v>
      </c>
      <c r="D1478" s="60"/>
      <c r="E1478" s="60"/>
      <c r="F1478" s="46" t="s">
        <v>225</v>
      </c>
      <c r="G1478" s="46" t="s">
        <v>159</v>
      </c>
      <c r="H1478" s="46" t="s">
        <v>592</v>
      </c>
      <c r="I1478" s="46" t="s">
        <v>169</v>
      </c>
      <c r="J1478" s="46" t="s">
        <v>69</v>
      </c>
      <c r="K1478" s="46" t="s">
        <v>68</v>
      </c>
      <c r="L1478" s="46"/>
      <c r="M1478" s="46"/>
      <c r="N1478" s="46"/>
      <c r="O1478" s="46"/>
      <c r="P1478" s="46"/>
      <c r="Q1478" s="46"/>
      <c r="R1478" s="46"/>
      <c r="S1478" s="46"/>
      <c r="T1478" s="46"/>
      <c r="U1478" s="46"/>
      <c r="V1478" s="46"/>
      <c r="W1478" s="46"/>
      <c r="X1478" s="46"/>
      <c r="Y1478" s="46"/>
      <c r="Z1478" s="46" t="s">
        <v>1396</v>
      </c>
      <c r="AA1478" s="61">
        <v>5</v>
      </c>
      <c r="AB1478" s="62">
        <f t="shared" si="167"/>
        <v>1111.1111111111111</v>
      </c>
      <c r="AC1478" s="63">
        <f t="shared" si="168"/>
        <v>0.86626666666666663</v>
      </c>
      <c r="AD1478" s="62"/>
      <c r="AE1478" s="62">
        <f t="shared" si="161"/>
        <v>1111.1111111111111</v>
      </c>
      <c r="AF1478" s="64" t="s">
        <v>3987</v>
      </c>
      <c r="AG1478" s="49">
        <v>0.5</v>
      </c>
    </row>
    <row r="1479" spans="1:33" customFormat="1" ht="35.1" customHeight="1" x14ac:dyDescent="0.3">
      <c r="A1479" s="46">
        <v>2019</v>
      </c>
      <c r="B1479" s="46" t="s">
        <v>3988</v>
      </c>
      <c r="C1479" s="46" t="s">
        <v>321</v>
      </c>
      <c r="D1479" s="60"/>
      <c r="E1479" s="60"/>
      <c r="F1479" s="46" t="s">
        <v>591</v>
      </c>
      <c r="G1479" s="46" t="s">
        <v>159</v>
      </c>
      <c r="H1479" s="46" t="s">
        <v>592</v>
      </c>
      <c r="I1479" s="46" t="s">
        <v>169</v>
      </c>
      <c r="J1479" s="46" t="s">
        <v>69</v>
      </c>
      <c r="K1479" s="46" t="s">
        <v>68</v>
      </c>
      <c r="L1479" s="46"/>
      <c r="M1479" s="46"/>
      <c r="N1479" s="46"/>
      <c r="O1479" s="46"/>
      <c r="P1479" s="46"/>
      <c r="Q1479" s="46"/>
      <c r="R1479" s="46"/>
      <c r="S1479" s="46"/>
      <c r="T1479" s="46"/>
      <c r="U1479" s="46"/>
      <c r="V1479" s="46"/>
      <c r="W1479" s="46"/>
      <c r="X1479" s="46"/>
      <c r="Y1479" s="46"/>
      <c r="Z1479" s="46" t="s">
        <v>981</v>
      </c>
      <c r="AA1479" s="61">
        <v>15</v>
      </c>
      <c r="AB1479" s="62">
        <f t="shared" si="167"/>
        <v>3333.3333333333335</v>
      </c>
      <c r="AC1479" s="63">
        <f t="shared" si="168"/>
        <v>2.5988000000000002</v>
      </c>
      <c r="AD1479" s="62"/>
      <c r="AE1479" s="62">
        <f t="shared" si="161"/>
        <v>3333.3333333333335</v>
      </c>
      <c r="AF1479" s="64" t="s">
        <v>3987</v>
      </c>
      <c r="AG1479" s="49">
        <v>0.5</v>
      </c>
    </row>
    <row r="1480" spans="1:33" customFormat="1" ht="35.1" customHeight="1" x14ac:dyDescent="0.3">
      <c r="A1480" s="46">
        <v>2020</v>
      </c>
      <c r="B1480" s="46" t="s">
        <v>3989</v>
      </c>
      <c r="C1480" s="46" t="s">
        <v>321</v>
      </c>
      <c r="D1480" s="60"/>
      <c r="E1480" s="60"/>
      <c r="F1480" s="46" t="s">
        <v>225</v>
      </c>
      <c r="G1480" s="46" t="s">
        <v>159</v>
      </c>
      <c r="H1480" s="46" t="s">
        <v>592</v>
      </c>
      <c r="I1480" s="46" t="s">
        <v>169</v>
      </c>
      <c r="J1480" s="46" t="s">
        <v>69</v>
      </c>
      <c r="K1480" s="46" t="s">
        <v>68</v>
      </c>
      <c r="L1480" s="46"/>
      <c r="M1480" s="46"/>
      <c r="N1480" s="46"/>
      <c r="O1480" s="46"/>
      <c r="P1480" s="46">
        <v>1</v>
      </c>
      <c r="Q1480" s="46">
        <v>1</v>
      </c>
      <c r="R1480" s="46"/>
      <c r="S1480" s="46"/>
      <c r="T1480" s="46"/>
      <c r="U1480" s="46"/>
      <c r="V1480" s="46"/>
      <c r="W1480" s="46"/>
      <c r="X1480" s="46"/>
      <c r="Y1480" s="46"/>
      <c r="Z1480" s="46" t="s">
        <v>1168</v>
      </c>
      <c r="AA1480" s="61">
        <v>10</v>
      </c>
      <c r="AB1480" s="62">
        <f t="shared" si="167"/>
        <v>2222.2222222222222</v>
      </c>
      <c r="AC1480" s="63">
        <f t="shared" si="168"/>
        <v>1.7325333333333333</v>
      </c>
      <c r="AD1480" s="62"/>
      <c r="AE1480" s="62">
        <f t="shared" si="161"/>
        <v>2222.2222222222222</v>
      </c>
      <c r="AF1480" s="64" t="s">
        <v>3987</v>
      </c>
      <c r="AG1480" s="49">
        <v>0.5</v>
      </c>
    </row>
    <row r="1481" spans="1:33" customFormat="1" ht="35.1" customHeight="1" x14ac:dyDescent="0.3">
      <c r="A1481" s="46">
        <v>2021</v>
      </c>
      <c r="B1481" s="46" t="s">
        <v>3990</v>
      </c>
      <c r="C1481" s="46" t="s">
        <v>321</v>
      </c>
      <c r="D1481" s="60"/>
      <c r="E1481" s="60"/>
      <c r="F1481" s="46" t="s">
        <v>225</v>
      </c>
      <c r="G1481" s="46" t="s">
        <v>159</v>
      </c>
      <c r="H1481" s="46" t="s">
        <v>592</v>
      </c>
      <c r="I1481" s="46" t="s">
        <v>169</v>
      </c>
      <c r="J1481" s="46" t="s">
        <v>69</v>
      </c>
      <c r="K1481" s="46" t="s">
        <v>68</v>
      </c>
      <c r="L1481" s="46"/>
      <c r="M1481" s="46"/>
      <c r="N1481" s="46"/>
      <c r="O1481" s="46"/>
      <c r="P1481" s="46"/>
      <c r="Q1481" s="46">
        <v>1</v>
      </c>
      <c r="R1481" s="46"/>
      <c r="S1481" s="46"/>
      <c r="T1481" s="46"/>
      <c r="U1481" s="46"/>
      <c r="V1481" s="46"/>
      <c r="W1481" s="46"/>
      <c r="X1481" s="46"/>
      <c r="Y1481" s="46"/>
      <c r="Z1481" s="46" t="s">
        <v>981</v>
      </c>
      <c r="AA1481" s="61">
        <v>20</v>
      </c>
      <c r="AB1481" s="62">
        <f t="shared" si="167"/>
        <v>4444.4444444444443</v>
      </c>
      <c r="AC1481" s="63">
        <f t="shared" si="168"/>
        <v>3.4650666666666665</v>
      </c>
      <c r="AD1481" s="62"/>
      <c r="AE1481" s="62">
        <f t="shared" si="161"/>
        <v>4444.4444444444443</v>
      </c>
      <c r="AF1481" s="64" t="s">
        <v>3991</v>
      </c>
      <c r="AG1481" s="49">
        <v>0.5</v>
      </c>
    </row>
    <row r="1482" spans="1:33" customFormat="1" ht="35.1" customHeight="1" x14ac:dyDescent="0.3">
      <c r="A1482" s="46">
        <v>2022</v>
      </c>
      <c r="B1482" s="46" t="s">
        <v>3992</v>
      </c>
      <c r="C1482" s="46" t="s">
        <v>321</v>
      </c>
      <c r="D1482" s="60"/>
      <c r="E1482" s="60"/>
      <c r="F1482" s="46" t="s">
        <v>225</v>
      </c>
      <c r="G1482" s="46" t="s">
        <v>159</v>
      </c>
      <c r="H1482" s="46" t="s">
        <v>592</v>
      </c>
      <c r="I1482" s="46" t="s">
        <v>169</v>
      </c>
      <c r="J1482" s="46" t="s">
        <v>69</v>
      </c>
      <c r="K1482" s="46" t="s">
        <v>68</v>
      </c>
      <c r="L1482" s="46"/>
      <c r="M1482" s="46"/>
      <c r="N1482" s="46"/>
      <c r="O1482" s="46"/>
      <c r="P1482" s="46">
        <v>1</v>
      </c>
      <c r="Q1482" s="46"/>
      <c r="R1482" s="46"/>
      <c r="S1482" s="46"/>
      <c r="T1482" s="46"/>
      <c r="U1482" s="46"/>
      <c r="V1482" s="46"/>
      <c r="W1482" s="46"/>
      <c r="X1482" s="46"/>
      <c r="Y1482" s="46"/>
      <c r="Z1482" s="46" t="s">
        <v>1379</v>
      </c>
      <c r="AA1482" s="61">
        <v>15</v>
      </c>
      <c r="AB1482" s="62">
        <f t="shared" si="167"/>
        <v>3333.3333333333335</v>
      </c>
      <c r="AC1482" s="63">
        <f t="shared" si="168"/>
        <v>2.5988000000000002</v>
      </c>
      <c r="AD1482" s="62"/>
      <c r="AE1482" s="62">
        <f t="shared" ref="AE1482:AE1499" si="169">IF(AND(G1482&lt;&gt;"NG w CCUS",G1482&lt;&gt;"Oil w CCUS",G1482&lt;&gt;"Coal w CCUS"),AB1482,AD1482*10^3/(HoursInYear*IF(G1482="NG w CCUS",0.9105,1.9075)))</f>
        <v>3333.3333333333335</v>
      </c>
      <c r="AF1482" s="64" t="s">
        <v>3987</v>
      </c>
      <c r="AG1482" s="49">
        <v>0.5</v>
      </c>
    </row>
    <row r="1483" spans="1:33" customFormat="1" ht="35.1" customHeight="1" x14ac:dyDescent="0.3">
      <c r="A1483" s="46">
        <v>2023</v>
      </c>
      <c r="B1483" s="46" t="s">
        <v>3993</v>
      </c>
      <c r="C1483" s="46" t="s">
        <v>321</v>
      </c>
      <c r="D1483" s="60"/>
      <c r="E1483" s="60"/>
      <c r="F1483" s="46" t="s">
        <v>225</v>
      </c>
      <c r="G1483" s="46" t="s">
        <v>159</v>
      </c>
      <c r="H1483" s="46" t="s">
        <v>592</v>
      </c>
      <c r="I1483" s="46" t="s">
        <v>169</v>
      </c>
      <c r="J1483" s="46" t="s">
        <v>69</v>
      </c>
      <c r="K1483" s="46" t="s">
        <v>68</v>
      </c>
      <c r="L1483" s="46"/>
      <c r="M1483" s="46"/>
      <c r="N1483" s="46"/>
      <c r="O1483" s="46"/>
      <c r="P1483" s="46">
        <v>1</v>
      </c>
      <c r="Q1483" s="46"/>
      <c r="R1483" s="46"/>
      <c r="S1483" s="46"/>
      <c r="T1483" s="46"/>
      <c r="U1483" s="46"/>
      <c r="V1483" s="46"/>
      <c r="W1483" s="46"/>
      <c r="X1483" s="46"/>
      <c r="Y1483" s="46"/>
      <c r="Z1483" s="46" t="s">
        <v>981</v>
      </c>
      <c r="AA1483" s="61">
        <v>20</v>
      </c>
      <c r="AB1483" s="62">
        <f t="shared" si="167"/>
        <v>4444.4444444444443</v>
      </c>
      <c r="AC1483" s="63">
        <f t="shared" si="168"/>
        <v>3.4650666666666665</v>
      </c>
      <c r="AD1483" s="62"/>
      <c r="AE1483" s="62">
        <f t="shared" si="169"/>
        <v>4444.4444444444443</v>
      </c>
      <c r="AF1483" s="64" t="s">
        <v>3994</v>
      </c>
      <c r="AG1483" s="49">
        <v>0.5</v>
      </c>
    </row>
    <row r="1484" spans="1:33" customFormat="1" ht="35.1" customHeight="1" x14ac:dyDescent="0.3">
      <c r="A1484" s="46">
        <v>2024</v>
      </c>
      <c r="B1484" s="46" t="s">
        <v>3995</v>
      </c>
      <c r="C1484" s="46" t="s">
        <v>321</v>
      </c>
      <c r="D1484" s="60"/>
      <c r="E1484" s="60"/>
      <c r="F1484" s="46" t="s">
        <v>225</v>
      </c>
      <c r="G1484" s="46" t="s">
        <v>159</v>
      </c>
      <c r="H1484" s="46" t="s">
        <v>592</v>
      </c>
      <c r="I1484" s="46" t="s">
        <v>169</v>
      </c>
      <c r="J1484" s="46" t="s">
        <v>248</v>
      </c>
      <c r="K1484" s="46" t="s">
        <v>68</v>
      </c>
      <c r="L1484" s="46"/>
      <c r="M1484" s="46"/>
      <c r="N1484" s="46"/>
      <c r="O1484" s="46"/>
      <c r="P1484" s="46"/>
      <c r="Q1484" s="46">
        <v>1</v>
      </c>
      <c r="R1484" s="46"/>
      <c r="S1484" s="46"/>
      <c r="T1484" s="46"/>
      <c r="U1484" s="46"/>
      <c r="V1484" s="46"/>
      <c r="W1484" s="46"/>
      <c r="X1484" s="46"/>
      <c r="Y1484" s="46"/>
      <c r="Z1484" s="46" t="s">
        <v>1379</v>
      </c>
      <c r="AA1484" s="61">
        <v>15</v>
      </c>
      <c r="AB1484" s="62">
        <f t="shared" si="167"/>
        <v>3333.3333333333335</v>
      </c>
      <c r="AC1484" s="63">
        <f t="shared" si="168"/>
        <v>2.5988000000000002</v>
      </c>
      <c r="AD1484" s="62"/>
      <c r="AE1484" s="62">
        <f t="shared" si="169"/>
        <v>3333.3333333333335</v>
      </c>
      <c r="AF1484" s="64" t="s">
        <v>3996</v>
      </c>
      <c r="AG1484" s="49">
        <v>0.5</v>
      </c>
    </row>
    <row r="1485" spans="1:33" customFormat="1" ht="35.1" customHeight="1" x14ac:dyDescent="0.3">
      <c r="A1485" s="46">
        <v>2025</v>
      </c>
      <c r="B1485" s="46" t="s">
        <v>3997</v>
      </c>
      <c r="C1485" s="46" t="s">
        <v>321</v>
      </c>
      <c r="D1485" s="60"/>
      <c r="E1485" s="60"/>
      <c r="F1485" s="46" t="s">
        <v>225</v>
      </c>
      <c r="G1485" s="46" t="s">
        <v>159</v>
      </c>
      <c r="H1485" s="46" t="s">
        <v>592</v>
      </c>
      <c r="I1485" s="46" t="s">
        <v>169</v>
      </c>
      <c r="J1485" s="46" t="s">
        <v>248</v>
      </c>
      <c r="K1485" s="46" t="s">
        <v>68</v>
      </c>
      <c r="L1485" s="46"/>
      <c r="M1485" s="46"/>
      <c r="N1485" s="46"/>
      <c r="O1485" s="46"/>
      <c r="P1485" s="46"/>
      <c r="Q1485" s="46">
        <v>1</v>
      </c>
      <c r="R1485" s="46"/>
      <c r="S1485" s="46"/>
      <c r="T1485" s="46"/>
      <c r="U1485" s="46"/>
      <c r="V1485" s="46"/>
      <c r="W1485" s="46"/>
      <c r="X1485" s="46"/>
      <c r="Y1485" s="46"/>
      <c r="Z1485" s="46" t="s">
        <v>1350</v>
      </c>
      <c r="AA1485" s="61">
        <v>45</v>
      </c>
      <c r="AB1485" s="62">
        <f t="shared" si="167"/>
        <v>10000</v>
      </c>
      <c r="AC1485" s="63">
        <f t="shared" si="168"/>
        <v>7.7964000000000002</v>
      </c>
      <c r="AD1485" s="62"/>
      <c r="AE1485" s="62">
        <f t="shared" si="169"/>
        <v>10000</v>
      </c>
      <c r="AF1485" s="64" t="s">
        <v>3996</v>
      </c>
      <c r="AG1485" s="49">
        <v>0.5</v>
      </c>
    </row>
    <row r="1486" spans="1:33" customFormat="1" ht="35.1" customHeight="1" x14ac:dyDescent="0.3">
      <c r="A1486" s="46">
        <v>2026</v>
      </c>
      <c r="B1486" s="46" t="s">
        <v>3998</v>
      </c>
      <c r="C1486" s="46" t="s">
        <v>321</v>
      </c>
      <c r="D1486" s="60"/>
      <c r="E1486" s="60"/>
      <c r="F1486" s="46" t="s">
        <v>225</v>
      </c>
      <c r="G1486" s="46" t="s">
        <v>159</v>
      </c>
      <c r="H1486" s="46" t="s">
        <v>592</v>
      </c>
      <c r="I1486" s="46" t="s">
        <v>169</v>
      </c>
      <c r="J1486" s="46" t="s">
        <v>69</v>
      </c>
      <c r="K1486" s="46" t="s">
        <v>68</v>
      </c>
      <c r="L1486" s="46"/>
      <c r="M1486" s="46"/>
      <c r="N1486" s="46"/>
      <c r="O1486" s="46"/>
      <c r="P1486" s="46"/>
      <c r="Q1486" s="46"/>
      <c r="R1486" s="46"/>
      <c r="S1486" s="46"/>
      <c r="T1486" s="46"/>
      <c r="U1486" s="46"/>
      <c r="V1486" s="46"/>
      <c r="W1486" s="46"/>
      <c r="X1486" s="46"/>
      <c r="Y1486" s="46"/>
      <c r="Z1486" s="46" t="s">
        <v>2294</v>
      </c>
      <c r="AA1486" s="61">
        <v>9</v>
      </c>
      <c r="AB1486" s="62">
        <f t="shared" si="167"/>
        <v>2000.0000000000002</v>
      </c>
      <c r="AC1486" s="63">
        <f t="shared" si="168"/>
        <v>1.55928</v>
      </c>
      <c r="AD1486" s="62"/>
      <c r="AE1486" s="62">
        <f t="shared" si="169"/>
        <v>2000.0000000000002</v>
      </c>
      <c r="AF1486" s="64" t="s">
        <v>3987</v>
      </c>
      <c r="AG1486" s="49">
        <v>0.5</v>
      </c>
    </row>
    <row r="1487" spans="1:33" customFormat="1" ht="35.1" customHeight="1" x14ac:dyDescent="0.3">
      <c r="A1487" s="46">
        <v>2027</v>
      </c>
      <c r="B1487" s="46" t="s">
        <v>3999</v>
      </c>
      <c r="C1487" s="46" t="s">
        <v>40</v>
      </c>
      <c r="D1487" s="60"/>
      <c r="E1487" s="60"/>
      <c r="F1487" s="46" t="s">
        <v>225</v>
      </c>
      <c r="G1487" s="46" t="s">
        <v>159</v>
      </c>
      <c r="H1487" s="46" t="s">
        <v>592</v>
      </c>
      <c r="I1487" s="46" t="s">
        <v>169</v>
      </c>
      <c r="J1487" s="46" t="s">
        <v>248</v>
      </c>
      <c r="K1487" s="46" t="s">
        <v>72</v>
      </c>
      <c r="L1487" s="46"/>
      <c r="M1487" s="46"/>
      <c r="N1487" s="46"/>
      <c r="O1487" s="46"/>
      <c r="P1487" s="46"/>
      <c r="Q1487" s="46"/>
      <c r="R1487" s="46"/>
      <c r="S1487" s="46"/>
      <c r="T1487" s="46"/>
      <c r="U1487" s="46"/>
      <c r="V1487" s="46"/>
      <c r="W1487" s="46"/>
      <c r="X1487" s="46"/>
      <c r="Y1487" s="46"/>
      <c r="Z1487" s="46" t="s">
        <v>672</v>
      </c>
      <c r="AA1487" s="61">
        <v>1000</v>
      </c>
      <c r="AB1487" s="62">
        <f t="shared" si="167"/>
        <v>222222.22222222225</v>
      </c>
      <c r="AC1487" s="63">
        <f t="shared" si="168"/>
        <v>173.25333333333333</v>
      </c>
      <c r="AD1487" s="62"/>
      <c r="AE1487" s="62">
        <f t="shared" si="169"/>
        <v>222222.22222222225</v>
      </c>
      <c r="AF1487" s="64" t="s">
        <v>4000</v>
      </c>
      <c r="AG1487" s="49">
        <v>0.5</v>
      </c>
    </row>
    <row r="1488" spans="1:33" customFormat="1" ht="35.1" customHeight="1" x14ac:dyDescent="0.3">
      <c r="A1488" s="46">
        <v>2028</v>
      </c>
      <c r="B1488" s="46" t="s">
        <v>4001</v>
      </c>
      <c r="C1488" s="46" t="s">
        <v>44</v>
      </c>
      <c r="D1488" s="60">
        <v>2023</v>
      </c>
      <c r="E1488" s="60"/>
      <c r="F1488" s="46" t="s">
        <v>226</v>
      </c>
      <c r="G1488" s="46" t="s">
        <v>159</v>
      </c>
      <c r="H1488" s="46" t="s">
        <v>592</v>
      </c>
      <c r="I1488" s="46" t="s">
        <v>169</v>
      </c>
      <c r="J1488" s="46" t="s">
        <v>244</v>
      </c>
      <c r="K1488" s="46" t="s">
        <v>68</v>
      </c>
      <c r="L1488" s="46"/>
      <c r="M1488" s="46"/>
      <c r="N1488" s="46"/>
      <c r="O1488" s="46"/>
      <c r="P1488" s="46">
        <v>1</v>
      </c>
      <c r="Q1488" s="46">
        <v>1</v>
      </c>
      <c r="R1488" s="46"/>
      <c r="S1488" s="46"/>
      <c r="T1488" s="46"/>
      <c r="U1488" s="46"/>
      <c r="V1488" s="46"/>
      <c r="W1488" s="46"/>
      <c r="X1488" s="46"/>
      <c r="Y1488" s="46"/>
      <c r="Z1488" s="46" t="s">
        <v>1327</v>
      </c>
      <c r="AA1488" s="61">
        <v>1</v>
      </c>
      <c r="AB1488" s="62">
        <f t="shared" si="167"/>
        <v>222.22222222222223</v>
      </c>
      <c r="AC1488" s="63">
        <f t="shared" si="168"/>
        <v>0.17325333333333334</v>
      </c>
      <c r="AD1488" s="62"/>
      <c r="AE1488" s="62">
        <f t="shared" si="169"/>
        <v>222.22222222222223</v>
      </c>
      <c r="AF1488" s="64" t="s">
        <v>4002</v>
      </c>
      <c r="AG1488" s="49">
        <v>0.3</v>
      </c>
    </row>
    <row r="1489" spans="1:33" customFormat="1" ht="35.1" customHeight="1" x14ac:dyDescent="0.3">
      <c r="A1489" s="46">
        <v>2029</v>
      </c>
      <c r="B1489" s="46" t="s">
        <v>4003</v>
      </c>
      <c r="C1489" s="46" t="s">
        <v>44</v>
      </c>
      <c r="D1489" s="60"/>
      <c r="E1489" s="60"/>
      <c r="F1489" s="46" t="s">
        <v>591</v>
      </c>
      <c r="G1489" s="46" t="s">
        <v>159</v>
      </c>
      <c r="H1489" s="46" t="s">
        <v>592</v>
      </c>
      <c r="I1489" s="46" t="s">
        <v>157</v>
      </c>
      <c r="J1489" s="46"/>
      <c r="K1489" s="46" t="s">
        <v>68</v>
      </c>
      <c r="L1489" s="46"/>
      <c r="M1489" s="46"/>
      <c r="N1489" s="46"/>
      <c r="O1489" s="46"/>
      <c r="P1489" s="46">
        <v>1</v>
      </c>
      <c r="Q1489" s="46"/>
      <c r="R1489" s="46"/>
      <c r="S1489" s="46"/>
      <c r="T1489" s="46"/>
      <c r="U1489" s="46"/>
      <c r="V1489" s="46"/>
      <c r="W1489" s="46"/>
      <c r="X1489" s="46"/>
      <c r="Y1489" s="46"/>
      <c r="Z1489" s="46" t="s">
        <v>1347</v>
      </c>
      <c r="AA1489" s="61">
        <v>149</v>
      </c>
      <c r="AB1489" s="62">
        <f t="shared" si="167"/>
        <v>33111.111111111117</v>
      </c>
      <c r="AC1489" s="63">
        <f t="shared" si="168"/>
        <v>25.814746666666668</v>
      </c>
      <c r="AD1489" s="62"/>
      <c r="AE1489" s="62">
        <f t="shared" si="169"/>
        <v>33111.111111111117</v>
      </c>
      <c r="AF1489" s="64" t="s">
        <v>4002</v>
      </c>
      <c r="AG1489" s="49">
        <v>0.56999999999999995</v>
      </c>
    </row>
    <row r="1490" spans="1:33" customFormat="1" ht="35.1" customHeight="1" x14ac:dyDescent="0.3">
      <c r="A1490" s="46">
        <v>2030</v>
      </c>
      <c r="B1490" s="46" t="s">
        <v>4004</v>
      </c>
      <c r="C1490" s="46" t="s">
        <v>67</v>
      </c>
      <c r="D1490" s="60"/>
      <c r="E1490" s="60"/>
      <c r="F1490" s="46" t="s">
        <v>225</v>
      </c>
      <c r="G1490" s="46" t="s">
        <v>1</v>
      </c>
      <c r="H1490" s="46"/>
      <c r="I1490" s="46" t="s">
        <v>169</v>
      </c>
      <c r="J1490" s="46" t="s">
        <v>245</v>
      </c>
      <c r="K1490" s="46" t="s">
        <v>68</v>
      </c>
      <c r="L1490" s="46"/>
      <c r="M1490" s="46"/>
      <c r="N1490" s="46"/>
      <c r="O1490" s="46"/>
      <c r="P1490" s="46"/>
      <c r="Q1490" s="46"/>
      <c r="R1490" s="46"/>
      <c r="S1490" s="46"/>
      <c r="T1490" s="46"/>
      <c r="U1490" s="46"/>
      <c r="V1490" s="46"/>
      <c r="W1490" s="46"/>
      <c r="X1490" s="46"/>
      <c r="Y1490" s="46"/>
      <c r="Z1490" s="46" t="s">
        <v>4005</v>
      </c>
      <c r="AA1490" s="63">
        <f>IF(OR(G1490="ALK",G1490="PEM",G1490="SOEC",G1490="Other Electrolysis"),
AB1490*VLOOKUP(G1490,ElectrolysisConvF,3,FALSE),
"")</f>
        <v>334.73782771535576</v>
      </c>
      <c r="AB1490" s="62">
        <f>AC1490/(H2dens*HoursInYear/10^6)</f>
        <v>64372.659176029956</v>
      </c>
      <c r="AC1490" s="62">
        <f>(55*365/1000)/H2ProjectDB4578610[[#This Row],[Column33]]</f>
        <v>50.187499999999993</v>
      </c>
      <c r="AD1490" s="62"/>
      <c r="AE1490" s="62">
        <f t="shared" si="169"/>
        <v>64372.659176029956</v>
      </c>
      <c r="AF1490" s="64" t="s">
        <v>4006</v>
      </c>
      <c r="AG1490" s="49">
        <v>0.4</v>
      </c>
    </row>
    <row r="1491" spans="1:33" customFormat="1" ht="35.1" customHeight="1" x14ac:dyDescent="0.3">
      <c r="A1491" s="46">
        <v>2031</v>
      </c>
      <c r="B1491" s="46" t="s">
        <v>4007</v>
      </c>
      <c r="C1491" s="46" t="s">
        <v>37</v>
      </c>
      <c r="D1491" s="60">
        <v>2025</v>
      </c>
      <c r="E1491" s="60"/>
      <c r="F1491" s="46" t="s">
        <v>225</v>
      </c>
      <c r="G1491" s="46" t="s">
        <v>159</v>
      </c>
      <c r="H1491" s="46" t="s">
        <v>592</v>
      </c>
      <c r="I1491" s="46" t="s">
        <v>166</v>
      </c>
      <c r="J1491" s="46"/>
      <c r="K1491" s="46" t="s">
        <v>68</v>
      </c>
      <c r="L1491" s="46"/>
      <c r="M1491" s="46"/>
      <c r="N1491" s="46"/>
      <c r="O1491" s="46"/>
      <c r="P1491" s="46"/>
      <c r="Q1491" s="46"/>
      <c r="R1491" s="46"/>
      <c r="S1491" s="46"/>
      <c r="T1491" s="46"/>
      <c r="U1491" s="46"/>
      <c r="V1491" s="46"/>
      <c r="W1491" s="46"/>
      <c r="X1491" s="46"/>
      <c r="Y1491" s="46"/>
      <c r="Z1491" s="46" t="s">
        <v>4008</v>
      </c>
      <c r="AA1491" s="63">
        <f>IF(OR(G1491="ALK",G1491="PEM",G1491="SOEC",G1491="Other Electrolysis"),
AB1491*VLOOKUP(G1491,ElectrolysisConvF,3,FALSE),
"")</f>
        <v>364.68659383586885</v>
      </c>
      <c r="AB1491" s="62">
        <f>AC1491/(H2dens*HoursInYear/10^6)</f>
        <v>81041.465296859751</v>
      </c>
      <c r="AC1491" s="62">
        <f>(200*3/17/0.98)/H2ProjectDB4578610[[#This Row],[Column33]]</f>
        <v>63.183168004043736</v>
      </c>
      <c r="AD1491" s="62"/>
      <c r="AE1491" s="62">
        <f t="shared" si="169"/>
        <v>81041.465296859751</v>
      </c>
      <c r="AF1491" s="64" t="s">
        <v>4009</v>
      </c>
      <c r="AG1491" s="49">
        <v>0.56999999999999995</v>
      </c>
    </row>
    <row r="1492" spans="1:33" customFormat="1" ht="35.1" customHeight="1" x14ac:dyDescent="0.3">
      <c r="A1492" s="46">
        <v>2032</v>
      </c>
      <c r="B1492" s="46" t="s">
        <v>4010</v>
      </c>
      <c r="C1492" s="46" t="s">
        <v>321</v>
      </c>
      <c r="D1492" s="60">
        <v>2028</v>
      </c>
      <c r="E1492" s="60"/>
      <c r="F1492" s="46" t="s">
        <v>225</v>
      </c>
      <c r="G1492" s="46" t="s">
        <v>159</v>
      </c>
      <c r="H1492" s="46" t="s">
        <v>592</v>
      </c>
      <c r="I1492" s="46" t="s">
        <v>157</v>
      </c>
      <c r="J1492" s="46"/>
      <c r="K1492" s="46" t="s">
        <v>68</v>
      </c>
      <c r="L1492" s="46"/>
      <c r="M1492" s="46"/>
      <c r="N1492" s="46"/>
      <c r="O1492" s="46"/>
      <c r="P1492" s="46">
        <v>1</v>
      </c>
      <c r="Q1492" s="46">
        <v>1</v>
      </c>
      <c r="R1492" s="46"/>
      <c r="S1492" s="46"/>
      <c r="T1492" s="46"/>
      <c r="U1492" s="46"/>
      <c r="V1492" s="46"/>
      <c r="W1492" s="46"/>
      <c r="X1492" s="46"/>
      <c r="Y1492" s="46"/>
      <c r="Z1492" s="46" t="s">
        <v>4011</v>
      </c>
      <c r="AA1492" s="63">
        <f>IF(OR(G1492="ALK",G1492="PEM",G1492="SOEC",G1492="Other Electrolysis"),
AB1492*VLOOKUP(G1492,ElectrolysisConvF,3,FALSE),
"")</f>
        <v>80.806526088964134</v>
      </c>
      <c r="AB1492" s="62">
        <f>AC1492/(H2dens*HoursInYear/10^6)</f>
        <v>17957.005797547587</v>
      </c>
      <c r="AC1492" s="62">
        <v>14</v>
      </c>
      <c r="AD1492" s="62"/>
      <c r="AE1492" s="62">
        <f t="shared" si="169"/>
        <v>17957.005797547587</v>
      </c>
      <c r="AF1492" s="64" t="s">
        <v>4012</v>
      </c>
      <c r="AG1492" s="49">
        <v>0.56999999999999995</v>
      </c>
    </row>
    <row r="1493" spans="1:33" customFormat="1" ht="35.1" customHeight="1" x14ac:dyDescent="0.3">
      <c r="A1493" s="46">
        <v>2033</v>
      </c>
      <c r="B1493" s="46" t="s">
        <v>4013</v>
      </c>
      <c r="C1493" s="46" t="s">
        <v>321</v>
      </c>
      <c r="D1493" s="60">
        <v>2027</v>
      </c>
      <c r="E1493" s="60"/>
      <c r="F1493" s="46" t="s">
        <v>225</v>
      </c>
      <c r="G1493" s="46" t="s">
        <v>159</v>
      </c>
      <c r="H1493" s="46" t="s">
        <v>592</v>
      </c>
      <c r="I1493" s="46" t="s">
        <v>157</v>
      </c>
      <c r="J1493" s="46"/>
      <c r="K1493" s="46" t="s">
        <v>68</v>
      </c>
      <c r="L1493" s="46"/>
      <c r="M1493" s="46"/>
      <c r="N1493" s="46"/>
      <c r="O1493" s="46"/>
      <c r="P1493" s="46"/>
      <c r="Q1493" s="46"/>
      <c r="R1493" s="46"/>
      <c r="S1493" s="46"/>
      <c r="T1493" s="46"/>
      <c r="U1493" s="46"/>
      <c r="V1493" s="46"/>
      <c r="W1493" s="46"/>
      <c r="X1493" s="46"/>
      <c r="Y1493" s="46"/>
      <c r="Z1493" s="46" t="s">
        <v>1654</v>
      </c>
      <c r="AA1493" s="61">
        <v>500</v>
      </c>
      <c r="AB1493" s="62">
        <f>IF(OR(G1493="ALK",G1493="PEM",G1493="SOEC",G1493="Other Electrolysis"),
AA1493/VLOOKUP(G1493,ElectrolysisConvF,3,FALSE),
AC1493*10^6/(H2dens*HoursInYear))</f>
        <v>111111.11111111112</v>
      </c>
      <c r="AC1493" s="63">
        <f>AB1493*H2dens*HoursInYear/10^6</f>
        <v>86.626666666666665</v>
      </c>
      <c r="AD1493" s="62"/>
      <c r="AE1493" s="62">
        <f t="shared" si="169"/>
        <v>111111.11111111112</v>
      </c>
      <c r="AF1493" s="64" t="s">
        <v>4014</v>
      </c>
      <c r="AG1493" s="49">
        <v>0.56999999999999995</v>
      </c>
    </row>
    <row r="1494" spans="1:33" customFormat="1" ht="35.1" customHeight="1" x14ac:dyDescent="0.3">
      <c r="A1494" s="46">
        <v>2034</v>
      </c>
      <c r="B1494" s="46" t="s">
        <v>4015</v>
      </c>
      <c r="C1494" s="46" t="s">
        <v>321</v>
      </c>
      <c r="D1494" s="60">
        <v>2031</v>
      </c>
      <c r="E1494" s="60"/>
      <c r="F1494" s="46" t="s">
        <v>225</v>
      </c>
      <c r="G1494" s="46" t="s">
        <v>159</v>
      </c>
      <c r="H1494" s="46" t="s">
        <v>592</v>
      </c>
      <c r="I1494" s="46" t="s">
        <v>166</v>
      </c>
      <c r="J1494" s="46"/>
      <c r="K1494" s="46" t="s">
        <v>141</v>
      </c>
      <c r="L1494" s="46"/>
      <c r="M1494" s="46">
        <v>1</v>
      </c>
      <c r="N1494" s="46"/>
      <c r="O1494" s="46"/>
      <c r="P1494" s="46"/>
      <c r="Q1494" s="46"/>
      <c r="R1494" s="46"/>
      <c r="S1494" s="46"/>
      <c r="T1494" s="46"/>
      <c r="U1494" s="46"/>
      <c r="V1494" s="46"/>
      <c r="W1494" s="46"/>
      <c r="X1494" s="46"/>
      <c r="Y1494" s="46"/>
      <c r="Z1494" s="46" t="s">
        <v>4016</v>
      </c>
      <c r="AA1494" s="63">
        <f>IF(OR(G1494="ALK",G1494="PEM",G1494="SOEC",G1494="Other Electrolysis"),
AB1494*VLOOKUP(G1494,ElectrolysisConvF,3,FALSE),
"")</f>
        <v>1.8234329691793441</v>
      </c>
      <c r="AB1494" s="62">
        <f>AC1494/(H2dens*HoursInYear/10^6)</f>
        <v>405.20732648429873</v>
      </c>
      <c r="AC1494" s="62">
        <f>1*3/17/0.98/H2ProjectDB4578610[[#This Row],[Column33]]</f>
        <v>0.31591584002021866</v>
      </c>
      <c r="AD1494" s="62"/>
      <c r="AE1494" s="62">
        <f t="shared" si="169"/>
        <v>405.20732648429873</v>
      </c>
      <c r="AF1494" s="64" t="s">
        <v>4017</v>
      </c>
      <c r="AG1494" s="49">
        <v>0.56999999999999995</v>
      </c>
    </row>
    <row r="1495" spans="1:33" customFormat="1" ht="35.1" customHeight="1" x14ac:dyDescent="0.3">
      <c r="A1495" s="46">
        <v>2035</v>
      </c>
      <c r="B1495" s="46" t="s">
        <v>4018</v>
      </c>
      <c r="C1495" s="46" t="s">
        <v>63</v>
      </c>
      <c r="D1495" s="60"/>
      <c r="E1495" s="60"/>
      <c r="F1495" s="46" t="s">
        <v>225</v>
      </c>
      <c r="G1495" s="46" t="s">
        <v>159</v>
      </c>
      <c r="H1495" s="46" t="s">
        <v>592</v>
      </c>
      <c r="I1495" s="46" t="s">
        <v>169</v>
      </c>
      <c r="J1495" s="46" t="s">
        <v>246</v>
      </c>
      <c r="K1495" s="46" t="s">
        <v>68</v>
      </c>
      <c r="L1495" s="46"/>
      <c r="M1495" s="46">
        <v>1</v>
      </c>
      <c r="N1495" s="46">
        <v>1</v>
      </c>
      <c r="O1495" s="46"/>
      <c r="P1495" s="46"/>
      <c r="Q1495" s="46"/>
      <c r="R1495" s="46"/>
      <c r="S1495" s="46"/>
      <c r="T1495" s="46"/>
      <c r="U1495" s="46"/>
      <c r="V1495" s="46"/>
      <c r="W1495" s="46">
        <v>1</v>
      </c>
      <c r="X1495" s="46"/>
      <c r="Y1495" s="46"/>
      <c r="Z1495" s="46" t="s">
        <v>4019</v>
      </c>
      <c r="AA1495" s="61">
        <v>600</v>
      </c>
      <c r="AB1495" s="62">
        <f>IF(OR(G1495="ALK",G1495="PEM",G1495="SOEC",G1495="Other Electrolysis"),
AA1495/VLOOKUP(G1495,ElectrolysisConvF,3,FALSE),
AC1495*10^6/(H2dens*HoursInYear))</f>
        <v>133333.33333333334</v>
      </c>
      <c r="AC1495" s="63">
        <f>AB1495*H2dens*HoursInYear/10^6</f>
        <v>103.952</v>
      </c>
      <c r="AD1495" s="62"/>
      <c r="AE1495" s="62">
        <f t="shared" si="169"/>
        <v>133333.33333333334</v>
      </c>
      <c r="AF1495" s="64" t="s">
        <v>4020</v>
      </c>
      <c r="AG1495" s="49">
        <v>0.55000000000000004</v>
      </c>
    </row>
    <row r="1496" spans="1:33" customFormat="1" ht="35.1" customHeight="1" x14ac:dyDescent="0.3">
      <c r="A1496" s="46">
        <v>2036</v>
      </c>
      <c r="B1496" s="46" t="s">
        <v>4021</v>
      </c>
      <c r="C1496" s="46" t="s">
        <v>36</v>
      </c>
      <c r="D1496" s="60">
        <v>2027</v>
      </c>
      <c r="E1496" s="60"/>
      <c r="F1496" s="46" t="s">
        <v>591</v>
      </c>
      <c r="G1496" s="46" t="s">
        <v>159</v>
      </c>
      <c r="H1496" s="46" t="s">
        <v>592</v>
      </c>
      <c r="I1496" s="46" t="s">
        <v>707</v>
      </c>
      <c r="J1496" s="46"/>
      <c r="K1496" s="46" t="s">
        <v>68</v>
      </c>
      <c r="L1496" s="46"/>
      <c r="M1496" s="46">
        <v>1</v>
      </c>
      <c r="N1496" s="46"/>
      <c r="O1496" s="46"/>
      <c r="P1496" s="46">
        <v>1</v>
      </c>
      <c r="Q1496" s="46"/>
      <c r="R1496" s="46"/>
      <c r="S1496" s="46"/>
      <c r="T1496" s="46"/>
      <c r="U1496" s="46"/>
      <c r="V1496" s="46"/>
      <c r="W1496" s="46"/>
      <c r="X1496" s="46"/>
      <c r="Y1496" s="46"/>
      <c r="Z1496" s="46" t="s">
        <v>1664</v>
      </c>
      <c r="AA1496" s="61">
        <v>300</v>
      </c>
      <c r="AB1496" s="62">
        <f>IF(OR(G1496="ALK",G1496="PEM",G1496="SOEC",G1496="Other Electrolysis"),
AA1496/VLOOKUP(G1496,ElectrolysisConvF,3,FALSE),
AC1496*10^6/(H2dens*HoursInYear))</f>
        <v>66666.666666666672</v>
      </c>
      <c r="AC1496" s="63">
        <f>AB1496*H2dens*HoursInYear/10^6</f>
        <v>51.975999999999999</v>
      </c>
      <c r="AD1496" s="62"/>
      <c r="AE1496" s="62">
        <f t="shared" si="169"/>
        <v>66666.666666666672</v>
      </c>
      <c r="AF1496" s="64" t="s">
        <v>4022</v>
      </c>
      <c r="AG1496" s="49">
        <v>0.56999999999999995</v>
      </c>
    </row>
    <row r="1497" spans="1:33" customFormat="1" ht="35.1" customHeight="1" x14ac:dyDescent="0.3">
      <c r="A1497" s="46">
        <v>2037</v>
      </c>
      <c r="B1497" s="46" t="s">
        <v>4023</v>
      </c>
      <c r="C1497" s="46" t="s">
        <v>39</v>
      </c>
      <c r="D1497" s="60">
        <v>2029</v>
      </c>
      <c r="E1497" s="60"/>
      <c r="F1497" s="46" t="s">
        <v>591</v>
      </c>
      <c r="G1497" s="46" t="s">
        <v>159</v>
      </c>
      <c r="H1497" s="46" t="s">
        <v>592</v>
      </c>
      <c r="I1497" s="46" t="s">
        <v>169</v>
      </c>
      <c r="J1497" s="46" t="s">
        <v>247</v>
      </c>
      <c r="K1497" s="46" t="s">
        <v>68</v>
      </c>
      <c r="L1497" s="46"/>
      <c r="M1497" s="46"/>
      <c r="N1497" s="46"/>
      <c r="O1497" s="46"/>
      <c r="P1497" s="46"/>
      <c r="Q1497" s="46"/>
      <c r="R1497" s="46"/>
      <c r="S1497" s="46">
        <v>1</v>
      </c>
      <c r="T1497" s="46"/>
      <c r="U1497" s="46"/>
      <c r="V1497" s="46"/>
      <c r="W1497" s="46"/>
      <c r="X1497" s="46"/>
      <c r="Y1497" s="46"/>
      <c r="Z1497" s="46" t="s">
        <v>4024</v>
      </c>
      <c r="AA1497" s="61">
        <f>AVERAGE(15,25)</f>
        <v>20</v>
      </c>
      <c r="AB1497" s="62">
        <f>IF(OR(G1497="ALK",G1497="PEM",G1497="SOEC",G1497="Other Electrolysis"),
AA1497/VLOOKUP(G1497,ElectrolysisConvF,3,FALSE),
AC1497*10^6/(H2dens*HoursInYear))</f>
        <v>4444.4444444444443</v>
      </c>
      <c r="AC1497" s="63">
        <f>AB1497*H2dens*HoursInYear/10^6</f>
        <v>3.4650666666666665</v>
      </c>
      <c r="AD1497" s="62"/>
      <c r="AE1497" s="62">
        <f t="shared" si="169"/>
        <v>4444.4444444444443</v>
      </c>
      <c r="AF1497" s="64" t="s">
        <v>4025</v>
      </c>
      <c r="AG1497" s="49">
        <v>0.8</v>
      </c>
    </row>
    <row r="1498" spans="1:33" customFormat="1" ht="35.1" customHeight="1" x14ac:dyDescent="0.3">
      <c r="A1498" s="46">
        <v>2038</v>
      </c>
      <c r="B1498" s="46" t="s">
        <v>4026</v>
      </c>
      <c r="C1498" s="46" t="s">
        <v>39</v>
      </c>
      <c r="D1498" s="60"/>
      <c r="E1498" s="60"/>
      <c r="F1498" s="46" t="s">
        <v>225</v>
      </c>
      <c r="G1498" s="46" t="s">
        <v>161</v>
      </c>
      <c r="H1498" s="46" t="s">
        <v>1951</v>
      </c>
      <c r="I1498" s="46"/>
      <c r="J1498" s="46"/>
      <c r="K1498" s="46" t="s">
        <v>141</v>
      </c>
      <c r="L1498" s="46"/>
      <c r="M1498" s="46">
        <v>1</v>
      </c>
      <c r="N1498" s="46"/>
      <c r="O1498" s="46"/>
      <c r="P1498" s="46"/>
      <c r="Q1498" s="46"/>
      <c r="R1498" s="46"/>
      <c r="S1498" s="46"/>
      <c r="T1498" s="46"/>
      <c r="U1498" s="46"/>
      <c r="V1498" s="46"/>
      <c r="W1498" s="46"/>
      <c r="X1498" s="46"/>
      <c r="Y1498" s="46"/>
      <c r="Z1498" s="46" t="s">
        <v>4027</v>
      </c>
      <c r="AA1498" s="61" t="str">
        <f>IF(OR(G1498="ALK",G1498="PEM",G1498="SOEC",G1498="Other Electrolysis"),
AB1498*VLOOKUP(G1498,ElectrolysisConvF,3,FALSE),
"")</f>
        <v/>
      </c>
      <c r="AB1498" s="62">
        <f>AC1498/(H2dens*HoursInYear/10^6)</f>
        <v>57742.044024012561</v>
      </c>
      <c r="AC1498" s="63">
        <f>250*3/17/0.98</f>
        <v>45.018007202881151</v>
      </c>
      <c r="AD1498" s="62"/>
      <c r="AE1498" s="62">
        <f t="shared" si="169"/>
        <v>0</v>
      </c>
      <c r="AF1498" s="64" t="s">
        <v>4028</v>
      </c>
      <c r="AG1498" s="49">
        <v>0.9</v>
      </c>
    </row>
    <row r="1499" spans="1:33" customFormat="1" ht="35.1" customHeight="1" x14ac:dyDescent="0.3">
      <c r="A1499" s="46">
        <v>2039</v>
      </c>
      <c r="B1499" s="46" t="s">
        <v>4029</v>
      </c>
      <c r="C1499" s="46" t="s">
        <v>39</v>
      </c>
      <c r="D1499" s="60"/>
      <c r="E1499" s="60"/>
      <c r="F1499" s="46" t="s">
        <v>591</v>
      </c>
      <c r="G1499" s="46" t="s">
        <v>161</v>
      </c>
      <c r="H1499" s="46" t="s">
        <v>1951</v>
      </c>
      <c r="I1499" s="46"/>
      <c r="J1499" s="46"/>
      <c r="K1499" s="46" t="s">
        <v>141</v>
      </c>
      <c r="L1499" s="46"/>
      <c r="M1499" s="46">
        <v>1</v>
      </c>
      <c r="N1499" s="46"/>
      <c r="O1499" s="46"/>
      <c r="P1499" s="46"/>
      <c r="Q1499" s="46"/>
      <c r="R1499" s="46"/>
      <c r="S1499" s="46"/>
      <c r="T1499" s="46"/>
      <c r="U1499" s="46"/>
      <c r="V1499" s="46"/>
      <c r="W1499" s="46"/>
      <c r="X1499" s="46"/>
      <c r="Y1499" s="46"/>
      <c r="Z1499" s="46" t="s">
        <v>4030</v>
      </c>
      <c r="AA1499" s="61" t="str">
        <f>IF(OR(G1499="ALK",G1499="PEM",G1499="SOEC",G1499="Other Electrolysis"),
AB1499*VLOOKUP(G1499,ElectrolysisConvF,3,FALSE),
"")</f>
        <v/>
      </c>
      <c r="AB1499" s="62">
        <f>AC1499/(H2dens*HoursInYear/10^6)</f>
        <v>127032.49685282764</v>
      </c>
      <c r="AC1499" s="63">
        <f>(800-250)*3/17/0.98</f>
        <v>99.039615846338535</v>
      </c>
      <c r="AD1499" s="62"/>
      <c r="AE1499" s="62">
        <f t="shared" si="169"/>
        <v>0</v>
      </c>
      <c r="AF1499" s="64" t="s">
        <v>4028</v>
      </c>
      <c r="AG1499" s="49">
        <v>0.9</v>
      </c>
    </row>
    <row r="1500" spans="1:33" customFormat="1" ht="35.1" customHeight="1" x14ac:dyDescent="0.3">
      <c r="A1500" s="46">
        <v>2040</v>
      </c>
      <c r="B1500" s="46" t="s">
        <v>4031</v>
      </c>
      <c r="C1500" s="46" t="s">
        <v>39</v>
      </c>
      <c r="D1500" s="60">
        <v>2036</v>
      </c>
      <c r="E1500" s="60"/>
      <c r="F1500" s="46" t="s">
        <v>225</v>
      </c>
      <c r="G1500" s="46" t="s">
        <v>159</v>
      </c>
      <c r="H1500" s="46" t="s">
        <v>592</v>
      </c>
      <c r="I1500" s="46" t="s">
        <v>169</v>
      </c>
      <c r="J1500" s="46" t="s">
        <v>248</v>
      </c>
      <c r="K1500" s="46" t="s">
        <v>168</v>
      </c>
      <c r="L1500" s="46"/>
      <c r="M1500" s="46">
        <v>1</v>
      </c>
      <c r="N1500" s="46"/>
      <c r="O1500" s="46"/>
      <c r="P1500" s="46"/>
      <c r="Q1500" s="46"/>
      <c r="R1500" s="46"/>
      <c r="S1500" s="46"/>
      <c r="T1500" s="46"/>
      <c r="U1500" s="46"/>
      <c r="V1500" s="46"/>
      <c r="W1500" s="46"/>
      <c r="X1500" s="46"/>
      <c r="Y1500" s="46"/>
      <c r="Z1500" s="46" t="s">
        <v>4032</v>
      </c>
      <c r="AA1500" s="61">
        <v>14000</v>
      </c>
      <c r="AB1500" s="62">
        <f>AA1500/0.0045</f>
        <v>3111111.1111111115</v>
      </c>
      <c r="AC1500" s="62">
        <f>AB1500*H2dens*HoursInYear/10^6</f>
        <v>2425.5466666666671</v>
      </c>
      <c r="AD1500" s="62"/>
      <c r="AE1500" s="62">
        <f>AB1500</f>
        <v>3111111.1111111115</v>
      </c>
      <c r="AF1500" s="64" t="s">
        <v>1290</v>
      </c>
      <c r="AG1500" s="49">
        <v>0.5</v>
      </c>
    </row>
    <row r="1501" spans="1:33" customFormat="1" ht="35.1" customHeight="1" x14ac:dyDescent="0.3">
      <c r="A1501" s="46">
        <v>2041</v>
      </c>
      <c r="B1501" s="46" t="s">
        <v>4033</v>
      </c>
      <c r="C1501" s="46" t="s">
        <v>90</v>
      </c>
      <c r="D1501" s="60"/>
      <c r="E1501" s="60"/>
      <c r="F1501" s="46" t="s">
        <v>591</v>
      </c>
      <c r="G1501" s="46" t="s">
        <v>159</v>
      </c>
      <c r="H1501" s="46" t="s">
        <v>592</v>
      </c>
      <c r="I1501" s="46" t="s">
        <v>169</v>
      </c>
      <c r="J1501" s="46" t="s">
        <v>248</v>
      </c>
      <c r="K1501" s="46" t="s">
        <v>68</v>
      </c>
      <c r="L1501" s="46">
        <v>1</v>
      </c>
      <c r="M1501" s="46"/>
      <c r="N1501" s="46"/>
      <c r="O1501" s="46"/>
      <c r="P1501" s="46">
        <v>1</v>
      </c>
      <c r="Q1501" s="46"/>
      <c r="R1501" s="46"/>
      <c r="S1501" s="46"/>
      <c r="T1501" s="46"/>
      <c r="U1501" s="46"/>
      <c r="V1501" s="46"/>
      <c r="W1501" s="46"/>
      <c r="X1501" s="46"/>
      <c r="Y1501" s="46"/>
      <c r="Z1501" s="46" t="s">
        <v>4034</v>
      </c>
      <c r="AA1501" s="61">
        <v>5400</v>
      </c>
      <c r="AB1501" s="62">
        <f>IF(OR(G1501="ALK",G1501="PEM",G1501="SOEC",G1501="Other Electrolysis"),
AA1501/VLOOKUP(G1501,ElectrolysisConvF,3,FALSE),
AC1501*10^6/(H2dens*HoursInYear))</f>
        <v>1200000</v>
      </c>
      <c r="AC1501" s="63">
        <f>AB1501*H2dens*HoursInYear/10^6</f>
        <v>935.56799999999998</v>
      </c>
      <c r="AD1501" s="62"/>
      <c r="AE1501" s="62">
        <f>IF(AND(G1501&lt;&gt;"NG w CCUS",G1501&lt;&gt;"Oil w CCUS",G1501&lt;&gt;"Coal w CCUS"),AB1501,AD1501*10^3/(HoursInYear*IF(G1501="NG w CCUS",0.9105,1.9075)))</f>
        <v>1200000</v>
      </c>
      <c r="AF1501" s="64" t="s">
        <v>4035</v>
      </c>
      <c r="AG1501" s="49">
        <v>0.5</v>
      </c>
    </row>
    <row r="1502" spans="1:33" customFormat="1" ht="35.1" customHeight="1" x14ac:dyDescent="0.3">
      <c r="A1502" s="46">
        <v>2043</v>
      </c>
      <c r="B1502" s="46" t="s">
        <v>4036</v>
      </c>
      <c r="C1502" s="46" t="s">
        <v>50</v>
      </c>
      <c r="D1502" s="60">
        <v>2027</v>
      </c>
      <c r="E1502" s="60"/>
      <c r="F1502" s="46" t="s">
        <v>591</v>
      </c>
      <c r="G1502" s="46" t="s">
        <v>159</v>
      </c>
      <c r="H1502" s="46" t="s">
        <v>592</v>
      </c>
      <c r="I1502" s="46" t="s">
        <v>169</v>
      </c>
      <c r="J1502" s="46" t="s">
        <v>69</v>
      </c>
      <c r="K1502" s="46" t="s">
        <v>167</v>
      </c>
      <c r="L1502" s="46"/>
      <c r="M1502" s="46"/>
      <c r="N1502" s="46"/>
      <c r="O1502" s="46"/>
      <c r="P1502" s="46"/>
      <c r="Q1502" s="46"/>
      <c r="R1502" s="46"/>
      <c r="S1502" s="46"/>
      <c r="T1502" s="46"/>
      <c r="U1502" s="46"/>
      <c r="V1502" s="46"/>
      <c r="W1502" s="46">
        <v>1</v>
      </c>
      <c r="X1502" s="46"/>
      <c r="Y1502" s="46"/>
      <c r="Z1502" s="46" t="s">
        <v>4037</v>
      </c>
      <c r="AA1502" s="61"/>
      <c r="AB1502" s="62"/>
      <c r="AC1502" s="62"/>
      <c r="AD1502" s="62"/>
      <c r="AE1502" s="62">
        <f>IF(AND(G1502&lt;&gt;"NG w CCUS",G1502&lt;&gt;"Oil w CCUS",G1502&lt;&gt;"Coal w CCUS"),AB1502,AD1502*10^3/(HoursInYear*IF(G1502="NG w CCUS",0.9105,1.9075)))</f>
        <v>0</v>
      </c>
      <c r="AF1502" s="64" t="s">
        <v>4038</v>
      </c>
      <c r="AG1502" s="49">
        <v>0.5</v>
      </c>
    </row>
    <row r="1503" spans="1:33" customFormat="1" ht="35.1" customHeight="1" x14ac:dyDescent="0.3">
      <c r="A1503" s="46">
        <v>2044</v>
      </c>
      <c r="B1503" s="46" t="s">
        <v>4039</v>
      </c>
      <c r="C1503" s="46" t="s">
        <v>37</v>
      </c>
      <c r="D1503" s="60">
        <v>2026</v>
      </c>
      <c r="E1503" s="60"/>
      <c r="F1503" s="46" t="s">
        <v>591</v>
      </c>
      <c r="G1503" s="46" t="s">
        <v>159</v>
      </c>
      <c r="H1503" s="46" t="s">
        <v>592</v>
      </c>
      <c r="I1503" s="46" t="s">
        <v>169</v>
      </c>
      <c r="J1503" s="46" t="s">
        <v>245</v>
      </c>
      <c r="K1503" s="46" t="s">
        <v>68</v>
      </c>
      <c r="L1503" s="46"/>
      <c r="M1503" s="46"/>
      <c r="N1503" s="46"/>
      <c r="O1503" s="46"/>
      <c r="P1503" s="46"/>
      <c r="Q1503" s="46"/>
      <c r="R1503" s="46"/>
      <c r="S1503" s="46"/>
      <c r="T1503" s="46"/>
      <c r="U1503" s="46"/>
      <c r="V1503" s="46"/>
      <c r="W1503" s="46"/>
      <c r="X1503" s="46"/>
      <c r="Y1503" s="46"/>
      <c r="Z1503" s="46" t="s">
        <v>2951</v>
      </c>
      <c r="AA1503" s="63">
        <f>IF(OR(G1503="ALK",G1503="PEM",G1503="SOEC",G1503="Other Electrolysis"),
AB1503*VLOOKUP(G1503,ElectrolysisConvF,3,FALSE),
"")</f>
        <v>2208.6331839184804</v>
      </c>
      <c r="AB1503" s="62">
        <f>AC1503/(H2dens*HoursInYear/10^6)</f>
        <v>490807.3742041068</v>
      </c>
      <c r="AC1503" s="62">
        <f>(850*3/17/0.98)/H2ProjectDB4578610[[#This Row],[Column33]]</f>
        <v>382.65306122448982</v>
      </c>
      <c r="AD1503" s="62"/>
      <c r="AE1503" s="62">
        <f>IF(AND(G1503&lt;&gt;"NG w CCUS",G1503&lt;&gt;"Oil w CCUS",G1503&lt;&gt;"Coal w CCUS"),AB1503,AD1503*10^3/(HoursInYear*IF(G1503="NG w CCUS",0.9105,1.9075)))</f>
        <v>490807.3742041068</v>
      </c>
      <c r="AF1503" s="64" t="s">
        <v>4040</v>
      </c>
      <c r="AG1503" s="49">
        <v>0.4</v>
      </c>
    </row>
    <row r="1504" spans="1:33" customFormat="1" ht="35.1" customHeight="1" x14ac:dyDescent="0.3">
      <c r="A1504" s="46">
        <v>2045</v>
      </c>
      <c r="B1504" s="46" t="s">
        <v>4041</v>
      </c>
      <c r="C1504" s="46" t="s">
        <v>36</v>
      </c>
      <c r="D1504" s="60">
        <v>2026</v>
      </c>
      <c r="E1504" s="60"/>
      <c r="F1504" s="46" t="s">
        <v>591</v>
      </c>
      <c r="G1504" s="46" t="s">
        <v>159</v>
      </c>
      <c r="H1504" s="46" t="s">
        <v>592</v>
      </c>
      <c r="I1504" s="46" t="s">
        <v>707</v>
      </c>
      <c r="J1504" s="46"/>
      <c r="K1504" s="46" t="s">
        <v>68</v>
      </c>
      <c r="L1504" s="46"/>
      <c r="M1504" s="46"/>
      <c r="N1504" s="46"/>
      <c r="O1504" s="46">
        <v>1</v>
      </c>
      <c r="P1504" s="46"/>
      <c r="Q1504" s="46"/>
      <c r="R1504" s="46"/>
      <c r="S1504" s="46"/>
      <c r="T1504" s="46"/>
      <c r="U1504" s="46"/>
      <c r="V1504" s="46"/>
      <c r="W1504" s="46"/>
      <c r="X1504" s="46"/>
      <c r="Y1504" s="46"/>
      <c r="Z1504" s="46" t="s">
        <v>1269</v>
      </c>
      <c r="AA1504" s="61">
        <v>700</v>
      </c>
      <c r="AB1504" s="62">
        <f>IF(OR(G1504="ALK",G1504="PEM",G1504="SOEC",G1504="Other Electrolysis"),
AA1504/VLOOKUP(G1504,ElectrolysisConvF,3,FALSE),
AC1504*10^6/(H2dens*HoursInYear))</f>
        <v>155555.55555555556</v>
      </c>
      <c r="AC1504" s="63">
        <f>AB1504*H2dens*HoursInYear/10^6</f>
        <v>121.27733333333335</v>
      </c>
      <c r="AD1504" s="62"/>
      <c r="AE1504" s="62">
        <f>IF(AND(G1504&lt;&gt;"NG w CCUS",G1504&lt;&gt;"Oil w CCUS",G1504&lt;&gt;"Coal w CCUS"),AB1504,AD1504*10^3/(HoursInYear*IF(G1504="NG w CCUS",0.9105,1.9075)))</f>
        <v>155555.55555555556</v>
      </c>
      <c r="AF1504" s="64" t="s">
        <v>4042</v>
      </c>
      <c r="AG1504" s="49">
        <v>0.56999999999999995</v>
      </c>
    </row>
    <row r="1505" spans="1:33" customFormat="1" ht="35.1" customHeight="1" x14ac:dyDescent="0.3">
      <c r="A1505" s="46">
        <v>2047</v>
      </c>
      <c r="B1505" s="46" t="s">
        <v>4043</v>
      </c>
      <c r="C1505" s="46" t="s">
        <v>100</v>
      </c>
      <c r="D1505" s="60"/>
      <c r="E1505" s="60"/>
      <c r="F1505" s="46" t="s">
        <v>591</v>
      </c>
      <c r="G1505" s="46" t="s">
        <v>159</v>
      </c>
      <c r="H1505" s="46" t="s">
        <v>592</v>
      </c>
      <c r="I1505" s="46" t="s">
        <v>707</v>
      </c>
      <c r="J1505" s="46"/>
      <c r="K1505" s="46" t="s">
        <v>68</v>
      </c>
      <c r="L1505" s="46"/>
      <c r="M1505" s="46"/>
      <c r="N1505" s="46"/>
      <c r="O1505" s="46"/>
      <c r="P1505" s="46">
        <v>1</v>
      </c>
      <c r="Q1505" s="46"/>
      <c r="R1505" s="46"/>
      <c r="S1505" s="46"/>
      <c r="T1505" s="46"/>
      <c r="U1505" s="46"/>
      <c r="V1505" s="46"/>
      <c r="W1505" s="46"/>
      <c r="X1505" s="46"/>
      <c r="Y1505" s="46"/>
      <c r="Z1505" s="46" t="s">
        <v>4044</v>
      </c>
      <c r="AA1505" s="61">
        <v>5000</v>
      </c>
      <c r="AB1505" s="62">
        <f>IF(OR(G1505="ALK",G1505="PEM",G1505="SOEC",G1505="Other Electrolysis"),
AA1505/VLOOKUP(G1505,ElectrolysisConvF,3,FALSE),
AC1505*10^6/(H2dens*HoursInYear))</f>
        <v>1111111.1111111112</v>
      </c>
      <c r="AC1505" s="63">
        <f>AB1505*H2dens*HoursInYear/10^6</f>
        <v>866.26666666666665</v>
      </c>
      <c r="AD1505" s="62"/>
      <c r="AE1505" s="62">
        <f t="shared" ref="AE1505:AE1568" si="170">IF(AND(G1505&lt;&gt;"NG w CCUS",G1505&lt;&gt;"Oil w CCUS",G1505&lt;&gt;"Coal w CCUS"),AB1505,AD1505*10^3/(HoursInYear*IF(G1505="NG w CCUS",0.9105,1.9075)))</f>
        <v>1111111.1111111112</v>
      </c>
      <c r="AF1505" s="64" t="s">
        <v>4045</v>
      </c>
      <c r="AG1505" s="49">
        <v>0.56999999999999995</v>
      </c>
    </row>
    <row r="1506" spans="1:33" customFormat="1" ht="35.1" customHeight="1" x14ac:dyDescent="0.3">
      <c r="A1506" s="46">
        <v>2048</v>
      </c>
      <c r="B1506" s="46" t="s">
        <v>4046</v>
      </c>
      <c r="C1506" s="46" t="s">
        <v>64</v>
      </c>
      <c r="D1506" s="60">
        <v>2024</v>
      </c>
      <c r="E1506" s="60"/>
      <c r="F1506" s="46" t="s">
        <v>225</v>
      </c>
      <c r="G1506" s="46" t="s">
        <v>159</v>
      </c>
      <c r="H1506" s="46" t="s">
        <v>592</v>
      </c>
      <c r="I1506" s="46" t="s">
        <v>169</v>
      </c>
      <c r="J1506" s="46" t="s">
        <v>244</v>
      </c>
      <c r="K1506" s="46" t="s">
        <v>68</v>
      </c>
      <c r="L1506" s="46"/>
      <c r="M1506" s="46"/>
      <c r="N1506" s="46"/>
      <c r="O1506" s="46"/>
      <c r="P1506" s="46"/>
      <c r="Q1506" s="46">
        <v>1</v>
      </c>
      <c r="R1506" s="46"/>
      <c r="S1506" s="46"/>
      <c r="T1506" s="46"/>
      <c r="U1506" s="46"/>
      <c r="V1506" s="46"/>
      <c r="W1506" s="46"/>
      <c r="X1506" s="46"/>
      <c r="Y1506" s="46"/>
      <c r="Z1506" s="46" t="s">
        <v>4047</v>
      </c>
      <c r="AA1506" s="61">
        <v>3</v>
      </c>
      <c r="AB1506" s="62">
        <f>IF(OR(G1506="ALK",G1506="PEM",G1506="SOEC",G1506="Other Electrolysis"),
AA1506/VLOOKUP(G1506,ElectrolysisConvF,3,FALSE),
AC1506*10^6/(H2dens*HoursInYear))</f>
        <v>666.66666666666674</v>
      </c>
      <c r="AC1506" s="63">
        <f>AB1506*H2dens*HoursInYear/10^6</f>
        <v>0.51976</v>
      </c>
      <c r="AD1506" s="62"/>
      <c r="AE1506" s="62">
        <f t="shared" si="170"/>
        <v>666.66666666666674</v>
      </c>
      <c r="AF1506" s="64" t="s">
        <v>4048</v>
      </c>
      <c r="AG1506" s="49">
        <v>0.3</v>
      </c>
    </row>
    <row r="1507" spans="1:33" customFormat="1" ht="35.1" customHeight="1" x14ac:dyDescent="0.3">
      <c r="A1507" s="46">
        <v>2049</v>
      </c>
      <c r="B1507" s="46" t="s">
        <v>4049</v>
      </c>
      <c r="C1507" s="46" t="s">
        <v>40</v>
      </c>
      <c r="D1507" s="60">
        <v>2027</v>
      </c>
      <c r="E1507" s="60"/>
      <c r="F1507" s="46" t="s">
        <v>591</v>
      </c>
      <c r="G1507" s="46" t="s">
        <v>159</v>
      </c>
      <c r="H1507" s="46" t="s">
        <v>592</v>
      </c>
      <c r="I1507" s="46" t="s">
        <v>169</v>
      </c>
      <c r="J1507" s="46" t="s">
        <v>248</v>
      </c>
      <c r="K1507" s="46" t="s">
        <v>68</v>
      </c>
      <c r="L1507" s="46"/>
      <c r="M1507" s="46"/>
      <c r="N1507" s="46"/>
      <c r="O1507" s="46"/>
      <c r="P1507" s="46">
        <v>1</v>
      </c>
      <c r="Q1507" s="46">
        <v>1</v>
      </c>
      <c r="R1507" s="46"/>
      <c r="S1507" s="46"/>
      <c r="T1507" s="46"/>
      <c r="U1507" s="46"/>
      <c r="V1507" s="46"/>
      <c r="W1507" s="46"/>
      <c r="X1507" s="46"/>
      <c r="Y1507" s="46"/>
      <c r="Z1507" s="46" t="s">
        <v>4050</v>
      </c>
      <c r="AA1507" s="61">
        <f>IF(OR(G1507="ALK",G1507="PEM",G1507="SOEC",G1507="Other Electrolysis"),
AB1507*VLOOKUP(G1507,ElectrolysisConvF,3,FALSE),
"")</f>
        <v>842.69662921348311</v>
      </c>
      <c r="AB1507" s="62">
        <f>AC1507/(H2dens*HoursInYear/10^6)</f>
        <v>187265.91760299625</v>
      </c>
      <c r="AC1507" s="73">
        <f>((200/10^3)*365)/H2ProjectDB4578610[[#This Row],[Column33]]</f>
        <v>146</v>
      </c>
      <c r="AD1507" s="62"/>
      <c r="AE1507" s="62">
        <f t="shared" si="170"/>
        <v>187265.91760299625</v>
      </c>
      <c r="AF1507" s="64" t="s">
        <v>4051</v>
      </c>
      <c r="AG1507" s="49">
        <v>0.5</v>
      </c>
    </row>
    <row r="1508" spans="1:33" customFormat="1" ht="35.1" customHeight="1" x14ac:dyDescent="0.3">
      <c r="A1508" s="46">
        <v>2050</v>
      </c>
      <c r="B1508" s="46" t="s">
        <v>4052</v>
      </c>
      <c r="C1508" s="46" t="s">
        <v>39</v>
      </c>
      <c r="D1508" s="60">
        <v>2025</v>
      </c>
      <c r="E1508" s="60"/>
      <c r="F1508" s="46" t="s">
        <v>675</v>
      </c>
      <c r="G1508" s="46" t="s">
        <v>159</v>
      </c>
      <c r="H1508" s="46" t="s">
        <v>592</v>
      </c>
      <c r="I1508" s="46" t="s">
        <v>169</v>
      </c>
      <c r="J1508" s="46" t="s">
        <v>69</v>
      </c>
      <c r="K1508" s="46" t="s">
        <v>68</v>
      </c>
      <c r="L1508" s="46"/>
      <c r="M1508" s="46"/>
      <c r="N1508" s="46"/>
      <c r="O1508" s="46"/>
      <c r="P1508" s="46"/>
      <c r="Q1508" s="46"/>
      <c r="R1508" s="46">
        <v>1</v>
      </c>
      <c r="S1508" s="46"/>
      <c r="T1508" s="46"/>
      <c r="U1508" s="46"/>
      <c r="V1508" s="46"/>
      <c r="W1508" s="46"/>
      <c r="X1508" s="46"/>
      <c r="Y1508" s="46"/>
      <c r="Z1508" s="46" t="s">
        <v>4053</v>
      </c>
      <c r="AA1508" s="61">
        <v>250</v>
      </c>
      <c r="AB1508" s="62">
        <f>IF(OR(G1508="ALK",G1508="PEM",G1508="SOEC",G1508="Other Electrolysis"),
AA1508/VLOOKUP(G1508,ElectrolysisConvF,3,FALSE),
AC1508*10^6/(H2dens*HoursInYear))</f>
        <v>55555.555555555562</v>
      </c>
      <c r="AC1508" s="63">
        <f>AB1508*H2dens*HoursInYear/10^6</f>
        <v>43.313333333333333</v>
      </c>
      <c r="AD1508" s="62"/>
      <c r="AE1508" s="62">
        <f t="shared" si="170"/>
        <v>55555.555555555562</v>
      </c>
      <c r="AF1508" s="64" t="s">
        <v>4054</v>
      </c>
      <c r="AG1508" s="49">
        <v>0.5</v>
      </c>
    </row>
    <row r="1509" spans="1:33" customFormat="1" ht="35.1" customHeight="1" x14ac:dyDescent="0.3">
      <c r="A1509" s="46">
        <v>2051</v>
      </c>
      <c r="B1509" s="46" t="s">
        <v>4055</v>
      </c>
      <c r="C1509" s="46" t="s">
        <v>39</v>
      </c>
      <c r="D1509" s="60">
        <v>2025</v>
      </c>
      <c r="E1509" s="60"/>
      <c r="F1509" s="46" t="s">
        <v>225</v>
      </c>
      <c r="G1509" s="46" t="s">
        <v>159</v>
      </c>
      <c r="H1509" s="46" t="s">
        <v>592</v>
      </c>
      <c r="I1509" s="46" t="s">
        <v>169</v>
      </c>
      <c r="J1509" s="46" t="s">
        <v>244</v>
      </c>
      <c r="K1509" s="46" t="s">
        <v>68</v>
      </c>
      <c r="L1509" s="46"/>
      <c r="M1509" s="46"/>
      <c r="N1509" s="46"/>
      <c r="O1509" s="46"/>
      <c r="P1509" s="46"/>
      <c r="Q1509" s="46">
        <v>1</v>
      </c>
      <c r="R1509" s="46">
        <v>1</v>
      </c>
      <c r="S1509" s="46">
        <v>1</v>
      </c>
      <c r="T1509" s="46"/>
      <c r="U1509" s="46">
        <v>1</v>
      </c>
      <c r="V1509" s="46"/>
      <c r="W1509" s="46"/>
      <c r="X1509" s="46"/>
      <c r="Y1509" s="46"/>
      <c r="Z1509" s="46" t="s">
        <v>3456</v>
      </c>
      <c r="AA1509" s="61">
        <v>36</v>
      </c>
      <c r="AB1509" s="62">
        <f>IF(OR(G1509="ALK",G1509="PEM",G1509="SOEC",G1509="Other Electrolysis"),
AA1509/VLOOKUP(G1509,ElectrolysisConvF,3,FALSE),
AC1509*10^6/(H2dens*HoursInYear))</f>
        <v>8000.0000000000009</v>
      </c>
      <c r="AC1509" s="63">
        <f>AB1509*H2dens*HoursInYear/10^6</f>
        <v>6.23712</v>
      </c>
      <c r="AD1509" s="62"/>
      <c r="AE1509" s="62">
        <f t="shared" si="170"/>
        <v>8000.0000000000009</v>
      </c>
      <c r="AF1509" s="64" t="s">
        <v>4056</v>
      </c>
      <c r="AG1509" s="49">
        <v>0.3</v>
      </c>
    </row>
    <row r="1510" spans="1:33" customFormat="1" ht="35.1" customHeight="1" x14ac:dyDescent="0.3">
      <c r="A1510" s="46">
        <v>2052</v>
      </c>
      <c r="B1510" s="46" t="s">
        <v>4057</v>
      </c>
      <c r="C1510" s="46" t="s">
        <v>40</v>
      </c>
      <c r="D1510" s="60">
        <v>2024</v>
      </c>
      <c r="E1510" s="60"/>
      <c r="F1510" s="46" t="s">
        <v>285</v>
      </c>
      <c r="G1510" s="46" t="s">
        <v>2</v>
      </c>
      <c r="H1510" s="46"/>
      <c r="I1510" s="46" t="s">
        <v>288</v>
      </c>
      <c r="J1510" s="46"/>
      <c r="K1510" s="46" t="s">
        <v>68</v>
      </c>
      <c r="L1510" s="46"/>
      <c r="M1510" s="46"/>
      <c r="N1510" s="46"/>
      <c r="O1510" s="46"/>
      <c r="P1510" s="46"/>
      <c r="Q1510" s="46"/>
      <c r="R1510" s="46"/>
      <c r="S1510" s="46"/>
      <c r="T1510" s="46"/>
      <c r="U1510" s="46"/>
      <c r="V1510" s="46"/>
      <c r="W1510" s="46"/>
      <c r="X1510" s="46"/>
      <c r="Y1510" s="46"/>
      <c r="Z1510" s="46" t="s">
        <v>4058</v>
      </c>
      <c r="AA1510" s="61">
        <f>240/100</f>
        <v>2.4</v>
      </c>
      <c r="AB1510" s="62">
        <f>IF(OR(G1510="ALK",G1510="PEM",G1510="SOEC",G1510="Other Electrolysis"),
AA1510/VLOOKUP(G1510,ElectrolysisConvF,3,FALSE),
AC1510*10^6/(H2dens*HoursInYear))</f>
        <v>631.57894736842104</v>
      </c>
      <c r="AC1510" s="63">
        <f>AB1510*H2dens*HoursInYear/10^6</f>
        <v>0.49240421052631578</v>
      </c>
      <c r="AD1510" s="62"/>
      <c r="AE1510" s="62">
        <f t="shared" si="170"/>
        <v>631.57894736842104</v>
      </c>
      <c r="AF1510" s="64" t="s">
        <v>4059</v>
      </c>
      <c r="AG1510" s="49">
        <v>0.8</v>
      </c>
    </row>
    <row r="1511" spans="1:33" customFormat="1" ht="35.1" customHeight="1" x14ac:dyDescent="0.3">
      <c r="A1511" s="46">
        <v>2053</v>
      </c>
      <c r="B1511" s="46" t="s">
        <v>4060</v>
      </c>
      <c r="C1511" s="46" t="s">
        <v>90</v>
      </c>
      <c r="D1511" s="60">
        <v>2026</v>
      </c>
      <c r="E1511" s="60"/>
      <c r="F1511" s="46" t="s">
        <v>225</v>
      </c>
      <c r="G1511" s="46" t="s">
        <v>159</v>
      </c>
      <c r="H1511" s="46" t="s">
        <v>592</v>
      </c>
      <c r="I1511" s="46" t="s">
        <v>169</v>
      </c>
      <c r="J1511" s="46" t="s">
        <v>244</v>
      </c>
      <c r="K1511" s="46" t="s">
        <v>68</v>
      </c>
      <c r="L1511" s="46"/>
      <c r="M1511" s="46"/>
      <c r="N1511" s="46"/>
      <c r="O1511" s="46"/>
      <c r="P1511" s="46">
        <v>1</v>
      </c>
      <c r="Q1511" s="46"/>
      <c r="R1511" s="46"/>
      <c r="S1511" s="46"/>
      <c r="T1511" s="46"/>
      <c r="U1511" s="46"/>
      <c r="V1511" s="46"/>
      <c r="W1511" s="46"/>
      <c r="X1511" s="46"/>
      <c r="Y1511" s="46"/>
      <c r="Z1511" s="46" t="s">
        <v>4061</v>
      </c>
      <c r="AA1511" s="61">
        <f>IF(OR(G1511="ALK",G1511="PEM",G1511="SOEC",G1511="Other Electrolysis"),
AB1511*VLOOKUP(G1511,ElectrolysisConvF,3,FALSE),
"")</f>
        <v>3.4984749633268728</v>
      </c>
      <c r="AB1511" s="62">
        <f>AC1511/(H2dens*HoursInYear/10^6)</f>
        <v>777.43888073930509</v>
      </c>
      <c r="AC1511" s="62">
        <f>0.3+1.7*3/17/0.98</f>
        <v>0.60612244897959178</v>
      </c>
      <c r="AD1511" s="62"/>
      <c r="AE1511" s="62">
        <f t="shared" si="170"/>
        <v>777.43888073930509</v>
      </c>
      <c r="AF1511" s="64" t="s">
        <v>4062</v>
      </c>
      <c r="AG1511" s="49">
        <v>0.3</v>
      </c>
    </row>
    <row r="1512" spans="1:33" customFormat="1" ht="35.1" customHeight="1" x14ac:dyDescent="0.3">
      <c r="A1512" s="46">
        <v>2054</v>
      </c>
      <c r="B1512" s="46" t="s">
        <v>4063</v>
      </c>
      <c r="C1512" s="46" t="s">
        <v>90</v>
      </c>
      <c r="D1512" s="60">
        <v>2027</v>
      </c>
      <c r="E1512" s="60"/>
      <c r="F1512" s="46" t="s">
        <v>591</v>
      </c>
      <c r="G1512" s="46" t="s">
        <v>159</v>
      </c>
      <c r="H1512" s="46" t="s">
        <v>592</v>
      </c>
      <c r="I1512" s="46" t="s">
        <v>169</v>
      </c>
      <c r="J1512" s="46" t="s">
        <v>69</v>
      </c>
      <c r="K1512" s="46" t="s">
        <v>141</v>
      </c>
      <c r="L1512" s="46"/>
      <c r="M1512" s="46">
        <v>1</v>
      </c>
      <c r="N1512" s="46"/>
      <c r="O1512" s="46"/>
      <c r="P1512" s="46"/>
      <c r="Q1512" s="46"/>
      <c r="R1512" s="46"/>
      <c r="S1512" s="46"/>
      <c r="T1512" s="46"/>
      <c r="U1512" s="46"/>
      <c r="V1512" s="46"/>
      <c r="W1512" s="46"/>
      <c r="X1512" s="46"/>
      <c r="Y1512" s="46"/>
      <c r="Z1512" s="46" t="s">
        <v>1843</v>
      </c>
      <c r="AA1512" s="61">
        <f>600-240</f>
        <v>360</v>
      </c>
      <c r="AB1512" s="62">
        <f>IF(OR(G1512="ALK",G1512="PEM",G1512="SOEC",G1512="Other Electrolysis"),
AA1512/VLOOKUP(G1512,ElectrolysisConvF,3,FALSE),
AC1512*10^6/(H2dens*HoursInYear))</f>
        <v>80000</v>
      </c>
      <c r="AC1512" s="63">
        <f>AB1512*H2dens*HoursInYear/10^6</f>
        <v>62.371200000000002</v>
      </c>
      <c r="AD1512" s="62"/>
      <c r="AE1512" s="62">
        <f t="shared" si="170"/>
        <v>80000</v>
      </c>
      <c r="AF1512" s="64" t="s">
        <v>4064</v>
      </c>
      <c r="AG1512" s="49">
        <v>0.5</v>
      </c>
    </row>
    <row r="1513" spans="1:33" customFormat="1" ht="35.1" customHeight="1" x14ac:dyDescent="0.3">
      <c r="A1513" s="46">
        <v>2055</v>
      </c>
      <c r="B1513" s="46" t="s">
        <v>4065</v>
      </c>
      <c r="C1513" s="46" t="s">
        <v>37</v>
      </c>
      <c r="D1513" s="60">
        <v>2024</v>
      </c>
      <c r="E1513" s="60"/>
      <c r="F1513" s="46" t="s">
        <v>225</v>
      </c>
      <c r="G1513" s="46" t="s">
        <v>161</v>
      </c>
      <c r="H1513" s="46" t="s">
        <v>1951</v>
      </c>
      <c r="I1513" s="46"/>
      <c r="J1513" s="46"/>
      <c r="K1513" s="46" t="s">
        <v>141</v>
      </c>
      <c r="L1513" s="46"/>
      <c r="M1513" s="46">
        <v>1</v>
      </c>
      <c r="N1513" s="46"/>
      <c r="O1513" s="46"/>
      <c r="P1513" s="46"/>
      <c r="Q1513" s="46"/>
      <c r="R1513" s="46"/>
      <c r="S1513" s="46"/>
      <c r="T1513" s="46"/>
      <c r="U1513" s="46"/>
      <c r="V1513" s="46"/>
      <c r="W1513" s="46"/>
      <c r="X1513" s="46"/>
      <c r="Y1513" s="46"/>
      <c r="Z1513" s="46" t="s">
        <v>2723</v>
      </c>
      <c r="AA1513" s="61">
        <v>1000</v>
      </c>
      <c r="AB1513" s="62">
        <f>IF(OR(G1513="ALK",G1513="PEM",G1513="SOEC",G1513="Other Electrolysis"),
AA1513/VLOOKUP(G1513,ElectrolysisConvF,3,FALSE),
AC1513*10^6/(H2dens*HoursInYear))</f>
        <v>230968.17609605024</v>
      </c>
      <c r="AC1513" s="62">
        <f>1000*3/17/0.98</f>
        <v>180.0720288115246</v>
      </c>
      <c r="AD1513" s="62"/>
      <c r="AE1513" s="62">
        <f t="shared" si="170"/>
        <v>0</v>
      </c>
      <c r="AF1513" s="64" t="s">
        <v>4066</v>
      </c>
      <c r="AG1513" s="49">
        <v>0.9</v>
      </c>
    </row>
    <row r="1514" spans="1:33" customFormat="1" ht="35.1" customHeight="1" x14ac:dyDescent="0.3">
      <c r="A1514" s="46">
        <v>2056</v>
      </c>
      <c r="B1514" s="64" t="s">
        <v>4067</v>
      </c>
      <c r="C1514" s="46" t="s">
        <v>321</v>
      </c>
      <c r="D1514" s="60">
        <v>2030</v>
      </c>
      <c r="E1514" s="60"/>
      <c r="F1514" s="46" t="s">
        <v>591</v>
      </c>
      <c r="G1514" s="46" t="s">
        <v>159</v>
      </c>
      <c r="H1514" s="46" t="s">
        <v>592</v>
      </c>
      <c r="I1514" s="46" t="s">
        <v>157</v>
      </c>
      <c r="J1514" s="46" t="s">
        <v>69</v>
      </c>
      <c r="K1514" s="46" t="s">
        <v>168</v>
      </c>
      <c r="L1514" s="46">
        <v>1</v>
      </c>
      <c r="M1514" s="46">
        <v>1</v>
      </c>
      <c r="N1514" s="46">
        <v>1</v>
      </c>
      <c r="O1514" s="46"/>
      <c r="P1514" s="46">
        <v>1</v>
      </c>
      <c r="Q1514" s="46">
        <v>1</v>
      </c>
      <c r="R1514" s="46"/>
      <c r="S1514" s="46"/>
      <c r="T1514" s="46"/>
      <c r="U1514" s="46"/>
      <c r="V1514" s="46">
        <v>1</v>
      </c>
      <c r="W1514" s="46">
        <v>1</v>
      </c>
      <c r="X1514" s="46"/>
      <c r="Y1514" s="46"/>
      <c r="Z1514" s="46" t="s">
        <v>672</v>
      </c>
      <c r="AA1514" s="61">
        <v>400</v>
      </c>
      <c r="AB1514" s="62">
        <f>IF(OR(G1514="ALK",G1514="PEM",G1514="SOEC",G1514="Other Electrolysis"),
AA1514/VLOOKUP(G1514,ElectrolysisConvF,3,FALSE),
AC1514*10^6/(H2dens*HoursInYear))</f>
        <v>88888.888888888891</v>
      </c>
      <c r="AC1514" s="63">
        <f>AB1514*H2dens*HoursInYear/10^6</f>
        <v>69.301333333333332</v>
      </c>
      <c r="AD1514" s="62"/>
      <c r="AE1514" s="62">
        <f t="shared" si="170"/>
        <v>88888.888888888891</v>
      </c>
      <c r="AF1514" s="64" t="s">
        <v>3947</v>
      </c>
      <c r="AG1514" s="49">
        <v>0.56999999999999995</v>
      </c>
    </row>
    <row r="1515" spans="1:33" customFormat="1" ht="35.1" customHeight="1" x14ac:dyDescent="0.3">
      <c r="A1515" s="46">
        <v>2057</v>
      </c>
      <c r="B1515" s="46" t="s">
        <v>4068</v>
      </c>
      <c r="C1515" s="46" t="s">
        <v>39</v>
      </c>
      <c r="D1515" s="60"/>
      <c r="E1515" s="60"/>
      <c r="F1515" s="46" t="s">
        <v>591</v>
      </c>
      <c r="G1515" s="46" t="s">
        <v>159</v>
      </c>
      <c r="H1515" s="46" t="s">
        <v>592</v>
      </c>
      <c r="I1515" s="46" t="s">
        <v>157</v>
      </c>
      <c r="J1515" s="46" t="s">
        <v>69</v>
      </c>
      <c r="K1515" s="46" t="s">
        <v>68</v>
      </c>
      <c r="L1515" s="46"/>
      <c r="M1515" s="46"/>
      <c r="N1515" s="46"/>
      <c r="O1515" s="46"/>
      <c r="P1515" s="46"/>
      <c r="Q1515" s="46"/>
      <c r="R1515" s="46"/>
      <c r="S1515" s="46"/>
      <c r="T1515" s="46"/>
      <c r="U1515" s="46"/>
      <c r="V1515" s="46"/>
      <c r="W1515" s="46"/>
      <c r="X1515" s="46"/>
      <c r="Y1515" s="46"/>
      <c r="Z1515" s="46" t="s">
        <v>4069</v>
      </c>
      <c r="AA1515" s="61">
        <v>7000</v>
      </c>
      <c r="AB1515" s="62">
        <f>IF(OR(G1515="ALK",G1515="PEM",G1515="SOEC",G1515="Other Electrolysis"),
AA1515/VLOOKUP(G1515,ElectrolysisConvF,3,FALSE),
AC1515*10^6/(H2dens*HoursInYear))</f>
        <v>1555555.5555555557</v>
      </c>
      <c r="AC1515" s="63">
        <f>AB1515*H2dens*HoursInYear/10^6</f>
        <v>1212.7733333333335</v>
      </c>
      <c r="AD1515" s="62"/>
      <c r="AE1515" s="62">
        <f t="shared" si="170"/>
        <v>1555555.5555555557</v>
      </c>
      <c r="AF1515" s="64" t="s">
        <v>4070</v>
      </c>
      <c r="AG1515" s="49">
        <v>0.56999999999999995</v>
      </c>
    </row>
    <row r="1516" spans="1:33" customFormat="1" ht="35.1" customHeight="1" x14ac:dyDescent="0.3">
      <c r="A1516" s="46">
        <v>2058</v>
      </c>
      <c r="B1516" s="46" t="s">
        <v>4071</v>
      </c>
      <c r="C1516" s="46" t="s">
        <v>203</v>
      </c>
      <c r="D1516" s="60">
        <v>2028</v>
      </c>
      <c r="E1516" s="60"/>
      <c r="F1516" s="46" t="s">
        <v>591</v>
      </c>
      <c r="G1516" s="46" t="s">
        <v>159</v>
      </c>
      <c r="H1516" s="46" t="s">
        <v>592</v>
      </c>
      <c r="I1516" s="46" t="s">
        <v>157</v>
      </c>
      <c r="J1516" s="46" t="s">
        <v>69</v>
      </c>
      <c r="K1516" s="46" t="s">
        <v>68</v>
      </c>
      <c r="L1516" s="46"/>
      <c r="M1516" s="46"/>
      <c r="N1516" s="46"/>
      <c r="O1516" s="46"/>
      <c r="P1516" s="46"/>
      <c r="Q1516" s="46"/>
      <c r="R1516" s="46"/>
      <c r="S1516" s="46"/>
      <c r="T1516" s="46"/>
      <c r="U1516" s="46"/>
      <c r="V1516" s="46"/>
      <c r="W1516" s="46"/>
      <c r="X1516" s="46"/>
      <c r="Y1516" s="46"/>
      <c r="Z1516" s="46" t="s">
        <v>1654</v>
      </c>
      <c r="AA1516" s="61">
        <v>500</v>
      </c>
      <c r="AB1516" s="62">
        <f>IF(OR(G1516="ALK",G1516="PEM",G1516="SOEC",G1516="Other Electrolysis"),
AA1516/VLOOKUP(G1516,ElectrolysisConvF,3,FALSE),
AC1516*10^6/(H2dens*HoursInYear))</f>
        <v>111111.11111111112</v>
      </c>
      <c r="AC1516" s="63">
        <f>AB1516*H2dens*HoursInYear/10^6</f>
        <v>86.626666666666665</v>
      </c>
      <c r="AD1516" s="62"/>
      <c r="AE1516" s="62">
        <f t="shared" si="170"/>
        <v>111111.11111111112</v>
      </c>
      <c r="AF1516" s="64" t="s">
        <v>4072</v>
      </c>
      <c r="AG1516" s="49">
        <v>0.56999999999999995</v>
      </c>
    </row>
    <row r="1517" spans="1:33" customFormat="1" ht="35.1" customHeight="1" x14ac:dyDescent="0.3">
      <c r="A1517" s="46">
        <v>2059</v>
      </c>
      <c r="B1517" s="46" t="s">
        <v>4073</v>
      </c>
      <c r="C1517" s="46" t="s">
        <v>135</v>
      </c>
      <c r="D1517" s="60">
        <v>2027</v>
      </c>
      <c r="E1517" s="60"/>
      <c r="F1517" s="46" t="s">
        <v>591</v>
      </c>
      <c r="G1517" s="46" t="s">
        <v>159</v>
      </c>
      <c r="H1517" s="46" t="s">
        <v>592</v>
      </c>
      <c r="I1517" s="46" t="s">
        <v>169</v>
      </c>
      <c r="J1517" s="46" t="s">
        <v>69</v>
      </c>
      <c r="K1517" s="46" t="s">
        <v>68</v>
      </c>
      <c r="L1517" s="46"/>
      <c r="M1517" s="46"/>
      <c r="N1517" s="46"/>
      <c r="O1517" s="46"/>
      <c r="P1517" s="46"/>
      <c r="Q1517" s="46"/>
      <c r="R1517" s="46"/>
      <c r="S1517" s="46"/>
      <c r="T1517" s="46"/>
      <c r="U1517" s="46"/>
      <c r="V1517" s="46"/>
      <c r="W1517" s="46"/>
      <c r="X1517" s="46"/>
      <c r="Y1517" s="46"/>
      <c r="Z1517" s="46"/>
      <c r="AA1517" s="61">
        <f>IF(OR(G1517="ALK",G1517="PEM",G1517="SOEC",G1517="Other Electrolysis"),
AB1517*VLOOKUP(G1517,ElectrolysisConvF,3,FALSE),
"")</f>
        <v>0</v>
      </c>
      <c r="AB1517" s="62"/>
      <c r="AC1517" s="62"/>
      <c r="AD1517" s="62"/>
      <c r="AE1517" s="62">
        <f t="shared" si="170"/>
        <v>0</v>
      </c>
      <c r="AF1517" s="64" t="s">
        <v>4074</v>
      </c>
      <c r="AG1517" s="49">
        <v>0.5</v>
      </c>
    </row>
    <row r="1518" spans="1:33" customFormat="1" ht="35.1" customHeight="1" x14ac:dyDescent="0.3">
      <c r="A1518" s="46">
        <v>2060</v>
      </c>
      <c r="B1518" s="46" t="s">
        <v>4075</v>
      </c>
      <c r="C1518" s="46" t="s">
        <v>318</v>
      </c>
      <c r="D1518" s="60">
        <v>2029</v>
      </c>
      <c r="E1518" s="60"/>
      <c r="F1518" s="46" t="s">
        <v>591</v>
      </c>
      <c r="G1518" s="46" t="s">
        <v>3</v>
      </c>
      <c r="H1518" s="46"/>
      <c r="I1518" s="46" t="s">
        <v>169</v>
      </c>
      <c r="J1518" s="46" t="s">
        <v>69</v>
      </c>
      <c r="K1518" s="46" t="s">
        <v>140</v>
      </c>
      <c r="L1518" s="46"/>
      <c r="M1518" s="46"/>
      <c r="N1518" s="46">
        <v>1</v>
      </c>
      <c r="O1518" s="46"/>
      <c r="P1518" s="46"/>
      <c r="Q1518" s="46"/>
      <c r="R1518" s="46"/>
      <c r="S1518" s="46"/>
      <c r="T1518" s="46"/>
      <c r="U1518" s="46"/>
      <c r="V1518" s="46"/>
      <c r="W1518" s="46"/>
      <c r="X1518" s="46"/>
      <c r="Y1518" s="46"/>
      <c r="Z1518" s="46" t="s">
        <v>4076</v>
      </c>
      <c r="AA1518" s="61">
        <v>500</v>
      </c>
      <c r="AB1518" s="62">
        <f t="shared" ref="AB1518:AB1523" si="171">IF(OR(G1518="ALK",G1518="PEM",G1518="SOEC",G1518="Other Electrolysis"),
AA1518/VLOOKUP(G1518,ElectrolysisConvF,3,FALSE),
AC1518*10^6/(H2dens*HoursInYear))</f>
        <v>108695.65217391304</v>
      </c>
      <c r="AC1518" s="63">
        <f t="shared" ref="AC1518:AC1523" si="172">AB1518*H2dens*HoursInYear/10^6</f>
        <v>84.743478260869566</v>
      </c>
      <c r="AD1518" s="62"/>
      <c r="AE1518" s="62">
        <f t="shared" si="170"/>
        <v>108695.65217391304</v>
      </c>
      <c r="AF1518" s="64" t="s">
        <v>4077</v>
      </c>
      <c r="AG1518" s="49">
        <v>0.5</v>
      </c>
    </row>
    <row r="1519" spans="1:33" customFormat="1" ht="35.1" customHeight="1" x14ac:dyDescent="0.3">
      <c r="A1519" s="46">
        <v>2061</v>
      </c>
      <c r="B1519" s="46" t="s">
        <v>4078</v>
      </c>
      <c r="C1519" s="46" t="s">
        <v>238</v>
      </c>
      <c r="D1519" s="60">
        <v>2026</v>
      </c>
      <c r="E1519" s="60"/>
      <c r="F1519" s="46" t="s">
        <v>225</v>
      </c>
      <c r="G1519" s="46" t="s">
        <v>159</v>
      </c>
      <c r="H1519" s="46" t="s">
        <v>592</v>
      </c>
      <c r="I1519" s="46" t="s">
        <v>169</v>
      </c>
      <c r="J1519" s="46" t="s">
        <v>248</v>
      </c>
      <c r="K1519" s="46" t="s">
        <v>167</v>
      </c>
      <c r="L1519" s="46"/>
      <c r="M1519" s="46"/>
      <c r="N1519" s="46"/>
      <c r="O1519" s="46"/>
      <c r="P1519" s="46"/>
      <c r="Q1519" s="46"/>
      <c r="R1519" s="46"/>
      <c r="S1519" s="46"/>
      <c r="T1519" s="46"/>
      <c r="U1519" s="46"/>
      <c r="V1519" s="46"/>
      <c r="W1519" s="46">
        <v>1</v>
      </c>
      <c r="X1519" s="46"/>
      <c r="Y1519" s="46"/>
      <c r="Z1519" s="46" t="s">
        <v>672</v>
      </c>
      <c r="AA1519" s="61">
        <v>1000</v>
      </c>
      <c r="AB1519" s="62">
        <f t="shared" si="171"/>
        <v>222222.22222222225</v>
      </c>
      <c r="AC1519" s="63">
        <f t="shared" si="172"/>
        <v>173.25333333333333</v>
      </c>
      <c r="AD1519" s="62"/>
      <c r="AE1519" s="62">
        <f t="shared" si="170"/>
        <v>222222.22222222225</v>
      </c>
      <c r="AF1519" s="64" t="s">
        <v>4079</v>
      </c>
      <c r="AG1519" s="49">
        <v>0.5</v>
      </c>
    </row>
    <row r="1520" spans="1:33" customFormat="1" ht="35.1" customHeight="1" x14ac:dyDescent="0.3">
      <c r="A1520" s="46">
        <v>2062</v>
      </c>
      <c r="B1520" s="46" t="s">
        <v>4080</v>
      </c>
      <c r="C1520" s="46" t="s">
        <v>321</v>
      </c>
      <c r="D1520" s="60">
        <v>2026</v>
      </c>
      <c r="E1520" s="60"/>
      <c r="F1520" s="46" t="s">
        <v>225</v>
      </c>
      <c r="G1520" s="46" t="s">
        <v>159</v>
      </c>
      <c r="H1520" s="46" t="s">
        <v>592</v>
      </c>
      <c r="I1520" s="46" t="s">
        <v>169</v>
      </c>
      <c r="J1520" s="46" t="s">
        <v>244</v>
      </c>
      <c r="K1520" s="46" t="s">
        <v>141</v>
      </c>
      <c r="L1520" s="46"/>
      <c r="M1520" s="46">
        <v>1</v>
      </c>
      <c r="N1520" s="46"/>
      <c r="O1520" s="46"/>
      <c r="P1520" s="46"/>
      <c r="Q1520" s="46"/>
      <c r="R1520" s="46"/>
      <c r="S1520" s="46"/>
      <c r="T1520" s="46"/>
      <c r="U1520" s="46"/>
      <c r="V1520" s="46"/>
      <c r="W1520" s="46"/>
      <c r="X1520" s="46"/>
      <c r="Y1520" s="46"/>
      <c r="Z1520" s="46" t="s">
        <v>4081</v>
      </c>
      <c r="AA1520" s="61">
        <v>140</v>
      </c>
      <c r="AB1520" s="62">
        <f t="shared" si="171"/>
        <v>31111.111111111113</v>
      </c>
      <c r="AC1520" s="63">
        <f t="shared" si="172"/>
        <v>24.255466666666667</v>
      </c>
      <c r="AD1520" s="62"/>
      <c r="AE1520" s="62">
        <f t="shared" si="170"/>
        <v>31111.111111111113</v>
      </c>
      <c r="AF1520" s="64" t="s">
        <v>4082</v>
      </c>
      <c r="AG1520" s="49">
        <v>0.3</v>
      </c>
    </row>
    <row r="1521" spans="1:33" customFormat="1" ht="35.1" customHeight="1" x14ac:dyDescent="0.3">
      <c r="A1521" s="46">
        <v>2063</v>
      </c>
      <c r="B1521" s="46" t="s">
        <v>4083</v>
      </c>
      <c r="C1521" s="46" t="s">
        <v>65</v>
      </c>
      <c r="D1521" s="60">
        <v>2024</v>
      </c>
      <c r="E1521" s="60"/>
      <c r="F1521" s="46" t="s">
        <v>675</v>
      </c>
      <c r="G1521" s="46" t="s">
        <v>1</v>
      </c>
      <c r="H1521" s="46"/>
      <c r="I1521" s="46" t="s">
        <v>157</v>
      </c>
      <c r="J1521" s="46"/>
      <c r="K1521" s="46" t="s">
        <v>68</v>
      </c>
      <c r="L1521" s="46"/>
      <c r="M1521" s="46"/>
      <c r="N1521" s="46"/>
      <c r="O1521" s="46"/>
      <c r="P1521" s="46"/>
      <c r="Q1521" s="46">
        <v>1</v>
      </c>
      <c r="R1521" s="46"/>
      <c r="S1521" s="46"/>
      <c r="T1521" s="46"/>
      <c r="U1521" s="46"/>
      <c r="V1521" s="46"/>
      <c r="W1521" s="46"/>
      <c r="X1521" s="46"/>
      <c r="Y1521" s="46"/>
      <c r="Z1521" s="46" t="s">
        <v>1396</v>
      </c>
      <c r="AA1521" s="61">
        <v>5</v>
      </c>
      <c r="AB1521" s="62">
        <f t="shared" si="171"/>
        <v>961.53846153846155</v>
      </c>
      <c r="AC1521" s="63">
        <f t="shared" si="172"/>
        <v>0.74965384615384612</v>
      </c>
      <c r="AD1521" s="62"/>
      <c r="AE1521" s="62">
        <f t="shared" si="170"/>
        <v>961.53846153846155</v>
      </c>
      <c r="AF1521" s="64" t="s">
        <v>4084</v>
      </c>
      <c r="AG1521" s="49">
        <v>0.56999999999999995</v>
      </c>
    </row>
    <row r="1522" spans="1:33" customFormat="1" ht="35.1" customHeight="1" x14ac:dyDescent="0.3">
      <c r="A1522" s="46">
        <v>2064</v>
      </c>
      <c r="B1522" s="46" t="s">
        <v>4085</v>
      </c>
      <c r="C1522" s="46" t="s">
        <v>43</v>
      </c>
      <c r="D1522" s="60">
        <v>2022</v>
      </c>
      <c r="E1522" s="60"/>
      <c r="F1522" s="46" t="s">
        <v>285</v>
      </c>
      <c r="G1522" s="46" t="s">
        <v>3</v>
      </c>
      <c r="H1522" s="46"/>
      <c r="I1522" s="46" t="s">
        <v>169</v>
      </c>
      <c r="J1522" s="46" t="s">
        <v>244</v>
      </c>
      <c r="K1522" s="46" t="s">
        <v>68</v>
      </c>
      <c r="L1522" s="46"/>
      <c r="M1522" s="46"/>
      <c r="N1522" s="46"/>
      <c r="O1522" s="46"/>
      <c r="P1522" s="46"/>
      <c r="Q1522" s="46"/>
      <c r="R1522" s="46"/>
      <c r="S1522" s="46">
        <v>1</v>
      </c>
      <c r="T1522" s="46"/>
      <c r="U1522" s="46"/>
      <c r="V1522" s="46"/>
      <c r="W1522" s="46"/>
      <c r="X1522" s="46"/>
      <c r="Y1522" s="46"/>
      <c r="Z1522" s="46" t="s">
        <v>4086</v>
      </c>
      <c r="AA1522" s="61">
        <v>0.1</v>
      </c>
      <c r="AB1522" s="62">
        <f t="shared" si="171"/>
        <v>21.739130434782609</v>
      </c>
      <c r="AC1522" s="63">
        <f t="shared" si="172"/>
        <v>1.6948695652173912E-2</v>
      </c>
      <c r="AD1522" s="62"/>
      <c r="AE1522" s="62">
        <f t="shared" si="170"/>
        <v>21.739130434782609</v>
      </c>
      <c r="AF1522" s="64" t="s">
        <v>4087</v>
      </c>
      <c r="AG1522" s="49">
        <v>0.3</v>
      </c>
    </row>
    <row r="1523" spans="1:33" customFormat="1" ht="35.1" customHeight="1" x14ac:dyDescent="0.3">
      <c r="A1523" s="46">
        <v>2065</v>
      </c>
      <c r="B1523" s="46" t="s">
        <v>4088</v>
      </c>
      <c r="C1523" s="46" t="s">
        <v>43</v>
      </c>
      <c r="D1523" s="60">
        <v>2023</v>
      </c>
      <c r="E1523" s="60"/>
      <c r="F1523" s="46" t="s">
        <v>675</v>
      </c>
      <c r="G1523" s="46" t="s">
        <v>3</v>
      </c>
      <c r="H1523" s="46"/>
      <c r="I1523" s="46" t="s">
        <v>169</v>
      </c>
      <c r="J1523" s="46" t="s">
        <v>244</v>
      </c>
      <c r="K1523" s="46" t="s">
        <v>68</v>
      </c>
      <c r="L1523" s="46"/>
      <c r="M1523" s="46"/>
      <c r="N1523" s="46"/>
      <c r="O1523" s="46">
        <v>1</v>
      </c>
      <c r="P1523" s="46"/>
      <c r="Q1523" s="46"/>
      <c r="R1523" s="46"/>
      <c r="S1523" s="46"/>
      <c r="T1523" s="46"/>
      <c r="U1523" s="46"/>
      <c r="V1523" s="46"/>
      <c r="W1523" s="46"/>
      <c r="X1523" s="46"/>
      <c r="Y1523" s="46"/>
      <c r="Z1523" s="46" t="s">
        <v>1327</v>
      </c>
      <c r="AA1523" s="61">
        <v>1</v>
      </c>
      <c r="AB1523" s="62">
        <f t="shared" si="171"/>
        <v>217.39130434782609</v>
      </c>
      <c r="AC1523" s="63">
        <f t="shared" si="172"/>
        <v>0.16948695652173912</v>
      </c>
      <c r="AD1523" s="62"/>
      <c r="AE1523" s="62">
        <f t="shared" si="170"/>
        <v>217.39130434782609</v>
      </c>
      <c r="AF1523" s="64" t="s">
        <v>4089</v>
      </c>
      <c r="AG1523" s="49">
        <v>0.3</v>
      </c>
    </row>
    <row r="1524" spans="1:33" customFormat="1" ht="35.1" customHeight="1" x14ac:dyDescent="0.3">
      <c r="A1524" s="46">
        <v>2066</v>
      </c>
      <c r="B1524" s="46" t="s">
        <v>4090</v>
      </c>
      <c r="C1524" s="46" t="s">
        <v>52</v>
      </c>
      <c r="D1524" s="60">
        <v>2030</v>
      </c>
      <c r="E1524" s="60"/>
      <c r="F1524" s="46" t="s">
        <v>225</v>
      </c>
      <c r="G1524" s="46" t="s">
        <v>162</v>
      </c>
      <c r="H1524" s="46" t="s">
        <v>2365</v>
      </c>
      <c r="I1524" s="46"/>
      <c r="J1524" s="46"/>
      <c r="K1524" s="46" t="s">
        <v>68</v>
      </c>
      <c r="L1524" s="46">
        <v>1</v>
      </c>
      <c r="M1524" s="46"/>
      <c r="N1524" s="46"/>
      <c r="O1524" s="46"/>
      <c r="P1524" s="46"/>
      <c r="Q1524" s="46"/>
      <c r="R1524" s="46"/>
      <c r="S1524" s="46"/>
      <c r="T1524" s="46"/>
      <c r="U1524" s="46"/>
      <c r="V1524" s="46"/>
      <c r="W1524" s="46"/>
      <c r="X1524" s="46"/>
      <c r="Y1524" s="46"/>
      <c r="Z1524" s="46"/>
      <c r="AA1524" s="61" t="str">
        <f t="shared" ref="AA1524:AA1552" si="173">IF(OR(G1524="ALK",G1524="PEM",G1524="SOEC",G1524="Other Electrolysis"),
AB1524*VLOOKUP(G1524,ElectrolysisConvF,3,FALSE),
"")</f>
        <v/>
      </c>
      <c r="AB1524" s="62"/>
      <c r="AC1524" s="62"/>
      <c r="AD1524" s="62"/>
      <c r="AE1524" s="62">
        <f t="shared" si="170"/>
        <v>0</v>
      </c>
      <c r="AF1524" s="64" t="s">
        <v>4091</v>
      </c>
      <c r="AG1524" s="49">
        <v>0.9</v>
      </c>
    </row>
    <row r="1525" spans="1:33" customFormat="1" ht="35.1" customHeight="1" x14ac:dyDescent="0.3">
      <c r="A1525" s="46">
        <v>2067</v>
      </c>
      <c r="B1525" s="46" t="s">
        <v>3084</v>
      </c>
      <c r="C1525" s="46" t="s">
        <v>41</v>
      </c>
      <c r="D1525" s="60">
        <v>2025</v>
      </c>
      <c r="E1525" s="60"/>
      <c r="F1525" s="46" t="s">
        <v>225</v>
      </c>
      <c r="G1525" s="46" t="s">
        <v>162</v>
      </c>
      <c r="H1525" s="46" t="s">
        <v>2365</v>
      </c>
      <c r="I1525" s="46"/>
      <c r="J1525" s="46"/>
      <c r="K1525" s="46" t="s">
        <v>68</v>
      </c>
      <c r="L1525" s="46">
        <v>1</v>
      </c>
      <c r="M1525" s="46"/>
      <c r="N1525" s="46"/>
      <c r="O1525" s="46"/>
      <c r="P1525" s="46"/>
      <c r="Q1525" s="46"/>
      <c r="R1525" s="46"/>
      <c r="S1525" s="46"/>
      <c r="T1525" s="46"/>
      <c r="U1525" s="46"/>
      <c r="V1525" s="46"/>
      <c r="W1525" s="46"/>
      <c r="X1525" s="46"/>
      <c r="Y1525" s="46"/>
      <c r="Z1525" s="46" t="s">
        <v>4092</v>
      </c>
      <c r="AA1525" s="61" t="str">
        <f t="shared" si="173"/>
        <v/>
      </c>
      <c r="AB1525" s="62"/>
      <c r="AC1525" s="62"/>
      <c r="AD1525" s="62">
        <v>1500000</v>
      </c>
      <c r="AE1525" s="62">
        <f t="shared" si="170"/>
        <v>89768.218459936441</v>
      </c>
      <c r="AF1525" s="64" t="s">
        <v>4093</v>
      </c>
      <c r="AG1525" s="49">
        <v>0.9</v>
      </c>
    </row>
    <row r="1526" spans="1:33" customFormat="1" ht="35.1" customHeight="1" x14ac:dyDescent="0.3">
      <c r="A1526" s="46">
        <v>2068</v>
      </c>
      <c r="B1526" s="46" t="s">
        <v>4094</v>
      </c>
      <c r="C1526" s="46" t="s">
        <v>203</v>
      </c>
      <c r="D1526" s="60">
        <v>2029</v>
      </c>
      <c r="E1526" s="60"/>
      <c r="F1526" s="46" t="s">
        <v>591</v>
      </c>
      <c r="G1526" s="46" t="s">
        <v>161</v>
      </c>
      <c r="H1526" s="46" t="s">
        <v>2365</v>
      </c>
      <c r="I1526" s="46"/>
      <c r="J1526" s="46"/>
      <c r="K1526" s="46" t="s">
        <v>68</v>
      </c>
      <c r="L1526" s="46"/>
      <c r="M1526" s="46"/>
      <c r="N1526" s="46"/>
      <c r="O1526" s="46">
        <v>1</v>
      </c>
      <c r="P1526" s="46">
        <v>1</v>
      </c>
      <c r="Q1526" s="46"/>
      <c r="R1526" s="46">
        <v>1</v>
      </c>
      <c r="S1526" s="46"/>
      <c r="T1526" s="46"/>
      <c r="U1526" s="46"/>
      <c r="V1526" s="46"/>
      <c r="W1526" s="46"/>
      <c r="X1526" s="46"/>
      <c r="Y1526" s="46"/>
      <c r="Z1526" s="46" t="s">
        <v>2993</v>
      </c>
      <c r="AA1526" s="61" t="str">
        <f t="shared" si="173"/>
        <v/>
      </c>
      <c r="AB1526" s="62">
        <f>IF(OR(G1526="ALK",G1526="PEM",G1526="SOEC",G1526="Other Electrolysis"),
AA1526/VLOOKUP(G1526,ElectrolysisConvF,3,FALSE),
AC1526*10^6/(H2dens*HoursInYear))</f>
        <v>320224.71910112363</v>
      </c>
      <c r="AC1526" s="63">
        <f>1000*HoursInYear*0.95*3.6/120/1000</f>
        <v>249.66</v>
      </c>
      <c r="AD1526" s="62">
        <v>1800000</v>
      </c>
      <c r="AE1526" s="62">
        <f t="shared" si="170"/>
        <v>225677.5969849473</v>
      </c>
      <c r="AF1526" s="64"/>
      <c r="AG1526" s="49">
        <v>0.9</v>
      </c>
    </row>
    <row r="1527" spans="1:33" customFormat="1" ht="35.1" customHeight="1" x14ac:dyDescent="0.3">
      <c r="A1527" s="46">
        <v>2069</v>
      </c>
      <c r="B1527" s="46" t="s">
        <v>4095</v>
      </c>
      <c r="C1527" s="46" t="s">
        <v>36</v>
      </c>
      <c r="D1527" s="60">
        <v>2025</v>
      </c>
      <c r="E1527" s="60"/>
      <c r="F1527" s="46" t="s">
        <v>225</v>
      </c>
      <c r="G1527" s="46" t="s">
        <v>161</v>
      </c>
      <c r="H1527" s="46" t="s">
        <v>2365</v>
      </c>
      <c r="I1527" s="46"/>
      <c r="J1527" s="46"/>
      <c r="K1527" s="46" t="s">
        <v>68</v>
      </c>
      <c r="L1527" s="46">
        <v>1</v>
      </c>
      <c r="M1527" s="46"/>
      <c r="N1527" s="46"/>
      <c r="O1527" s="46"/>
      <c r="P1527" s="46"/>
      <c r="Q1527" s="46"/>
      <c r="R1527" s="46"/>
      <c r="S1527" s="46"/>
      <c r="T1527" s="46"/>
      <c r="U1527" s="46"/>
      <c r="V1527" s="46"/>
      <c r="W1527" s="46"/>
      <c r="X1527" s="46"/>
      <c r="Y1527" s="46"/>
      <c r="Z1527" s="46"/>
      <c r="AA1527" s="61" t="str">
        <f t="shared" si="173"/>
        <v/>
      </c>
      <c r="AB1527" s="62"/>
      <c r="AC1527" s="62"/>
      <c r="AD1527" s="62"/>
      <c r="AE1527" s="62">
        <f t="shared" si="170"/>
        <v>0</v>
      </c>
      <c r="AF1527" s="64"/>
      <c r="AG1527" s="49">
        <v>0.9</v>
      </c>
    </row>
    <row r="1528" spans="1:33" customFormat="1" ht="35.1" customHeight="1" x14ac:dyDescent="0.3">
      <c r="A1528" s="46">
        <v>2070</v>
      </c>
      <c r="B1528" s="46" t="s">
        <v>4096</v>
      </c>
      <c r="C1528" s="46" t="s">
        <v>46</v>
      </c>
      <c r="D1528" s="60">
        <v>2030</v>
      </c>
      <c r="E1528" s="60"/>
      <c r="F1528" s="46" t="s">
        <v>225</v>
      </c>
      <c r="G1528" s="46" t="s">
        <v>161</v>
      </c>
      <c r="H1528" s="46" t="s">
        <v>1951</v>
      </c>
      <c r="I1528" s="46"/>
      <c r="J1528" s="46"/>
      <c r="K1528" s="46" t="s">
        <v>68</v>
      </c>
      <c r="L1528" s="46">
        <v>1</v>
      </c>
      <c r="M1528" s="46"/>
      <c r="N1528" s="46"/>
      <c r="O1528" s="46"/>
      <c r="P1528" s="46"/>
      <c r="Q1528" s="46"/>
      <c r="R1528" s="46"/>
      <c r="S1528" s="46"/>
      <c r="T1528" s="46"/>
      <c r="U1528" s="46"/>
      <c r="V1528" s="46"/>
      <c r="W1528" s="46"/>
      <c r="X1528" s="46"/>
      <c r="Y1528" s="46"/>
      <c r="Z1528" s="46" t="s">
        <v>2726</v>
      </c>
      <c r="AA1528" s="61" t="str">
        <f t="shared" si="173"/>
        <v/>
      </c>
      <c r="AB1528" s="62"/>
      <c r="AC1528" s="62"/>
      <c r="AD1528" s="62">
        <v>550000</v>
      </c>
      <c r="AE1528" s="62">
        <f t="shared" si="170"/>
        <v>68957.043523178349</v>
      </c>
      <c r="AF1528" s="64" t="s">
        <v>2727</v>
      </c>
      <c r="AG1528" s="49">
        <v>0.9</v>
      </c>
    </row>
    <row r="1529" spans="1:33" customFormat="1" ht="35.1" customHeight="1" x14ac:dyDescent="0.3">
      <c r="A1529" s="46">
        <v>2071</v>
      </c>
      <c r="B1529" s="46" t="s">
        <v>4097</v>
      </c>
      <c r="C1529" s="46" t="s">
        <v>46</v>
      </c>
      <c r="D1529" s="60">
        <v>2027</v>
      </c>
      <c r="E1529" s="60"/>
      <c r="F1529" s="46" t="s">
        <v>591</v>
      </c>
      <c r="G1529" s="46" t="s">
        <v>161</v>
      </c>
      <c r="H1529" s="46" t="s">
        <v>1951</v>
      </c>
      <c r="I1529" s="46"/>
      <c r="J1529" s="46"/>
      <c r="K1529" s="46" t="s">
        <v>68</v>
      </c>
      <c r="L1529" s="46"/>
      <c r="M1529" s="46"/>
      <c r="N1529" s="46"/>
      <c r="O1529" s="46"/>
      <c r="P1529" s="46"/>
      <c r="Q1529" s="46"/>
      <c r="R1529" s="46"/>
      <c r="S1529" s="46"/>
      <c r="T1529" s="46"/>
      <c r="U1529" s="46"/>
      <c r="V1529" s="46"/>
      <c r="W1529" s="46"/>
      <c r="X1529" s="46"/>
      <c r="Y1529" s="46"/>
      <c r="Z1529" s="46" t="s">
        <v>4098</v>
      </c>
      <c r="AA1529" s="61" t="str">
        <f t="shared" si="173"/>
        <v/>
      </c>
      <c r="AB1529" s="62">
        <f>IF(OR(G1529="ALK",G1529="PEM",G1529="SOEC",G1529="Other Electrolysis"),
AA1529/VLOOKUP(G1529,ElectrolysisConvF,3,FALSE),
AC1529*10^6/(H2dens*HoursInYear))</f>
        <v>336235.95505617972</v>
      </c>
      <c r="AC1529" s="62">
        <f>1050*HoursInYear*0.95*3.6/120/1000</f>
        <v>262.14299999999997</v>
      </c>
      <c r="AD1529" s="62">
        <v>1800000</v>
      </c>
      <c r="AE1529" s="62">
        <f t="shared" si="170"/>
        <v>225677.5969849473</v>
      </c>
      <c r="AF1529" s="64" t="s">
        <v>2921</v>
      </c>
      <c r="AG1529" s="49">
        <v>0.9</v>
      </c>
    </row>
    <row r="1530" spans="1:33" customFormat="1" ht="35.1" customHeight="1" x14ac:dyDescent="0.3">
      <c r="A1530" s="46">
        <v>2072</v>
      </c>
      <c r="B1530" s="46" t="s">
        <v>4099</v>
      </c>
      <c r="C1530" s="46" t="s">
        <v>46</v>
      </c>
      <c r="D1530" s="60"/>
      <c r="E1530" s="60"/>
      <c r="F1530" s="46" t="s">
        <v>591</v>
      </c>
      <c r="G1530" s="46" t="s">
        <v>153</v>
      </c>
      <c r="H1530" s="46" t="s">
        <v>4100</v>
      </c>
      <c r="I1530" s="46"/>
      <c r="J1530" s="46"/>
      <c r="K1530" s="46" t="s">
        <v>68</v>
      </c>
      <c r="L1530" s="46"/>
      <c r="M1530" s="46"/>
      <c r="N1530" s="46"/>
      <c r="O1530" s="46"/>
      <c r="P1530" s="46"/>
      <c r="Q1530" s="46"/>
      <c r="R1530" s="46"/>
      <c r="S1530" s="46"/>
      <c r="T1530" s="46"/>
      <c r="U1530" s="46"/>
      <c r="V1530" s="46"/>
      <c r="W1530" s="46"/>
      <c r="X1530" s="46"/>
      <c r="Y1530" s="46"/>
      <c r="Z1530" s="46"/>
      <c r="AA1530" s="61" t="str">
        <f t="shared" si="173"/>
        <v/>
      </c>
      <c r="AB1530" s="62"/>
      <c r="AC1530" s="62"/>
      <c r="AD1530" s="62"/>
      <c r="AE1530" s="62">
        <f t="shared" si="170"/>
        <v>0</v>
      </c>
      <c r="AF1530" s="64" t="s">
        <v>4101</v>
      </c>
      <c r="AG1530" s="49">
        <v>0.9</v>
      </c>
    </row>
    <row r="1531" spans="1:33" customFormat="1" ht="35.1" customHeight="1" x14ac:dyDescent="0.3">
      <c r="A1531" s="46">
        <v>2074</v>
      </c>
      <c r="B1531" s="46" t="s">
        <v>4102</v>
      </c>
      <c r="C1531" s="46" t="s">
        <v>100</v>
      </c>
      <c r="D1531" s="60"/>
      <c r="E1531" s="60"/>
      <c r="F1531" s="46" t="s">
        <v>225</v>
      </c>
      <c r="G1531" s="46" t="s">
        <v>161</v>
      </c>
      <c r="H1531" s="46" t="s">
        <v>4103</v>
      </c>
      <c r="I1531" s="46"/>
      <c r="J1531" s="46"/>
      <c r="K1531" s="46" t="s">
        <v>68</v>
      </c>
      <c r="L1531" s="46">
        <v>1</v>
      </c>
      <c r="M1531" s="46"/>
      <c r="N1531" s="46"/>
      <c r="O1531" s="46"/>
      <c r="P1531" s="46"/>
      <c r="Q1531" s="46"/>
      <c r="R1531" s="46"/>
      <c r="S1531" s="46"/>
      <c r="T1531" s="46"/>
      <c r="U1531" s="46"/>
      <c r="V1531" s="46"/>
      <c r="W1531" s="46"/>
      <c r="X1531" s="46"/>
      <c r="Y1531" s="46"/>
      <c r="Z1531" s="46"/>
      <c r="AA1531" s="61" t="str">
        <f t="shared" si="173"/>
        <v/>
      </c>
      <c r="AB1531" s="62"/>
      <c r="AC1531" s="62"/>
      <c r="AD1531" s="62"/>
      <c r="AE1531" s="62">
        <f t="shared" si="170"/>
        <v>0</v>
      </c>
      <c r="AF1531" s="64" t="s">
        <v>4104</v>
      </c>
      <c r="AG1531" s="49">
        <v>0.9</v>
      </c>
    </row>
    <row r="1532" spans="1:33" customFormat="1" ht="35.1" customHeight="1" x14ac:dyDescent="0.3">
      <c r="A1532" s="46">
        <v>2075</v>
      </c>
      <c r="B1532" s="46" t="s">
        <v>4105</v>
      </c>
      <c r="C1532" s="46" t="s">
        <v>43</v>
      </c>
      <c r="D1532" s="60"/>
      <c r="E1532" s="60"/>
      <c r="F1532" s="46" t="s">
        <v>591</v>
      </c>
      <c r="G1532" s="46" t="s">
        <v>160</v>
      </c>
      <c r="H1532" s="46" t="s">
        <v>1746</v>
      </c>
      <c r="I1532" s="46"/>
      <c r="J1532" s="46"/>
      <c r="K1532" s="46" t="s">
        <v>68</v>
      </c>
      <c r="L1532" s="46"/>
      <c r="M1532" s="46"/>
      <c r="N1532" s="46"/>
      <c r="O1532" s="46"/>
      <c r="P1532" s="46"/>
      <c r="Q1532" s="46"/>
      <c r="R1532" s="46"/>
      <c r="S1532" s="46"/>
      <c r="T1532" s="46"/>
      <c r="U1532" s="46"/>
      <c r="V1532" s="46"/>
      <c r="W1532" s="46"/>
      <c r="X1532" s="46"/>
      <c r="Y1532" s="46"/>
      <c r="Z1532" s="46"/>
      <c r="AA1532" s="61" t="str">
        <f t="shared" si="173"/>
        <v/>
      </c>
      <c r="AB1532" s="62"/>
      <c r="AC1532" s="62"/>
      <c r="AD1532" s="62"/>
      <c r="AE1532" s="62">
        <f t="shared" si="170"/>
        <v>0</v>
      </c>
      <c r="AF1532" s="64" t="s">
        <v>4106</v>
      </c>
      <c r="AG1532" s="49">
        <v>0.9</v>
      </c>
    </row>
    <row r="1533" spans="1:33" customFormat="1" ht="35.1" customHeight="1" x14ac:dyDescent="0.3">
      <c r="A1533" s="46">
        <v>2076</v>
      </c>
      <c r="B1533" s="46" t="s">
        <v>4107</v>
      </c>
      <c r="C1533" s="46" t="s">
        <v>43</v>
      </c>
      <c r="D1533" s="60">
        <v>2026</v>
      </c>
      <c r="E1533" s="60"/>
      <c r="F1533" s="46" t="s">
        <v>225</v>
      </c>
      <c r="G1533" s="46" t="s">
        <v>161</v>
      </c>
      <c r="H1533" s="46" t="s">
        <v>4103</v>
      </c>
      <c r="I1533" s="46"/>
      <c r="J1533" s="46"/>
      <c r="K1533" s="46" t="s">
        <v>68</v>
      </c>
      <c r="L1533" s="46">
        <v>1</v>
      </c>
      <c r="M1533" s="46"/>
      <c r="N1533" s="46"/>
      <c r="O1533" s="46"/>
      <c r="P1533" s="46"/>
      <c r="Q1533" s="46"/>
      <c r="R1533" s="46"/>
      <c r="S1533" s="46"/>
      <c r="T1533" s="46"/>
      <c r="U1533" s="46"/>
      <c r="V1533" s="46"/>
      <c r="W1533" s="46"/>
      <c r="X1533" s="46"/>
      <c r="Y1533" s="46"/>
      <c r="Z1533" s="46" t="s">
        <v>4108</v>
      </c>
      <c r="AA1533" s="61" t="str">
        <f t="shared" si="173"/>
        <v/>
      </c>
      <c r="AB1533" s="62"/>
      <c r="AC1533" s="62"/>
      <c r="AD1533" s="62">
        <v>350000</v>
      </c>
      <c r="AE1533" s="62">
        <f t="shared" si="170"/>
        <v>43881.754969295311</v>
      </c>
      <c r="AF1533" s="64" t="s">
        <v>4109</v>
      </c>
      <c r="AG1533" s="49">
        <v>0.9</v>
      </c>
    </row>
    <row r="1534" spans="1:33" customFormat="1" ht="35.1" customHeight="1" x14ac:dyDescent="0.3">
      <c r="A1534" s="46">
        <v>2077</v>
      </c>
      <c r="B1534" s="46" t="s">
        <v>4110</v>
      </c>
      <c r="C1534" s="46" t="s">
        <v>45</v>
      </c>
      <c r="D1534" s="60">
        <v>2028</v>
      </c>
      <c r="E1534" s="60"/>
      <c r="F1534" s="46" t="s">
        <v>225</v>
      </c>
      <c r="G1534" s="46" t="s">
        <v>161</v>
      </c>
      <c r="H1534" s="46" t="s">
        <v>1951</v>
      </c>
      <c r="I1534" s="46"/>
      <c r="J1534" s="46"/>
      <c r="K1534" s="46" t="s">
        <v>68</v>
      </c>
      <c r="L1534" s="46"/>
      <c r="M1534" s="46"/>
      <c r="N1534" s="46"/>
      <c r="O1534" s="46"/>
      <c r="P1534" s="46"/>
      <c r="Q1534" s="46"/>
      <c r="R1534" s="46"/>
      <c r="S1534" s="46"/>
      <c r="T1534" s="46"/>
      <c r="U1534" s="46"/>
      <c r="V1534" s="46">
        <v>1</v>
      </c>
      <c r="W1534" s="46"/>
      <c r="X1534" s="46"/>
      <c r="Y1534" s="46"/>
      <c r="Z1534" s="46" t="s">
        <v>4111</v>
      </c>
      <c r="AA1534" s="61" t="str">
        <f t="shared" si="173"/>
        <v/>
      </c>
      <c r="AB1534" s="62">
        <v>30000</v>
      </c>
      <c r="AC1534" s="63">
        <f>AB1534*H2dens*HoursInYear/10^6</f>
        <v>23.389199999999999</v>
      </c>
      <c r="AD1534" s="62">
        <v>200000</v>
      </c>
      <c r="AE1534" s="62">
        <f t="shared" si="170"/>
        <v>25075.288553883034</v>
      </c>
      <c r="AF1534" s="64" t="s">
        <v>4112</v>
      </c>
      <c r="AG1534" s="49">
        <v>0.9</v>
      </c>
    </row>
    <row r="1535" spans="1:33" customFormat="1" ht="35.1" customHeight="1" x14ac:dyDescent="0.3">
      <c r="A1535" s="46">
        <v>2078</v>
      </c>
      <c r="B1535" s="46" t="s">
        <v>4113</v>
      </c>
      <c r="C1535" s="46" t="s">
        <v>50</v>
      </c>
      <c r="D1535" s="60">
        <v>2026</v>
      </c>
      <c r="E1535" s="60"/>
      <c r="F1535" s="46" t="s">
        <v>225</v>
      </c>
      <c r="G1535" s="46" t="s">
        <v>161</v>
      </c>
      <c r="H1535" s="46" t="s">
        <v>1951</v>
      </c>
      <c r="I1535" s="46"/>
      <c r="J1535" s="46"/>
      <c r="K1535" s="46" t="s">
        <v>141</v>
      </c>
      <c r="L1535" s="46"/>
      <c r="M1535" s="46">
        <v>1</v>
      </c>
      <c r="N1535" s="46"/>
      <c r="O1535" s="46"/>
      <c r="P1535" s="46"/>
      <c r="Q1535" s="46"/>
      <c r="R1535" s="46"/>
      <c r="S1535" s="46"/>
      <c r="T1535" s="46"/>
      <c r="U1535" s="46"/>
      <c r="V1535" s="46"/>
      <c r="W1535" s="46"/>
      <c r="X1535" s="46"/>
      <c r="Y1535" s="46"/>
      <c r="Z1535" s="46" t="s">
        <v>4114</v>
      </c>
      <c r="AA1535" s="61" t="str">
        <f t="shared" si="173"/>
        <v/>
      </c>
      <c r="AB1535" s="62"/>
      <c r="AC1535" s="62"/>
      <c r="AD1535" s="62">
        <v>800000</v>
      </c>
      <c r="AE1535" s="62">
        <f t="shared" si="170"/>
        <v>100301.15421553214</v>
      </c>
      <c r="AF1535" s="64" t="s">
        <v>4115</v>
      </c>
      <c r="AG1535" s="49">
        <v>0.9</v>
      </c>
    </row>
    <row r="1536" spans="1:33" customFormat="1" ht="35.1" customHeight="1" x14ac:dyDescent="0.3">
      <c r="A1536" s="46">
        <v>2079</v>
      </c>
      <c r="B1536" s="46" t="s">
        <v>4116</v>
      </c>
      <c r="C1536" s="46" t="s">
        <v>74</v>
      </c>
      <c r="D1536" s="60"/>
      <c r="E1536" s="60"/>
      <c r="F1536" s="46" t="s">
        <v>591</v>
      </c>
      <c r="G1536" s="46" t="s">
        <v>161</v>
      </c>
      <c r="H1536" s="46" t="s">
        <v>1951</v>
      </c>
      <c r="I1536" s="46"/>
      <c r="J1536" s="46"/>
      <c r="K1536" s="46" t="s">
        <v>141</v>
      </c>
      <c r="L1536" s="46"/>
      <c r="M1536" s="46">
        <v>1</v>
      </c>
      <c r="N1536" s="46"/>
      <c r="O1536" s="46"/>
      <c r="P1536" s="46"/>
      <c r="Q1536" s="46"/>
      <c r="R1536" s="46"/>
      <c r="S1536" s="46"/>
      <c r="T1536" s="46"/>
      <c r="U1536" s="46"/>
      <c r="V1536" s="46"/>
      <c r="W1536" s="46"/>
      <c r="X1536" s="46"/>
      <c r="Y1536" s="46"/>
      <c r="Z1536" s="46" t="s">
        <v>4117</v>
      </c>
      <c r="AA1536" s="61" t="str">
        <f t="shared" si="173"/>
        <v/>
      </c>
      <c r="AB1536" s="62">
        <f>IF(OR(G1536="ALK",G1536="PEM",G1536="SOEC",G1536="Other Electrolysis"),
AA1536/VLOOKUP(G1536,ElectrolysisConvF,3,FALSE),
AC1536*10^6/(H2dens*HoursInYear))</f>
        <v>295061.84496270423</v>
      </c>
      <c r="AC1536" s="62">
        <f>3.5*365*3/17/0.98</f>
        <v>230.0420168067227</v>
      </c>
      <c r="AD1536" s="62"/>
      <c r="AE1536" s="62">
        <f t="shared" si="170"/>
        <v>0</v>
      </c>
      <c r="AF1536" s="64" t="s">
        <v>4118</v>
      </c>
      <c r="AG1536" s="49">
        <v>0.9</v>
      </c>
    </row>
    <row r="1537" spans="1:33" customFormat="1" ht="35.1" customHeight="1" x14ac:dyDescent="0.3">
      <c r="A1537" s="46">
        <v>2080</v>
      </c>
      <c r="B1537" s="46" t="s">
        <v>4119</v>
      </c>
      <c r="C1537" s="46" t="s">
        <v>40</v>
      </c>
      <c r="D1537" s="60">
        <v>2027</v>
      </c>
      <c r="E1537" s="60"/>
      <c r="F1537" s="46" t="s">
        <v>591</v>
      </c>
      <c r="G1537" s="46" t="s">
        <v>161</v>
      </c>
      <c r="H1537" s="46" t="s">
        <v>1951</v>
      </c>
      <c r="I1537" s="46"/>
      <c r="J1537" s="46"/>
      <c r="K1537" s="46" t="s">
        <v>141</v>
      </c>
      <c r="L1537" s="46"/>
      <c r="M1537" s="46">
        <v>1</v>
      </c>
      <c r="N1537" s="46"/>
      <c r="O1537" s="46"/>
      <c r="P1537" s="46"/>
      <c r="Q1537" s="46"/>
      <c r="R1537" s="46"/>
      <c r="S1537" s="46"/>
      <c r="T1537" s="46"/>
      <c r="U1537" s="46"/>
      <c r="V1537" s="46"/>
      <c r="W1537" s="46"/>
      <c r="X1537" s="46"/>
      <c r="Y1537" s="46"/>
      <c r="Z1537" s="46" t="s">
        <v>4120</v>
      </c>
      <c r="AA1537" s="61" t="str">
        <f t="shared" si="173"/>
        <v/>
      </c>
      <c r="AB1537" s="62">
        <f>AC1537/(H2dens*HoursInYear/10^6)</f>
        <v>300258.62892486533</v>
      </c>
      <c r="AC1537" s="62">
        <f>1300*3/17/0.98</f>
        <v>234.093637454982</v>
      </c>
      <c r="AD1537" s="62"/>
      <c r="AE1537" s="62">
        <f t="shared" si="170"/>
        <v>0</v>
      </c>
      <c r="AF1537" s="64" t="s">
        <v>4121</v>
      </c>
      <c r="AG1537" s="49">
        <v>0.9</v>
      </c>
    </row>
    <row r="1538" spans="1:33" customFormat="1" ht="35.1" customHeight="1" x14ac:dyDescent="0.3">
      <c r="A1538" s="46">
        <v>2081</v>
      </c>
      <c r="B1538" s="46" t="s">
        <v>4122</v>
      </c>
      <c r="C1538" s="46" t="s">
        <v>40</v>
      </c>
      <c r="D1538" s="60"/>
      <c r="E1538" s="60"/>
      <c r="F1538" s="46" t="s">
        <v>225</v>
      </c>
      <c r="G1538" s="46" t="s">
        <v>161</v>
      </c>
      <c r="H1538" s="46" t="s">
        <v>4103</v>
      </c>
      <c r="I1538" s="46"/>
      <c r="J1538" s="46"/>
      <c r="K1538" s="46" t="s">
        <v>141</v>
      </c>
      <c r="L1538" s="46"/>
      <c r="M1538" s="46">
        <v>1</v>
      </c>
      <c r="N1538" s="46"/>
      <c r="O1538" s="46"/>
      <c r="P1538" s="46"/>
      <c r="Q1538" s="46"/>
      <c r="R1538" s="46"/>
      <c r="S1538" s="46"/>
      <c r="T1538" s="46"/>
      <c r="U1538" s="46"/>
      <c r="V1538" s="46"/>
      <c r="W1538" s="46"/>
      <c r="X1538" s="46"/>
      <c r="Y1538" s="46"/>
      <c r="Z1538" s="46" t="s">
        <v>4123</v>
      </c>
      <c r="AA1538" s="61" t="str">
        <f t="shared" si="173"/>
        <v/>
      </c>
      <c r="AB1538" s="62"/>
      <c r="AC1538" s="62"/>
      <c r="AD1538" s="62">
        <v>500000</v>
      </c>
      <c r="AE1538" s="62">
        <f t="shared" si="170"/>
        <v>62688.221384707591</v>
      </c>
      <c r="AF1538" s="64" t="s">
        <v>4124</v>
      </c>
      <c r="AG1538" s="49">
        <v>0.9</v>
      </c>
    </row>
    <row r="1539" spans="1:33" customFormat="1" ht="35.1" customHeight="1" x14ac:dyDescent="0.3">
      <c r="A1539" s="46">
        <v>2082</v>
      </c>
      <c r="B1539" s="46" t="s">
        <v>4125</v>
      </c>
      <c r="C1539" s="46" t="s">
        <v>40</v>
      </c>
      <c r="D1539" s="60">
        <v>2026</v>
      </c>
      <c r="E1539" s="60"/>
      <c r="F1539" s="46" t="s">
        <v>675</v>
      </c>
      <c r="G1539" s="46" t="s">
        <v>161</v>
      </c>
      <c r="H1539" s="46" t="s">
        <v>882</v>
      </c>
      <c r="I1539" s="46"/>
      <c r="J1539" s="46"/>
      <c r="K1539" s="46" t="s">
        <v>68</v>
      </c>
      <c r="L1539" s="46"/>
      <c r="M1539" s="46"/>
      <c r="N1539" s="46"/>
      <c r="O1539" s="46"/>
      <c r="P1539" s="46"/>
      <c r="Q1539" s="46"/>
      <c r="R1539" s="46"/>
      <c r="S1539" s="46"/>
      <c r="T1539" s="46"/>
      <c r="U1539" s="46"/>
      <c r="V1539" s="46"/>
      <c r="W1539" s="46"/>
      <c r="X1539" s="46"/>
      <c r="Y1539" s="46"/>
      <c r="Z1539" s="46" t="s">
        <v>4126</v>
      </c>
      <c r="AA1539" s="61" t="str">
        <f t="shared" si="173"/>
        <v/>
      </c>
      <c r="AB1539" s="62">
        <f>IF(OR(G1539="ALK",G1539="PEM",G1539="SOEC",G1539="Other Electrolysis"),
AA1539/VLOOKUP(G1539,ElectrolysisConvF,3,FALSE),
AC1539*10^6/(H2dens*HoursInYear))</f>
        <v>254064.99370565527</v>
      </c>
      <c r="AC1539" s="62">
        <f>1100*3/17/0.98</f>
        <v>198.07923169267707</v>
      </c>
      <c r="AD1539" s="62">
        <v>2200000</v>
      </c>
      <c r="AE1539" s="62">
        <f t="shared" si="170"/>
        <v>275828.17409271339</v>
      </c>
      <c r="AF1539" s="64" t="s">
        <v>4127</v>
      </c>
      <c r="AG1539" s="49">
        <v>0.9</v>
      </c>
    </row>
    <row r="1540" spans="1:33" customFormat="1" ht="35.1" customHeight="1" x14ac:dyDescent="0.3">
      <c r="A1540" s="46">
        <v>2083</v>
      </c>
      <c r="B1540" s="46" t="s">
        <v>4128</v>
      </c>
      <c r="C1540" s="46" t="s">
        <v>40</v>
      </c>
      <c r="D1540" s="60"/>
      <c r="E1540" s="60"/>
      <c r="F1540" s="46" t="s">
        <v>591</v>
      </c>
      <c r="G1540" s="46" t="s">
        <v>161</v>
      </c>
      <c r="H1540" s="46" t="s">
        <v>1951</v>
      </c>
      <c r="I1540" s="46"/>
      <c r="J1540" s="46"/>
      <c r="K1540" s="46" t="s">
        <v>141</v>
      </c>
      <c r="L1540" s="46"/>
      <c r="M1540" s="46">
        <v>1</v>
      </c>
      <c r="N1540" s="46"/>
      <c r="O1540" s="46"/>
      <c r="P1540" s="46"/>
      <c r="Q1540" s="46"/>
      <c r="R1540" s="46"/>
      <c r="S1540" s="46"/>
      <c r="T1540" s="46"/>
      <c r="U1540" s="46"/>
      <c r="V1540" s="46"/>
      <c r="W1540" s="46"/>
      <c r="X1540" s="46"/>
      <c r="Y1540" s="46"/>
      <c r="Z1540" s="46" t="s">
        <v>4123</v>
      </c>
      <c r="AA1540" s="61" t="str">
        <f t="shared" si="173"/>
        <v/>
      </c>
      <c r="AB1540" s="62"/>
      <c r="AC1540" s="62"/>
      <c r="AD1540" s="62">
        <v>500000</v>
      </c>
      <c r="AE1540" s="62">
        <f t="shared" si="170"/>
        <v>62688.221384707591</v>
      </c>
      <c r="AF1540" s="64" t="s">
        <v>4129</v>
      </c>
      <c r="AG1540" s="49">
        <v>0.9</v>
      </c>
    </row>
    <row r="1541" spans="1:33" customFormat="1" ht="35.1" customHeight="1" x14ac:dyDescent="0.3">
      <c r="A1541" s="46">
        <v>2084</v>
      </c>
      <c r="B1541" s="46" t="s">
        <v>4130</v>
      </c>
      <c r="C1541" s="46" t="s">
        <v>40</v>
      </c>
      <c r="D1541" s="60">
        <v>2028</v>
      </c>
      <c r="E1541" s="60"/>
      <c r="F1541" s="46" t="s">
        <v>591</v>
      </c>
      <c r="G1541" s="46" t="s">
        <v>161</v>
      </c>
      <c r="H1541" s="46" t="s">
        <v>1951</v>
      </c>
      <c r="I1541" s="46"/>
      <c r="J1541" s="46"/>
      <c r="K1541" s="46" t="s">
        <v>141</v>
      </c>
      <c r="L1541" s="46"/>
      <c r="M1541" s="46">
        <v>1</v>
      </c>
      <c r="N1541" s="46"/>
      <c r="O1541" s="46"/>
      <c r="P1541" s="46"/>
      <c r="Q1541" s="46"/>
      <c r="R1541" s="46"/>
      <c r="S1541" s="46"/>
      <c r="T1541" s="46"/>
      <c r="U1541" s="46"/>
      <c r="V1541" s="46"/>
      <c r="W1541" s="46"/>
      <c r="X1541" s="46"/>
      <c r="Y1541" s="46"/>
      <c r="Z1541" s="46" t="s">
        <v>4131</v>
      </c>
      <c r="AA1541" s="61" t="str">
        <f t="shared" si="173"/>
        <v/>
      </c>
      <c r="AB1541" s="62">
        <f>IF(OR(G1541="ALK",G1541="PEM",G1541="SOEC",G1541="Other Electrolysis"),
AA1541/VLOOKUP(G1541,ElectrolysisConvF,3,FALSE),
AC1541*10^6/(H2dens*HoursInYear))</f>
        <v>1662970.8678915617</v>
      </c>
      <c r="AC1541" s="62">
        <f>7200*3/17/0.98</f>
        <v>1296.5186074429771</v>
      </c>
      <c r="AD1541" s="62">
        <v>12000000</v>
      </c>
      <c r="AE1541" s="62">
        <f t="shared" si="170"/>
        <v>1504517.3132329821</v>
      </c>
      <c r="AF1541" s="64" t="s">
        <v>4132</v>
      </c>
      <c r="AG1541" s="49">
        <v>0.9</v>
      </c>
    </row>
    <row r="1542" spans="1:33" customFormat="1" ht="35.1" customHeight="1" x14ac:dyDescent="0.3">
      <c r="A1542" s="46">
        <v>2085</v>
      </c>
      <c r="B1542" s="46" t="s">
        <v>4133</v>
      </c>
      <c r="C1542" s="46" t="s">
        <v>40</v>
      </c>
      <c r="D1542" s="60">
        <v>2026</v>
      </c>
      <c r="E1542" s="60"/>
      <c r="F1542" s="46" t="s">
        <v>675</v>
      </c>
      <c r="G1542" s="46" t="s">
        <v>161</v>
      </c>
      <c r="H1542" s="46" t="s">
        <v>1951</v>
      </c>
      <c r="I1542" s="46"/>
      <c r="J1542" s="46"/>
      <c r="K1542" s="46" t="s">
        <v>141</v>
      </c>
      <c r="L1542" s="46"/>
      <c r="M1542" s="46">
        <v>1</v>
      </c>
      <c r="N1542" s="46"/>
      <c r="O1542" s="46"/>
      <c r="P1542" s="46"/>
      <c r="Q1542" s="46"/>
      <c r="R1542" s="46"/>
      <c r="S1542" s="46"/>
      <c r="T1542" s="46"/>
      <c r="U1542" s="46"/>
      <c r="V1542" s="46"/>
      <c r="W1542" s="46"/>
      <c r="X1542" s="46"/>
      <c r="Y1542" s="46"/>
      <c r="Z1542" s="46" t="s">
        <v>4134</v>
      </c>
      <c r="AA1542" s="61" t="str">
        <f t="shared" si="173"/>
        <v/>
      </c>
      <c r="AB1542" s="62">
        <f>IF(OR(G1542="ALK",G1542="PEM",G1542="SOEC",G1542="Other Electrolysis"),
AA1542/VLOOKUP(G1542,ElectrolysisConvF,3,FALSE),
AC1542*10^6/(H2dens*HoursInYear))</f>
        <v>138580.90565763015</v>
      </c>
      <c r="AC1542" s="62">
        <f>600*3/17/0.98</f>
        <v>108.04321728691477</v>
      </c>
      <c r="AD1542" s="62">
        <v>450000</v>
      </c>
      <c r="AE1542" s="62">
        <f t="shared" si="170"/>
        <v>56419.399246236826</v>
      </c>
      <c r="AF1542" s="64" t="s">
        <v>4135</v>
      </c>
      <c r="AG1542" s="49">
        <v>0.9</v>
      </c>
    </row>
    <row r="1543" spans="1:33" customFormat="1" ht="35.1" customHeight="1" x14ac:dyDescent="0.3">
      <c r="A1543" s="46">
        <v>2086</v>
      </c>
      <c r="B1543" s="46" t="s">
        <v>4136</v>
      </c>
      <c r="C1543" s="46" t="s">
        <v>40</v>
      </c>
      <c r="D1543" s="60"/>
      <c r="E1543" s="60"/>
      <c r="F1543" s="46" t="s">
        <v>225</v>
      </c>
      <c r="G1543" s="46" t="s">
        <v>161</v>
      </c>
      <c r="H1543" s="46" t="s">
        <v>1951</v>
      </c>
      <c r="I1543" s="46"/>
      <c r="J1543" s="46"/>
      <c r="K1543" s="46" t="s">
        <v>141</v>
      </c>
      <c r="L1543" s="46"/>
      <c r="M1543" s="46">
        <v>1</v>
      </c>
      <c r="N1543" s="46"/>
      <c r="O1543" s="46"/>
      <c r="P1543" s="46"/>
      <c r="Q1543" s="46"/>
      <c r="R1543" s="46"/>
      <c r="S1543" s="46"/>
      <c r="T1543" s="46"/>
      <c r="U1543" s="46"/>
      <c r="V1543" s="46"/>
      <c r="W1543" s="46"/>
      <c r="X1543" s="46"/>
      <c r="Y1543" s="46"/>
      <c r="Z1543" s="46" t="s">
        <v>4137</v>
      </c>
      <c r="AA1543" s="61" t="str">
        <f t="shared" si="173"/>
        <v/>
      </c>
      <c r="AB1543" s="62">
        <f>IF(OR(G1543="ALK",G1543="PEM",G1543="SOEC",G1543="Other Electrolysis"),
AA1543/VLOOKUP(G1543,ElectrolysisConvF,3,FALSE),
AC1543*10^6/(H2dens*HoursInYear))</f>
        <v>92387.270438420106</v>
      </c>
      <c r="AC1543" s="62">
        <f>400*3/17/0.98</f>
        <v>72.02881152460985</v>
      </c>
      <c r="AD1543" s="62">
        <v>250000</v>
      </c>
      <c r="AE1543" s="62">
        <f t="shared" si="170"/>
        <v>31344.110692353795</v>
      </c>
      <c r="AF1543" s="64" t="s">
        <v>4135</v>
      </c>
      <c r="AG1543" s="49">
        <v>0.9</v>
      </c>
    </row>
    <row r="1544" spans="1:33" customFormat="1" ht="35.1" customHeight="1" x14ac:dyDescent="0.3">
      <c r="A1544" s="46">
        <v>2087</v>
      </c>
      <c r="B1544" s="46" t="s">
        <v>4138</v>
      </c>
      <c r="C1544" s="46" t="s">
        <v>40</v>
      </c>
      <c r="D1544" s="60">
        <v>2026</v>
      </c>
      <c r="E1544" s="60"/>
      <c r="F1544" s="46" t="s">
        <v>591</v>
      </c>
      <c r="G1544" s="46" t="s">
        <v>161</v>
      </c>
      <c r="H1544" s="46" t="s">
        <v>1951</v>
      </c>
      <c r="I1544" s="46"/>
      <c r="J1544" s="46"/>
      <c r="K1544" s="46" t="s">
        <v>68</v>
      </c>
      <c r="L1544" s="46"/>
      <c r="M1544" s="46"/>
      <c r="N1544" s="46"/>
      <c r="O1544" s="46"/>
      <c r="P1544" s="46"/>
      <c r="Q1544" s="46"/>
      <c r="R1544" s="46"/>
      <c r="S1544" s="46"/>
      <c r="T1544" s="46"/>
      <c r="U1544" s="46"/>
      <c r="V1544" s="46"/>
      <c r="W1544" s="46"/>
      <c r="X1544" s="46"/>
      <c r="Y1544" s="46"/>
      <c r="Z1544" s="46" t="s">
        <v>4139</v>
      </c>
      <c r="AA1544" s="61" t="str">
        <f t="shared" si="173"/>
        <v/>
      </c>
      <c r="AB1544" s="62"/>
      <c r="AC1544" s="62"/>
      <c r="AD1544" s="62">
        <v>100000</v>
      </c>
      <c r="AE1544" s="62">
        <f t="shared" si="170"/>
        <v>12537.644276941517</v>
      </c>
      <c r="AF1544" s="64" t="s">
        <v>4140</v>
      </c>
      <c r="AG1544" s="49">
        <v>0.9</v>
      </c>
    </row>
    <row r="1545" spans="1:33" customFormat="1" ht="35.1" customHeight="1" x14ac:dyDescent="0.3">
      <c r="A1545" s="46">
        <v>2088</v>
      </c>
      <c r="B1545" s="46" t="s">
        <v>4141</v>
      </c>
      <c r="C1545" s="46" t="s">
        <v>40</v>
      </c>
      <c r="D1545" s="60">
        <v>2030</v>
      </c>
      <c r="E1545" s="60"/>
      <c r="F1545" s="46" t="s">
        <v>225</v>
      </c>
      <c r="G1545" s="46" t="s">
        <v>161</v>
      </c>
      <c r="H1545" s="46" t="s">
        <v>1951</v>
      </c>
      <c r="I1545" s="46"/>
      <c r="J1545" s="46"/>
      <c r="K1545" s="46" t="s">
        <v>141</v>
      </c>
      <c r="L1545" s="46"/>
      <c r="M1545" s="46">
        <v>1</v>
      </c>
      <c r="N1545" s="46"/>
      <c r="O1545" s="46"/>
      <c r="P1545" s="46"/>
      <c r="Q1545" s="46"/>
      <c r="R1545" s="46"/>
      <c r="S1545" s="46"/>
      <c r="T1545" s="46"/>
      <c r="U1545" s="46"/>
      <c r="V1545" s="46"/>
      <c r="W1545" s="46"/>
      <c r="X1545" s="46"/>
      <c r="Y1545" s="46"/>
      <c r="Z1545" s="46"/>
      <c r="AA1545" s="61" t="str">
        <f t="shared" si="173"/>
        <v/>
      </c>
      <c r="AB1545" s="62"/>
      <c r="AC1545" s="62"/>
      <c r="AD1545" s="62"/>
      <c r="AE1545" s="62">
        <f t="shared" si="170"/>
        <v>0</v>
      </c>
      <c r="AF1545" s="64" t="s">
        <v>4142</v>
      </c>
      <c r="AG1545" s="49">
        <v>0.9</v>
      </c>
    </row>
    <row r="1546" spans="1:33" customFormat="1" ht="35.1" customHeight="1" x14ac:dyDescent="0.3">
      <c r="A1546" s="46">
        <v>2089</v>
      </c>
      <c r="B1546" s="46" t="s">
        <v>4143</v>
      </c>
      <c r="C1546" s="46" t="s">
        <v>40</v>
      </c>
      <c r="D1546" s="60"/>
      <c r="E1546" s="60"/>
      <c r="F1546" s="46" t="s">
        <v>591</v>
      </c>
      <c r="G1546" s="46" t="s">
        <v>161</v>
      </c>
      <c r="H1546" s="46" t="s">
        <v>1951</v>
      </c>
      <c r="I1546" s="46"/>
      <c r="J1546" s="46"/>
      <c r="K1546" s="46" t="s">
        <v>141</v>
      </c>
      <c r="L1546" s="46"/>
      <c r="M1546" s="46">
        <v>1</v>
      </c>
      <c r="N1546" s="46"/>
      <c r="O1546" s="46"/>
      <c r="P1546" s="46"/>
      <c r="Q1546" s="46"/>
      <c r="R1546" s="46"/>
      <c r="S1546" s="46"/>
      <c r="T1546" s="46"/>
      <c r="U1546" s="46"/>
      <c r="V1546" s="46"/>
      <c r="W1546" s="46"/>
      <c r="X1546" s="46"/>
      <c r="Y1546" s="46"/>
      <c r="Z1546" s="46" t="s">
        <v>4144</v>
      </c>
      <c r="AA1546" s="61" t="str">
        <f t="shared" si="173"/>
        <v/>
      </c>
      <c r="AB1546" s="62"/>
      <c r="AC1546" s="62"/>
      <c r="AD1546" s="62">
        <v>1000000</v>
      </c>
      <c r="AE1546" s="62">
        <f t="shared" si="170"/>
        <v>125376.44276941518</v>
      </c>
      <c r="AF1546" s="64" t="s">
        <v>4142</v>
      </c>
      <c r="AG1546" s="49">
        <v>0.9</v>
      </c>
    </row>
    <row r="1547" spans="1:33" customFormat="1" ht="35.1" customHeight="1" x14ac:dyDescent="0.3">
      <c r="A1547" s="46">
        <v>2090</v>
      </c>
      <c r="B1547" s="46" t="s">
        <v>4145</v>
      </c>
      <c r="C1547" s="46" t="s">
        <v>40</v>
      </c>
      <c r="D1547" s="60"/>
      <c r="E1547" s="60"/>
      <c r="F1547" s="46" t="s">
        <v>225</v>
      </c>
      <c r="G1547" s="46" t="s">
        <v>161</v>
      </c>
      <c r="H1547" s="46" t="s">
        <v>1951</v>
      </c>
      <c r="I1547" s="46"/>
      <c r="J1547" s="46"/>
      <c r="K1547" s="46" t="s">
        <v>68</v>
      </c>
      <c r="L1547" s="46">
        <v>1</v>
      </c>
      <c r="M1547" s="46"/>
      <c r="N1547" s="46"/>
      <c r="O1547" s="46"/>
      <c r="P1547" s="46"/>
      <c r="Q1547" s="46"/>
      <c r="R1547" s="46"/>
      <c r="S1547" s="46"/>
      <c r="T1547" s="46"/>
      <c r="U1547" s="46"/>
      <c r="V1547" s="46"/>
      <c r="W1547" s="46"/>
      <c r="X1547" s="46"/>
      <c r="Y1547" s="46"/>
      <c r="Z1547" s="46"/>
      <c r="AA1547" s="61" t="str">
        <f t="shared" si="173"/>
        <v/>
      </c>
      <c r="AB1547" s="62"/>
      <c r="AC1547" s="62"/>
      <c r="AD1547" s="62"/>
      <c r="AE1547" s="62">
        <f t="shared" si="170"/>
        <v>0</v>
      </c>
      <c r="AF1547" s="64" t="s">
        <v>4146</v>
      </c>
      <c r="AG1547" s="49">
        <v>0.9</v>
      </c>
    </row>
    <row r="1548" spans="1:33" customFormat="1" ht="35.1" customHeight="1" x14ac:dyDescent="0.3">
      <c r="A1548" s="46">
        <v>2091</v>
      </c>
      <c r="B1548" s="46" t="s">
        <v>4147</v>
      </c>
      <c r="C1548" s="46" t="s">
        <v>40</v>
      </c>
      <c r="D1548" s="60"/>
      <c r="E1548" s="60"/>
      <c r="F1548" s="46" t="s">
        <v>225</v>
      </c>
      <c r="G1548" s="46" t="s">
        <v>161</v>
      </c>
      <c r="H1548" s="46" t="s">
        <v>1951</v>
      </c>
      <c r="I1548" s="46"/>
      <c r="J1548" s="46"/>
      <c r="K1548" s="46" t="s">
        <v>68</v>
      </c>
      <c r="L1548" s="46"/>
      <c r="M1548" s="46"/>
      <c r="N1548" s="46"/>
      <c r="O1548" s="46"/>
      <c r="P1548" s="46"/>
      <c r="Q1548" s="46"/>
      <c r="R1548" s="46"/>
      <c r="S1548" s="46"/>
      <c r="T1548" s="46"/>
      <c r="U1548" s="46"/>
      <c r="V1548" s="46"/>
      <c r="W1548" s="46"/>
      <c r="X1548" s="46"/>
      <c r="Y1548" s="46"/>
      <c r="Z1548" s="46" t="s">
        <v>4148</v>
      </c>
      <c r="AA1548" s="61" t="str">
        <f t="shared" si="173"/>
        <v/>
      </c>
      <c r="AB1548" s="62"/>
      <c r="AC1548" s="62"/>
      <c r="AD1548" s="62">
        <v>1400000</v>
      </c>
      <c r="AE1548" s="62">
        <f t="shared" si="170"/>
        <v>175527.01987718124</v>
      </c>
      <c r="AF1548" s="64" t="s">
        <v>4149</v>
      </c>
      <c r="AG1548" s="49">
        <v>0.9</v>
      </c>
    </row>
    <row r="1549" spans="1:33" customFormat="1" ht="35.1" customHeight="1" x14ac:dyDescent="0.3">
      <c r="A1549" s="46">
        <v>2092</v>
      </c>
      <c r="B1549" s="46" t="s">
        <v>4150</v>
      </c>
      <c r="C1549" s="46" t="s">
        <v>40</v>
      </c>
      <c r="D1549" s="60"/>
      <c r="E1549" s="60"/>
      <c r="F1549" s="46" t="s">
        <v>225</v>
      </c>
      <c r="G1549" s="46" t="s">
        <v>161</v>
      </c>
      <c r="H1549" s="46" t="s">
        <v>1951</v>
      </c>
      <c r="I1549" s="46"/>
      <c r="J1549" s="46"/>
      <c r="K1549" s="46" t="s">
        <v>68</v>
      </c>
      <c r="L1549" s="46"/>
      <c r="M1549" s="46"/>
      <c r="N1549" s="46"/>
      <c r="O1549" s="46"/>
      <c r="P1549" s="46"/>
      <c r="Q1549" s="46"/>
      <c r="R1549" s="46"/>
      <c r="S1549" s="46"/>
      <c r="T1549" s="46"/>
      <c r="U1549" s="46"/>
      <c r="V1549" s="46"/>
      <c r="W1549" s="46"/>
      <c r="X1549" s="46"/>
      <c r="Y1549" s="46"/>
      <c r="Z1549" s="46" t="s">
        <v>4151</v>
      </c>
      <c r="AA1549" s="61" t="str">
        <f t="shared" si="173"/>
        <v/>
      </c>
      <c r="AB1549" s="62"/>
      <c r="AC1549" s="62"/>
      <c r="AD1549" s="62">
        <v>1660000</v>
      </c>
      <c r="AE1549" s="62">
        <f t="shared" si="170"/>
        <v>208124.89499722919</v>
      </c>
      <c r="AF1549" s="64" t="s">
        <v>4146</v>
      </c>
      <c r="AG1549" s="49">
        <v>0.9</v>
      </c>
    </row>
    <row r="1550" spans="1:33" customFormat="1" ht="35.1" customHeight="1" x14ac:dyDescent="0.3">
      <c r="A1550" s="46">
        <v>2093</v>
      </c>
      <c r="B1550" s="46" t="s">
        <v>4152</v>
      </c>
      <c r="C1550" s="46" t="s">
        <v>40</v>
      </c>
      <c r="D1550" s="60"/>
      <c r="E1550" s="60"/>
      <c r="F1550" s="46" t="s">
        <v>225</v>
      </c>
      <c r="G1550" s="46" t="s">
        <v>161</v>
      </c>
      <c r="H1550" s="46" t="s">
        <v>1951</v>
      </c>
      <c r="I1550" s="46"/>
      <c r="J1550" s="46"/>
      <c r="K1550" s="46" t="s">
        <v>68</v>
      </c>
      <c r="L1550" s="46"/>
      <c r="M1550" s="46"/>
      <c r="N1550" s="46"/>
      <c r="O1550" s="46"/>
      <c r="P1550" s="46"/>
      <c r="Q1550" s="46"/>
      <c r="R1550" s="46"/>
      <c r="S1550" s="46"/>
      <c r="T1550" s="46"/>
      <c r="U1550" s="46"/>
      <c r="V1550" s="46"/>
      <c r="W1550" s="46"/>
      <c r="X1550" s="46"/>
      <c r="Y1550" s="46"/>
      <c r="Z1550" s="46"/>
      <c r="AA1550" s="61" t="str">
        <f t="shared" si="173"/>
        <v/>
      </c>
      <c r="AB1550" s="62"/>
      <c r="AC1550" s="62"/>
      <c r="AD1550" s="62"/>
      <c r="AE1550" s="62">
        <f t="shared" si="170"/>
        <v>0</v>
      </c>
      <c r="AF1550" s="64" t="s">
        <v>4153</v>
      </c>
      <c r="AG1550" s="49">
        <v>0.9</v>
      </c>
    </row>
    <row r="1551" spans="1:33" customFormat="1" ht="35.1" customHeight="1" x14ac:dyDescent="0.3">
      <c r="A1551" s="46">
        <v>2094</v>
      </c>
      <c r="B1551" s="46" t="s">
        <v>4154</v>
      </c>
      <c r="C1551" s="46" t="s">
        <v>40</v>
      </c>
      <c r="D1551" s="60"/>
      <c r="E1551" s="60"/>
      <c r="F1551" s="46" t="s">
        <v>225</v>
      </c>
      <c r="G1551" s="46" t="s">
        <v>161</v>
      </c>
      <c r="H1551" s="46" t="s">
        <v>1951</v>
      </c>
      <c r="I1551" s="46"/>
      <c r="J1551" s="46"/>
      <c r="K1551" s="46" t="s">
        <v>68</v>
      </c>
      <c r="L1551" s="46"/>
      <c r="M1551" s="46"/>
      <c r="N1551" s="46"/>
      <c r="O1551" s="46"/>
      <c r="P1551" s="46"/>
      <c r="Q1551" s="46"/>
      <c r="R1551" s="46"/>
      <c r="S1551" s="46"/>
      <c r="T1551" s="46"/>
      <c r="U1551" s="46"/>
      <c r="V1551" s="46"/>
      <c r="W1551" s="46"/>
      <c r="X1551" s="46"/>
      <c r="Y1551" s="46"/>
      <c r="Z1551" s="46"/>
      <c r="AA1551" s="61" t="str">
        <f t="shared" si="173"/>
        <v/>
      </c>
      <c r="AB1551" s="62"/>
      <c r="AC1551" s="62"/>
      <c r="AD1551" s="62"/>
      <c r="AE1551" s="62">
        <f t="shared" si="170"/>
        <v>0</v>
      </c>
      <c r="AF1551" s="64" t="s">
        <v>4153</v>
      </c>
      <c r="AG1551" s="49">
        <v>0.9</v>
      </c>
    </row>
    <row r="1552" spans="1:33" customFormat="1" ht="35.1" customHeight="1" x14ac:dyDescent="0.3">
      <c r="A1552" s="46">
        <v>2095</v>
      </c>
      <c r="B1552" s="46" t="s">
        <v>4155</v>
      </c>
      <c r="C1552" s="46" t="s">
        <v>83</v>
      </c>
      <c r="D1552" s="60"/>
      <c r="E1552" s="60"/>
      <c r="F1552" s="46" t="s">
        <v>591</v>
      </c>
      <c r="G1552" s="46" t="s">
        <v>159</v>
      </c>
      <c r="H1552" s="46" t="s">
        <v>592</v>
      </c>
      <c r="I1552" s="46" t="s">
        <v>169</v>
      </c>
      <c r="J1552" s="46" t="s">
        <v>69</v>
      </c>
      <c r="K1552" s="46" t="s">
        <v>68</v>
      </c>
      <c r="L1552" s="46"/>
      <c r="M1552" s="46"/>
      <c r="N1552" s="46"/>
      <c r="O1552" s="46">
        <v>1</v>
      </c>
      <c r="P1552" s="46"/>
      <c r="Q1552" s="46"/>
      <c r="R1552" s="46"/>
      <c r="S1552" s="46"/>
      <c r="T1552" s="46"/>
      <c r="U1552" s="46"/>
      <c r="V1552" s="46"/>
      <c r="W1552" s="46"/>
      <c r="X1552" s="46"/>
      <c r="Y1552" s="46"/>
      <c r="Z1552" s="46" t="s">
        <v>4156</v>
      </c>
      <c r="AA1552" s="61">
        <f t="shared" si="173"/>
        <v>3623.0183161459136</v>
      </c>
      <c r="AB1552" s="62">
        <f>AC1552/(H2dens*HoursInYear/10^6)</f>
        <v>805115.18136575865</v>
      </c>
      <c r="AC1552" s="62">
        <f>5000*0.06277/H2ProjectDB4578610[[#This Row],[Column33]]</f>
        <v>627.70000000000005</v>
      </c>
      <c r="AD1552" s="62"/>
      <c r="AE1552" s="62">
        <f t="shared" si="170"/>
        <v>805115.18136575865</v>
      </c>
      <c r="AF1552" s="64"/>
      <c r="AG1552" s="49">
        <v>0.5</v>
      </c>
    </row>
    <row r="1553" spans="1:33" customFormat="1" ht="35.1" customHeight="1" x14ac:dyDescent="0.3">
      <c r="A1553" s="46">
        <v>2096</v>
      </c>
      <c r="B1553" s="46" t="s">
        <v>4157</v>
      </c>
      <c r="C1553" s="46" t="s">
        <v>51</v>
      </c>
      <c r="D1553" s="60">
        <v>2025</v>
      </c>
      <c r="E1553" s="60"/>
      <c r="F1553" s="46" t="s">
        <v>225</v>
      </c>
      <c r="G1553" s="46" t="s">
        <v>3</v>
      </c>
      <c r="H1553" s="46"/>
      <c r="I1553" s="46" t="s">
        <v>169</v>
      </c>
      <c r="J1553" s="46" t="s">
        <v>69</v>
      </c>
      <c r="K1553" s="46" t="s">
        <v>141</v>
      </c>
      <c r="L1553" s="46"/>
      <c r="M1553" s="46">
        <v>1</v>
      </c>
      <c r="N1553" s="46"/>
      <c r="O1553" s="46"/>
      <c r="P1553" s="46"/>
      <c r="Q1553" s="46"/>
      <c r="R1553" s="46"/>
      <c r="S1553" s="46"/>
      <c r="T1553" s="46"/>
      <c r="U1553" s="46"/>
      <c r="V1553" s="46"/>
      <c r="W1553" s="46"/>
      <c r="X1553" s="46"/>
      <c r="Y1553" s="46"/>
      <c r="Z1553" s="46" t="s">
        <v>914</v>
      </c>
      <c r="AA1553" s="61">
        <v>120</v>
      </c>
      <c r="AB1553" s="62">
        <f>IF(OR(G1553="ALK",G1553="PEM",G1553="SOEC",G1553="Other Electrolysis"),
AA1553/VLOOKUP(G1553,ElectrolysisConvF,3,FALSE),
AC1553*10^6/(H2dens*HoursInYear))</f>
        <v>26086.956521739132</v>
      </c>
      <c r="AC1553" s="63">
        <f>AB1553*H2dens*HoursInYear/10^6</f>
        <v>20.338434782608694</v>
      </c>
      <c r="AD1553" s="62"/>
      <c r="AE1553" s="62">
        <f t="shared" si="170"/>
        <v>26086.956521739132</v>
      </c>
      <c r="AF1553" s="64" t="s">
        <v>4158</v>
      </c>
      <c r="AG1553" s="49">
        <v>0.5</v>
      </c>
    </row>
    <row r="1554" spans="1:33" customFormat="1" ht="35.1" customHeight="1" x14ac:dyDescent="0.3">
      <c r="A1554" s="46">
        <v>2097</v>
      </c>
      <c r="B1554" s="46" t="s">
        <v>4159</v>
      </c>
      <c r="C1554" s="46" t="s">
        <v>46</v>
      </c>
      <c r="D1554" s="60">
        <v>2026</v>
      </c>
      <c r="E1554" s="60"/>
      <c r="F1554" s="46" t="s">
        <v>225</v>
      </c>
      <c r="G1554" s="46" t="s">
        <v>159</v>
      </c>
      <c r="H1554" s="46" t="s">
        <v>592</v>
      </c>
      <c r="I1554" s="46" t="s">
        <v>169</v>
      </c>
      <c r="J1554" s="46" t="s">
        <v>244</v>
      </c>
      <c r="K1554" s="46" t="s">
        <v>68</v>
      </c>
      <c r="L1554" s="46"/>
      <c r="M1554" s="46"/>
      <c r="N1554" s="46"/>
      <c r="O1554" s="46"/>
      <c r="P1554" s="46">
        <v>1</v>
      </c>
      <c r="Q1554" s="46"/>
      <c r="R1554" s="46"/>
      <c r="S1554" s="46"/>
      <c r="T1554" s="46"/>
      <c r="U1554" s="46"/>
      <c r="V1554" s="46"/>
      <c r="W1554" s="46"/>
      <c r="X1554" s="46"/>
      <c r="Y1554" s="46"/>
      <c r="Z1554" s="46" t="s">
        <v>1168</v>
      </c>
      <c r="AA1554" s="61">
        <v>10</v>
      </c>
      <c r="AB1554" s="62">
        <f>IF(OR(G1554="ALK",G1554="PEM",G1554="SOEC",G1554="Other Electrolysis"),
AA1554/VLOOKUP(G1554,ElectrolysisConvF,3,FALSE),
AC1554*10^6/(H2dens*HoursInYear))</f>
        <v>2222.2222222222222</v>
      </c>
      <c r="AC1554" s="63">
        <f>AB1554*H2dens*HoursInYear/10^6</f>
        <v>1.7325333333333333</v>
      </c>
      <c r="AD1554" s="62"/>
      <c r="AE1554" s="62">
        <f t="shared" si="170"/>
        <v>2222.2222222222222</v>
      </c>
      <c r="AF1554" s="64" t="s">
        <v>4160</v>
      </c>
      <c r="AG1554" s="49">
        <v>0.3</v>
      </c>
    </row>
    <row r="1555" spans="1:33" customFormat="1" ht="35.1" customHeight="1" x14ac:dyDescent="0.3">
      <c r="A1555" s="46">
        <v>2098</v>
      </c>
      <c r="B1555" s="46" t="s">
        <v>4161</v>
      </c>
      <c r="C1555" s="46" t="s">
        <v>321</v>
      </c>
      <c r="D1555" s="60">
        <v>2023</v>
      </c>
      <c r="E1555" s="60"/>
      <c r="F1555" s="46" t="s">
        <v>226</v>
      </c>
      <c r="G1555" s="46" t="s">
        <v>159</v>
      </c>
      <c r="H1555" s="46" t="s">
        <v>592</v>
      </c>
      <c r="I1555" s="46" t="s">
        <v>169</v>
      </c>
      <c r="J1555" s="46" t="s">
        <v>244</v>
      </c>
      <c r="K1555" s="46" t="s">
        <v>68</v>
      </c>
      <c r="L1555" s="46"/>
      <c r="M1555" s="46"/>
      <c r="N1555" s="46"/>
      <c r="O1555" s="46"/>
      <c r="P1555" s="46">
        <v>1</v>
      </c>
      <c r="Q1555" s="46"/>
      <c r="R1555" s="46"/>
      <c r="S1555" s="46"/>
      <c r="T1555" s="46"/>
      <c r="U1555" s="46"/>
      <c r="V1555" s="46"/>
      <c r="W1555" s="46"/>
      <c r="X1555" s="46"/>
      <c r="Y1555" s="46"/>
      <c r="Z1555" s="46" t="s">
        <v>1972</v>
      </c>
      <c r="AA1555" s="61">
        <v>8</v>
      </c>
      <c r="AB1555" s="62">
        <f>IF(OR(G1555="ALK",G1555="PEM",G1555="SOEC",G1555="Other Electrolysis"),
AA1555/VLOOKUP(G1555,ElectrolysisConvF,3,FALSE),
AC1555*10^6/(H2dens*HoursInYear))</f>
        <v>1777.7777777777778</v>
      </c>
      <c r="AC1555" s="63">
        <f>AB1555*H2dens*HoursInYear/10^6</f>
        <v>1.3860266666666667</v>
      </c>
      <c r="AD1555" s="62"/>
      <c r="AE1555" s="62">
        <f t="shared" si="170"/>
        <v>1777.7777777777778</v>
      </c>
      <c r="AF1555" s="64" t="s">
        <v>4162</v>
      </c>
      <c r="AG1555" s="49">
        <v>0.3</v>
      </c>
    </row>
    <row r="1556" spans="1:33" customFormat="1" ht="35.1" customHeight="1" x14ac:dyDescent="0.3">
      <c r="A1556" s="46">
        <v>2099</v>
      </c>
      <c r="B1556" s="46" t="s">
        <v>4163</v>
      </c>
      <c r="C1556" s="46" t="s">
        <v>321</v>
      </c>
      <c r="D1556" s="60">
        <v>2026</v>
      </c>
      <c r="E1556" s="60"/>
      <c r="F1556" s="46" t="s">
        <v>225</v>
      </c>
      <c r="G1556" s="46" t="s">
        <v>159</v>
      </c>
      <c r="H1556" s="46" t="s">
        <v>592</v>
      </c>
      <c r="I1556" s="46" t="s">
        <v>169</v>
      </c>
      <c r="J1556" s="46" t="s">
        <v>244</v>
      </c>
      <c r="K1556" s="46" t="s">
        <v>68</v>
      </c>
      <c r="L1556" s="46"/>
      <c r="M1556" s="46"/>
      <c r="N1556" s="46"/>
      <c r="O1556" s="46"/>
      <c r="P1556" s="46">
        <v>1</v>
      </c>
      <c r="Q1556" s="46"/>
      <c r="R1556" s="46"/>
      <c r="S1556" s="46"/>
      <c r="T1556" s="46"/>
      <c r="U1556" s="46"/>
      <c r="V1556" s="46"/>
      <c r="W1556" s="46"/>
      <c r="X1556" s="46"/>
      <c r="Y1556" s="46"/>
      <c r="Z1556" s="46"/>
      <c r="AA1556" s="61"/>
      <c r="AB1556" s="62"/>
      <c r="AC1556" s="62"/>
      <c r="AD1556" s="62"/>
      <c r="AE1556" s="62">
        <f t="shared" si="170"/>
        <v>0</v>
      </c>
      <c r="AF1556" s="64" t="s">
        <v>4162</v>
      </c>
      <c r="AG1556" s="49">
        <v>0.3</v>
      </c>
    </row>
    <row r="1557" spans="1:33" customFormat="1" ht="35.1" customHeight="1" x14ac:dyDescent="0.3">
      <c r="A1557" s="46">
        <v>2102</v>
      </c>
      <c r="B1557" s="46" t="s">
        <v>4164</v>
      </c>
      <c r="C1557" s="46" t="s">
        <v>40</v>
      </c>
      <c r="D1557" s="60">
        <v>2023</v>
      </c>
      <c r="E1557" s="60"/>
      <c r="F1557" s="46" t="s">
        <v>675</v>
      </c>
      <c r="G1557" s="46" t="s">
        <v>3</v>
      </c>
      <c r="H1557" s="46"/>
      <c r="I1557" s="46" t="s">
        <v>169</v>
      </c>
      <c r="J1557" s="46" t="s">
        <v>69</v>
      </c>
      <c r="K1557" s="46" t="s">
        <v>68</v>
      </c>
      <c r="L1557" s="46"/>
      <c r="M1557" s="46"/>
      <c r="N1557" s="46"/>
      <c r="O1557" s="46"/>
      <c r="P1557" s="46"/>
      <c r="Q1557" s="46"/>
      <c r="R1557" s="46"/>
      <c r="S1557" s="46"/>
      <c r="T1557" s="46"/>
      <c r="U1557" s="46"/>
      <c r="V1557" s="46">
        <v>1</v>
      </c>
      <c r="W1557" s="46"/>
      <c r="X1557" s="46"/>
      <c r="Y1557" s="46"/>
      <c r="Z1557" s="46"/>
      <c r="AA1557" s="61"/>
      <c r="AB1557" s="62"/>
      <c r="AC1557" s="62"/>
      <c r="AD1557" s="62"/>
      <c r="AE1557" s="62">
        <f t="shared" si="170"/>
        <v>0</v>
      </c>
      <c r="AF1557" s="64" t="s">
        <v>4165</v>
      </c>
      <c r="AG1557" s="49">
        <v>0.5</v>
      </c>
    </row>
    <row r="1558" spans="1:33" customFormat="1" ht="35.1" customHeight="1" x14ac:dyDescent="0.3">
      <c r="A1558" s="46">
        <v>2103</v>
      </c>
      <c r="B1558" s="46" t="s">
        <v>4166</v>
      </c>
      <c r="C1558" s="46" t="s">
        <v>83</v>
      </c>
      <c r="D1558" s="60"/>
      <c r="E1558" s="60"/>
      <c r="F1558" s="46" t="s">
        <v>591</v>
      </c>
      <c r="G1558" s="46" t="s">
        <v>159</v>
      </c>
      <c r="H1558" s="46" t="s">
        <v>592</v>
      </c>
      <c r="I1558" s="46" t="s">
        <v>169</v>
      </c>
      <c r="J1558" s="46" t="s">
        <v>248</v>
      </c>
      <c r="K1558" s="46" t="s">
        <v>68</v>
      </c>
      <c r="L1558" s="46"/>
      <c r="M1558" s="46"/>
      <c r="N1558" s="46"/>
      <c r="O1558" s="46"/>
      <c r="P1558" s="46"/>
      <c r="Q1558" s="46"/>
      <c r="R1558" s="46"/>
      <c r="S1558" s="46"/>
      <c r="T1558" s="46"/>
      <c r="U1558" s="46"/>
      <c r="V1558" s="46"/>
      <c r="W1558" s="46"/>
      <c r="X1558" s="46"/>
      <c r="Y1558" s="46"/>
      <c r="Z1558" s="46" t="s">
        <v>4167</v>
      </c>
      <c r="AA1558" s="61">
        <v>9200</v>
      </c>
      <c r="AB1558" s="62">
        <f>IF(OR(G1558="ALK",G1558="PEM",G1558="SOEC",G1558="Other Electrolysis"),
AA1558/VLOOKUP(G1558,ElectrolysisConvF,3,FALSE),
AC1558*10^6/(H2dens*HoursInYear))</f>
        <v>2044444.4444444445</v>
      </c>
      <c r="AC1558" s="63">
        <f>AB1558*H2dens*HoursInYear/10^6</f>
        <v>1593.9306666666666</v>
      </c>
      <c r="AD1558" s="62"/>
      <c r="AE1558" s="62">
        <f t="shared" si="170"/>
        <v>2044444.4444444445</v>
      </c>
      <c r="AF1558" s="64" t="s">
        <v>4168</v>
      </c>
      <c r="AG1558" s="49">
        <v>0.5</v>
      </c>
    </row>
    <row r="1559" spans="1:33" customFormat="1" ht="35.1" customHeight="1" x14ac:dyDescent="0.3">
      <c r="A1559" s="46">
        <v>2104</v>
      </c>
      <c r="B1559" s="46" t="s">
        <v>4169</v>
      </c>
      <c r="C1559" s="46" t="s">
        <v>40</v>
      </c>
      <c r="D1559" s="60"/>
      <c r="E1559" s="60"/>
      <c r="F1559" s="46" t="s">
        <v>591</v>
      </c>
      <c r="G1559" s="46" t="s">
        <v>2</v>
      </c>
      <c r="H1559" s="46"/>
      <c r="I1559" s="46" t="s">
        <v>169</v>
      </c>
      <c r="J1559" s="46" t="s">
        <v>69</v>
      </c>
      <c r="K1559" s="46" t="s">
        <v>141</v>
      </c>
      <c r="L1559" s="46"/>
      <c r="M1559" s="46">
        <v>1</v>
      </c>
      <c r="N1559" s="46"/>
      <c r="O1559" s="46"/>
      <c r="P1559" s="46"/>
      <c r="Q1559" s="46"/>
      <c r="R1559" s="46"/>
      <c r="S1559" s="46"/>
      <c r="T1559" s="46"/>
      <c r="U1559" s="46"/>
      <c r="V1559" s="46"/>
      <c r="W1559" s="46"/>
      <c r="X1559" s="46"/>
      <c r="Y1559" s="46"/>
      <c r="Z1559" s="46" t="s">
        <v>4170</v>
      </c>
      <c r="AA1559" s="61">
        <v>650</v>
      </c>
      <c r="AB1559" s="62">
        <f>IF(OR(G1559="ALK",G1559="PEM",G1559="SOEC",G1559="Other Electrolysis"),
AA1559/VLOOKUP(G1559,ElectrolysisConvF,3,FALSE),
AC1559*10^6/(H2dens*HoursInYear))</f>
        <v>171052.63157894736</v>
      </c>
      <c r="AC1559" s="63">
        <f>AB1559*H2dens*HoursInYear/10^6</f>
        <v>133.35947368421051</v>
      </c>
      <c r="AD1559" s="62"/>
      <c r="AE1559" s="62">
        <f t="shared" si="170"/>
        <v>171052.63157894736</v>
      </c>
      <c r="AF1559" s="64" t="s">
        <v>4171</v>
      </c>
      <c r="AG1559" s="49">
        <v>0.5</v>
      </c>
    </row>
    <row r="1560" spans="1:33" customFormat="1" ht="35.1" customHeight="1" x14ac:dyDescent="0.3">
      <c r="A1560" s="46">
        <v>2105</v>
      </c>
      <c r="B1560" s="46" t="s">
        <v>4172</v>
      </c>
      <c r="C1560" s="46" t="s">
        <v>203</v>
      </c>
      <c r="D1560" s="60">
        <v>2023</v>
      </c>
      <c r="E1560" s="60"/>
      <c r="F1560" s="46" t="s">
        <v>675</v>
      </c>
      <c r="G1560" s="46" t="s">
        <v>3</v>
      </c>
      <c r="H1560" s="46"/>
      <c r="I1560" s="46" t="s">
        <v>169</v>
      </c>
      <c r="J1560" s="46" t="s">
        <v>244</v>
      </c>
      <c r="K1560" s="46" t="s">
        <v>68</v>
      </c>
      <c r="L1560" s="46"/>
      <c r="M1560" s="46"/>
      <c r="N1560" s="46"/>
      <c r="O1560" s="46"/>
      <c r="P1560" s="46"/>
      <c r="Q1560" s="46">
        <v>1</v>
      </c>
      <c r="R1560" s="46"/>
      <c r="S1560" s="46"/>
      <c r="T1560" s="46"/>
      <c r="U1560" s="46"/>
      <c r="V1560" s="46"/>
      <c r="W1560" s="46"/>
      <c r="X1560" s="46"/>
      <c r="Y1560" s="46"/>
      <c r="Z1560" s="46" t="s">
        <v>4173</v>
      </c>
      <c r="AA1560" s="61">
        <v>5</v>
      </c>
      <c r="AB1560" s="62">
        <f>IF(OR(G1560="ALK",G1560="PEM",G1560="SOEC",G1560="Other Electrolysis"),
AA1560/VLOOKUP(G1560,ElectrolysisConvF,3,FALSE),
AC1560*10^6/(H2dens*HoursInYear))</f>
        <v>1086.9565217391305</v>
      </c>
      <c r="AC1560" s="63">
        <f>AB1560*H2dens*HoursInYear/10^6</f>
        <v>0.84743478260869565</v>
      </c>
      <c r="AD1560" s="62"/>
      <c r="AE1560" s="62">
        <f t="shared" si="170"/>
        <v>1086.9565217391305</v>
      </c>
      <c r="AF1560" s="64" t="s">
        <v>4174</v>
      </c>
      <c r="AG1560" s="49">
        <v>0.3</v>
      </c>
    </row>
    <row r="1561" spans="1:33" customFormat="1" ht="35.1" customHeight="1" x14ac:dyDescent="0.3">
      <c r="A1561" s="46">
        <v>2106</v>
      </c>
      <c r="B1561" s="46" t="s">
        <v>4175</v>
      </c>
      <c r="C1561" s="46" t="s">
        <v>74</v>
      </c>
      <c r="D1561" s="60">
        <v>2030</v>
      </c>
      <c r="E1561" s="60"/>
      <c r="F1561" s="46" t="s">
        <v>225</v>
      </c>
      <c r="G1561" s="46" t="s">
        <v>159</v>
      </c>
      <c r="H1561" s="46" t="s">
        <v>592</v>
      </c>
      <c r="I1561" s="46" t="s">
        <v>169</v>
      </c>
      <c r="J1561" s="46" t="s">
        <v>69</v>
      </c>
      <c r="K1561" s="46" t="s">
        <v>141</v>
      </c>
      <c r="L1561" s="46"/>
      <c r="M1561" s="46">
        <v>1</v>
      </c>
      <c r="N1561" s="46"/>
      <c r="O1561" s="46"/>
      <c r="P1561" s="46"/>
      <c r="Q1561" s="46"/>
      <c r="R1561" s="46"/>
      <c r="S1561" s="46"/>
      <c r="T1561" s="46"/>
      <c r="U1561" s="46"/>
      <c r="V1561" s="46"/>
      <c r="W1561" s="46"/>
      <c r="X1561" s="46"/>
      <c r="Y1561" s="46"/>
      <c r="Z1561" s="46" t="s">
        <v>4176</v>
      </c>
      <c r="AA1561" s="61">
        <f>IF(OR(G1561="ALK",G1561="PEM",G1561="SOEC",G1561="Other Electrolysis"),
AB1561*VLOOKUP(G1561,ElectrolysisConvF,3,FALSE),
"")</f>
        <v>2539.6336770817297</v>
      </c>
      <c r="AB1561" s="62">
        <f>AC1561/(H2dens*HoursInYear/10^6)</f>
        <v>564363.03935149556</v>
      </c>
      <c r="AC1561" s="63">
        <f>220/H2ProjectDB4578610[[#This Row],[Column33]]</f>
        <v>440</v>
      </c>
      <c r="AD1561" s="62"/>
      <c r="AE1561" s="62">
        <f t="shared" si="170"/>
        <v>564363.03935149556</v>
      </c>
      <c r="AF1561" s="64" t="s">
        <v>4177</v>
      </c>
      <c r="AG1561" s="49">
        <v>0.5</v>
      </c>
    </row>
    <row r="1562" spans="1:33" customFormat="1" ht="35.1" customHeight="1" x14ac:dyDescent="0.3">
      <c r="A1562" s="46">
        <v>2107</v>
      </c>
      <c r="B1562" s="46" t="s">
        <v>4178</v>
      </c>
      <c r="C1562" s="46" t="s">
        <v>58</v>
      </c>
      <c r="D1562" s="60"/>
      <c r="E1562" s="60"/>
      <c r="F1562" s="46" t="s">
        <v>225</v>
      </c>
      <c r="G1562" s="46" t="s">
        <v>159</v>
      </c>
      <c r="H1562" s="46" t="s">
        <v>592</v>
      </c>
      <c r="I1562" s="46" t="s">
        <v>169</v>
      </c>
      <c r="J1562" s="46" t="s">
        <v>244</v>
      </c>
      <c r="K1562" s="46" t="s">
        <v>68</v>
      </c>
      <c r="L1562" s="46"/>
      <c r="M1562" s="46"/>
      <c r="N1562" s="46"/>
      <c r="O1562" s="46"/>
      <c r="P1562" s="46"/>
      <c r="Q1562" s="46"/>
      <c r="R1562" s="46"/>
      <c r="S1562" s="46"/>
      <c r="T1562" s="46"/>
      <c r="U1562" s="46"/>
      <c r="V1562" s="46"/>
      <c r="W1562" s="46"/>
      <c r="X1562" s="46"/>
      <c r="Y1562" s="46"/>
      <c r="Z1562" s="46" t="s">
        <v>1274</v>
      </c>
      <c r="AA1562" s="61">
        <v>50</v>
      </c>
      <c r="AB1562" s="62">
        <f>IF(OR(G1562="ALK",G1562="PEM",G1562="SOEC",G1562="Other Electrolysis"),
AA1562/VLOOKUP(G1562,ElectrolysisConvF,3,FALSE),
AC1562*10^6/(H2dens*HoursInYear))</f>
        <v>11111.111111111111</v>
      </c>
      <c r="AC1562" s="63">
        <f>AB1562*H2dens*HoursInYear/10^6</f>
        <v>8.6626666666666665</v>
      </c>
      <c r="AD1562" s="62"/>
      <c r="AE1562" s="62">
        <f t="shared" si="170"/>
        <v>11111.111111111111</v>
      </c>
      <c r="AF1562" s="64" t="s">
        <v>4179</v>
      </c>
      <c r="AG1562" s="49">
        <v>0.3</v>
      </c>
    </row>
    <row r="1563" spans="1:33" customFormat="1" ht="35.1" customHeight="1" x14ac:dyDescent="0.3">
      <c r="A1563" s="46">
        <v>2108</v>
      </c>
      <c r="B1563" s="46" t="s">
        <v>4180</v>
      </c>
      <c r="C1563" s="46" t="s">
        <v>497</v>
      </c>
      <c r="D1563" s="60"/>
      <c r="E1563" s="60"/>
      <c r="F1563" s="46" t="s">
        <v>225</v>
      </c>
      <c r="G1563" s="46" t="s">
        <v>159</v>
      </c>
      <c r="H1563" s="46" t="s">
        <v>592</v>
      </c>
      <c r="I1563" s="46" t="s">
        <v>169</v>
      </c>
      <c r="J1563" s="46" t="s">
        <v>69</v>
      </c>
      <c r="K1563" s="46" t="s">
        <v>141</v>
      </c>
      <c r="L1563" s="46"/>
      <c r="M1563" s="46">
        <v>1</v>
      </c>
      <c r="N1563" s="46"/>
      <c r="O1563" s="46"/>
      <c r="P1563" s="46"/>
      <c r="Q1563" s="46"/>
      <c r="R1563" s="46"/>
      <c r="S1563" s="46"/>
      <c r="T1563" s="46"/>
      <c r="U1563" s="46"/>
      <c r="V1563" s="46"/>
      <c r="W1563" s="46"/>
      <c r="X1563" s="46"/>
      <c r="Y1563" s="46"/>
      <c r="Z1563" s="46" t="s">
        <v>1396</v>
      </c>
      <c r="AA1563" s="61">
        <v>5</v>
      </c>
      <c r="AB1563" s="62">
        <f>IF(OR(G1563="ALK",G1563="PEM",G1563="SOEC",G1563="Other Electrolysis"),
AA1563/VLOOKUP(G1563,ElectrolysisConvF,3,FALSE),
AC1563*10^6/(H2dens*HoursInYear))</f>
        <v>1111.1111111111111</v>
      </c>
      <c r="AC1563" s="63">
        <f>AB1563*H2dens*HoursInYear/10^6</f>
        <v>0.86626666666666663</v>
      </c>
      <c r="AD1563" s="62"/>
      <c r="AE1563" s="62">
        <f t="shared" si="170"/>
        <v>1111.1111111111111</v>
      </c>
      <c r="AF1563" s="64"/>
      <c r="AG1563" s="49">
        <v>0.5</v>
      </c>
    </row>
    <row r="1564" spans="1:33" customFormat="1" ht="35.1" customHeight="1" x14ac:dyDescent="0.3">
      <c r="A1564" s="46">
        <v>2109</v>
      </c>
      <c r="B1564" s="46" t="s">
        <v>4181</v>
      </c>
      <c r="C1564" s="46" t="s">
        <v>533</v>
      </c>
      <c r="D1564" s="60"/>
      <c r="E1564" s="60"/>
      <c r="F1564" s="46" t="s">
        <v>591</v>
      </c>
      <c r="G1564" s="46" t="s">
        <v>159</v>
      </c>
      <c r="H1564" s="46" t="s">
        <v>592</v>
      </c>
      <c r="I1564" s="46" t="s">
        <v>169</v>
      </c>
      <c r="J1564" s="46" t="s">
        <v>69</v>
      </c>
      <c r="K1564" s="46" t="s">
        <v>68</v>
      </c>
      <c r="L1564" s="46"/>
      <c r="M1564" s="46"/>
      <c r="N1564" s="46"/>
      <c r="O1564" s="46"/>
      <c r="P1564" s="46"/>
      <c r="Q1564" s="46"/>
      <c r="R1564" s="46"/>
      <c r="S1564" s="46"/>
      <c r="T1564" s="46"/>
      <c r="U1564" s="46"/>
      <c r="V1564" s="46"/>
      <c r="W1564" s="46"/>
      <c r="X1564" s="46"/>
      <c r="Y1564" s="46"/>
      <c r="Z1564" s="46"/>
      <c r="AA1564" s="61">
        <f>IF(OR(G1564="ALK",G1564="PEM",G1564="SOEC",G1564="Other Electrolysis"),
AB1564*VLOOKUP(G1564,ElectrolysisConvF,3,FALSE),
"")</f>
        <v>0</v>
      </c>
      <c r="AB1564" s="62"/>
      <c r="AC1564" s="62"/>
      <c r="AD1564" s="62"/>
      <c r="AE1564" s="62">
        <f t="shared" si="170"/>
        <v>0</v>
      </c>
      <c r="AF1564" s="64" t="s">
        <v>4182</v>
      </c>
      <c r="AG1564" s="49">
        <v>0.5</v>
      </c>
    </row>
    <row r="1565" spans="1:33" customFormat="1" ht="35.1" customHeight="1" x14ac:dyDescent="0.3">
      <c r="A1565" s="46">
        <v>2110</v>
      </c>
      <c r="B1565" s="46" t="s">
        <v>4183</v>
      </c>
      <c r="C1565" s="46" t="s">
        <v>105</v>
      </c>
      <c r="D1565" s="60"/>
      <c r="E1565" s="60"/>
      <c r="F1565" s="46" t="s">
        <v>591</v>
      </c>
      <c r="G1565" s="46" t="s">
        <v>1</v>
      </c>
      <c r="H1565" s="46"/>
      <c r="I1565" s="46" t="s">
        <v>169</v>
      </c>
      <c r="J1565" s="46" t="s">
        <v>244</v>
      </c>
      <c r="K1565" s="46" t="s">
        <v>141</v>
      </c>
      <c r="L1565" s="46"/>
      <c r="M1565" s="46">
        <v>1</v>
      </c>
      <c r="N1565" s="46"/>
      <c r="O1565" s="46"/>
      <c r="P1565" s="46"/>
      <c r="Q1565" s="46"/>
      <c r="R1565" s="46"/>
      <c r="S1565" s="46"/>
      <c r="T1565" s="46"/>
      <c r="U1565" s="46"/>
      <c r="V1565" s="46"/>
      <c r="W1565" s="46"/>
      <c r="X1565" s="46"/>
      <c r="Y1565" s="46"/>
      <c r="Z1565" s="46" t="s">
        <v>4184</v>
      </c>
      <c r="AA1565" s="61">
        <v>274</v>
      </c>
      <c r="AB1565" s="62">
        <f>IF(OR(G1565="ALK",G1565="PEM",G1565="SOEC",G1565="Other Electrolysis"),
AA1565/VLOOKUP(G1565,ElectrolysisConvF,3,FALSE),
AC1565*10^6/(H2dens*HoursInYear))</f>
        <v>52692.307692307695</v>
      </c>
      <c r="AC1565" s="63">
        <f>AB1565*H2dens*HoursInYear/10^6</f>
        <v>41.081030769230765</v>
      </c>
      <c r="AD1565" s="62"/>
      <c r="AE1565" s="62">
        <f t="shared" si="170"/>
        <v>52692.307692307695</v>
      </c>
      <c r="AF1565" s="64" t="s">
        <v>4185</v>
      </c>
      <c r="AG1565" s="49">
        <v>0.3</v>
      </c>
    </row>
    <row r="1566" spans="1:33" customFormat="1" ht="35.1" customHeight="1" x14ac:dyDescent="0.3">
      <c r="A1566" s="46">
        <v>2111</v>
      </c>
      <c r="B1566" s="46" t="s">
        <v>4186</v>
      </c>
      <c r="C1566" s="46" t="s">
        <v>45</v>
      </c>
      <c r="D1566" s="60">
        <v>2027</v>
      </c>
      <c r="E1566" s="60"/>
      <c r="F1566" s="46" t="s">
        <v>591</v>
      </c>
      <c r="G1566" s="46" t="s">
        <v>159</v>
      </c>
      <c r="H1566" s="46" t="s">
        <v>592</v>
      </c>
      <c r="I1566" s="46" t="s">
        <v>169</v>
      </c>
      <c r="J1566" s="46" t="s">
        <v>246</v>
      </c>
      <c r="K1566" s="46" t="s">
        <v>68</v>
      </c>
      <c r="L1566" s="46"/>
      <c r="M1566" s="46"/>
      <c r="N1566" s="46"/>
      <c r="O1566" s="46"/>
      <c r="P1566" s="46"/>
      <c r="Q1566" s="46"/>
      <c r="R1566" s="46"/>
      <c r="S1566" s="46"/>
      <c r="T1566" s="46"/>
      <c r="U1566" s="46"/>
      <c r="V1566" s="46"/>
      <c r="W1566" s="46"/>
      <c r="X1566" s="46"/>
      <c r="Y1566" s="46"/>
      <c r="Z1566" s="46" t="s">
        <v>672</v>
      </c>
      <c r="AA1566" s="61">
        <v>1000</v>
      </c>
      <c r="AB1566" s="62">
        <f>IF(OR(G1566="ALK",G1566="PEM",G1566="SOEC",G1566="Other Electrolysis"),
AA1566/VLOOKUP(G1566,ElectrolysisConvF,3,FALSE),
AC1566*10^6/(H2dens*HoursInYear))</f>
        <v>222222.22222222225</v>
      </c>
      <c r="AC1566" s="63">
        <f>AB1566*H2dens*HoursInYear/10^6</f>
        <v>173.25333333333333</v>
      </c>
      <c r="AD1566" s="62"/>
      <c r="AE1566" s="62">
        <f t="shared" si="170"/>
        <v>222222.22222222225</v>
      </c>
      <c r="AF1566" s="64" t="s">
        <v>4187</v>
      </c>
      <c r="AG1566" s="49">
        <v>0.55000000000000004</v>
      </c>
    </row>
    <row r="1567" spans="1:33" customFormat="1" ht="35.1" customHeight="1" x14ac:dyDescent="0.3">
      <c r="A1567" s="46">
        <v>2112</v>
      </c>
      <c r="B1567" s="46" t="s">
        <v>4188</v>
      </c>
      <c r="C1567" s="46" t="s">
        <v>47</v>
      </c>
      <c r="D1567" s="60"/>
      <c r="E1567" s="60"/>
      <c r="F1567" s="46" t="s">
        <v>591</v>
      </c>
      <c r="G1567" s="46" t="s">
        <v>159</v>
      </c>
      <c r="H1567" s="46" t="s">
        <v>592</v>
      </c>
      <c r="I1567" s="46" t="s">
        <v>169</v>
      </c>
      <c r="J1567" s="46" t="s">
        <v>69</v>
      </c>
      <c r="K1567" s="46" t="s">
        <v>68</v>
      </c>
      <c r="L1567" s="46"/>
      <c r="M1567" s="46"/>
      <c r="N1567" s="46"/>
      <c r="O1567" s="46"/>
      <c r="P1567" s="46"/>
      <c r="Q1567" s="46">
        <v>1</v>
      </c>
      <c r="R1567" s="46"/>
      <c r="S1567" s="46"/>
      <c r="T1567" s="46"/>
      <c r="U1567" s="46"/>
      <c r="V1567" s="46"/>
      <c r="W1567" s="46"/>
      <c r="X1567" s="46"/>
      <c r="Y1567" s="46"/>
      <c r="Z1567" s="46" t="s">
        <v>981</v>
      </c>
      <c r="AA1567" s="61">
        <v>20</v>
      </c>
      <c r="AB1567" s="62">
        <f>IF(OR(G1567="ALK",G1567="PEM",G1567="SOEC",G1567="Other Electrolysis"),
AA1567/VLOOKUP(G1567,ElectrolysisConvF,3,FALSE),
AC1567*10^6/(H2dens*HoursInYear))</f>
        <v>4444.4444444444443</v>
      </c>
      <c r="AC1567" s="63">
        <f>AB1567*H2dens*HoursInYear/10^6</f>
        <v>3.4650666666666665</v>
      </c>
      <c r="AD1567" s="62"/>
      <c r="AE1567" s="62">
        <f t="shared" si="170"/>
        <v>4444.4444444444443</v>
      </c>
      <c r="AF1567" s="64" t="s">
        <v>4189</v>
      </c>
      <c r="AG1567" s="49">
        <v>0.5</v>
      </c>
    </row>
    <row r="1568" spans="1:33" customFormat="1" ht="35.1" customHeight="1" x14ac:dyDescent="0.3">
      <c r="A1568" s="46">
        <v>2113</v>
      </c>
      <c r="B1568" s="46" t="s">
        <v>4190</v>
      </c>
      <c r="C1568" s="46" t="s">
        <v>46</v>
      </c>
      <c r="D1568" s="60">
        <v>2023</v>
      </c>
      <c r="E1568" s="60"/>
      <c r="F1568" s="46" t="s">
        <v>285</v>
      </c>
      <c r="G1568" s="46" t="s">
        <v>159</v>
      </c>
      <c r="H1568" s="46" t="s">
        <v>592</v>
      </c>
      <c r="I1568" s="46" t="s">
        <v>157</v>
      </c>
      <c r="J1568" s="46" t="str">
        <f>IF(I1568&lt;&gt;"Dedicated renewable","N/A",)</f>
        <v>N/A</v>
      </c>
      <c r="K1568" s="46" t="s">
        <v>167</v>
      </c>
      <c r="L1568" s="46"/>
      <c r="M1568" s="46"/>
      <c r="N1568" s="46"/>
      <c r="O1568" s="46"/>
      <c r="P1568" s="46"/>
      <c r="Q1568" s="46"/>
      <c r="R1568" s="46"/>
      <c r="S1568" s="46"/>
      <c r="T1568" s="46"/>
      <c r="U1568" s="46"/>
      <c r="V1568" s="46"/>
      <c r="W1568" s="46">
        <v>1</v>
      </c>
      <c r="X1568" s="46"/>
      <c r="Y1568" s="46"/>
      <c r="Z1568" s="46"/>
      <c r="AA1568" s="61">
        <f>IF(OR(G1568="ALK",G1568="PEM",G1568="SOEC",G1568="Other Electrolysis"),
AB1568*VLOOKUP(G1568,ElectrolysisConvF,3,FALSE),
"")</f>
        <v>0</v>
      </c>
      <c r="AB1568" s="62"/>
      <c r="AC1568" s="62"/>
      <c r="AD1568" s="62"/>
      <c r="AE1568" s="62">
        <f t="shared" si="170"/>
        <v>0</v>
      </c>
      <c r="AF1568" s="64" t="s">
        <v>4191</v>
      </c>
      <c r="AG1568" s="49">
        <v>0.56999999999999995</v>
      </c>
    </row>
    <row r="1569" spans="1:33" customFormat="1" ht="35.1" customHeight="1" x14ac:dyDescent="0.3">
      <c r="A1569" s="46">
        <v>2114</v>
      </c>
      <c r="B1569" s="46" t="s">
        <v>4192</v>
      </c>
      <c r="C1569" s="46" t="s">
        <v>46</v>
      </c>
      <c r="D1569" s="60"/>
      <c r="E1569" s="60"/>
      <c r="F1569" s="46" t="s">
        <v>225</v>
      </c>
      <c r="G1569" s="46" t="s">
        <v>159</v>
      </c>
      <c r="H1569" s="46" t="s">
        <v>592</v>
      </c>
      <c r="I1569" s="46" t="s">
        <v>169</v>
      </c>
      <c r="J1569" s="46" t="s">
        <v>248</v>
      </c>
      <c r="K1569" s="46" t="s">
        <v>68</v>
      </c>
      <c r="L1569" s="46"/>
      <c r="M1569" s="46"/>
      <c r="N1569" s="46"/>
      <c r="O1569" s="46"/>
      <c r="P1569" s="46"/>
      <c r="Q1569" s="46">
        <v>1</v>
      </c>
      <c r="R1569" s="46"/>
      <c r="S1569" s="46"/>
      <c r="T1569" s="46"/>
      <c r="U1569" s="46"/>
      <c r="V1569" s="46"/>
      <c r="W1569" s="46"/>
      <c r="X1569" s="46"/>
      <c r="Y1569" s="46"/>
      <c r="Z1569" s="46" t="s">
        <v>1379</v>
      </c>
      <c r="AA1569" s="61">
        <v>15</v>
      </c>
      <c r="AB1569" s="62">
        <f>IF(OR(G1569="ALK",G1569="PEM",G1569="SOEC",G1569="Other Electrolysis"),
AA1569/VLOOKUP(G1569,ElectrolysisConvF,3,FALSE),
AC1569*10^6/(H2dens*HoursInYear))</f>
        <v>3333.3333333333335</v>
      </c>
      <c r="AC1569" s="63">
        <f>AB1569*H2dens*HoursInYear/10^6</f>
        <v>2.5988000000000002</v>
      </c>
      <c r="AD1569" s="62"/>
      <c r="AE1569" s="62">
        <f t="shared" ref="AE1569:AE1632" si="174">IF(AND(G1569&lt;&gt;"NG w CCUS",G1569&lt;&gt;"Oil w CCUS",G1569&lt;&gt;"Coal w CCUS"),AB1569,AD1569*10^3/(HoursInYear*IF(G1569="NG w CCUS",0.9105,1.9075)))</f>
        <v>3333.3333333333335</v>
      </c>
      <c r="AF1569" s="64" t="s">
        <v>4193</v>
      </c>
      <c r="AG1569" s="49">
        <v>0.5</v>
      </c>
    </row>
    <row r="1570" spans="1:33" customFormat="1" ht="35.1" customHeight="1" x14ac:dyDescent="0.3">
      <c r="A1570" s="46">
        <v>2115</v>
      </c>
      <c r="B1570" s="46" t="s">
        <v>4194</v>
      </c>
      <c r="C1570" s="46" t="s">
        <v>58</v>
      </c>
      <c r="D1570" s="60"/>
      <c r="E1570" s="60"/>
      <c r="F1570" s="46" t="s">
        <v>591</v>
      </c>
      <c r="G1570" s="46" t="s">
        <v>159</v>
      </c>
      <c r="H1570" s="46" t="s">
        <v>592</v>
      </c>
      <c r="I1570" s="46" t="s">
        <v>169</v>
      </c>
      <c r="J1570" s="46" t="s">
        <v>69</v>
      </c>
      <c r="K1570" s="46" t="s">
        <v>68</v>
      </c>
      <c r="L1570" s="46"/>
      <c r="M1570" s="46"/>
      <c r="N1570" s="46"/>
      <c r="O1570" s="46"/>
      <c r="P1570" s="46"/>
      <c r="Q1570" s="46"/>
      <c r="R1570" s="46"/>
      <c r="S1570" s="46"/>
      <c r="T1570" s="46"/>
      <c r="U1570" s="46"/>
      <c r="V1570" s="46"/>
      <c r="W1570" s="46"/>
      <c r="X1570" s="46"/>
      <c r="Y1570" s="46"/>
      <c r="Z1570" s="46" t="s">
        <v>1664</v>
      </c>
      <c r="AA1570" s="61">
        <v>300</v>
      </c>
      <c r="AB1570" s="62">
        <f>IF(OR(G1570="ALK",G1570="PEM",G1570="SOEC",G1570="Other Electrolysis"),
AA1570/VLOOKUP(G1570,ElectrolysisConvF,3,FALSE),
AC1570*10^6/(H2dens*HoursInYear))</f>
        <v>66666.666666666672</v>
      </c>
      <c r="AC1570" s="63">
        <f>AB1570*H2dens*HoursInYear/10^6</f>
        <v>51.975999999999999</v>
      </c>
      <c r="AD1570" s="62"/>
      <c r="AE1570" s="62">
        <f t="shared" si="174"/>
        <v>66666.666666666672</v>
      </c>
      <c r="AF1570" s="64" t="s">
        <v>4187</v>
      </c>
      <c r="AG1570" s="49">
        <v>0.5</v>
      </c>
    </row>
    <row r="1571" spans="1:33" customFormat="1" ht="35.1" customHeight="1" x14ac:dyDescent="0.3">
      <c r="A1571" s="46">
        <v>2116</v>
      </c>
      <c r="B1571" s="46" t="s">
        <v>4195</v>
      </c>
      <c r="C1571" s="46" t="s">
        <v>321</v>
      </c>
      <c r="D1571" s="60">
        <v>2024</v>
      </c>
      <c r="E1571" s="60"/>
      <c r="F1571" s="46" t="s">
        <v>225</v>
      </c>
      <c r="G1571" s="46" t="s">
        <v>159</v>
      </c>
      <c r="H1571" s="46" t="s">
        <v>592</v>
      </c>
      <c r="I1571" s="46" t="s">
        <v>169</v>
      </c>
      <c r="J1571" s="46" t="s">
        <v>69</v>
      </c>
      <c r="K1571" s="46" t="s">
        <v>68</v>
      </c>
      <c r="L1571" s="46"/>
      <c r="M1571" s="46"/>
      <c r="N1571" s="46"/>
      <c r="O1571" s="46"/>
      <c r="P1571" s="46"/>
      <c r="Q1571" s="46">
        <v>1</v>
      </c>
      <c r="R1571" s="46"/>
      <c r="S1571" s="46"/>
      <c r="T1571" s="46"/>
      <c r="U1571" s="46"/>
      <c r="V1571" s="46"/>
      <c r="W1571" s="46"/>
      <c r="X1571" s="46"/>
      <c r="Y1571" s="46"/>
      <c r="Z1571" s="46" t="s">
        <v>1677</v>
      </c>
      <c r="AA1571" s="61">
        <v>1.4</v>
      </c>
      <c r="AB1571" s="62">
        <f>IF(OR(G1571="ALK",G1571="PEM",G1571="SOEC",G1571="Other Electrolysis"),
AA1571/VLOOKUP(G1571,ElectrolysisConvF,3,FALSE),
AC1571*10^6/(H2dens*HoursInYear))</f>
        <v>311.11111111111114</v>
      </c>
      <c r="AC1571" s="63">
        <f>AB1571*H2dens*HoursInYear/10^6</f>
        <v>0.2425546666666667</v>
      </c>
      <c r="AD1571" s="62"/>
      <c r="AE1571" s="62">
        <f t="shared" si="174"/>
        <v>311.11111111111114</v>
      </c>
      <c r="AF1571" s="64" t="s">
        <v>4196</v>
      </c>
      <c r="AG1571" s="49">
        <v>0.5</v>
      </c>
    </row>
    <row r="1572" spans="1:33" customFormat="1" ht="35.1" customHeight="1" x14ac:dyDescent="0.3">
      <c r="A1572" s="46">
        <v>2117</v>
      </c>
      <c r="B1572" s="46" t="s">
        <v>4197</v>
      </c>
      <c r="C1572" s="46" t="s">
        <v>50</v>
      </c>
      <c r="D1572" s="60">
        <v>2026</v>
      </c>
      <c r="E1572" s="60"/>
      <c r="F1572" s="46" t="s">
        <v>225</v>
      </c>
      <c r="G1572" s="46" t="s">
        <v>159</v>
      </c>
      <c r="H1572" s="46" t="s">
        <v>592</v>
      </c>
      <c r="I1572" s="46" t="s">
        <v>169</v>
      </c>
      <c r="J1572" s="46" t="s">
        <v>246</v>
      </c>
      <c r="K1572" s="46" t="s">
        <v>68</v>
      </c>
      <c r="L1572" s="46"/>
      <c r="M1572" s="46">
        <v>1</v>
      </c>
      <c r="N1572" s="46">
        <v>1</v>
      </c>
      <c r="O1572" s="46"/>
      <c r="P1572" s="46">
        <v>1</v>
      </c>
      <c r="Q1572" s="46"/>
      <c r="R1572" s="46"/>
      <c r="S1572" s="46"/>
      <c r="T1572" s="46"/>
      <c r="U1572" s="46"/>
      <c r="V1572" s="46"/>
      <c r="W1572" s="46"/>
      <c r="X1572" s="46"/>
      <c r="Y1572" s="46"/>
      <c r="Z1572" s="46" t="s">
        <v>1691</v>
      </c>
      <c r="AA1572" s="61">
        <v>200</v>
      </c>
      <c r="AB1572" s="62">
        <f>IF(OR(G1572="ALK",G1572="PEM",G1572="SOEC",G1572="Other Electrolysis"),
AA1572/VLOOKUP(G1572,ElectrolysisConvF,3,FALSE),
AC1572*10^6/(H2dens*HoursInYear))</f>
        <v>44444.444444444445</v>
      </c>
      <c r="AC1572" s="63">
        <f>AB1572*H2dens*HoursInYear/10^6</f>
        <v>34.650666666666666</v>
      </c>
      <c r="AD1572" s="62"/>
      <c r="AE1572" s="62">
        <f t="shared" si="174"/>
        <v>44444.444444444445</v>
      </c>
      <c r="AF1572" s="64" t="s">
        <v>4198</v>
      </c>
      <c r="AG1572" s="49">
        <v>0.55000000000000004</v>
      </c>
    </row>
    <row r="1573" spans="1:33" customFormat="1" ht="35.1" customHeight="1" x14ac:dyDescent="0.3">
      <c r="A1573" s="46">
        <v>2118</v>
      </c>
      <c r="B1573" s="46" t="s">
        <v>4199</v>
      </c>
      <c r="C1573" s="46" t="s">
        <v>423</v>
      </c>
      <c r="D1573" s="60">
        <v>2025</v>
      </c>
      <c r="E1573" s="60"/>
      <c r="F1573" s="46" t="s">
        <v>225</v>
      </c>
      <c r="G1573" s="46" t="s">
        <v>159</v>
      </c>
      <c r="H1573" s="46" t="s">
        <v>592</v>
      </c>
      <c r="I1573" s="46" t="s">
        <v>169</v>
      </c>
      <c r="J1573" s="46" t="s">
        <v>69</v>
      </c>
      <c r="K1573" s="46" t="s">
        <v>68</v>
      </c>
      <c r="L1573" s="46"/>
      <c r="M1573" s="46"/>
      <c r="N1573" s="46"/>
      <c r="O1573" s="46"/>
      <c r="P1573" s="46"/>
      <c r="Q1573" s="46"/>
      <c r="R1573" s="46"/>
      <c r="S1573" s="46"/>
      <c r="T1573" s="46"/>
      <c r="U1573" s="46"/>
      <c r="V1573" s="46">
        <v>1</v>
      </c>
      <c r="W1573" s="46"/>
      <c r="X1573" s="46"/>
      <c r="Y1573" s="46"/>
      <c r="Z1573" s="46" t="s">
        <v>4200</v>
      </c>
      <c r="AA1573" s="61">
        <f>IF(OR(G1573="ALK",G1573="PEM",G1573="SOEC",G1573="Other Electrolysis"),
AB1573*VLOOKUP(G1573,ElectrolysisConvF,3,FALSE),
"")</f>
        <v>4675.2347237186395</v>
      </c>
      <c r="AB1573" s="62">
        <f>AC1573/(H2dens*HoursInYear/10^6)</f>
        <v>1038941.0497152533</v>
      </c>
      <c r="AC1573" s="63">
        <f>405/H2ProjectDB4578610[[#This Row],[Column33]]</f>
        <v>810</v>
      </c>
      <c r="AD1573" s="62"/>
      <c r="AE1573" s="62">
        <f t="shared" si="174"/>
        <v>1038941.0497152533</v>
      </c>
      <c r="AF1573" s="64" t="s">
        <v>4201</v>
      </c>
      <c r="AG1573" s="49">
        <v>0.5</v>
      </c>
    </row>
    <row r="1574" spans="1:33" customFormat="1" ht="35.1" customHeight="1" x14ac:dyDescent="0.3">
      <c r="A1574" s="46">
        <v>2119</v>
      </c>
      <c r="B1574" s="46" t="s">
        <v>4202</v>
      </c>
      <c r="C1574" s="46" t="s">
        <v>45</v>
      </c>
      <c r="D1574" s="60">
        <v>2026</v>
      </c>
      <c r="E1574" s="60"/>
      <c r="F1574" s="46" t="s">
        <v>225</v>
      </c>
      <c r="G1574" s="46" t="s">
        <v>159</v>
      </c>
      <c r="H1574" s="46" t="s">
        <v>592</v>
      </c>
      <c r="I1574" s="46" t="s">
        <v>169</v>
      </c>
      <c r="J1574" s="46" t="s">
        <v>69</v>
      </c>
      <c r="K1574" s="46" t="s">
        <v>68</v>
      </c>
      <c r="L1574" s="46">
        <v>1</v>
      </c>
      <c r="M1574" s="46"/>
      <c r="N1574" s="46"/>
      <c r="O1574" s="46"/>
      <c r="P1574" s="46">
        <v>1</v>
      </c>
      <c r="Q1574" s="46"/>
      <c r="R1574" s="46"/>
      <c r="S1574" s="46"/>
      <c r="T1574" s="46"/>
      <c r="U1574" s="46"/>
      <c r="V1574" s="46"/>
      <c r="W1574" s="46">
        <v>1</v>
      </c>
      <c r="X1574" s="46"/>
      <c r="Y1574" s="46"/>
      <c r="Z1574" s="46" t="s">
        <v>981</v>
      </c>
      <c r="AA1574" s="61">
        <v>20</v>
      </c>
      <c r="AB1574" s="62">
        <f>IF(OR(G1574="ALK",G1574="PEM",G1574="SOEC",G1574="Other Electrolysis"),
AA1574/VLOOKUP(G1574,ElectrolysisConvF,3,FALSE),
AC1574*10^6/(H2dens*HoursInYear))</f>
        <v>4444.4444444444443</v>
      </c>
      <c r="AC1574" s="63">
        <f>AB1574*H2dens*HoursInYear/10^6</f>
        <v>3.4650666666666665</v>
      </c>
      <c r="AD1574" s="62"/>
      <c r="AE1574" s="62">
        <f t="shared" si="174"/>
        <v>4444.4444444444443</v>
      </c>
      <c r="AF1574" s="64" t="s">
        <v>4203</v>
      </c>
      <c r="AG1574" s="49">
        <v>0.5</v>
      </c>
    </row>
    <row r="1575" spans="1:33" customFormat="1" ht="35.1" customHeight="1" x14ac:dyDescent="0.3">
      <c r="A1575" s="46">
        <v>2120</v>
      </c>
      <c r="B1575" s="46" t="s">
        <v>4204</v>
      </c>
      <c r="C1575" s="46" t="s">
        <v>45</v>
      </c>
      <c r="D1575" s="60">
        <v>2030</v>
      </c>
      <c r="E1575" s="60"/>
      <c r="F1575" s="46" t="s">
        <v>225</v>
      </c>
      <c r="G1575" s="46" t="s">
        <v>159</v>
      </c>
      <c r="H1575" s="46" t="s">
        <v>592</v>
      </c>
      <c r="I1575" s="46" t="s">
        <v>169</v>
      </c>
      <c r="J1575" s="46" t="s">
        <v>69</v>
      </c>
      <c r="K1575" s="46" t="s">
        <v>68</v>
      </c>
      <c r="L1575" s="46">
        <v>1</v>
      </c>
      <c r="M1575" s="46"/>
      <c r="N1575" s="46"/>
      <c r="O1575" s="46"/>
      <c r="P1575" s="46">
        <v>1</v>
      </c>
      <c r="Q1575" s="46"/>
      <c r="R1575" s="46"/>
      <c r="S1575" s="46"/>
      <c r="T1575" s="46"/>
      <c r="U1575" s="46"/>
      <c r="V1575" s="46"/>
      <c r="W1575" s="46">
        <v>1</v>
      </c>
      <c r="X1575" s="46"/>
      <c r="Y1575" s="46"/>
      <c r="Z1575" s="46" t="s">
        <v>1691</v>
      </c>
      <c r="AA1575" s="61">
        <v>180</v>
      </c>
      <c r="AB1575" s="62">
        <f>IF(OR(G1575="ALK",G1575="PEM",G1575="SOEC",G1575="Other Electrolysis"),
AA1575/VLOOKUP(G1575,ElectrolysisConvF,3,FALSE),
AC1575*10^6/(H2dens*HoursInYear))</f>
        <v>40000</v>
      </c>
      <c r="AC1575" s="63">
        <f>AB1575*H2dens*HoursInYear/10^6</f>
        <v>31.185600000000001</v>
      </c>
      <c r="AD1575" s="62"/>
      <c r="AE1575" s="62">
        <f t="shared" si="174"/>
        <v>40000</v>
      </c>
      <c r="AF1575" s="64" t="s">
        <v>4203</v>
      </c>
      <c r="AG1575" s="49">
        <v>0.5</v>
      </c>
    </row>
    <row r="1576" spans="1:33" customFormat="1" ht="35.1" customHeight="1" x14ac:dyDescent="0.3">
      <c r="A1576" s="46">
        <v>2121</v>
      </c>
      <c r="B1576" s="46" t="s">
        <v>4205</v>
      </c>
      <c r="C1576" s="46" t="s">
        <v>46</v>
      </c>
      <c r="D1576" s="60"/>
      <c r="E1576" s="60"/>
      <c r="F1576" s="46" t="s">
        <v>225</v>
      </c>
      <c r="G1576" s="46" t="s">
        <v>159</v>
      </c>
      <c r="H1576" s="46" t="s">
        <v>592</v>
      </c>
      <c r="I1576" s="46" t="s">
        <v>169</v>
      </c>
      <c r="J1576" s="46" t="s">
        <v>245</v>
      </c>
      <c r="K1576" s="46" t="s">
        <v>68</v>
      </c>
      <c r="L1576" s="46"/>
      <c r="M1576" s="46"/>
      <c r="N1576" s="46"/>
      <c r="O1576" s="46"/>
      <c r="P1576" s="46"/>
      <c r="Q1576" s="46"/>
      <c r="R1576" s="46"/>
      <c r="S1576" s="46"/>
      <c r="T1576" s="46"/>
      <c r="U1576" s="46"/>
      <c r="V1576" s="46"/>
      <c r="W1576" s="46"/>
      <c r="X1576" s="46"/>
      <c r="Y1576" s="46"/>
      <c r="Z1576" s="46" t="s">
        <v>964</v>
      </c>
      <c r="AA1576" s="61">
        <v>30</v>
      </c>
      <c r="AB1576" s="62">
        <f>IF(OR(G1576="ALK",G1576="PEM",G1576="SOEC",G1576="Other Electrolysis"),
AA1576/VLOOKUP(G1576,ElectrolysisConvF,3,FALSE),
AC1576*10^6/(H2dens*HoursInYear))</f>
        <v>6666.666666666667</v>
      </c>
      <c r="AC1576" s="63">
        <f>AB1576*H2dens*HoursInYear/10^6</f>
        <v>5.1976000000000004</v>
      </c>
      <c r="AD1576" s="62"/>
      <c r="AE1576" s="62">
        <f t="shared" si="174"/>
        <v>6666.666666666667</v>
      </c>
      <c r="AF1576" s="64" t="s">
        <v>4206</v>
      </c>
      <c r="AG1576" s="49">
        <v>0.4</v>
      </c>
    </row>
    <row r="1577" spans="1:33" customFormat="1" ht="35.1" customHeight="1" x14ac:dyDescent="0.3">
      <c r="A1577" s="46">
        <v>2122</v>
      </c>
      <c r="B1577" s="46" t="s">
        <v>4207</v>
      </c>
      <c r="C1577" s="46" t="s">
        <v>321</v>
      </c>
      <c r="D1577" s="60">
        <v>2024</v>
      </c>
      <c r="E1577" s="60"/>
      <c r="F1577" s="46" t="s">
        <v>225</v>
      </c>
      <c r="G1577" s="46" t="s">
        <v>159</v>
      </c>
      <c r="H1577" s="46" t="s">
        <v>592</v>
      </c>
      <c r="I1577" s="46" t="s">
        <v>169</v>
      </c>
      <c r="J1577" s="46" t="s">
        <v>69</v>
      </c>
      <c r="K1577" s="46" t="s">
        <v>68</v>
      </c>
      <c r="L1577" s="46"/>
      <c r="M1577" s="46"/>
      <c r="N1577" s="46"/>
      <c r="O1577" s="46"/>
      <c r="P1577" s="46"/>
      <c r="Q1577" s="46"/>
      <c r="R1577" s="46"/>
      <c r="S1577" s="46"/>
      <c r="T1577" s="46"/>
      <c r="U1577" s="46"/>
      <c r="V1577" s="46"/>
      <c r="W1577" s="46"/>
      <c r="X1577" s="46"/>
      <c r="Y1577" s="46"/>
      <c r="Z1577" s="46" t="s">
        <v>2242</v>
      </c>
      <c r="AA1577" s="61">
        <v>90</v>
      </c>
      <c r="AB1577" s="62">
        <f>IF(OR(G1577="ALK",G1577="PEM",G1577="SOEC",G1577="Other Electrolysis"),
AA1577/VLOOKUP(G1577,ElectrolysisConvF,3,FALSE),
AC1577*10^6/(H2dens*HoursInYear))</f>
        <v>20000</v>
      </c>
      <c r="AC1577" s="63">
        <f>AB1577*H2dens*HoursInYear/10^6</f>
        <v>15.5928</v>
      </c>
      <c r="AD1577" s="62"/>
      <c r="AE1577" s="62">
        <f t="shared" si="174"/>
        <v>20000</v>
      </c>
      <c r="AF1577" s="64" t="s">
        <v>4208</v>
      </c>
      <c r="AG1577" s="49">
        <v>0.5</v>
      </c>
    </row>
    <row r="1578" spans="1:33" customFormat="1" ht="35.1" customHeight="1" x14ac:dyDescent="0.3">
      <c r="A1578" s="46">
        <v>2123</v>
      </c>
      <c r="B1578" s="46" t="s">
        <v>4209</v>
      </c>
      <c r="C1578" s="46" t="s">
        <v>321</v>
      </c>
      <c r="D1578" s="60">
        <v>2024</v>
      </c>
      <c r="E1578" s="60"/>
      <c r="F1578" s="46" t="s">
        <v>225</v>
      </c>
      <c r="G1578" s="46" t="s">
        <v>159</v>
      </c>
      <c r="H1578" s="46" t="s">
        <v>592</v>
      </c>
      <c r="I1578" s="46" t="s">
        <v>169</v>
      </c>
      <c r="J1578" s="46" t="s">
        <v>69</v>
      </c>
      <c r="K1578" s="46" t="s">
        <v>68</v>
      </c>
      <c r="L1578" s="46"/>
      <c r="M1578" s="46"/>
      <c r="N1578" s="46"/>
      <c r="O1578" s="46"/>
      <c r="P1578" s="46"/>
      <c r="Q1578" s="46"/>
      <c r="R1578" s="46"/>
      <c r="S1578" s="46"/>
      <c r="T1578" s="46"/>
      <c r="U1578" s="46"/>
      <c r="V1578" s="46"/>
      <c r="W1578" s="46"/>
      <c r="X1578" s="46"/>
      <c r="Y1578" s="46"/>
      <c r="Z1578" s="46" t="s">
        <v>4210</v>
      </c>
      <c r="AA1578" s="61">
        <v>115</v>
      </c>
      <c r="AB1578" s="62">
        <f>IF(OR(G1578="ALK",G1578="PEM",G1578="SOEC",G1578="Other Electrolysis"),
AA1578/VLOOKUP(G1578,ElectrolysisConvF,3,FALSE),
AC1578*10^6/(H2dens*HoursInYear))</f>
        <v>25555.555555555558</v>
      </c>
      <c r="AC1578" s="63">
        <f>AB1578*H2dens*HoursInYear/10^6</f>
        <v>19.924133333333337</v>
      </c>
      <c r="AD1578" s="62"/>
      <c r="AE1578" s="62">
        <f t="shared" si="174"/>
        <v>25555.555555555558</v>
      </c>
      <c r="AF1578" s="64" t="s">
        <v>4208</v>
      </c>
      <c r="AG1578" s="49">
        <v>0.5</v>
      </c>
    </row>
    <row r="1579" spans="1:33" customFormat="1" ht="35.1" customHeight="1" x14ac:dyDescent="0.3">
      <c r="A1579" s="46">
        <v>2124</v>
      </c>
      <c r="B1579" s="46" t="s">
        <v>4211</v>
      </c>
      <c r="C1579" s="46" t="s">
        <v>64</v>
      </c>
      <c r="D1579" s="60">
        <v>2028</v>
      </c>
      <c r="E1579" s="60"/>
      <c r="F1579" s="46" t="s">
        <v>225</v>
      </c>
      <c r="G1579" s="46" t="s">
        <v>159</v>
      </c>
      <c r="H1579" s="46" t="s">
        <v>592</v>
      </c>
      <c r="I1579" s="46" t="s">
        <v>169</v>
      </c>
      <c r="J1579" s="46" t="s">
        <v>245</v>
      </c>
      <c r="K1579" s="46" t="s">
        <v>68</v>
      </c>
      <c r="L1579" s="46"/>
      <c r="M1579" s="46"/>
      <c r="N1579" s="46"/>
      <c r="O1579" s="46"/>
      <c r="P1579" s="46"/>
      <c r="Q1579" s="46"/>
      <c r="R1579" s="46"/>
      <c r="S1579" s="46"/>
      <c r="T1579" s="46"/>
      <c r="U1579" s="46"/>
      <c r="V1579" s="46"/>
      <c r="W1579" s="46"/>
      <c r="X1579" s="46"/>
      <c r="Y1579" s="46"/>
      <c r="Z1579" s="46" t="s">
        <v>4212</v>
      </c>
      <c r="AA1579" s="61">
        <f t="shared" ref="AA1579:AA1584" si="175">IF(OR(G1579="ALK",G1579="PEM",G1579="SOEC",G1579="Other Electrolysis"),
AB1579*VLOOKUP(G1579,ElectrolysisConvF,3,FALSE),
"")</f>
        <v>3637.7487735127911</v>
      </c>
      <c r="AB1579" s="62">
        <f>AC1579/(H2dens*HoursInYear/10^6)</f>
        <v>808388.61633617582</v>
      </c>
      <c r="AC1579" s="62">
        <f>1400*3/17/0.98/H2ProjectDB4578610[[#This Row],[Column33]]</f>
        <v>630.25210084033608</v>
      </c>
      <c r="AD1579" s="62"/>
      <c r="AE1579" s="62">
        <f t="shared" si="174"/>
        <v>808388.61633617582</v>
      </c>
      <c r="AF1579" s="64" t="s">
        <v>4213</v>
      </c>
      <c r="AG1579" s="81">
        <v>0.4</v>
      </c>
    </row>
    <row r="1580" spans="1:33" customFormat="1" ht="35.1" customHeight="1" x14ac:dyDescent="0.3">
      <c r="A1580" s="46">
        <v>2125</v>
      </c>
      <c r="B1580" s="46" t="s">
        <v>4214</v>
      </c>
      <c r="C1580" s="46" t="s">
        <v>41</v>
      </c>
      <c r="D1580" s="60">
        <v>2024</v>
      </c>
      <c r="E1580" s="60"/>
      <c r="F1580" s="46" t="s">
        <v>675</v>
      </c>
      <c r="G1580" s="46" t="s">
        <v>159</v>
      </c>
      <c r="H1580" s="46" t="s">
        <v>592</v>
      </c>
      <c r="I1580" s="46" t="s">
        <v>169</v>
      </c>
      <c r="J1580" s="46" t="s">
        <v>245</v>
      </c>
      <c r="K1580" s="46" t="s">
        <v>141</v>
      </c>
      <c r="L1580" s="46"/>
      <c r="M1580" s="46">
        <v>1</v>
      </c>
      <c r="N1580" s="46"/>
      <c r="O1580" s="46"/>
      <c r="P1580" s="46">
        <v>1</v>
      </c>
      <c r="Q1580" s="46"/>
      <c r="R1580" s="46"/>
      <c r="S1580" s="46"/>
      <c r="T1580" s="46"/>
      <c r="U1580" s="46"/>
      <c r="V1580" s="46"/>
      <c r="W1580" s="46"/>
      <c r="X1580" s="46"/>
      <c r="Y1580" s="46"/>
      <c r="Z1580" s="46" t="s">
        <v>4215</v>
      </c>
      <c r="AA1580" s="61">
        <f t="shared" si="175"/>
        <v>154.77912882869018</v>
      </c>
      <c r="AB1580" s="62">
        <f>AC1580*10^6/(H2dens*HoursInYear)</f>
        <v>34395.36196193115</v>
      </c>
      <c r="AC1580" s="62">
        <f>26816/1000</f>
        <v>26.815999999999999</v>
      </c>
      <c r="AD1580" s="62"/>
      <c r="AE1580" s="62">
        <f t="shared" si="174"/>
        <v>34395.36196193115</v>
      </c>
      <c r="AF1580" s="64" t="s">
        <v>3873</v>
      </c>
      <c r="AG1580" s="49">
        <v>0.4</v>
      </c>
    </row>
    <row r="1581" spans="1:33" customFormat="1" ht="35.1" customHeight="1" x14ac:dyDescent="0.3">
      <c r="A1581" s="46">
        <v>2126</v>
      </c>
      <c r="B1581" s="46" t="s">
        <v>4216</v>
      </c>
      <c r="C1581" s="46" t="s">
        <v>41</v>
      </c>
      <c r="D1581" s="60">
        <v>2023</v>
      </c>
      <c r="E1581" s="60"/>
      <c r="F1581" s="46" t="s">
        <v>675</v>
      </c>
      <c r="G1581" s="46" t="s">
        <v>159</v>
      </c>
      <c r="H1581" s="46" t="s">
        <v>592</v>
      </c>
      <c r="I1581" s="46" t="s">
        <v>169</v>
      </c>
      <c r="J1581" s="46" t="s">
        <v>245</v>
      </c>
      <c r="K1581" s="46" t="s">
        <v>68</v>
      </c>
      <c r="L1581" s="46"/>
      <c r="M1581" s="46"/>
      <c r="N1581" s="46"/>
      <c r="O1581" s="46"/>
      <c r="P1581" s="46"/>
      <c r="Q1581" s="46">
        <v>1</v>
      </c>
      <c r="R1581" s="46"/>
      <c r="S1581" s="46"/>
      <c r="T1581" s="46"/>
      <c r="U1581" s="46"/>
      <c r="V1581" s="46"/>
      <c r="W1581" s="46"/>
      <c r="X1581" s="46"/>
      <c r="Y1581" s="46"/>
      <c r="Z1581" s="46" t="s">
        <v>4217</v>
      </c>
      <c r="AA1581" s="61">
        <f t="shared" si="175"/>
        <v>2.2164075727258732</v>
      </c>
      <c r="AB1581" s="62">
        <f>AC1581*10^6/(H2dens*HoursInYear)</f>
        <v>492.53501616130524</v>
      </c>
      <c r="AC1581" s="63">
        <f>384/1000</f>
        <v>0.38400000000000001</v>
      </c>
      <c r="AD1581" s="62"/>
      <c r="AE1581" s="62">
        <f t="shared" si="174"/>
        <v>492.53501616130524</v>
      </c>
      <c r="AF1581" s="64" t="s">
        <v>3873</v>
      </c>
      <c r="AG1581" s="49">
        <v>0.4</v>
      </c>
    </row>
    <row r="1582" spans="1:33" customFormat="1" ht="35.1" customHeight="1" x14ac:dyDescent="0.3">
      <c r="A1582" s="46">
        <v>2127</v>
      </c>
      <c r="B1582" s="46" t="s">
        <v>4218</v>
      </c>
      <c r="C1582" s="46" t="s">
        <v>41</v>
      </c>
      <c r="D1582" s="60">
        <v>2024</v>
      </c>
      <c r="E1582" s="60"/>
      <c r="F1582" s="46" t="s">
        <v>675</v>
      </c>
      <c r="G1582" s="46" t="s">
        <v>159</v>
      </c>
      <c r="H1582" s="46" t="s">
        <v>592</v>
      </c>
      <c r="I1582" s="46" t="s">
        <v>169</v>
      </c>
      <c r="J1582" s="46" t="s">
        <v>248</v>
      </c>
      <c r="K1582" s="46" t="s">
        <v>141</v>
      </c>
      <c r="L1582" s="46"/>
      <c r="M1582" s="46">
        <v>1</v>
      </c>
      <c r="N1582" s="46"/>
      <c r="O1582" s="46"/>
      <c r="P1582" s="46"/>
      <c r="Q1582" s="46"/>
      <c r="R1582" s="46"/>
      <c r="S1582" s="46"/>
      <c r="T1582" s="46"/>
      <c r="U1582" s="46"/>
      <c r="V1582" s="46"/>
      <c r="W1582" s="46"/>
      <c r="X1582" s="46"/>
      <c r="Y1582" s="46"/>
      <c r="Z1582" s="46" t="s">
        <v>4219</v>
      </c>
      <c r="AA1582" s="61">
        <f t="shared" si="175"/>
        <v>57.718947206402952</v>
      </c>
      <c r="AB1582" s="62">
        <f>AC1582*10^6/(H2dens*HoursInYear)</f>
        <v>12826.43271253399</v>
      </c>
      <c r="AC1582" s="62">
        <f>10000/1000</f>
        <v>10</v>
      </c>
      <c r="AD1582" s="62"/>
      <c r="AE1582" s="62">
        <f t="shared" si="174"/>
        <v>12826.43271253399</v>
      </c>
      <c r="AF1582" s="64" t="s">
        <v>3873</v>
      </c>
      <c r="AG1582" s="49">
        <v>0.5</v>
      </c>
    </row>
    <row r="1583" spans="1:33" customFormat="1" ht="35.1" customHeight="1" x14ac:dyDescent="0.3">
      <c r="A1583" s="46">
        <v>2128</v>
      </c>
      <c r="B1583" s="46" t="s">
        <v>4220</v>
      </c>
      <c r="C1583" s="46" t="s">
        <v>41</v>
      </c>
      <c r="D1583" s="60">
        <v>2024</v>
      </c>
      <c r="E1583" s="60"/>
      <c r="F1583" s="46" t="s">
        <v>675</v>
      </c>
      <c r="G1583" s="46" t="s">
        <v>159</v>
      </c>
      <c r="H1583" s="46" t="s">
        <v>592</v>
      </c>
      <c r="I1583" s="46" t="s">
        <v>169</v>
      </c>
      <c r="J1583" s="46" t="s">
        <v>248</v>
      </c>
      <c r="K1583" s="46" t="s">
        <v>140</v>
      </c>
      <c r="L1583" s="46"/>
      <c r="M1583" s="46"/>
      <c r="N1583" s="46">
        <v>1</v>
      </c>
      <c r="O1583" s="46"/>
      <c r="P1583" s="46"/>
      <c r="Q1583" s="46"/>
      <c r="R1583" s="46"/>
      <c r="S1583" s="46"/>
      <c r="T1583" s="46"/>
      <c r="U1583" s="46"/>
      <c r="V1583" s="46"/>
      <c r="W1583" s="46"/>
      <c r="X1583" s="46"/>
      <c r="Y1583" s="46"/>
      <c r="Z1583" s="46" t="s">
        <v>3881</v>
      </c>
      <c r="AA1583" s="61">
        <f t="shared" si="175"/>
        <v>31.427966753886409</v>
      </c>
      <c r="AB1583" s="62">
        <f>AC1583*10^6/(H2dens*HoursInYear)</f>
        <v>6983.9926119747579</v>
      </c>
      <c r="AC1583" s="62">
        <f>5445/1000</f>
        <v>5.4450000000000003</v>
      </c>
      <c r="AD1583" s="62"/>
      <c r="AE1583" s="62">
        <f t="shared" si="174"/>
        <v>6983.9926119747579</v>
      </c>
      <c r="AF1583" s="64" t="s">
        <v>3873</v>
      </c>
      <c r="AG1583" s="49">
        <v>0.5</v>
      </c>
    </row>
    <row r="1584" spans="1:33" customFormat="1" ht="35.1" customHeight="1" x14ac:dyDescent="0.3">
      <c r="A1584" s="46">
        <v>2129</v>
      </c>
      <c r="B1584" s="46" t="s">
        <v>4221</v>
      </c>
      <c r="C1584" s="46" t="s">
        <v>41</v>
      </c>
      <c r="D1584" s="60">
        <v>2024</v>
      </c>
      <c r="E1584" s="60"/>
      <c r="F1584" s="46" t="s">
        <v>675</v>
      </c>
      <c r="G1584" s="46" t="s">
        <v>159</v>
      </c>
      <c r="H1584" s="46" t="s">
        <v>592</v>
      </c>
      <c r="I1584" s="46" t="s">
        <v>169</v>
      </c>
      <c r="J1584" s="46" t="s">
        <v>248</v>
      </c>
      <c r="K1584" s="46" t="s">
        <v>141</v>
      </c>
      <c r="L1584" s="46"/>
      <c r="M1584" s="46">
        <v>1</v>
      </c>
      <c r="N1584" s="46"/>
      <c r="O1584" s="46"/>
      <c r="P1584" s="46"/>
      <c r="Q1584" s="46"/>
      <c r="R1584" s="46"/>
      <c r="S1584" s="46"/>
      <c r="T1584" s="46"/>
      <c r="U1584" s="46"/>
      <c r="V1584" s="46"/>
      <c r="W1584" s="46"/>
      <c r="X1584" s="46"/>
      <c r="Y1584" s="46"/>
      <c r="Z1584" s="46" t="s">
        <v>4222</v>
      </c>
      <c r="AA1584" s="61">
        <f t="shared" si="175"/>
        <v>128.71325227027859</v>
      </c>
      <c r="AB1584" s="62">
        <f>AC1584*10^6/(H2dens*HoursInYear)</f>
        <v>28602.944948950797</v>
      </c>
      <c r="AC1584" s="62">
        <f>22300/1000</f>
        <v>22.3</v>
      </c>
      <c r="AD1584" s="62"/>
      <c r="AE1584" s="62">
        <f t="shared" si="174"/>
        <v>28602.944948950797</v>
      </c>
      <c r="AF1584" s="64" t="s">
        <v>3873</v>
      </c>
      <c r="AG1584" s="49">
        <v>0.5</v>
      </c>
    </row>
    <row r="1585" spans="1:33" customFormat="1" ht="35.1" customHeight="1" x14ac:dyDescent="0.3">
      <c r="A1585" s="46">
        <v>2130</v>
      </c>
      <c r="B1585" s="46" t="s">
        <v>4223</v>
      </c>
      <c r="C1585" s="46" t="s">
        <v>44</v>
      </c>
      <c r="D1585" s="60">
        <v>2026</v>
      </c>
      <c r="E1585" s="60"/>
      <c r="F1585" s="46" t="s">
        <v>225</v>
      </c>
      <c r="G1585" s="46" t="s">
        <v>159</v>
      </c>
      <c r="H1585" s="46" t="s">
        <v>592</v>
      </c>
      <c r="I1585" s="46" t="s">
        <v>169</v>
      </c>
      <c r="J1585" s="46" t="s">
        <v>69</v>
      </c>
      <c r="K1585" s="46" t="s">
        <v>141</v>
      </c>
      <c r="L1585" s="46"/>
      <c r="M1585" s="46">
        <v>1</v>
      </c>
      <c r="N1585" s="46"/>
      <c r="O1585" s="46"/>
      <c r="P1585" s="46"/>
      <c r="Q1585" s="46"/>
      <c r="R1585" s="46"/>
      <c r="S1585" s="46"/>
      <c r="T1585" s="46"/>
      <c r="U1585" s="46"/>
      <c r="V1585" s="46"/>
      <c r="W1585" s="46"/>
      <c r="X1585" s="46"/>
      <c r="Y1585" s="46"/>
      <c r="Z1585" s="46" t="s">
        <v>1350</v>
      </c>
      <c r="AA1585" s="61">
        <v>60</v>
      </c>
      <c r="AB1585" s="62">
        <f>IF(OR(G1585="ALK",G1585="PEM",G1585="SOEC",G1585="Other Electrolysis"),
AA1585/VLOOKUP(G1585,ElectrolysisConvF,3,FALSE),
AC1585*10^6/(H2dens*HoursInYear))</f>
        <v>13333.333333333334</v>
      </c>
      <c r="AC1585" s="63">
        <f>AB1585*H2dens*HoursInYear/10^6</f>
        <v>10.395200000000001</v>
      </c>
      <c r="AD1585" s="62"/>
      <c r="AE1585" s="62">
        <f t="shared" si="174"/>
        <v>13333.333333333334</v>
      </c>
      <c r="AF1585" s="64" t="s">
        <v>4224</v>
      </c>
      <c r="AG1585" s="49">
        <v>0.5</v>
      </c>
    </row>
    <row r="1586" spans="1:33" customFormat="1" ht="35.1" customHeight="1" x14ac:dyDescent="0.3">
      <c r="A1586" s="46">
        <v>2131</v>
      </c>
      <c r="B1586" s="46" t="s">
        <v>4225</v>
      </c>
      <c r="C1586" s="46" t="s">
        <v>90</v>
      </c>
      <c r="D1586" s="60"/>
      <c r="E1586" s="60"/>
      <c r="F1586" s="46" t="s">
        <v>591</v>
      </c>
      <c r="G1586" s="46" t="s">
        <v>159</v>
      </c>
      <c r="H1586" s="46" t="s">
        <v>592</v>
      </c>
      <c r="I1586" s="46" t="s">
        <v>169</v>
      </c>
      <c r="J1586" s="46" t="s">
        <v>69</v>
      </c>
      <c r="K1586" s="46" t="s">
        <v>141</v>
      </c>
      <c r="L1586" s="46"/>
      <c r="M1586" s="46">
        <v>1</v>
      </c>
      <c r="N1586" s="46"/>
      <c r="O1586" s="46"/>
      <c r="P1586" s="46"/>
      <c r="Q1586" s="46"/>
      <c r="R1586" s="46"/>
      <c r="S1586" s="46"/>
      <c r="T1586" s="46"/>
      <c r="U1586" s="46"/>
      <c r="V1586" s="46"/>
      <c r="W1586" s="46"/>
      <c r="X1586" s="46"/>
      <c r="Y1586" s="46"/>
      <c r="Z1586" s="46" t="s">
        <v>4226</v>
      </c>
      <c r="AA1586" s="63">
        <f>IF(OR(G1586="ALK",G1586="PEM",G1586="SOEC",G1586="Other Electrolysis"),
AB1586*VLOOKUP(G1586,ElectrolysisConvF,3,FALSE),
"")</f>
        <v>1662.9708678915617</v>
      </c>
      <c r="AB1586" s="62">
        <f>AC1586/(H2dens*HoursInYear/10^6)</f>
        <v>369549.08175368042</v>
      </c>
      <c r="AC1586" s="62">
        <f>(800*3/17/0.98)/H2ProjectDB4578610[[#This Row],[Column33]]</f>
        <v>288.1152460984394</v>
      </c>
      <c r="AD1586" s="62"/>
      <c r="AE1586" s="62">
        <f t="shared" si="174"/>
        <v>369549.08175368042</v>
      </c>
      <c r="AF1586" s="64" t="s">
        <v>4227</v>
      </c>
      <c r="AG1586" s="49">
        <v>0.5</v>
      </c>
    </row>
    <row r="1587" spans="1:33" customFormat="1" ht="35.1" customHeight="1" x14ac:dyDescent="0.3">
      <c r="A1587" s="46">
        <v>2132</v>
      </c>
      <c r="B1587" s="46" t="s">
        <v>4228</v>
      </c>
      <c r="C1587" s="46" t="s">
        <v>78</v>
      </c>
      <c r="D1587" s="60">
        <v>2030</v>
      </c>
      <c r="E1587" s="60"/>
      <c r="F1587" s="46" t="s">
        <v>591</v>
      </c>
      <c r="G1587" s="46" t="s">
        <v>161</v>
      </c>
      <c r="H1587" s="46" t="s">
        <v>1951</v>
      </c>
      <c r="I1587" s="46"/>
      <c r="J1587" s="46"/>
      <c r="K1587" s="46" t="s">
        <v>68</v>
      </c>
      <c r="L1587" s="46"/>
      <c r="M1587" s="46"/>
      <c r="N1587" s="46"/>
      <c r="O1587" s="46"/>
      <c r="P1587" s="46"/>
      <c r="Q1587" s="46"/>
      <c r="R1587" s="46"/>
      <c r="S1587" s="46"/>
      <c r="T1587" s="46"/>
      <c r="U1587" s="46"/>
      <c r="V1587" s="46"/>
      <c r="W1587" s="46"/>
      <c r="X1587" s="46"/>
      <c r="Y1587" s="46"/>
      <c r="Z1587" s="46" t="s">
        <v>4229</v>
      </c>
      <c r="AA1587" s="61" t="str">
        <f>IF(OR(G1587="ALK",G1587="PEM",G1587="SOEC",G1587="Other Electrolysis"),
AB1587*VLOOKUP(G1587,ElectrolysisConvF,3,FALSE),
"")</f>
        <v/>
      </c>
      <c r="AB1587" s="62">
        <f>AC1587/(H2dens*HoursInYear/10^6)</f>
        <v>10261.146170027192</v>
      </c>
      <c r="AC1587" s="62">
        <f>8000/1000</f>
        <v>8</v>
      </c>
      <c r="AD1587" s="62"/>
      <c r="AE1587" s="62">
        <f t="shared" si="174"/>
        <v>0</v>
      </c>
      <c r="AF1587" s="64" t="s">
        <v>4230</v>
      </c>
      <c r="AG1587" s="49">
        <v>0.9</v>
      </c>
    </row>
    <row r="1588" spans="1:33" customFormat="1" ht="35.1" customHeight="1" x14ac:dyDescent="0.3">
      <c r="A1588" s="46">
        <v>2133</v>
      </c>
      <c r="B1588" s="46" t="s">
        <v>4231</v>
      </c>
      <c r="C1588" s="46" t="s">
        <v>62</v>
      </c>
      <c r="D1588" s="60">
        <v>2024</v>
      </c>
      <c r="E1588" s="60"/>
      <c r="F1588" s="46" t="s">
        <v>225</v>
      </c>
      <c r="G1588" s="46" t="s">
        <v>3</v>
      </c>
      <c r="H1588" s="46"/>
      <c r="I1588" s="46" t="s">
        <v>157</v>
      </c>
      <c r="J1588" s="46" t="s">
        <v>69</v>
      </c>
      <c r="K1588" s="46" t="s">
        <v>68</v>
      </c>
      <c r="L1588" s="46"/>
      <c r="M1588" s="46"/>
      <c r="N1588" s="46"/>
      <c r="O1588" s="46"/>
      <c r="P1588" s="46"/>
      <c r="Q1588" s="46"/>
      <c r="R1588" s="46"/>
      <c r="S1588" s="46"/>
      <c r="T1588" s="46"/>
      <c r="U1588" s="46"/>
      <c r="V1588" s="46"/>
      <c r="W1588" s="46"/>
      <c r="X1588" s="46"/>
      <c r="Y1588" s="46"/>
      <c r="Z1588" s="46" t="s">
        <v>2294</v>
      </c>
      <c r="AA1588" s="61">
        <v>9</v>
      </c>
      <c r="AB1588" s="62">
        <f>IF(OR(G1588="ALK",G1588="PEM",G1588="SOEC",G1588="Other Electrolysis"),
AA1588/VLOOKUP(G1588,ElectrolysisConvF,3,FALSE),
AC1588*10^6/(H2dens*HoursInYear))</f>
        <v>1956.5217391304348</v>
      </c>
      <c r="AC1588" s="62">
        <f>AB1588*H2dens*HoursInYear/10^6</f>
        <v>1.5253826086956521</v>
      </c>
      <c r="AD1588" s="62"/>
      <c r="AE1588" s="62">
        <f t="shared" si="174"/>
        <v>1956.5217391304348</v>
      </c>
      <c r="AF1588" s="64" t="s">
        <v>4232</v>
      </c>
      <c r="AG1588" s="49">
        <v>0.56999999999999995</v>
      </c>
    </row>
    <row r="1589" spans="1:33" customFormat="1" ht="35.1" customHeight="1" x14ac:dyDescent="0.3">
      <c r="A1589" s="46">
        <v>2134</v>
      </c>
      <c r="B1589" s="46" t="s">
        <v>4233</v>
      </c>
      <c r="C1589" s="46" t="s">
        <v>43</v>
      </c>
      <c r="D1589" s="60">
        <v>2026</v>
      </c>
      <c r="E1589" s="60"/>
      <c r="F1589" s="46" t="s">
        <v>591</v>
      </c>
      <c r="G1589" s="46" t="s">
        <v>159</v>
      </c>
      <c r="H1589" s="46" t="s">
        <v>592</v>
      </c>
      <c r="I1589" s="46" t="s">
        <v>169</v>
      </c>
      <c r="J1589" s="46" t="s">
        <v>244</v>
      </c>
      <c r="K1589" s="46" t="s">
        <v>68</v>
      </c>
      <c r="L1589" s="46"/>
      <c r="M1589" s="46"/>
      <c r="N1589" s="46"/>
      <c r="O1589" s="46"/>
      <c r="P1589" s="46"/>
      <c r="Q1589" s="46"/>
      <c r="R1589" s="46"/>
      <c r="S1589" s="46"/>
      <c r="T1589" s="46"/>
      <c r="U1589" s="46"/>
      <c r="V1589" s="46"/>
      <c r="W1589" s="46"/>
      <c r="X1589" s="46"/>
      <c r="Y1589" s="46"/>
      <c r="Z1589" s="46" t="s">
        <v>4234</v>
      </c>
      <c r="AA1589" s="63">
        <f t="shared" ref="AA1589:AA1596" si="176">IF(OR(G1589="ALK",G1589="PEM",G1589="SOEC",G1589="Other Electrolysis"),
AB1589*VLOOKUP(G1589,ElectrolysisConvF,3,FALSE),
"")</f>
        <v>210.67415730337078</v>
      </c>
      <c r="AB1589" s="62">
        <f>AC1589/(H2dens*HoursInYear/10^6)</f>
        <v>46816.479400749064</v>
      </c>
      <c r="AC1589" s="62">
        <f>30*365/1000/H2ProjectDB4578610[[#This Row],[Column33]]</f>
        <v>36.5</v>
      </c>
      <c r="AD1589" s="62"/>
      <c r="AE1589" s="62">
        <f t="shared" si="174"/>
        <v>46816.479400749064</v>
      </c>
      <c r="AF1589" s="64" t="s">
        <v>4235</v>
      </c>
      <c r="AG1589" s="49">
        <v>0.3</v>
      </c>
    </row>
    <row r="1590" spans="1:33" customFormat="1" ht="35.1" customHeight="1" x14ac:dyDescent="0.3">
      <c r="A1590" s="46">
        <v>2135</v>
      </c>
      <c r="B1590" s="46" t="s">
        <v>4233</v>
      </c>
      <c r="C1590" s="46" t="s">
        <v>43</v>
      </c>
      <c r="D1590" s="60">
        <v>2028</v>
      </c>
      <c r="E1590" s="60"/>
      <c r="F1590" s="46" t="s">
        <v>591</v>
      </c>
      <c r="G1590" s="46" t="s">
        <v>159</v>
      </c>
      <c r="H1590" s="46" t="s">
        <v>592</v>
      </c>
      <c r="I1590" s="46" t="s">
        <v>169</v>
      </c>
      <c r="J1590" s="46" t="s">
        <v>244</v>
      </c>
      <c r="K1590" s="46" t="s">
        <v>68</v>
      </c>
      <c r="L1590" s="46"/>
      <c r="M1590" s="46"/>
      <c r="N1590" s="46"/>
      <c r="O1590" s="46"/>
      <c r="P1590" s="46"/>
      <c r="Q1590" s="46"/>
      <c r="R1590" s="46"/>
      <c r="S1590" s="46"/>
      <c r="T1590" s="46"/>
      <c r="U1590" s="46"/>
      <c r="V1590" s="46"/>
      <c r="W1590" s="46"/>
      <c r="X1590" s="46"/>
      <c r="Y1590" s="46"/>
      <c r="Z1590" s="46" t="s">
        <v>4236</v>
      </c>
      <c r="AA1590" s="63">
        <f t="shared" si="176"/>
        <v>210.67415730337078</v>
      </c>
      <c r="AB1590" s="62">
        <f>AC1590/(H2dens*HoursInYear/10^6)</f>
        <v>46816.479400749064</v>
      </c>
      <c r="AC1590" s="62">
        <f>30*365/1000/H2ProjectDB4578610[[#This Row],[Column33]]</f>
        <v>36.5</v>
      </c>
      <c r="AD1590" s="62"/>
      <c r="AE1590" s="62">
        <f t="shared" si="174"/>
        <v>46816.479400749064</v>
      </c>
      <c r="AF1590" s="64" t="s">
        <v>4235</v>
      </c>
      <c r="AG1590" s="49">
        <v>0.3</v>
      </c>
    </row>
    <row r="1591" spans="1:33" customFormat="1" ht="35.1" customHeight="1" x14ac:dyDescent="0.3">
      <c r="A1591" s="46">
        <v>2136</v>
      </c>
      <c r="B1591" s="46" t="s">
        <v>4233</v>
      </c>
      <c r="C1591" s="46" t="s">
        <v>43</v>
      </c>
      <c r="D1591" s="60">
        <v>2033</v>
      </c>
      <c r="E1591" s="60"/>
      <c r="F1591" s="46" t="s">
        <v>591</v>
      </c>
      <c r="G1591" s="46" t="s">
        <v>159</v>
      </c>
      <c r="H1591" s="46" t="s">
        <v>592</v>
      </c>
      <c r="I1591" s="46" t="s">
        <v>169</v>
      </c>
      <c r="J1591" s="46" t="s">
        <v>244</v>
      </c>
      <c r="K1591" s="46" t="s">
        <v>68</v>
      </c>
      <c r="L1591" s="46"/>
      <c r="M1591" s="46"/>
      <c r="N1591" s="46"/>
      <c r="O1591" s="46"/>
      <c r="P1591" s="46"/>
      <c r="Q1591" s="46"/>
      <c r="R1591" s="46"/>
      <c r="S1591" s="46"/>
      <c r="T1591" s="46"/>
      <c r="U1591" s="46"/>
      <c r="V1591" s="46"/>
      <c r="W1591" s="46"/>
      <c r="X1591" s="46"/>
      <c r="Y1591" s="46"/>
      <c r="Z1591" s="46" t="s">
        <v>4237</v>
      </c>
      <c r="AA1591" s="63">
        <f t="shared" si="176"/>
        <v>210.67415730337078</v>
      </c>
      <c r="AB1591" s="62">
        <f>AC1591/(H2dens*HoursInYear/10^6)</f>
        <v>46816.479400749064</v>
      </c>
      <c r="AC1591" s="62">
        <f>30*365/1000/H2ProjectDB4578610[[#This Row],[Column33]]</f>
        <v>36.5</v>
      </c>
      <c r="AD1591" s="62"/>
      <c r="AE1591" s="62">
        <f t="shared" si="174"/>
        <v>46816.479400749064</v>
      </c>
      <c r="AF1591" s="64" t="s">
        <v>4235</v>
      </c>
      <c r="AG1591" s="49">
        <v>0.3</v>
      </c>
    </row>
    <row r="1592" spans="1:33" customFormat="1" ht="35.1" customHeight="1" x14ac:dyDescent="0.3">
      <c r="A1592" s="46">
        <v>2137</v>
      </c>
      <c r="B1592" s="46" t="s">
        <v>4238</v>
      </c>
      <c r="C1592" s="46" t="s">
        <v>47</v>
      </c>
      <c r="D1592" s="60">
        <v>2028</v>
      </c>
      <c r="E1592" s="60"/>
      <c r="F1592" s="46" t="s">
        <v>591</v>
      </c>
      <c r="G1592" s="46" t="s">
        <v>159</v>
      </c>
      <c r="H1592" s="46" t="s">
        <v>592</v>
      </c>
      <c r="I1592" s="46" t="s">
        <v>169</v>
      </c>
      <c r="J1592" s="46" t="s">
        <v>244</v>
      </c>
      <c r="K1592" s="46" t="s">
        <v>141</v>
      </c>
      <c r="L1592" s="46"/>
      <c r="M1592" s="46">
        <v>1</v>
      </c>
      <c r="N1592" s="46"/>
      <c r="O1592" s="46"/>
      <c r="P1592" s="46"/>
      <c r="Q1592" s="46"/>
      <c r="R1592" s="46"/>
      <c r="S1592" s="46"/>
      <c r="T1592" s="46"/>
      <c r="U1592" s="46"/>
      <c r="V1592" s="46"/>
      <c r="W1592" s="46"/>
      <c r="X1592" s="46"/>
      <c r="Y1592" s="46"/>
      <c r="Z1592" s="46" t="s">
        <v>4239</v>
      </c>
      <c r="AA1592" s="63">
        <f t="shared" si="176"/>
        <v>692.90452828815069</v>
      </c>
      <c r="AB1592" s="62">
        <f>AC1592/(H2dens*HoursInYear/10^6)</f>
        <v>153978.78406403351</v>
      </c>
      <c r="AC1592" s="62">
        <f>(200*3/17/0.98)/H2ProjectDB4578610[[#This Row],[Column33]]</f>
        <v>120.04801920768308</v>
      </c>
      <c r="AD1592" s="62"/>
      <c r="AE1592" s="62">
        <f t="shared" si="174"/>
        <v>153978.78406403351</v>
      </c>
      <c r="AF1592" s="64" t="s">
        <v>4240</v>
      </c>
      <c r="AG1592" s="49">
        <v>0.3</v>
      </c>
    </row>
    <row r="1593" spans="1:33" customFormat="1" ht="35.1" customHeight="1" x14ac:dyDescent="0.3">
      <c r="A1593" s="46">
        <v>2138</v>
      </c>
      <c r="B1593" s="46" t="s">
        <v>4241</v>
      </c>
      <c r="C1593" s="46" t="s">
        <v>39</v>
      </c>
      <c r="D1593" s="60">
        <v>2027</v>
      </c>
      <c r="E1593" s="60"/>
      <c r="F1593" s="46" t="s">
        <v>591</v>
      </c>
      <c r="G1593" s="46" t="s">
        <v>159</v>
      </c>
      <c r="H1593" s="46" t="s">
        <v>592</v>
      </c>
      <c r="I1593" s="46" t="s">
        <v>169</v>
      </c>
      <c r="J1593" s="46" t="s">
        <v>248</v>
      </c>
      <c r="K1593" s="46" t="s">
        <v>68</v>
      </c>
      <c r="L1593" s="46"/>
      <c r="M1593" s="46"/>
      <c r="N1593" s="46"/>
      <c r="O1593" s="46"/>
      <c r="P1593" s="46"/>
      <c r="Q1593" s="46"/>
      <c r="R1593" s="46"/>
      <c r="S1593" s="46"/>
      <c r="T1593" s="46"/>
      <c r="U1593" s="46"/>
      <c r="V1593" s="46"/>
      <c r="W1593" s="46"/>
      <c r="X1593" s="46"/>
      <c r="Y1593" s="46"/>
      <c r="Z1593" s="46"/>
      <c r="AA1593" s="61">
        <f t="shared" si="176"/>
        <v>0</v>
      </c>
      <c r="AB1593" s="62"/>
      <c r="AC1593" s="62"/>
      <c r="AD1593" s="62"/>
      <c r="AE1593" s="62">
        <f t="shared" si="174"/>
        <v>0</v>
      </c>
      <c r="AF1593" s="64" t="s">
        <v>4242</v>
      </c>
      <c r="AG1593" s="49">
        <v>0.5</v>
      </c>
    </row>
    <row r="1594" spans="1:33" customFormat="1" ht="35.1" customHeight="1" x14ac:dyDescent="0.3">
      <c r="A1594" s="46">
        <v>2139</v>
      </c>
      <c r="B1594" s="46" t="s">
        <v>4241</v>
      </c>
      <c r="C1594" s="46" t="s">
        <v>39</v>
      </c>
      <c r="D1594" s="60"/>
      <c r="E1594" s="60"/>
      <c r="F1594" s="46" t="s">
        <v>591</v>
      </c>
      <c r="G1594" s="46" t="s">
        <v>159</v>
      </c>
      <c r="H1594" s="46" t="s">
        <v>592</v>
      </c>
      <c r="I1594" s="46" t="s">
        <v>169</v>
      </c>
      <c r="J1594" s="46" t="s">
        <v>248</v>
      </c>
      <c r="K1594" s="46" t="s">
        <v>68</v>
      </c>
      <c r="L1594" s="46"/>
      <c r="M1594" s="46"/>
      <c r="N1594" s="46"/>
      <c r="O1594" s="46"/>
      <c r="P1594" s="46"/>
      <c r="Q1594" s="46"/>
      <c r="R1594" s="46"/>
      <c r="S1594" s="46"/>
      <c r="T1594" s="46"/>
      <c r="U1594" s="46"/>
      <c r="V1594" s="46"/>
      <c r="W1594" s="46"/>
      <c r="X1594" s="46"/>
      <c r="Y1594" s="46"/>
      <c r="Z1594" s="46"/>
      <c r="AA1594" s="61">
        <f t="shared" si="176"/>
        <v>0</v>
      </c>
      <c r="AB1594" s="62"/>
      <c r="AC1594" s="62"/>
      <c r="AD1594" s="62"/>
      <c r="AE1594" s="62">
        <f t="shared" si="174"/>
        <v>0</v>
      </c>
      <c r="AF1594" s="64" t="s">
        <v>4242</v>
      </c>
      <c r="AG1594" s="49">
        <v>0.5</v>
      </c>
    </row>
    <row r="1595" spans="1:33" customFormat="1" ht="35.1" customHeight="1" x14ac:dyDescent="0.3">
      <c r="A1595" s="46">
        <v>2140</v>
      </c>
      <c r="B1595" s="46" t="s">
        <v>4243</v>
      </c>
      <c r="C1595" s="46" t="s">
        <v>519</v>
      </c>
      <c r="D1595" s="60"/>
      <c r="E1595" s="60"/>
      <c r="F1595" s="46" t="s">
        <v>591</v>
      </c>
      <c r="G1595" s="46" t="s">
        <v>159</v>
      </c>
      <c r="H1595" s="46" t="s">
        <v>592</v>
      </c>
      <c r="I1595" s="46" t="s">
        <v>169</v>
      </c>
      <c r="J1595" s="46" t="s">
        <v>248</v>
      </c>
      <c r="K1595" s="46" t="s">
        <v>68</v>
      </c>
      <c r="L1595" s="46"/>
      <c r="M1595" s="46"/>
      <c r="N1595" s="46"/>
      <c r="O1595" s="46"/>
      <c r="P1595" s="46"/>
      <c r="Q1595" s="46"/>
      <c r="R1595" s="46">
        <v>1</v>
      </c>
      <c r="S1595" s="46"/>
      <c r="T1595" s="46"/>
      <c r="U1595" s="46"/>
      <c r="V1595" s="46"/>
      <c r="W1595" s="46"/>
      <c r="X1595" s="46"/>
      <c r="Y1595" s="46"/>
      <c r="Z1595" s="46"/>
      <c r="AA1595" s="61">
        <f t="shared" si="176"/>
        <v>0</v>
      </c>
      <c r="AB1595" s="62"/>
      <c r="AC1595" s="62"/>
      <c r="AD1595" s="62"/>
      <c r="AE1595" s="62">
        <f t="shared" si="174"/>
        <v>0</v>
      </c>
      <c r="AF1595" s="64" t="s">
        <v>4244</v>
      </c>
      <c r="AG1595" s="49">
        <v>0.5</v>
      </c>
    </row>
    <row r="1596" spans="1:33" customFormat="1" ht="35.1" customHeight="1" x14ac:dyDescent="0.3">
      <c r="A1596" s="46">
        <v>2141</v>
      </c>
      <c r="B1596" s="46" t="s">
        <v>4245</v>
      </c>
      <c r="C1596" s="46" t="s">
        <v>104</v>
      </c>
      <c r="D1596" s="60"/>
      <c r="E1596" s="60"/>
      <c r="F1596" s="46" t="s">
        <v>591</v>
      </c>
      <c r="G1596" s="46" t="s">
        <v>159</v>
      </c>
      <c r="H1596" s="46" t="s">
        <v>592</v>
      </c>
      <c r="I1596" s="46" t="s">
        <v>169</v>
      </c>
      <c r="J1596" s="46" t="s">
        <v>69</v>
      </c>
      <c r="K1596" s="46" t="s">
        <v>141</v>
      </c>
      <c r="L1596" s="46"/>
      <c r="M1596" s="46">
        <v>1</v>
      </c>
      <c r="N1596" s="46"/>
      <c r="O1596" s="46"/>
      <c r="P1596" s="46"/>
      <c r="Q1596" s="46"/>
      <c r="R1596" s="46"/>
      <c r="S1596" s="46"/>
      <c r="T1596" s="46"/>
      <c r="U1596" s="46"/>
      <c r="V1596" s="46"/>
      <c r="W1596" s="46"/>
      <c r="X1596" s="46"/>
      <c r="Y1596" s="46"/>
      <c r="Z1596" s="46" t="s">
        <v>4246</v>
      </c>
      <c r="AA1596" s="63">
        <f t="shared" si="176"/>
        <v>2494.4563018373424</v>
      </c>
      <c r="AB1596" s="62">
        <f>AC1596/(H2dens*HoursInYear/10^6)</f>
        <v>554323.62263052061</v>
      </c>
      <c r="AC1596" s="62">
        <f>(1200*3/17/0.98)/H2ProjectDB4578610[[#This Row],[Column33]]</f>
        <v>432.17286914765907</v>
      </c>
      <c r="AD1596" s="62"/>
      <c r="AE1596" s="62">
        <f t="shared" si="174"/>
        <v>554323.62263052061</v>
      </c>
      <c r="AF1596" s="64" t="s">
        <v>4247</v>
      </c>
      <c r="AG1596" s="49">
        <v>0.5</v>
      </c>
    </row>
    <row r="1597" spans="1:33" customFormat="1" ht="35.1" customHeight="1" x14ac:dyDescent="0.3">
      <c r="A1597" s="46">
        <v>2142</v>
      </c>
      <c r="B1597" s="46" t="s">
        <v>4248</v>
      </c>
      <c r="C1597" s="46" t="s">
        <v>100</v>
      </c>
      <c r="D1597" s="60">
        <v>2025</v>
      </c>
      <c r="E1597" s="60"/>
      <c r="F1597" s="46" t="s">
        <v>225</v>
      </c>
      <c r="G1597" s="46" t="s">
        <v>159</v>
      </c>
      <c r="H1597" s="46" t="s">
        <v>592</v>
      </c>
      <c r="I1597" s="46" t="s">
        <v>169</v>
      </c>
      <c r="J1597" s="46" t="s">
        <v>244</v>
      </c>
      <c r="K1597" s="46" t="s">
        <v>68</v>
      </c>
      <c r="L1597" s="46"/>
      <c r="M1597" s="46"/>
      <c r="N1597" s="46"/>
      <c r="O1597" s="46"/>
      <c r="P1597" s="46"/>
      <c r="Q1597" s="46"/>
      <c r="R1597" s="46"/>
      <c r="S1597" s="46"/>
      <c r="T1597" s="46"/>
      <c r="U1597" s="46"/>
      <c r="V1597" s="46"/>
      <c r="W1597" s="46"/>
      <c r="X1597" s="46"/>
      <c r="Y1597" s="46"/>
      <c r="Z1597" s="46" t="s">
        <v>1168</v>
      </c>
      <c r="AA1597" s="61">
        <v>10</v>
      </c>
      <c r="AB1597" s="62">
        <f>IF(OR(G1597="ALK",G1597="PEM",G1597="SOEC",G1597="Other Electrolysis"),
AA1597/VLOOKUP(G1597,ElectrolysisConvF,3,FALSE),
AC1597*10^6/(H2dens*HoursInYear))</f>
        <v>2222.2222222222222</v>
      </c>
      <c r="AC1597" s="63">
        <f>AB1597*H2dens*HoursInYear/10^6</f>
        <v>1.7325333333333333</v>
      </c>
      <c r="AD1597" s="62"/>
      <c r="AE1597" s="62">
        <f t="shared" si="174"/>
        <v>2222.2222222222222</v>
      </c>
      <c r="AF1597" s="64" t="s">
        <v>4249</v>
      </c>
      <c r="AG1597" s="49">
        <v>0.3</v>
      </c>
    </row>
    <row r="1598" spans="1:33" customFormat="1" ht="35.1" customHeight="1" x14ac:dyDescent="0.3">
      <c r="A1598" s="46">
        <v>2143</v>
      </c>
      <c r="B1598" s="46" t="s">
        <v>4250</v>
      </c>
      <c r="C1598" s="46" t="s">
        <v>66</v>
      </c>
      <c r="D1598" s="60"/>
      <c r="E1598" s="60"/>
      <c r="F1598" s="46" t="s">
        <v>591</v>
      </c>
      <c r="G1598" s="46" t="s">
        <v>159</v>
      </c>
      <c r="H1598" s="46" t="s">
        <v>592</v>
      </c>
      <c r="I1598" s="46" t="s">
        <v>169</v>
      </c>
      <c r="J1598" s="46" t="s">
        <v>69</v>
      </c>
      <c r="K1598" s="46" t="s">
        <v>141</v>
      </c>
      <c r="L1598" s="46"/>
      <c r="M1598" s="46">
        <v>1</v>
      </c>
      <c r="N1598" s="46"/>
      <c r="O1598" s="46"/>
      <c r="P1598" s="46"/>
      <c r="Q1598" s="46"/>
      <c r="R1598" s="46"/>
      <c r="S1598" s="46"/>
      <c r="T1598" s="46"/>
      <c r="U1598" s="46"/>
      <c r="V1598" s="46"/>
      <c r="W1598" s="46"/>
      <c r="X1598" s="46"/>
      <c r="Y1598" s="46"/>
      <c r="Z1598" s="46" t="s">
        <v>4251</v>
      </c>
      <c r="AA1598" s="63">
        <f>IF(OR(G1598="ALK",G1598="PEM",G1598="SOEC",G1598="Other Electrolysis"),
AB1598*VLOOKUP(G1598,ElectrolysisConvF,3,FALSE),
"")</f>
        <v>2494.4563018373424</v>
      </c>
      <c r="AB1598" s="62">
        <f>AC1598/(H2dens*HoursInYear/10^6)</f>
        <v>554323.62263052061</v>
      </c>
      <c r="AC1598" s="62">
        <f>(1200*3/17/0.98)/H2ProjectDB4578610[[#This Row],[Column33]]</f>
        <v>432.17286914765907</v>
      </c>
      <c r="AD1598" s="62"/>
      <c r="AE1598" s="62">
        <f t="shared" si="174"/>
        <v>554323.62263052061</v>
      </c>
      <c r="AF1598" s="64" t="s">
        <v>4252</v>
      </c>
      <c r="AG1598" s="49">
        <v>0.5</v>
      </c>
    </row>
    <row r="1599" spans="1:33" customFormat="1" ht="35.1" customHeight="1" x14ac:dyDescent="0.3">
      <c r="A1599" s="46">
        <v>2144</v>
      </c>
      <c r="B1599" s="46" t="s">
        <v>4253</v>
      </c>
      <c r="C1599" s="46" t="s">
        <v>40</v>
      </c>
      <c r="D1599" s="60">
        <v>2025</v>
      </c>
      <c r="E1599" s="60"/>
      <c r="F1599" s="46" t="s">
        <v>225</v>
      </c>
      <c r="G1599" s="46" t="s">
        <v>159</v>
      </c>
      <c r="H1599" s="46" t="s">
        <v>592</v>
      </c>
      <c r="I1599" s="46" t="s">
        <v>169</v>
      </c>
      <c r="J1599" s="46" t="s">
        <v>69</v>
      </c>
      <c r="K1599" s="46" t="s">
        <v>68</v>
      </c>
      <c r="L1599" s="46"/>
      <c r="M1599" s="46"/>
      <c r="N1599" s="46"/>
      <c r="O1599" s="46"/>
      <c r="P1599" s="46"/>
      <c r="Q1599" s="46"/>
      <c r="R1599" s="46"/>
      <c r="S1599" s="46"/>
      <c r="T1599" s="46"/>
      <c r="U1599" s="46"/>
      <c r="V1599" s="46"/>
      <c r="W1599" s="46"/>
      <c r="X1599" s="46"/>
      <c r="Y1599" s="46"/>
      <c r="Z1599" s="46" t="s">
        <v>1260</v>
      </c>
      <c r="AA1599" s="61">
        <v>250</v>
      </c>
      <c r="AB1599" s="62">
        <f t="shared" ref="AB1599:AB1608" si="177">IF(OR(G1599="ALK",G1599="PEM",G1599="SOEC",G1599="Other Electrolysis"),
AA1599/VLOOKUP(G1599,ElectrolysisConvF,3,FALSE),
AC1599*10^6/(H2dens*HoursInYear))</f>
        <v>55555.555555555562</v>
      </c>
      <c r="AC1599" s="63">
        <f t="shared" ref="AC1599:AC1607" si="178">AB1599*H2dens*HoursInYear/10^6</f>
        <v>43.313333333333333</v>
      </c>
      <c r="AD1599" s="62"/>
      <c r="AE1599" s="62">
        <f t="shared" si="174"/>
        <v>55555.555555555562</v>
      </c>
      <c r="AF1599" s="64" t="s">
        <v>4254</v>
      </c>
      <c r="AG1599" s="49">
        <v>0.5</v>
      </c>
    </row>
    <row r="1600" spans="1:33" customFormat="1" ht="35.1" customHeight="1" x14ac:dyDescent="0.3">
      <c r="A1600" s="46">
        <v>2145</v>
      </c>
      <c r="B1600" s="46" t="s">
        <v>4255</v>
      </c>
      <c r="C1600" s="46" t="s">
        <v>40</v>
      </c>
      <c r="D1600" s="60">
        <v>2025</v>
      </c>
      <c r="E1600" s="60"/>
      <c r="F1600" s="46" t="s">
        <v>591</v>
      </c>
      <c r="G1600" s="46" t="s">
        <v>159</v>
      </c>
      <c r="H1600" s="46" t="s">
        <v>592</v>
      </c>
      <c r="I1600" s="46" t="s">
        <v>169</v>
      </c>
      <c r="J1600" s="46" t="s">
        <v>244</v>
      </c>
      <c r="K1600" s="46" t="s">
        <v>68</v>
      </c>
      <c r="L1600" s="46"/>
      <c r="M1600" s="46"/>
      <c r="N1600" s="46"/>
      <c r="O1600" s="46"/>
      <c r="P1600" s="46"/>
      <c r="Q1600" s="46">
        <v>1</v>
      </c>
      <c r="R1600" s="46"/>
      <c r="S1600" s="46"/>
      <c r="T1600" s="46"/>
      <c r="U1600" s="46"/>
      <c r="V1600" s="46"/>
      <c r="W1600" s="46"/>
      <c r="X1600" s="46"/>
      <c r="Y1600" s="46"/>
      <c r="Z1600" s="46" t="s">
        <v>1913</v>
      </c>
      <c r="AA1600" s="61">
        <v>75</v>
      </c>
      <c r="AB1600" s="62">
        <f t="shared" si="177"/>
        <v>16666.666666666668</v>
      </c>
      <c r="AC1600" s="63">
        <f t="shared" si="178"/>
        <v>12.994</v>
      </c>
      <c r="AD1600" s="62"/>
      <c r="AE1600" s="62">
        <f t="shared" si="174"/>
        <v>16666.666666666668</v>
      </c>
      <c r="AF1600" s="64" t="s">
        <v>4256</v>
      </c>
      <c r="AG1600" s="49">
        <v>0.3</v>
      </c>
    </row>
    <row r="1601" spans="1:33" customFormat="1" ht="35.1" customHeight="1" x14ac:dyDescent="0.3">
      <c r="A1601" s="46">
        <v>2146</v>
      </c>
      <c r="B1601" s="46" t="s">
        <v>4257</v>
      </c>
      <c r="C1601" s="46" t="s">
        <v>39</v>
      </c>
      <c r="D1601" s="60"/>
      <c r="E1601" s="60"/>
      <c r="F1601" s="46" t="s">
        <v>591</v>
      </c>
      <c r="G1601" s="46" t="s">
        <v>159</v>
      </c>
      <c r="H1601" s="46" t="s">
        <v>592</v>
      </c>
      <c r="I1601" s="46" t="s">
        <v>169</v>
      </c>
      <c r="J1601" s="46" t="s">
        <v>69</v>
      </c>
      <c r="K1601" s="46" t="s">
        <v>68</v>
      </c>
      <c r="L1601" s="46"/>
      <c r="M1601" s="46"/>
      <c r="N1601" s="46"/>
      <c r="O1601" s="46"/>
      <c r="P1601" s="46"/>
      <c r="Q1601" s="46"/>
      <c r="R1601" s="46"/>
      <c r="S1601" s="46"/>
      <c r="T1601" s="46"/>
      <c r="U1601" s="46"/>
      <c r="V1601" s="46"/>
      <c r="W1601" s="46"/>
      <c r="X1601" s="46"/>
      <c r="Y1601" s="46"/>
      <c r="Z1601" s="46" t="s">
        <v>1347</v>
      </c>
      <c r="AA1601" s="61">
        <v>150</v>
      </c>
      <c r="AB1601" s="62">
        <f t="shared" si="177"/>
        <v>33333.333333333336</v>
      </c>
      <c r="AC1601" s="63">
        <f t="shared" si="178"/>
        <v>25.988</v>
      </c>
      <c r="AD1601" s="62"/>
      <c r="AE1601" s="62">
        <f t="shared" si="174"/>
        <v>33333.333333333336</v>
      </c>
      <c r="AF1601" s="64" t="s">
        <v>4258</v>
      </c>
      <c r="AG1601" s="49">
        <v>0.5</v>
      </c>
    </row>
    <row r="1602" spans="1:33" customFormat="1" ht="35.1" customHeight="1" x14ac:dyDescent="0.3">
      <c r="A1602" s="46">
        <v>2147</v>
      </c>
      <c r="B1602" s="46" t="s">
        <v>4259</v>
      </c>
      <c r="C1602" s="46" t="s">
        <v>39</v>
      </c>
      <c r="D1602" s="60"/>
      <c r="E1602" s="60"/>
      <c r="F1602" s="46" t="s">
        <v>591</v>
      </c>
      <c r="G1602" s="46" t="s">
        <v>159</v>
      </c>
      <c r="H1602" s="46" t="s">
        <v>592</v>
      </c>
      <c r="I1602" s="46" t="s">
        <v>169</v>
      </c>
      <c r="J1602" s="46" t="s">
        <v>69</v>
      </c>
      <c r="K1602" s="46" t="s">
        <v>68</v>
      </c>
      <c r="L1602" s="46"/>
      <c r="M1602" s="46"/>
      <c r="N1602" s="46"/>
      <c r="O1602" s="46"/>
      <c r="P1602" s="46"/>
      <c r="Q1602" s="46"/>
      <c r="R1602" s="46"/>
      <c r="S1602" s="46"/>
      <c r="T1602" s="46"/>
      <c r="U1602" s="46"/>
      <c r="V1602" s="46"/>
      <c r="W1602" s="46"/>
      <c r="X1602" s="46"/>
      <c r="Y1602" s="46"/>
      <c r="Z1602" s="46" t="s">
        <v>1654</v>
      </c>
      <c r="AA1602" s="61">
        <v>350</v>
      </c>
      <c r="AB1602" s="62">
        <f t="shared" si="177"/>
        <v>77777.777777777781</v>
      </c>
      <c r="AC1602" s="63">
        <f t="shared" si="178"/>
        <v>60.638666666666673</v>
      </c>
      <c r="AD1602" s="62"/>
      <c r="AE1602" s="62">
        <f t="shared" si="174"/>
        <v>77777.777777777781</v>
      </c>
      <c r="AF1602" s="64" t="s">
        <v>4258</v>
      </c>
      <c r="AG1602" s="49">
        <v>0.5</v>
      </c>
    </row>
    <row r="1603" spans="1:33" customFormat="1" ht="35.1" customHeight="1" x14ac:dyDescent="0.3">
      <c r="A1603" s="46">
        <v>2148</v>
      </c>
      <c r="B1603" s="46" t="s">
        <v>4260</v>
      </c>
      <c r="C1603" s="46" t="s">
        <v>39</v>
      </c>
      <c r="D1603" s="60"/>
      <c r="E1603" s="60"/>
      <c r="F1603" s="46" t="s">
        <v>591</v>
      </c>
      <c r="G1603" s="46" t="s">
        <v>159</v>
      </c>
      <c r="H1603" s="46" t="s">
        <v>592</v>
      </c>
      <c r="I1603" s="46" t="s">
        <v>169</v>
      </c>
      <c r="J1603" s="46" t="s">
        <v>69</v>
      </c>
      <c r="K1603" s="46" t="s">
        <v>68</v>
      </c>
      <c r="L1603" s="46"/>
      <c r="M1603" s="46"/>
      <c r="N1603" s="46"/>
      <c r="O1603" s="46"/>
      <c r="P1603" s="46"/>
      <c r="Q1603" s="46"/>
      <c r="R1603" s="46"/>
      <c r="S1603" s="46"/>
      <c r="T1603" s="46"/>
      <c r="U1603" s="46"/>
      <c r="V1603" s="46"/>
      <c r="W1603" s="46"/>
      <c r="X1603" s="46"/>
      <c r="Y1603" s="46"/>
      <c r="Z1603" s="46" t="s">
        <v>672</v>
      </c>
      <c r="AA1603" s="61">
        <v>500</v>
      </c>
      <c r="AB1603" s="62">
        <f t="shared" si="177"/>
        <v>111111.11111111112</v>
      </c>
      <c r="AC1603" s="63">
        <f t="shared" si="178"/>
        <v>86.626666666666665</v>
      </c>
      <c r="AD1603" s="62"/>
      <c r="AE1603" s="62">
        <f t="shared" si="174"/>
        <v>111111.11111111112</v>
      </c>
      <c r="AF1603" s="64" t="s">
        <v>4258</v>
      </c>
      <c r="AG1603" s="49">
        <v>0.5</v>
      </c>
    </row>
    <row r="1604" spans="1:33" customFormat="1" ht="35.1" customHeight="1" x14ac:dyDescent="0.3">
      <c r="A1604" s="46">
        <v>2149</v>
      </c>
      <c r="B1604" s="46" t="s">
        <v>4261</v>
      </c>
      <c r="C1604" s="46" t="s">
        <v>49</v>
      </c>
      <c r="D1604" s="60">
        <v>2028</v>
      </c>
      <c r="E1604" s="60"/>
      <c r="F1604" s="46" t="s">
        <v>225</v>
      </c>
      <c r="G1604" s="46" t="s">
        <v>159</v>
      </c>
      <c r="H1604" s="46" t="s">
        <v>592</v>
      </c>
      <c r="I1604" s="46" t="s">
        <v>169</v>
      </c>
      <c r="J1604" s="46" t="s">
        <v>248</v>
      </c>
      <c r="K1604" s="46" t="s">
        <v>68</v>
      </c>
      <c r="L1604" s="46"/>
      <c r="M1604" s="46"/>
      <c r="N1604" s="46"/>
      <c r="O1604" s="46"/>
      <c r="P1604" s="46"/>
      <c r="Q1604" s="46"/>
      <c r="R1604" s="46"/>
      <c r="S1604" s="46"/>
      <c r="T1604" s="46"/>
      <c r="U1604" s="46"/>
      <c r="V1604" s="46"/>
      <c r="W1604" s="46"/>
      <c r="X1604" s="46"/>
      <c r="Y1604" s="46"/>
      <c r="Z1604" s="46" t="s">
        <v>1347</v>
      </c>
      <c r="AA1604" s="61">
        <v>150</v>
      </c>
      <c r="AB1604" s="62">
        <f t="shared" si="177"/>
        <v>33333.333333333336</v>
      </c>
      <c r="AC1604" s="63">
        <f t="shared" si="178"/>
        <v>25.988</v>
      </c>
      <c r="AD1604" s="62"/>
      <c r="AE1604" s="62">
        <f t="shared" si="174"/>
        <v>33333.333333333336</v>
      </c>
      <c r="AF1604" s="64" t="s">
        <v>4262</v>
      </c>
      <c r="AG1604" s="49">
        <v>0.5</v>
      </c>
    </row>
    <row r="1605" spans="1:33" customFormat="1" ht="35.1" customHeight="1" x14ac:dyDescent="0.3">
      <c r="A1605" s="46">
        <v>2150</v>
      </c>
      <c r="B1605" s="46" t="s">
        <v>4261</v>
      </c>
      <c r="C1605" s="46" t="s">
        <v>49</v>
      </c>
      <c r="D1605" s="60"/>
      <c r="E1605" s="60"/>
      <c r="F1605" s="46" t="s">
        <v>591</v>
      </c>
      <c r="G1605" s="46" t="s">
        <v>159</v>
      </c>
      <c r="H1605" s="46" t="s">
        <v>592</v>
      </c>
      <c r="I1605" s="46" t="s">
        <v>169</v>
      </c>
      <c r="J1605" s="46" t="s">
        <v>248</v>
      </c>
      <c r="K1605" s="46" t="s">
        <v>68</v>
      </c>
      <c r="L1605" s="46"/>
      <c r="M1605" s="46"/>
      <c r="N1605" s="46"/>
      <c r="O1605" s="46"/>
      <c r="P1605" s="46"/>
      <c r="Q1605" s="46"/>
      <c r="R1605" s="46"/>
      <c r="S1605" s="46"/>
      <c r="T1605" s="46"/>
      <c r="U1605" s="46"/>
      <c r="V1605" s="46"/>
      <c r="W1605" s="46"/>
      <c r="X1605" s="46"/>
      <c r="Y1605" s="46"/>
      <c r="Z1605" s="46" t="s">
        <v>1926</v>
      </c>
      <c r="AA1605" s="61">
        <v>2850</v>
      </c>
      <c r="AB1605" s="62">
        <f t="shared" si="177"/>
        <v>633333.33333333337</v>
      </c>
      <c r="AC1605" s="63">
        <f t="shared" si="178"/>
        <v>493.77199999999999</v>
      </c>
      <c r="AD1605" s="62"/>
      <c r="AE1605" s="62">
        <f t="shared" si="174"/>
        <v>633333.33333333337</v>
      </c>
      <c r="AF1605" s="64" t="s">
        <v>4262</v>
      </c>
      <c r="AG1605" s="49">
        <v>0.5</v>
      </c>
    </row>
    <row r="1606" spans="1:33" customFormat="1" ht="35.1" customHeight="1" x14ac:dyDescent="0.3">
      <c r="A1606" s="46">
        <v>2151</v>
      </c>
      <c r="B1606" s="46" t="s">
        <v>4263</v>
      </c>
      <c r="C1606" s="46" t="s">
        <v>321</v>
      </c>
      <c r="D1606" s="60">
        <v>2026</v>
      </c>
      <c r="E1606" s="60"/>
      <c r="F1606" s="46" t="s">
        <v>225</v>
      </c>
      <c r="G1606" s="46" t="s">
        <v>3</v>
      </c>
      <c r="H1606" s="46"/>
      <c r="I1606" s="46" t="s">
        <v>1317</v>
      </c>
      <c r="J1606" s="46" t="s">
        <v>245</v>
      </c>
      <c r="K1606" s="46" t="s">
        <v>68</v>
      </c>
      <c r="L1606" s="46">
        <v>1</v>
      </c>
      <c r="M1606" s="46"/>
      <c r="N1606" s="46"/>
      <c r="O1606" s="46"/>
      <c r="P1606" s="46"/>
      <c r="Q1606" s="46">
        <v>1</v>
      </c>
      <c r="R1606" s="46"/>
      <c r="S1606" s="46">
        <v>1</v>
      </c>
      <c r="T1606" s="46"/>
      <c r="U1606" s="46"/>
      <c r="V1606" s="46"/>
      <c r="W1606" s="46"/>
      <c r="X1606" s="46"/>
      <c r="Y1606" s="46"/>
      <c r="Z1606" s="46" t="s">
        <v>964</v>
      </c>
      <c r="AA1606" s="61">
        <v>30</v>
      </c>
      <c r="AB1606" s="62">
        <f t="shared" si="177"/>
        <v>6521.739130434783</v>
      </c>
      <c r="AC1606" s="63">
        <f t="shared" si="178"/>
        <v>5.0846086956521734</v>
      </c>
      <c r="AD1606" s="62"/>
      <c r="AE1606" s="62">
        <f t="shared" si="174"/>
        <v>6521.739130434783</v>
      </c>
      <c r="AF1606" s="64" t="s">
        <v>4264</v>
      </c>
      <c r="AG1606" s="49">
        <v>0.7</v>
      </c>
    </row>
    <row r="1607" spans="1:33" customFormat="1" ht="35.1" customHeight="1" x14ac:dyDescent="0.3">
      <c r="A1607" s="46">
        <v>2152</v>
      </c>
      <c r="B1607" s="46" t="s">
        <v>4265</v>
      </c>
      <c r="C1607" s="46" t="s">
        <v>321</v>
      </c>
      <c r="D1607" s="60"/>
      <c r="E1607" s="60"/>
      <c r="F1607" s="46" t="s">
        <v>591</v>
      </c>
      <c r="G1607" s="46" t="s">
        <v>3</v>
      </c>
      <c r="H1607" s="46"/>
      <c r="I1607" s="46" t="s">
        <v>1317</v>
      </c>
      <c r="J1607" s="46" t="s">
        <v>245</v>
      </c>
      <c r="K1607" s="46" t="s">
        <v>68</v>
      </c>
      <c r="L1607" s="46">
        <v>1</v>
      </c>
      <c r="M1607" s="46"/>
      <c r="N1607" s="46"/>
      <c r="O1607" s="46"/>
      <c r="P1607" s="46"/>
      <c r="Q1607" s="46"/>
      <c r="R1607" s="46"/>
      <c r="S1607" s="46"/>
      <c r="T1607" s="46"/>
      <c r="U1607" s="46"/>
      <c r="V1607" s="46"/>
      <c r="W1607" s="46"/>
      <c r="X1607" s="46"/>
      <c r="Y1607" s="46"/>
      <c r="Z1607" s="46" t="s">
        <v>1691</v>
      </c>
      <c r="AA1607" s="61">
        <v>170</v>
      </c>
      <c r="AB1607" s="62">
        <f t="shared" si="177"/>
        <v>36956.521739130432</v>
      </c>
      <c r="AC1607" s="63">
        <f t="shared" si="178"/>
        <v>28.812782608695652</v>
      </c>
      <c r="AD1607" s="62"/>
      <c r="AE1607" s="62">
        <f t="shared" si="174"/>
        <v>36956.521739130432</v>
      </c>
      <c r="AF1607" s="64" t="s">
        <v>4264</v>
      </c>
      <c r="AG1607" s="49">
        <v>0.7</v>
      </c>
    </row>
    <row r="1608" spans="1:33" customFormat="1" ht="35.1" customHeight="1" x14ac:dyDescent="0.3">
      <c r="A1608" s="46">
        <v>2153</v>
      </c>
      <c r="B1608" s="46" t="s">
        <v>4266</v>
      </c>
      <c r="C1608" s="46" t="s">
        <v>37</v>
      </c>
      <c r="D1608" s="60"/>
      <c r="E1608" s="60"/>
      <c r="F1608" s="46" t="s">
        <v>225</v>
      </c>
      <c r="G1608" s="46" t="s">
        <v>159</v>
      </c>
      <c r="H1608" s="46" t="s">
        <v>592</v>
      </c>
      <c r="I1608" s="46" t="s">
        <v>169</v>
      </c>
      <c r="J1608" s="46" t="s">
        <v>69</v>
      </c>
      <c r="K1608" s="46" t="s">
        <v>68</v>
      </c>
      <c r="L1608" s="46"/>
      <c r="M1608" s="46"/>
      <c r="N1608" s="46"/>
      <c r="O1608" s="46"/>
      <c r="P1608" s="46"/>
      <c r="Q1608" s="46">
        <v>1</v>
      </c>
      <c r="R1608" s="46"/>
      <c r="S1608" s="46"/>
      <c r="T1608" s="46"/>
      <c r="U1608" s="46"/>
      <c r="V1608" s="46"/>
      <c r="W1608" s="46"/>
      <c r="X1608" s="46"/>
      <c r="Y1608" s="46"/>
      <c r="Z1608" s="46" t="s">
        <v>1274</v>
      </c>
      <c r="AA1608" s="61">
        <v>50</v>
      </c>
      <c r="AB1608" s="62">
        <f t="shared" si="177"/>
        <v>11111.111111111111</v>
      </c>
      <c r="AC1608" s="63">
        <f>AB1608*H2dens*HoursInYear/10^6</f>
        <v>8.6626666666666665</v>
      </c>
      <c r="AD1608" s="62"/>
      <c r="AE1608" s="62">
        <f t="shared" si="174"/>
        <v>11111.111111111111</v>
      </c>
      <c r="AF1608" s="64" t="s">
        <v>4264</v>
      </c>
      <c r="AG1608" s="49">
        <v>0.5</v>
      </c>
    </row>
    <row r="1609" spans="1:33" customFormat="1" ht="35.1" customHeight="1" x14ac:dyDescent="0.3">
      <c r="A1609" s="46">
        <v>2154</v>
      </c>
      <c r="B1609" s="46" t="s">
        <v>4267</v>
      </c>
      <c r="C1609" s="46" t="s">
        <v>36</v>
      </c>
      <c r="D1609" s="60">
        <v>2026</v>
      </c>
      <c r="E1609" s="60"/>
      <c r="F1609" s="46" t="s">
        <v>591</v>
      </c>
      <c r="G1609" s="46" t="s">
        <v>159</v>
      </c>
      <c r="H1609" s="46" t="s">
        <v>592</v>
      </c>
      <c r="I1609" s="46" t="s">
        <v>169</v>
      </c>
      <c r="J1609" s="46" t="s">
        <v>69</v>
      </c>
      <c r="K1609" s="46" t="s">
        <v>68</v>
      </c>
      <c r="L1609" s="46"/>
      <c r="M1609" s="46"/>
      <c r="N1609" s="46"/>
      <c r="O1609" s="46">
        <v>1</v>
      </c>
      <c r="P1609" s="46"/>
      <c r="Q1609" s="46"/>
      <c r="R1609" s="46"/>
      <c r="S1609" s="46"/>
      <c r="T1609" s="46"/>
      <c r="U1609" s="46"/>
      <c r="V1609" s="46"/>
      <c r="W1609" s="46"/>
      <c r="X1609" s="46"/>
      <c r="Y1609" s="46"/>
      <c r="Z1609" s="46" t="s">
        <v>4268</v>
      </c>
      <c r="AA1609" s="61">
        <f>IF(OR(G1609="ALK",G1609="PEM",G1609="SOEC",G1609="Other Electrolysis"),
AB1609*VLOOKUP(G1609,ElectrolysisConvF,3,FALSE),
"")</f>
        <v>1811.5091580729568</v>
      </c>
      <c r="AB1609" s="62">
        <f>AC1609/(H2dens*HoursInYear/10^6)</f>
        <v>402557.59068287932</v>
      </c>
      <c r="AC1609" s="62">
        <f>2500*0.06277/H2ProjectDB4578610[[#This Row],[Column33]]</f>
        <v>313.85000000000002</v>
      </c>
      <c r="AD1609" s="62"/>
      <c r="AE1609" s="62">
        <f t="shared" si="174"/>
        <v>402557.59068287932</v>
      </c>
      <c r="AF1609" s="64" t="s">
        <v>4269</v>
      </c>
      <c r="AG1609" s="49">
        <v>0.5</v>
      </c>
    </row>
    <row r="1610" spans="1:33" customFormat="1" ht="35.1" customHeight="1" x14ac:dyDescent="0.3">
      <c r="A1610" s="46">
        <v>2155</v>
      </c>
      <c r="B1610" s="46" t="s">
        <v>4270</v>
      </c>
      <c r="C1610" s="46" t="s">
        <v>63</v>
      </c>
      <c r="D1610" s="60">
        <v>2026</v>
      </c>
      <c r="E1610" s="60"/>
      <c r="F1610" s="46" t="s">
        <v>225</v>
      </c>
      <c r="G1610" s="46" t="s">
        <v>159</v>
      </c>
      <c r="H1610" s="46" t="s">
        <v>592</v>
      </c>
      <c r="I1610" s="46" t="s">
        <v>169</v>
      </c>
      <c r="J1610" s="46" t="s">
        <v>248</v>
      </c>
      <c r="K1610" s="46" t="s">
        <v>140</v>
      </c>
      <c r="L1610" s="46"/>
      <c r="M1610" s="46"/>
      <c r="N1610" s="46">
        <v>1</v>
      </c>
      <c r="O1610" s="46"/>
      <c r="P1610" s="46"/>
      <c r="Q1610" s="46"/>
      <c r="R1610" s="46"/>
      <c r="S1610" s="46"/>
      <c r="T1610" s="46"/>
      <c r="U1610" s="46"/>
      <c r="V1610" s="46"/>
      <c r="W1610" s="46"/>
      <c r="X1610" s="46"/>
      <c r="Y1610" s="46"/>
      <c r="Z1610" s="46" t="s">
        <v>4271</v>
      </c>
      <c r="AA1610" s="61">
        <f>IF(OR(G1610="ALK",G1610="PEM",G1610="SOEC",G1610="Other Electrolysis"),
AB1610*VLOOKUP(G1610,ElectrolysisConvF,3,FALSE),
"")</f>
        <v>220.86386024318915</v>
      </c>
      <c r="AB1610" s="62">
        <f>AC1610/(0.089*24*365/10^6)</f>
        <v>49080.857831819812</v>
      </c>
      <c r="AC1610" s="62">
        <f>100*0.191327/H2ProjectDB4578610[[#This Row],[Column33]]</f>
        <v>38.2654</v>
      </c>
      <c r="AD1610" s="62"/>
      <c r="AE1610" s="62">
        <f t="shared" si="174"/>
        <v>49080.857831819812</v>
      </c>
      <c r="AF1610" s="64" t="s">
        <v>4272</v>
      </c>
      <c r="AG1610" s="49">
        <v>0.5</v>
      </c>
    </row>
    <row r="1611" spans="1:33" customFormat="1" ht="35.1" customHeight="1" x14ac:dyDescent="0.3">
      <c r="A1611" s="46">
        <v>2156</v>
      </c>
      <c r="B1611" s="46" t="s">
        <v>4273</v>
      </c>
      <c r="C1611" s="46" t="s">
        <v>43</v>
      </c>
      <c r="D1611" s="60">
        <v>2027</v>
      </c>
      <c r="E1611" s="60"/>
      <c r="F1611" s="46" t="s">
        <v>225</v>
      </c>
      <c r="G1611" s="46" t="s">
        <v>159</v>
      </c>
      <c r="H1611" s="46" t="s">
        <v>592</v>
      </c>
      <c r="I1611" s="46" t="s">
        <v>166</v>
      </c>
      <c r="J1611" s="46"/>
      <c r="K1611" s="46" t="s">
        <v>141</v>
      </c>
      <c r="L1611" s="46"/>
      <c r="M1611" s="46">
        <v>1</v>
      </c>
      <c r="N1611" s="46"/>
      <c r="O1611" s="46"/>
      <c r="P1611" s="46"/>
      <c r="Q1611" s="46"/>
      <c r="R1611" s="46"/>
      <c r="S1611" s="46"/>
      <c r="T1611" s="46"/>
      <c r="U1611" s="46"/>
      <c r="V1611" s="46"/>
      <c r="W1611" s="46"/>
      <c r="X1611" s="46"/>
      <c r="Y1611" s="46"/>
      <c r="Z1611" s="46" t="s">
        <v>4274</v>
      </c>
      <c r="AA1611" s="63">
        <f>IF(OR(G1611="ALK",G1611="PEM",G1611="SOEC",G1611="Other Electrolysis"),
AB1611*VLOOKUP(G1611,ElectrolysisConvF,3,FALSE),
"")</f>
        <v>455.85824229483603</v>
      </c>
      <c r="AB1611" s="62">
        <f>AC1611/(H2dens*HoursInYear/10^6)</f>
        <v>101301.83162107469</v>
      </c>
      <c r="AC1611" s="62">
        <f>(250*3/17/0.98)/H2ProjectDB4578610[[#This Row],[Column33]]</f>
        <v>78.97896000505466</v>
      </c>
      <c r="AD1611" s="62"/>
      <c r="AE1611" s="62">
        <f t="shared" si="174"/>
        <v>101301.83162107469</v>
      </c>
      <c r="AF1611" s="64" t="s">
        <v>4275</v>
      </c>
      <c r="AG1611" s="49">
        <v>0.56999999999999995</v>
      </c>
    </row>
    <row r="1612" spans="1:33" customFormat="1" ht="35.1" customHeight="1" x14ac:dyDescent="0.3">
      <c r="A1612" s="46">
        <v>2157</v>
      </c>
      <c r="B1612" s="46" t="s">
        <v>4276</v>
      </c>
      <c r="C1612" s="46" t="s">
        <v>64</v>
      </c>
      <c r="D1612" s="60">
        <v>2025</v>
      </c>
      <c r="E1612" s="60"/>
      <c r="F1612" s="46" t="s">
        <v>225</v>
      </c>
      <c r="G1612" s="46" t="s">
        <v>159</v>
      </c>
      <c r="H1612" s="46" t="s">
        <v>592</v>
      </c>
      <c r="I1612" s="46" t="s">
        <v>169</v>
      </c>
      <c r="J1612" s="46" t="s">
        <v>245</v>
      </c>
      <c r="K1612" s="46" t="s">
        <v>68</v>
      </c>
      <c r="L1612" s="46">
        <v>1</v>
      </c>
      <c r="M1612" s="46"/>
      <c r="N1612" s="46"/>
      <c r="O1612" s="46"/>
      <c r="P1612" s="46"/>
      <c r="Q1612" s="46"/>
      <c r="R1612" s="46"/>
      <c r="S1612" s="46"/>
      <c r="T1612" s="46"/>
      <c r="U1612" s="46"/>
      <c r="V1612" s="46"/>
      <c r="W1612" s="46"/>
      <c r="X1612" s="46"/>
      <c r="Y1612" s="46"/>
      <c r="Z1612" s="46"/>
      <c r="AA1612" s="61">
        <f>IF(OR(G1612="ALK",G1612="PEM",G1612="SOEC",G1612="Other Electrolysis"),
AB1612*VLOOKUP(G1612,ElectrolysisConvF,3,FALSE),
"")</f>
        <v>0</v>
      </c>
      <c r="AB1612" s="62"/>
      <c r="AC1612" s="62"/>
      <c r="AD1612" s="62"/>
      <c r="AE1612" s="62">
        <f t="shared" si="174"/>
        <v>0</v>
      </c>
      <c r="AF1612" s="64" t="s">
        <v>4277</v>
      </c>
      <c r="AG1612" s="49">
        <v>0.4</v>
      </c>
    </row>
    <row r="1613" spans="1:33" customFormat="1" ht="35.1" customHeight="1" x14ac:dyDescent="0.3">
      <c r="A1613" s="46">
        <v>2158</v>
      </c>
      <c r="B1613" s="46" t="s">
        <v>4278</v>
      </c>
      <c r="C1613" s="46" t="s">
        <v>52</v>
      </c>
      <c r="D1613" s="60">
        <v>2025</v>
      </c>
      <c r="E1613" s="60"/>
      <c r="F1613" s="46" t="s">
        <v>285</v>
      </c>
      <c r="G1613" s="46" t="s">
        <v>1</v>
      </c>
      <c r="H1613" s="46"/>
      <c r="I1613" s="46" t="s">
        <v>169</v>
      </c>
      <c r="J1613" s="46" t="s">
        <v>246</v>
      </c>
      <c r="K1613" s="46" t="s">
        <v>68</v>
      </c>
      <c r="L1613" s="46"/>
      <c r="M1613" s="46"/>
      <c r="N1613" s="46"/>
      <c r="O1613" s="46"/>
      <c r="P1613" s="46"/>
      <c r="Q1613" s="46"/>
      <c r="R1613" s="46"/>
      <c r="S1613" s="46"/>
      <c r="T1613" s="46"/>
      <c r="U1613" s="46"/>
      <c r="V1613" s="46"/>
      <c r="W1613" s="46"/>
      <c r="X1613" s="46"/>
      <c r="Y1613" s="46"/>
      <c r="Z1613" s="46" t="s">
        <v>1168</v>
      </c>
      <c r="AA1613" s="61">
        <v>10</v>
      </c>
      <c r="AB1613" s="62">
        <f>IF(OR(G1613="ALK",G1613="PEM",G1613="SOEC",G1613="Other Electrolysis"),
AA1613/VLOOKUP(G1613,ElectrolysisConvF,3,FALSE),
AC1613*10^6/(H2dens*HoursInYear))</f>
        <v>1923.0769230769231</v>
      </c>
      <c r="AC1613" s="63">
        <f>AB1613*H2dens*HoursInYear/10^6</f>
        <v>1.4993076923076922</v>
      </c>
      <c r="AD1613" s="62"/>
      <c r="AE1613" s="62">
        <f t="shared" si="174"/>
        <v>1923.0769230769231</v>
      </c>
      <c r="AF1613" s="64" t="s">
        <v>4279</v>
      </c>
      <c r="AG1613" s="49">
        <v>0.55000000000000004</v>
      </c>
    </row>
    <row r="1614" spans="1:33" customFormat="1" ht="35.1" customHeight="1" x14ac:dyDescent="0.3">
      <c r="A1614" s="46">
        <v>2159</v>
      </c>
      <c r="B1614" s="46" t="s">
        <v>4280</v>
      </c>
      <c r="C1614" s="46" t="s">
        <v>37</v>
      </c>
      <c r="D1614" s="60">
        <v>2027</v>
      </c>
      <c r="E1614" s="60"/>
      <c r="F1614" s="46" t="s">
        <v>225</v>
      </c>
      <c r="G1614" s="46" t="s">
        <v>161</v>
      </c>
      <c r="H1614" s="46" t="s">
        <v>882</v>
      </c>
      <c r="I1614" s="46"/>
      <c r="J1614" s="46"/>
      <c r="K1614" s="46" t="s">
        <v>68</v>
      </c>
      <c r="L1614" s="46"/>
      <c r="M1614" s="46"/>
      <c r="N1614" s="46"/>
      <c r="O1614" s="46"/>
      <c r="P1614" s="46">
        <v>1</v>
      </c>
      <c r="Q1614" s="46"/>
      <c r="R1614" s="46"/>
      <c r="S1614" s="46"/>
      <c r="T1614" s="46"/>
      <c r="U1614" s="46"/>
      <c r="V1614" s="46"/>
      <c r="W1614" s="46"/>
      <c r="X1614" s="46"/>
      <c r="Y1614" s="46"/>
      <c r="Z1614" s="46"/>
      <c r="AA1614" s="61" t="str">
        <f>IF(OR(G1614="ALK",G1614="PEM",G1614="SOEC",G1614="Other Electrolysis"),
AB1614*VLOOKUP(G1614,ElectrolysisConvF,3,FALSE),
"")</f>
        <v/>
      </c>
      <c r="AB1614" s="62"/>
      <c r="AC1614" s="62"/>
      <c r="AD1614" s="62"/>
      <c r="AE1614" s="62">
        <f t="shared" si="174"/>
        <v>0</v>
      </c>
      <c r="AF1614" s="64" t="s">
        <v>4281</v>
      </c>
      <c r="AG1614" s="49">
        <v>0.9</v>
      </c>
    </row>
    <row r="1615" spans="1:33" customFormat="1" ht="35.1" customHeight="1" x14ac:dyDescent="0.3">
      <c r="A1615" s="46">
        <v>2160</v>
      </c>
      <c r="B1615" s="46" t="s">
        <v>4282</v>
      </c>
      <c r="C1615" s="46" t="s">
        <v>40</v>
      </c>
      <c r="D1615" s="60">
        <v>2028</v>
      </c>
      <c r="E1615" s="60"/>
      <c r="F1615" s="46" t="s">
        <v>225</v>
      </c>
      <c r="G1615" s="46" t="s">
        <v>161</v>
      </c>
      <c r="H1615" s="46" t="s">
        <v>1951</v>
      </c>
      <c r="I1615" s="46"/>
      <c r="J1615" s="46"/>
      <c r="K1615" s="46" t="s">
        <v>141</v>
      </c>
      <c r="L1615" s="46"/>
      <c r="M1615" s="46">
        <v>1</v>
      </c>
      <c r="N1615" s="46"/>
      <c r="O1615" s="46"/>
      <c r="P1615" s="46"/>
      <c r="Q1615" s="46"/>
      <c r="R1615" s="46"/>
      <c r="S1615" s="46"/>
      <c r="T1615" s="46"/>
      <c r="U1615" s="46"/>
      <c r="V1615" s="46"/>
      <c r="W1615" s="46"/>
      <c r="X1615" s="46"/>
      <c r="Y1615" s="46"/>
      <c r="Z1615" s="46" t="s">
        <v>4120</v>
      </c>
      <c r="AA1615" s="61" t="str">
        <f>IF(OR(G1615="ALK",G1615="PEM",G1615="SOEC",G1615="Other Electrolysis"),
AB1615*VLOOKUP(G1615,ElectrolysisConvF,3,FALSE),
"")</f>
        <v/>
      </c>
      <c r="AB1615" s="62">
        <f>AC1615/(H2dens*HoursInYear/10^6)</f>
        <v>300258.62892486533</v>
      </c>
      <c r="AC1615" s="62">
        <f>1300*3/17/0.98</f>
        <v>234.093637454982</v>
      </c>
      <c r="AD1615" s="62"/>
      <c r="AE1615" s="62">
        <f t="shared" si="174"/>
        <v>0</v>
      </c>
      <c r="AF1615" s="64" t="s">
        <v>4283</v>
      </c>
      <c r="AG1615" s="49">
        <v>0.9</v>
      </c>
    </row>
    <row r="1616" spans="1:33" customFormat="1" ht="35.1" customHeight="1" x14ac:dyDescent="0.3">
      <c r="A1616" s="46">
        <v>2161</v>
      </c>
      <c r="B1616" s="46" t="s">
        <v>4284</v>
      </c>
      <c r="C1616" s="46" t="s">
        <v>46</v>
      </c>
      <c r="D1616" s="60">
        <v>2025</v>
      </c>
      <c r="E1616" s="60"/>
      <c r="F1616" s="46" t="s">
        <v>225</v>
      </c>
      <c r="G1616" s="46" t="s">
        <v>159</v>
      </c>
      <c r="H1616" s="46" t="s">
        <v>592</v>
      </c>
      <c r="I1616" s="46" t="s">
        <v>169</v>
      </c>
      <c r="J1616" s="46" t="s">
        <v>245</v>
      </c>
      <c r="K1616" s="46" t="s">
        <v>68</v>
      </c>
      <c r="L1616" s="46"/>
      <c r="M1616" s="46"/>
      <c r="N1616" s="46"/>
      <c r="O1616" s="46"/>
      <c r="P1616" s="46"/>
      <c r="Q1616" s="46"/>
      <c r="R1616" s="46">
        <v>1</v>
      </c>
      <c r="S1616" s="46"/>
      <c r="T1616" s="46"/>
      <c r="U1616" s="46"/>
      <c r="V1616" s="46"/>
      <c r="W1616" s="46"/>
      <c r="X1616" s="46"/>
      <c r="Y1616" s="46"/>
      <c r="Z1616" s="46" t="s">
        <v>2494</v>
      </c>
      <c r="AA1616" s="61">
        <v>35</v>
      </c>
      <c r="AB1616" s="62">
        <f>AA1616/0.0045</f>
        <v>7777.7777777777783</v>
      </c>
      <c r="AC1616" s="63">
        <f>AB1616*H2dens*HoursInYear/10^6</f>
        <v>6.0638666666666667</v>
      </c>
      <c r="AD1616" s="62"/>
      <c r="AE1616" s="62">
        <f t="shared" si="174"/>
        <v>7777.7777777777783</v>
      </c>
      <c r="AF1616" s="64" t="s">
        <v>4285</v>
      </c>
      <c r="AG1616" s="49">
        <v>0.4</v>
      </c>
    </row>
    <row r="1617" spans="1:33" customFormat="1" ht="35.1" customHeight="1" x14ac:dyDescent="0.3">
      <c r="A1617" s="46">
        <v>2163</v>
      </c>
      <c r="B1617" s="46" t="s">
        <v>4286</v>
      </c>
      <c r="C1617" s="46" t="s">
        <v>46</v>
      </c>
      <c r="D1617" s="60">
        <v>2028</v>
      </c>
      <c r="E1617" s="60"/>
      <c r="F1617" s="46" t="s">
        <v>225</v>
      </c>
      <c r="G1617" s="46" t="s">
        <v>159</v>
      </c>
      <c r="H1617" s="46" t="s">
        <v>592</v>
      </c>
      <c r="I1617" s="46" t="s">
        <v>169</v>
      </c>
      <c r="J1617" s="46" t="s">
        <v>245</v>
      </c>
      <c r="K1617" s="46" t="s">
        <v>68</v>
      </c>
      <c r="L1617" s="46"/>
      <c r="M1617" s="46"/>
      <c r="N1617" s="46"/>
      <c r="O1617" s="46"/>
      <c r="P1617" s="46"/>
      <c r="Q1617" s="46"/>
      <c r="R1617" s="46"/>
      <c r="S1617" s="46">
        <v>1</v>
      </c>
      <c r="T1617" s="46"/>
      <c r="U1617" s="46"/>
      <c r="V1617" s="46"/>
      <c r="W1617" s="46"/>
      <c r="X1617" s="46"/>
      <c r="Y1617" s="46"/>
      <c r="Z1617" s="46" t="s">
        <v>1654</v>
      </c>
      <c r="AA1617" s="61">
        <v>500</v>
      </c>
      <c r="AB1617" s="62">
        <f>AA1617/0.0045</f>
        <v>111111.11111111112</v>
      </c>
      <c r="AC1617" s="63">
        <f>AB1617*H2dens*HoursInYear/10^6</f>
        <v>86.626666666666665</v>
      </c>
      <c r="AD1617" s="62"/>
      <c r="AE1617" s="62">
        <f t="shared" si="174"/>
        <v>111111.11111111112</v>
      </c>
      <c r="AF1617" s="64" t="s">
        <v>4287</v>
      </c>
      <c r="AG1617" s="49">
        <v>0.4</v>
      </c>
    </row>
    <row r="1618" spans="1:33" customFormat="1" ht="35.1" customHeight="1" x14ac:dyDescent="0.3">
      <c r="A1618" s="46">
        <v>2164</v>
      </c>
      <c r="B1618" s="46" t="s">
        <v>4288</v>
      </c>
      <c r="C1618" s="46" t="s">
        <v>46</v>
      </c>
      <c r="D1618" s="60">
        <v>2030</v>
      </c>
      <c r="E1618" s="60"/>
      <c r="F1618" s="46" t="s">
        <v>591</v>
      </c>
      <c r="G1618" s="46" t="s">
        <v>159</v>
      </c>
      <c r="H1618" s="46" t="s">
        <v>592</v>
      </c>
      <c r="I1618" s="46" t="s">
        <v>169</v>
      </c>
      <c r="J1618" s="46" t="s">
        <v>245</v>
      </c>
      <c r="K1618" s="46" t="s">
        <v>68</v>
      </c>
      <c r="L1618" s="46"/>
      <c r="M1618" s="46"/>
      <c r="N1618" s="46"/>
      <c r="O1618" s="46"/>
      <c r="P1618" s="46"/>
      <c r="Q1618" s="46"/>
      <c r="R1618" s="46"/>
      <c r="S1618" s="46">
        <v>1</v>
      </c>
      <c r="T1618" s="46"/>
      <c r="U1618" s="46"/>
      <c r="V1618" s="46"/>
      <c r="W1618" s="46"/>
      <c r="X1618" s="46"/>
      <c r="Y1618" s="46"/>
      <c r="Z1618" s="46" t="s">
        <v>1926</v>
      </c>
      <c r="AA1618" s="61">
        <f>3000-500</f>
        <v>2500</v>
      </c>
      <c r="AB1618" s="62">
        <f>AA1618/0.0045</f>
        <v>555555.55555555562</v>
      </c>
      <c r="AC1618" s="63">
        <f>AB1618*H2dens*HoursInYear/10^6</f>
        <v>433.13333333333333</v>
      </c>
      <c r="AD1618" s="62"/>
      <c r="AE1618" s="62">
        <f t="shared" si="174"/>
        <v>555555.55555555562</v>
      </c>
      <c r="AF1618" s="64" t="s">
        <v>4287</v>
      </c>
      <c r="AG1618" s="49">
        <v>0.4</v>
      </c>
    </row>
    <row r="1619" spans="1:33" customFormat="1" ht="35.1" customHeight="1" x14ac:dyDescent="0.3">
      <c r="A1619" s="46">
        <v>2165</v>
      </c>
      <c r="B1619" s="46" t="s">
        <v>4289</v>
      </c>
      <c r="C1619" s="46" t="s">
        <v>39</v>
      </c>
      <c r="D1619" s="60"/>
      <c r="E1619" s="60"/>
      <c r="F1619" s="46" t="s">
        <v>591</v>
      </c>
      <c r="G1619" s="46" t="s">
        <v>159</v>
      </c>
      <c r="H1619" s="46" t="s">
        <v>592</v>
      </c>
      <c r="I1619" s="46" t="s">
        <v>169</v>
      </c>
      <c r="J1619" s="46" t="s">
        <v>244</v>
      </c>
      <c r="K1619" s="46" t="s">
        <v>68</v>
      </c>
      <c r="L1619" s="46"/>
      <c r="M1619" s="46"/>
      <c r="N1619" s="46"/>
      <c r="O1619" s="46"/>
      <c r="P1619" s="46"/>
      <c r="Q1619" s="46">
        <v>1</v>
      </c>
      <c r="R1619" s="46"/>
      <c r="S1619" s="46"/>
      <c r="T1619" s="46"/>
      <c r="U1619" s="46"/>
      <c r="V1619" s="46"/>
      <c r="W1619" s="46"/>
      <c r="X1619" s="46"/>
      <c r="Y1619" s="46"/>
      <c r="Z1619" s="46" t="s">
        <v>4290</v>
      </c>
      <c r="AA1619" s="61">
        <v>560</v>
      </c>
      <c r="AB1619" s="62">
        <f t="shared" ref="AB1619:AB1626" si="179">IF(OR(G1619="ALK",G1619="PEM",G1619="SOEC",G1619="Other Electrolysis"),
AA1619/VLOOKUP(G1619,ElectrolysisConvF,3,FALSE),
AC1619*10^6/(H2dens*HoursInYear))</f>
        <v>124444.44444444445</v>
      </c>
      <c r="AC1619" s="63">
        <f t="shared" ref="AC1619:AC1626" si="180">AB1619*H2dens*HoursInYear/10^6</f>
        <v>97.021866666666668</v>
      </c>
      <c r="AD1619" s="62"/>
      <c r="AE1619" s="62">
        <f t="shared" si="174"/>
        <v>124444.44444444445</v>
      </c>
      <c r="AF1619" s="64" t="s">
        <v>4291</v>
      </c>
      <c r="AG1619" s="49">
        <v>0.3</v>
      </c>
    </row>
    <row r="1620" spans="1:33" customFormat="1" ht="35.1" customHeight="1" x14ac:dyDescent="0.3">
      <c r="A1620" s="46">
        <v>2166</v>
      </c>
      <c r="B1620" s="46" t="s">
        <v>4292</v>
      </c>
      <c r="C1620" s="46" t="s">
        <v>553</v>
      </c>
      <c r="D1620" s="60">
        <v>2028</v>
      </c>
      <c r="E1620" s="60"/>
      <c r="F1620" s="46" t="s">
        <v>591</v>
      </c>
      <c r="G1620" s="46" t="s">
        <v>159</v>
      </c>
      <c r="H1620" s="46" t="s">
        <v>592</v>
      </c>
      <c r="I1620" s="46" t="s">
        <v>169</v>
      </c>
      <c r="J1620" s="46" t="s">
        <v>69</v>
      </c>
      <c r="K1620" s="46" t="s">
        <v>141</v>
      </c>
      <c r="L1620" s="46"/>
      <c r="M1620" s="46">
        <v>1</v>
      </c>
      <c r="N1620" s="46"/>
      <c r="O1620" s="46"/>
      <c r="P1620" s="46"/>
      <c r="Q1620" s="46"/>
      <c r="R1620" s="46"/>
      <c r="S1620" s="46"/>
      <c r="T1620" s="46"/>
      <c r="U1620" s="46"/>
      <c r="V1620" s="46"/>
      <c r="W1620" s="46"/>
      <c r="X1620" s="46"/>
      <c r="Y1620" s="46"/>
      <c r="Z1620" s="46" t="s">
        <v>4293</v>
      </c>
      <c r="AA1620" s="61">
        <v>400</v>
      </c>
      <c r="AB1620" s="62">
        <f t="shared" si="179"/>
        <v>88888.888888888891</v>
      </c>
      <c r="AC1620" s="63">
        <f t="shared" si="180"/>
        <v>69.301333333333332</v>
      </c>
      <c r="AD1620" s="62"/>
      <c r="AE1620" s="62">
        <f t="shared" si="174"/>
        <v>88888.888888888891</v>
      </c>
      <c r="AF1620" s="64" t="s">
        <v>4294</v>
      </c>
      <c r="AG1620" s="49">
        <v>0.5</v>
      </c>
    </row>
    <row r="1621" spans="1:33" customFormat="1" ht="35.1" customHeight="1" x14ac:dyDescent="0.3">
      <c r="A1621" s="46">
        <v>2167</v>
      </c>
      <c r="B1621" s="46" t="s">
        <v>4292</v>
      </c>
      <c r="C1621" s="46" t="s">
        <v>553</v>
      </c>
      <c r="D1621" s="60"/>
      <c r="E1621" s="60"/>
      <c r="F1621" s="46" t="s">
        <v>591</v>
      </c>
      <c r="G1621" s="46" t="s">
        <v>159</v>
      </c>
      <c r="H1621" s="46" t="s">
        <v>592</v>
      </c>
      <c r="I1621" s="46" t="s">
        <v>169</v>
      </c>
      <c r="J1621" s="46" t="s">
        <v>69</v>
      </c>
      <c r="K1621" s="46" t="s">
        <v>141</v>
      </c>
      <c r="L1621" s="46"/>
      <c r="M1621" s="46">
        <v>1</v>
      </c>
      <c r="N1621" s="46"/>
      <c r="O1621" s="46"/>
      <c r="P1621" s="46"/>
      <c r="Q1621" s="46"/>
      <c r="R1621" s="46"/>
      <c r="S1621" s="46"/>
      <c r="T1621" s="46"/>
      <c r="U1621" s="46"/>
      <c r="V1621" s="46"/>
      <c r="W1621" s="46"/>
      <c r="X1621" s="46"/>
      <c r="Y1621" s="46"/>
      <c r="Z1621" s="46" t="s">
        <v>4295</v>
      </c>
      <c r="AA1621" s="61">
        <f>10000-400</f>
        <v>9600</v>
      </c>
      <c r="AB1621" s="62">
        <f t="shared" si="179"/>
        <v>2133333.3333333335</v>
      </c>
      <c r="AC1621" s="63">
        <f t="shared" si="180"/>
        <v>1663.232</v>
      </c>
      <c r="AD1621" s="62"/>
      <c r="AE1621" s="62">
        <f t="shared" si="174"/>
        <v>2133333.3333333335</v>
      </c>
      <c r="AF1621" s="64" t="s">
        <v>4294</v>
      </c>
      <c r="AG1621" s="49">
        <v>0.5</v>
      </c>
    </row>
    <row r="1622" spans="1:33" customFormat="1" ht="35.1" customHeight="1" x14ac:dyDescent="0.3">
      <c r="A1622" s="46">
        <v>2168</v>
      </c>
      <c r="B1622" s="46" t="s">
        <v>4296</v>
      </c>
      <c r="C1622" s="46" t="s">
        <v>90</v>
      </c>
      <c r="D1622" s="60">
        <v>2027</v>
      </c>
      <c r="E1622" s="60"/>
      <c r="F1622" s="46" t="s">
        <v>591</v>
      </c>
      <c r="G1622" s="46" t="s">
        <v>159</v>
      </c>
      <c r="H1622" s="46" t="s">
        <v>592</v>
      </c>
      <c r="I1622" s="46" t="s">
        <v>169</v>
      </c>
      <c r="J1622" s="46" t="s">
        <v>245</v>
      </c>
      <c r="K1622" s="46" t="s">
        <v>141</v>
      </c>
      <c r="L1622" s="46"/>
      <c r="M1622" s="46">
        <v>1</v>
      </c>
      <c r="N1622" s="46"/>
      <c r="O1622" s="46"/>
      <c r="P1622" s="46"/>
      <c r="Q1622" s="46"/>
      <c r="R1622" s="46"/>
      <c r="S1622" s="46"/>
      <c r="T1622" s="46"/>
      <c r="U1622" s="46"/>
      <c r="V1622" s="46"/>
      <c r="W1622" s="46"/>
      <c r="X1622" s="46"/>
      <c r="Y1622" s="46"/>
      <c r="Z1622" s="46" t="s">
        <v>4297</v>
      </c>
      <c r="AA1622" s="61">
        <v>300</v>
      </c>
      <c r="AB1622" s="62">
        <f t="shared" si="179"/>
        <v>66666.666666666672</v>
      </c>
      <c r="AC1622" s="63">
        <f t="shared" si="180"/>
        <v>51.975999999999999</v>
      </c>
      <c r="AD1622" s="62"/>
      <c r="AE1622" s="62">
        <f t="shared" si="174"/>
        <v>66666.666666666672</v>
      </c>
      <c r="AF1622" s="64" t="s">
        <v>4298</v>
      </c>
      <c r="AG1622" s="49">
        <v>0.4</v>
      </c>
    </row>
    <row r="1623" spans="1:33" customFormat="1" ht="35.1" customHeight="1" x14ac:dyDescent="0.3">
      <c r="A1623" s="46">
        <v>2169</v>
      </c>
      <c r="B1623" s="46" t="s">
        <v>4299</v>
      </c>
      <c r="C1623" s="46" t="s">
        <v>35</v>
      </c>
      <c r="D1623" s="60"/>
      <c r="E1623" s="60"/>
      <c r="F1623" s="46" t="s">
        <v>225</v>
      </c>
      <c r="G1623" s="46" t="s">
        <v>159</v>
      </c>
      <c r="H1623" s="46" t="s">
        <v>592</v>
      </c>
      <c r="I1623" s="46" t="s">
        <v>169</v>
      </c>
      <c r="J1623" s="46" t="s">
        <v>69</v>
      </c>
      <c r="K1623" s="46" t="s">
        <v>68</v>
      </c>
      <c r="L1623" s="46"/>
      <c r="M1623" s="46"/>
      <c r="N1623" s="46"/>
      <c r="O1623" s="46"/>
      <c r="P1623" s="46"/>
      <c r="Q1623" s="46"/>
      <c r="R1623" s="46"/>
      <c r="S1623" s="46"/>
      <c r="T1623" s="46"/>
      <c r="U1623" s="46"/>
      <c r="V1623" s="46"/>
      <c r="W1623" s="46"/>
      <c r="X1623" s="46"/>
      <c r="Y1623" s="46"/>
      <c r="Z1623" s="46" t="s">
        <v>981</v>
      </c>
      <c r="AA1623" s="61">
        <v>20</v>
      </c>
      <c r="AB1623" s="62">
        <f t="shared" si="179"/>
        <v>4444.4444444444443</v>
      </c>
      <c r="AC1623" s="63">
        <f t="shared" si="180"/>
        <v>3.4650666666666665</v>
      </c>
      <c r="AD1623" s="62"/>
      <c r="AE1623" s="62">
        <f t="shared" si="174"/>
        <v>4444.4444444444443</v>
      </c>
      <c r="AF1623" s="64" t="s">
        <v>4300</v>
      </c>
      <c r="AG1623" s="49">
        <v>0.5</v>
      </c>
    </row>
    <row r="1624" spans="1:33" customFormat="1" ht="35.1" customHeight="1" x14ac:dyDescent="0.3">
      <c r="A1624" s="46">
        <v>2170</v>
      </c>
      <c r="B1624" s="46" t="s">
        <v>4301</v>
      </c>
      <c r="C1624" s="46" t="s">
        <v>35</v>
      </c>
      <c r="D1624" s="60">
        <v>2027</v>
      </c>
      <c r="E1624" s="60"/>
      <c r="F1624" s="46" t="s">
        <v>591</v>
      </c>
      <c r="G1624" s="46" t="s">
        <v>159</v>
      </c>
      <c r="H1624" s="46" t="s">
        <v>592</v>
      </c>
      <c r="I1624" s="46" t="s">
        <v>169</v>
      </c>
      <c r="J1624" s="46" t="s">
        <v>69</v>
      </c>
      <c r="K1624" s="46" t="s">
        <v>68</v>
      </c>
      <c r="L1624" s="46"/>
      <c r="M1624" s="46"/>
      <c r="N1624" s="46"/>
      <c r="O1624" s="46"/>
      <c r="P1624" s="46"/>
      <c r="Q1624" s="46"/>
      <c r="R1624" s="46"/>
      <c r="S1624" s="46"/>
      <c r="T1624" s="46"/>
      <c r="U1624" s="46"/>
      <c r="V1624" s="46"/>
      <c r="W1624" s="46"/>
      <c r="X1624" s="46"/>
      <c r="Y1624" s="46"/>
      <c r="Z1624" s="46" t="s">
        <v>4302</v>
      </c>
      <c r="AA1624" s="61">
        <f>270-20</f>
        <v>250</v>
      </c>
      <c r="AB1624" s="62">
        <f t="shared" si="179"/>
        <v>55555.555555555562</v>
      </c>
      <c r="AC1624" s="63">
        <f t="shared" si="180"/>
        <v>43.313333333333333</v>
      </c>
      <c r="AD1624" s="62"/>
      <c r="AE1624" s="62">
        <f t="shared" si="174"/>
        <v>55555.555555555562</v>
      </c>
      <c r="AF1624" s="64" t="s">
        <v>4300</v>
      </c>
      <c r="AG1624" s="49">
        <v>0.5</v>
      </c>
    </row>
    <row r="1625" spans="1:33" customFormat="1" ht="35.1" customHeight="1" x14ac:dyDescent="0.3">
      <c r="A1625" s="46">
        <v>2171</v>
      </c>
      <c r="B1625" s="46" t="s">
        <v>4303</v>
      </c>
      <c r="C1625" s="46" t="s">
        <v>203</v>
      </c>
      <c r="D1625" s="60">
        <v>2026</v>
      </c>
      <c r="E1625" s="60"/>
      <c r="F1625" s="46" t="s">
        <v>591</v>
      </c>
      <c r="G1625" s="46" t="s">
        <v>159</v>
      </c>
      <c r="H1625" s="46" t="s">
        <v>592</v>
      </c>
      <c r="I1625" s="46" t="s">
        <v>157</v>
      </c>
      <c r="J1625" s="46" t="s">
        <v>69</v>
      </c>
      <c r="K1625" s="46" t="s">
        <v>68</v>
      </c>
      <c r="L1625" s="46"/>
      <c r="M1625" s="46"/>
      <c r="N1625" s="46"/>
      <c r="O1625" s="46">
        <v>1</v>
      </c>
      <c r="P1625" s="46"/>
      <c r="Q1625" s="46"/>
      <c r="R1625" s="46"/>
      <c r="S1625" s="46"/>
      <c r="T1625" s="46"/>
      <c r="U1625" s="46"/>
      <c r="V1625" s="46"/>
      <c r="W1625" s="46"/>
      <c r="X1625" s="46"/>
      <c r="Y1625" s="46"/>
      <c r="Z1625" s="46" t="s">
        <v>4304</v>
      </c>
      <c r="AA1625" s="61">
        <v>400</v>
      </c>
      <c r="AB1625" s="62">
        <f t="shared" si="179"/>
        <v>88888.888888888891</v>
      </c>
      <c r="AC1625" s="63">
        <f t="shared" si="180"/>
        <v>69.301333333333332</v>
      </c>
      <c r="AD1625" s="62"/>
      <c r="AE1625" s="62">
        <f t="shared" si="174"/>
        <v>88888.888888888891</v>
      </c>
      <c r="AF1625" s="64" t="s">
        <v>4305</v>
      </c>
      <c r="AG1625" s="49">
        <v>0.56999999999999995</v>
      </c>
    </row>
    <row r="1626" spans="1:33" customFormat="1" ht="35.1" customHeight="1" x14ac:dyDescent="0.3">
      <c r="A1626" s="46">
        <v>2172</v>
      </c>
      <c r="B1626" s="46" t="s">
        <v>4306</v>
      </c>
      <c r="C1626" s="46" t="s">
        <v>321</v>
      </c>
      <c r="D1626" s="60">
        <v>2024</v>
      </c>
      <c r="E1626" s="60"/>
      <c r="F1626" s="46" t="s">
        <v>225</v>
      </c>
      <c r="G1626" s="46" t="s">
        <v>159</v>
      </c>
      <c r="H1626" s="46" t="s">
        <v>592</v>
      </c>
      <c r="I1626" s="46" t="s">
        <v>169</v>
      </c>
      <c r="J1626" s="46" t="s">
        <v>248</v>
      </c>
      <c r="K1626" s="46" t="s">
        <v>68</v>
      </c>
      <c r="L1626" s="46"/>
      <c r="M1626" s="46"/>
      <c r="N1626" s="46"/>
      <c r="O1626" s="46"/>
      <c r="P1626" s="46">
        <v>1</v>
      </c>
      <c r="Q1626" s="46"/>
      <c r="R1626" s="46"/>
      <c r="S1626" s="46"/>
      <c r="T1626" s="46"/>
      <c r="U1626" s="46"/>
      <c r="V1626" s="46"/>
      <c r="W1626" s="46"/>
      <c r="X1626" s="46"/>
      <c r="Y1626" s="46"/>
      <c r="Z1626" s="46" t="s">
        <v>1161</v>
      </c>
      <c r="AA1626" s="61">
        <v>25</v>
      </c>
      <c r="AB1626" s="62">
        <f t="shared" si="179"/>
        <v>5555.5555555555557</v>
      </c>
      <c r="AC1626" s="63">
        <f t="shared" si="180"/>
        <v>4.3313333333333333</v>
      </c>
      <c r="AD1626" s="62"/>
      <c r="AE1626" s="62">
        <f t="shared" si="174"/>
        <v>5555.5555555555557</v>
      </c>
      <c r="AF1626" s="64" t="s">
        <v>4307</v>
      </c>
      <c r="AG1626" s="49">
        <v>0.5</v>
      </c>
    </row>
    <row r="1627" spans="1:33" customFormat="1" ht="35.1" customHeight="1" x14ac:dyDescent="0.3">
      <c r="A1627" s="46">
        <v>2173</v>
      </c>
      <c r="B1627" s="46" t="s">
        <v>4308</v>
      </c>
      <c r="C1627" s="46" t="s">
        <v>46</v>
      </c>
      <c r="D1627" s="60">
        <v>2026</v>
      </c>
      <c r="E1627" s="60"/>
      <c r="F1627" s="46" t="s">
        <v>225</v>
      </c>
      <c r="G1627" s="46" t="s">
        <v>159</v>
      </c>
      <c r="H1627" s="46" t="s">
        <v>592</v>
      </c>
      <c r="I1627" s="46" t="s">
        <v>169</v>
      </c>
      <c r="J1627" s="46" t="s">
        <v>248</v>
      </c>
      <c r="K1627" s="46" t="s">
        <v>68</v>
      </c>
      <c r="L1627" s="46"/>
      <c r="M1627" s="46"/>
      <c r="N1627" s="46"/>
      <c r="O1627" s="46"/>
      <c r="P1627" s="46"/>
      <c r="Q1627" s="46"/>
      <c r="R1627" s="46"/>
      <c r="S1627" s="46"/>
      <c r="T1627" s="46"/>
      <c r="U1627" s="46"/>
      <c r="V1627" s="46"/>
      <c r="W1627" s="46"/>
      <c r="X1627" s="46"/>
      <c r="Y1627" s="46"/>
      <c r="Z1627" s="46" t="s">
        <v>1257</v>
      </c>
      <c r="AA1627" s="61">
        <v>100</v>
      </c>
      <c r="AB1627" s="62">
        <f>AA1627/0.0045</f>
        <v>22222.222222222223</v>
      </c>
      <c r="AC1627" s="63">
        <f>AB1627*H2dens*HoursInYear/10^6</f>
        <v>17.325333333333333</v>
      </c>
      <c r="AD1627" s="62"/>
      <c r="AE1627" s="62">
        <f t="shared" si="174"/>
        <v>22222.222222222223</v>
      </c>
      <c r="AF1627" s="64" t="s">
        <v>4309</v>
      </c>
      <c r="AG1627" s="49">
        <v>0.5</v>
      </c>
    </row>
    <row r="1628" spans="1:33" customFormat="1" ht="35.1" customHeight="1" x14ac:dyDescent="0.3">
      <c r="A1628" s="46">
        <v>2174</v>
      </c>
      <c r="B1628" s="46" t="s">
        <v>4310</v>
      </c>
      <c r="C1628" s="46" t="s">
        <v>46</v>
      </c>
      <c r="D1628" s="60"/>
      <c r="E1628" s="60"/>
      <c r="F1628" s="46" t="s">
        <v>225</v>
      </c>
      <c r="G1628" s="46" t="s">
        <v>159</v>
      </c>
      <c r="H1628" s="46" t="s">
        <v>592</v>
      </c>
      <c r="I1628" s="46" t="s">
        <v>169</v>
      </c>
      <c r="J1628" s="46" t="s">
        <v>248</v>
      </c>
      <c r="K1628" s="46" t="s">
        <v>71</v>
      </c>
      <c r="L1628" s="46"/>
      <c r="M1628" s="46"/>
      <c r="N1628" s="46"/>
      <c r="O1628" s="46"/>
      <c r="P1628" s="46"/>
      <c r="Q1628" s="46"/>
      <c r="R1628" s="46"/>
      <c r="S1628" s="46"/>
      <c r="T1628" s="46"/>
      <c r="U1628" s="46"/>
      <c r="V1628" s="46"/>
      <c r="W1628" s="46"/>
      <c r="X1628" s="46"/>
      <c r="Y1628" s="46"/>
      <c r="Z1628" s="46"/>
      <c r="AA1628" s="61">
        <f>IF(OR(G1628="ALK",G1628="PEM",G1628="SOEC",G1628="Other Electrolysis"),
AB1628*VLOOKUP(G1628,ElectrolysisConvF,3,FALSE),
"")</f>
        <v>0</v>
      </c>
      <c r="AB1628" s="62"/>
      <c r="AC1628" s="62"/>
      <c r="AD1628" s="62"/>
      <c r="AE1628" s="62">
        <f t="shared" si="174"/>
        <v>0</v>
      </c>
      <c r="AF1628" s="64" t="s">
        <v>4311</v>
      </c>
      <c r="AG1628" s="49">
        <v>0.5</v>
      </c>
    </row>
    <row r="1629" spans="1:33" customFormat="1" ht="35.1" customHeight="1" x14ac:dyDescent="0.3">
      <c r="A1629" s="46">
        <v>2175</v>
      </c>
      <c r="B1629" s="46" t="s">
        <v>4312</v>
      </c>
      <c r="C1629" s="46" t="s">
        <v>41</v>
      </c>
      <c r="D1629" s="60"/>
      <c r="E1629" s="60"/>
      <c r="F1629" s="46" t="s">
        <v>675</v>
      </c>
      <c r="G1629" s="46" t="s">
        <v>1</v>
      </c>
      <c r="H1629" s="46"/>
      <c r="I1629" s="46" t="s">
        <v>169</v>
      </c>
      <c r="J1629" s="46" t="s">
        <v>248</v>
      </c>
      <c r="K1629" s="46" t="s">
        <v>68</v>
      </c>
      <c r="L1629" s="46"/>
      <c r="M1629" s="46"/>
      <c r="N1629" s="46"/>
      <c r="O1629" s="46"/>
      <c r="P1629" s="46"/>
      <c r="Q1629" s="46"/>
      <c r="R1629" s="46"/>
      <c r="S1629" s="46"/>
      <c r="T1629" s="46"/>
      <c r="U1629" s="46"/>
      <c r="V1629" s="46"/>
      <c r="W1629" s="46"/>
      <c r="X1629" s="46"/>
      <c r="Y1629" s="46"/>
      <c r="Z1629" s="46" t="s">
        <v>2060</v>
      </c>
      <c r="AA1629" s="61">
        <f>IF(OR(G1629="ALK",G1629="PEM",G1629="SOEC",G1629="Other Electrolysis"),
AB1629*VLOOKUP(G1629,ElectrolysisConvF,3,FALSE),
"")</f>
        <v>666.97450105176756</v>
      </c>
      <c r="AB1629" s="62">
        <f>AC1629/(H2dens*HoursInYear/10^6)</f>
        <v>128264.32712533991</v>
      </c>
      <c r="AC1629" s="63">
        <f>50/H2ProjectDB4578610[[#This Row],[Column33]]</f>
        <v>100</v>
      </c>
      <c r="AD1629" s="62"/>
      <c r="AE1629" s="62">
        <f t="shared" si="174"/>
        <v>128264.32712533991</v>
      </c>
      <c r="AF1629" s="64" t="s">
        <v>4313</v>
      </c>
      <c r="AG1629" s="49">
        <v>0.5</v>
      </c>
    </row>
    <row r="1630" spans="1:33" customFormat="1" ht="35.1" customHeight="1" x14ac:dyDescent="0.3">
      <c r="A1630" s="46">
        <v>2176</v>
      </c>
      <c r="B1630" s="46" t="s">
        <v>4314</v>
      </c>
      <c r="C1630" s="46" t="s">
        <v>203</v>
      </c>
      <c r="D1630" s="60">
        <v>2025</v>
      </c>
      <c r="E1630" s="60"/>
      <c r="F1630" s="46" t="s">
        <v>225</v>
      </c>
      <c r="G1630" s="46" t="s">
        <v>159</v>
      </c>
      <c r="H1630" s="46" t="s">
        <v>592</v>
      </c>
      <c r="I1630" s="46" t="s">
        <v>166</v>
      </c>
      <c r="J1630" s="46" t="str">
        <f>IF(I1630&lt;&gt;"Dedicated renewable","N/A",)</f>
        <v>N/A</v>
      </c>
      <c r="K1630" s="46" t="s">
        <v>68</v>
      </c>
      <c r="L1630" s="46"/>
      <c r="M1630" s="46"/>
      <c r="N1630" s="46"/>
      <c r="O1630" s="46"/>
      <c r="P1630" s="46"/>
      <c r="Q1630" s="46"/>
      <c r="R1630" s="46"/>
      <c r="S1630" s="46"/>
      <c r="T1630" s="46"/>
      <c r="U1630" s="46"/>
      <c r="V1630" s="46"/>
      <c r="W1630" s="46"/>
      <c r="X1630" s="46"/>
      <c r="Y1630" s="46"/>
      <c r="Z1630" s="46" t="s">
        <v>1257</v>
      </c>
      <c r="AA1630" s="61">
        <v>100</v>
      </c>
      <c r="AB1630" s="62">
        <f>AA1630/0.0045</f>
        <v>22222.222222222223</v>
      </c>
      <c r="AC1630" s="63">
        <f>AB1630*H2dens*HoursInYear/10^6</f>
        <v>17.325333333333333</v>
      </c>
      <c r="AD1630" s="62"/>
      <c r="AE1630" s="62">
        <f t="shared" si="174"/>
        <v>22222.222222222223</v>
      </c>
      <c r="AF1630" s="64" t="s">
        <v>4315</v>
      </c>
      <c r="AG1630" s="49">
        <v>0.56999999999999995</v>
      </c>
    </row>
    <row r="1631" spans="1:33" customFormat="1" ht="35.1" customHeight="1" x14ac:dyDescent="0.3">
      <c r="A1631" s="46">
        <v>2177</v>
      </c>
      <c r="B1631" s="46" t="s">
        <v>4316</v>
      </c>
      <c r="C1631" s="46" t="s">
        <v>203</v>
      </c>
      <c r="D1631" s="60">
        <v>2030</v>
      </c>
      <c r="E1631" s="60"/>
      <c r="F1631" s="46" t="s">
        <v>591</v>
      </c>
      <c r="G1631" s="46" t="s">
        <v>159</v>
      </c>
      <c r="H1631" s="46" t="s">
        <v>592</v>
      </c>
      <c r="I1631" s="46" t="s">
        <v>166</v>
      </c>
      <c r="J1631" s="46" t="str">
        <f>IF(I1631&lt;&gt;"Dedicated renewable","N/A",)</f>
        <v>N/A</v>
      </c>
      <c r="K1631" s="46" t="s">
        <v>68</v>
      </c>
      <c r="L1631" s="46"/>
      <c r="M1631" s="46"/>
      <c r="N1631" s="46"/>
      <c r="O1631" s="46"/>
      <c r="P1631" s="46">
        <v>1</v>
      </c>
      <c r="Q1631" s="46">
        <v>1</v>
      </c>
      <c r="R1631" s="46"/>
      <c r="S1631" s="46"/>
      <c r="T1631" s="46"/>
      <c r="U1631" s="46"/>
      <c r="V1631" s="46"/>
      <c r="W1631" s="46"/>
      <c r="X1631" s="46"/>
      <c r="Y1631" s="46"/>
      <c r="Z1631" s="46" t="s">
        <v>672</v>
      </c>
      <c r="AA1631" s="61">
        <v>900</v>
      </c>
      <c r="AB1631" s="62">
        <f>AA1631/0.0045</f>
        <v>200000.00000000003</v>
      </c>
      <c r="AC1631" s="63">
        <f>AB1631*H2dens*HoursInYear/10^6</f>
        <v>155.928</v>
      </c>
      <c r="AD1631" s="62"/>
      <c r="AE1631" s="62">
        <f t="shared" si="174"/>
        <v>200000.00000000003</v>
      </c>
      <c r="AF1631" s="64" t="s">
        <v>4315</v>
      </c>
      <c r="AG1631" s="49">
        <v>0.56999999999999995</v>
      </c>
    </row>
    <row r="1632" spans="1:33" customFormat="1" ht="35.1" customHeight="1" x14ac:dyDescent="0.3">
      <c r="A1632" s="46">
        <v>2178</v>
      </c>
      <c r="B1632" s="46" t="s">
        <v>4317</v>
      </c>
      <c r="C1632" s="46" t="s">
        <v>45</v>
      </c>
      <c r="D1632" s="60"/>
      <c r="E1632" s="60"/>
      <c r="F1632" s="46" t="s">
        <v>591</v>
      </c>
      <c r="G1632" s="46" t="s">
        <v>161</v>
      </c>
      <c r="H1632" s="46" t="s">
        <v>1951</v>
      </c>
      <c r="I1632" s="46" t="str">
        <f>IF(AND(G1632&lt;&gt;"ALK",G1632&lt;&gt;"PEM",G1632&lt;&gt;"SOEC",G1632&lt;&gt;"Other electrolysis"),"N/A","")</f>
        <v>N/A</v>
      </c>
      <c r="J1632" s="46" t="str">
        <f>IF(I1632&lt;&gt;"Dedicated renewable","N/A",)</f>
        <v>N/A</v>
      </c>
      <c r="K1632" s="46" t="s">
        <v>68</v>
      </c>
      <c r="L1632" s="46"/>
      <c r="M1632" s="46"/>
      <c r="N1632" s="46"/>
      <c r="O1632" s="46"/>
      <c r="P1632" s="46"/>
      <c r="Q1632" s="46"/>
      <c r="R1632" s="46"/>
      <c r="S1632" s="46"/>
      <c r="T1632" s="46"/>
      <c r="U1632" s="46"/>
      <c r="V1632" s="46"/>
      <c r="W1632" s="46"/>
      <c r="X1632" s="46"/>
      <c r="Y1632" s="46"/>
      <c r="Z1632" s="46" t="s">
        <v>4318</v>
      </c>
      <c r="AA1632" s="61" t="str">
        <f>IF(OR(G1632="ALK",G1632="PEM",G1632="SOEC",G1632="Other Electrolysis"),
AB1632*VLOOKUP(G1632,ElectrolysisConvF,3,FALSE),
"")</f>
        <v/>
      </c>
      <c r="AB1632" s="62">
        <f>AC1632/(H2dens*HoursInYear/10^6)</f>
        <v>10004.617515776512</v>
      </c>
      <c r="AC1632" s="62">
        <v>7.8</v>
      </c>
      <c r="AD1632" s="62">
        <v>0.12</v>
      </c>
      <c r="AE1632" s="62">
        <f t="shared" si="174"/>
        <v>1.5045173132329821E-2</v>
      </c>
      <c r="AF1632" s="64" t="s">
        <v>4319</v>
      </c>
      <c r="AG1632" s="49">
        <v>0.9</v>
      </c>
    </row>
    <row r="1633" spans="1:33" customFormat="1" ht="35.1" customHeight="1" x14ac:dyDescent="0.3">
      <c r="A1633" s="46">
        <v>2179</v>
      </c>
      <c r="B1633" s="46" t="s">
        <v>2706</v>
      </c>
      <c r="C1633" s="46" t="s">
        <v>83</v>
      </c>
      <c r="D1633" s="60"/>
      <c r="E1633" s="60"/>
      <c r="F1633" s="46" t="s">
        <v>591</v>
      </c>
      <c r="G1633" s="46" t="s">
        <v>159</v>
      </c>
      <c r="H1633" s="46" t="s">
        <v>592</v>
      </c>
      <c r="I1633" s="46" t="s">
        <v>169</v>
      </c>
      <c r="J1633" s="46" t="s">
        <v>248</v>
      </c>
      <c r="K1633" s="46" t="s">
        <v>68</v>
      </c>
      <c r="L1633" s="46"/>
      <c r="M1633" s="46"/>
      <c r="N1633" s="46"/>
      <c r="O1633" s="46"/>
      <c r="P1633" s="46"/>
      <c r="Q1633" s="46"/>
      <c r="R1633" s="46"/>
      <c r="S1633" s="46"/>
      <c r="T1633" s="46"/>
      <c r="U1633" s="46"/>
      <c r="V1633" s="46"/>
      <c r="W1633" s="46"/>
      <c r="X1633" s="46"/>
      <c r="Y1633" s="46"/>
      <c r="Z1633" s="46" t="s">
        <v>672</v>
      </c>
      <c r="AA1633" s="61">
        <v>900</v>
      </c>
      <c r="AB1633" s="62">
        <f>IF(OR(G1633="ALK",G1633="PEM",G1633="SOEC",G1633="Other Electrolysis"),
AA1633/VLOOKUP(G1633,ElectrolysisConvF,3,FALSE),
AC1633*10^6/(H2dens*HoursInYear))</f>
        <v>200000.00000000003</v>
      </c>
      <c r="AC1633" s="63">
        <f>AB1633*H2dens*HoursInYear/10^6</f>
        <v>155.928</v>
      </c>
      <c r="AD1633" s="62"/>
      <c r="AE1633" s="62">
        <f t="shared" ref="AE1633:AE1636" si="181">IF(AND(G1633&lt;&gt;"NG w CCUS",G1633&lt;&gt;"Oil w CCUS",G1633&lt;&gt;"Coal w CCUS"),AB1633,AD1633*10^3/(HoursInYear*IF(G1633="NG w CCUS",0.9105,1.9075)))</f>
        <v>200000.00000000003</v>
      </c>
      <c r="AF1633" s="64" t="s">
        <v>2707</v>
      </c>
      <c r="AG1633" s="49">
        <v>0.5</v>
      </c>
    </row>
    <row r="1634" spans="1:33" customFormat="1" ht="35.1" customHeight="1" x14ac:dyDescent="0.3">
      <c r="A1634" s="46">
        <v>2180</v>
      </c>
      <c r="B1634" s="46" t="s">
        <v>4320</v>
      </c>
      <c r="C1634" s="46" t="s">
        <v>37</v>
      </c>
      <c r="D1634" s="60">
        <v>2025</v>
      </c>
      <c r="E1634" s="60"/>
      <c r="F1634" s="46" t="s">
        <v>225</v>
      </c>
      <c r="G1634" s="46" t="s">
        <v>159</v>
      </c>
      <c r="H1634" s="46" t="s">
        <v>592</v>
      </c>
      <c r="I1634" s="46" t="s">
        <v>169</v>
      </c>
      <c r="J1634" s="46" t="s">
        <v>245</v>
      </c>
      <c r="K1634" s="46" t="s">
        <v>68</v>
      </c>
      <c r="L1634" s="46"/>
      <c r="M1634" s="46">
        <v>1</v>
      </c>
      <c r="N1634" s="46"/>
      <c r="O1634" s="46"/>
      <c r="P1634" s="46"/>
      <c r="Q1634" s="46"/>
      <c r="R1634" s="46">
        <v>1</v>
      </c>
      <c r="S1634" s="46">
        <v>1</v>
      </c>
      <c r="T1634" s="46"/>
      <c r="U1634" s="46"/>
      <c r="V1634" s="46"/>
      <c r="W1634" s="46"/>
      <c r="X1634" s="46"/>
      <c r="Y1634" s="46"/>
      <c r="Z1634" s="46" t="s">
        <v>1843</v>
      </c>
      <c r="AA1634" s="61">
        <v>600</v>
      </c>
      <c r="AB1634" s="62">
        <f>IF(OR(G1634="ALK",G1634="PEM",G1634="SOEC",G1634="Other Electrolysis"),
AA1634/VLOOKUP(G1634,ElectrolysisConvF,3,FALSE),
AC1634*10^6/(H2dens*HoursInYear))</f>
        <v>133333.33333333334</v>
      </c>
      <c r="AC1634" s="63">
        <f>AB1634*H2dens*HoursInYear/10^6</f>
        <v>103.952</v>
      </c>
      <c r="AD1634" s="62"/>
      <c r="AE1634" s="62">
        <f t="shared" si="181"/>
        <v>133333.33333333334</v>
      </c>
      <c r="AF1634" s="64" t="s">
        <v>4321</v>
      </c>
      <c r="AG1634" s="49">
        <v>0.4</v>
      </c>
    </row>
    <row r="1635" spans="1:33" customFormat="1" ht="35.1" customHeight="1" x14ac:dyDescent="0.3">
      <c r="A1635" s="46">
        <v>2181</v>
      </c>
      <c r="B1635" s="46" t="s">
        <v>4322</v>
      </c>
      <c r="C1635" s="46" t="s">
        <v>321</v>
      </c>
      <c r="D1635" s="60"/>
      <c r="E1635" s="60"/>
      <c r="F1635" s="46" t="s">
        <v>591</v>
      </c>
      <c r="G1635" s="46" t="s">
        <v>159</v>
      </c>
      <c r="H1635" s="46" t="s">
        <v>592</v>
      </c>
      <c r="I1635" s="46" t="s">
        <v>169</v>
      </c>
      <c r="J1635" s="46" t="s">
        <v>244</v>
      </c>
      <c r="K1635" s="46" t="s">
        <v>68</v>
      </c>
      <c r="L1635" s="46"/>
      <c r="M1635" s="46"/>
      <c r="N1635" s="46"/>
      <c r="O1635" s="46"/>
      <c r="P1635" s="46"/>
      <c r="Q1635" s="46"/>
      <c r="R1635" s="46"/>
      <c r="S1635" s="46"/>
      <c r="T1635" s="46"/>
      <c r="U1635" s="46"/>
      <c r="V1635" s="46"/>
      <c r="W1635" s="46"/>
      <c r="X1635" s="46"/>
      <c r="Y1635" s="46"/>
      <c r="Z1635" s="46" t="s">
        <v>1379</v>
      </c>
      <c r="AA1635" s="61">
        <f>15-5</f>
        <v>10</v>
      </c>
      <c r="AB1635" s="62">
        <f>IF(OR(G1635="ALK",G1635="PEM",G1635="SOEC",G1635="Other Electrolysis"),
AA1635/VLOOKUP(G1635,ElectrolysisConvF,3,FALSE),
AC1635*10^6/(H2dens*HoursInYear))</f>
        <v>2222.2222222222222</v>
      </c>
      <c r="AC1635" s="63">
        <f>AB1635*H2dens*HoursInYear/10^6</f>
        <v>1.7325333333333333</v>
      </c>
      <c r="AD1635" s="62"/>
      <c r="AE1635" s="62">
        <f t="shared" si="181"/>
        <v>2222.2222222222222</v>
      </c>
      <c r="AF1635" s="64" t="s">
        <v>4323</v>
      </c>
      <c r="AG1635" s="49">
        <v>0.3</v>
      </c>
    </row>
    <row r="1636" spans="1:33" customFormat="1" ht="35.1" customHeight="1" x14ac:dyDescent="0.3">
      <c r="A1636" s="46">
        <v>2182</v>
      </c>
      <c r="B1636" s="46" t="s">
        <v>4324</v>
      </c>
      <c r="C1636" s="46" t="s">
        <v>321</v>
      </c>
      <c r="D1636" s="60">
        <v>2025</v>
      </c>
      <c r="E1636" s="60"/>
      <c r="F1636" s="46" t="s">
        <v>591</v>
      </c>
      <c r="G1636" s="46" t="s">
        <v>3</v>
      </c>
      <c r="H1636" s="46"/>
      <c r="I1636" s="46" t="s">
        <v>169</v>
      </c>
      <c r="J1636" s="46" t="s">
        <v>244</v>
      </c>
      <c r="K1636" s="46" t="s">
        <v>68</v>
      </c>
      <c r="L1636" s="46"/>
      <c r="M1636" s="46"/>
      <c r="N1636" s="46"/>
      <c r="O1636" s="46"/>
      <c r="P1636" s="46"/>
      <c r="Q1636" s="46"/>
      <c r="R1636" s="46"/>
      <c r="S1636" s="46"/>
      <c r="T1636" s="46"/>
      <c r="U1636" s="46"/>
      <c r="V1636" s="46"/>
      <c r="W1636" s="46"/>
      <c r="X1636" s="46"/>
      <c r="Y1636" s="46"/>
      <c r="Z1636" s="46" t="s">
        <v>1257</v>
      </c>
      <c r="AA1636" s="61">
        <v>100</v>
      </c>
      <c r="AB1636" s="62">
        <f>IF(OR(G1636="ALK",G1636="PEM",G1636="SOEC",G1636="Other Electrolysis"),
AA1636/VLOOKUP(G1636,ElectrolysisConvF,3,FALSE),
AC1636*10^6/(H2dens*HoursInYear))</f>
        <v>21739.130434782608</v>
      </c>
      <c r="AC1636" s="63">
        <f>AB1636*H2dens*HoursInYear/10^6</f>
        <v>16.94869565217391</v>
      </c>
      <c r="AD1636" s="62"/>
      <c r="AE1636" s="62">
        <f t="shared" si="181"/>
        <v>21739.130434782608</v>
      </c>
      <c r="AF1636" s="64" t="s">
        <v>4323</v>
      </c>
      <c r="AG1636" s="49">
        <v>0.3</v>
      </c>
    </row>
    <row r="1637" spans="1:33" customFormat="1" ht="35.1" customHeight="1" x14ac:dyDescent="0.3">
      <c r="A1637" s="46">
        <v>2184</v>
      </c>
      <c r="B1637" s="46" t="s">
        <v>4325</v>
      </c>
      <c r="C1637" s="46" t="s">
        <v>112</v>
      </c>
      <c r="D1637" s="60"/>
      <c r="E1637" s="60"/>
      <c r="F1637" s="46" t="s">
        <v>225</v>
      </c>
      <c r="G1637" s="46" t="s">
        <v>1</v>
      </c>
      <c r="H1637" s="46"/>
      <c r="I1637" s="46" t="s">
        <v>169</v>
      </c>
      <c r="J1637" s="46" t="s">
        <v>245</v>
      </c>
      <c r="K1637" s="46" t="s">
        <v>68</v>
      </c>
      <c r="L1637" s="46"/>
      <c r="M1637" s="46"/>
      <c r="N1637" s="46"/>
      <c r="O1637" s="46"/>
      <c r="P1637" s="46"/>
      <c r="Q1637" s="46">
        <v>1</v>
      </c>
      <c r="R1637" s="46"/>
      <c r="S1637" s="46"/>
      <c r="T1637" s="46"/>
      <c r="U1637" s="46"/>
      <c r="V1637" s="46"/>
      <c r="W1637" s="46"/>
      <c r="X1637" s="46"/>
      <c r="Y1637" s="46"/>
      <c r="Z1637" s="46" t="s">
        <v>1168</v>
      </c>
      <c r="AA1637" s="61">
        <v>10</v>
      </c>
      <c r="AB1637" s="62">
        <f>IF(OR(G1637="ALK",G1637="PEM",G1637="SOEC",G1637="Other Electrolysis"),
AA1637/VLOOKUP(G1637,ElectrolysisConvF,3,FALSE),
AC1637*10^6/(H2dens*HoursInYear))</f>
        <v>1923.0769230769231</v>
      </c>
      <c r="AC1637" s="63">
        <f>AB1637*H2dens*HoursInYear/10^6</f>
        <v>1.4993076923076922</v>
      </c>
      <c r="AD1637" s="62"/>
      <c r="AE1637" s="62">
        <f>IF(AND(G1637&lt;&gt;"NG w CCUS",G1637&lt;&gt;"Oil w CCUS",G1637&lt;&gt;"Coal w CCUS"),AB1637,AD1637*10^3/(HoursInYear*IF(G1637="NG w CCUS",0.9105,1.9075)))</f>
        <v>1923.0769230769231</v>
      </c>
      <c r="AF1637" s="64" t="s">
        <v>4326</v>
      </c>
      <c r="AG1637" s="49">
        <v>0.4</v>
      </c>
    </row>
    <row r="1638" spans="1:33" customFormat="1" ht="35.1" customHeight="1" x14ac:dyDescent="0.3">
      <c r="A1638" s="46">
        <v>2185</v>
      </c>
      <c r="B1638" s="46" t="s">
        <v>4327</v>
      </c>
      <c r="C1638" s="46" t="s">
        <v>321</v>
      </c>
      <c r="D1638" s="60">
        <v>2026</v>
      </c>
      <c r="E1638" s="60"/>
      <c r="F1638" s="46" t="s">
        <v>225</v>
      </c>
      <c r="G1638" s="46" t="s">
        <v>159</v>
      </c>
      <c r="H1638" s="46" t="s">
        <v>592</v>
      </c>
      <c r="I1638" s="46" t="s">
        <v>169</v>
      </c>
      <c r="J1638" s="46" t="s">
        <v>244</v>
      </c>
      <c r="K1638" s="46" t="s">
        <v>140</v>
      </c>
      <c r="L1638" s="46"/>
      <c r="M1638" s="46"/>
      <c r="N1638" s="46">
        <v>1</v>
      </c>
      <c r="O1638" s="46"/>
      <c r="P1638" s="46"/>
      <c r="Q1638" s="46"/>
      <c r="R1638" s="46"/>
      <c r="S1638" s="46"/>
      <c r="T1638" s="46"/>
      <c r="U1638" s="46"/>
      <c r="V1638" s="46"/>
      <c r="W1638" s="46"/>
      <c r="X1638" s="46"/>
      <c r="Y1638" s="46"/>
      <c r="Z1638" s="46" t="s">
        <v>4328</v>
      </c>
      <c r="AA1638" s="61">
        <f>IF(OR(G1638="ALK",G1638="PEM",G1638="SOEC",G1638="Other Electrolysis"),
AB1638*VLOOKUP(G1638,ElectrolysisConvF,3,FALSE),
"")</f>
        <v>138.52547329536708</v>
      </c>
      <c r="AB1638" s="62">
        <f>AC1638/(H2dens*HoursInYear/10^6)</f>
        <v>30783.438510081578</v>
      </c>
      <c r="AC1638" s="63">
        <f>7.2/H2ProjectDB4578610[[#This Row],[Column33]]</f>
        <v>24</v>
      </c>
      <c r="AD1638" s="62"/>
      <c r="AE1638" s="62">
        <f>IF(AND(G1638&lt;&gt;"NG w CCUS",G1638&lt;&gt;"Oil w CCUS",G1638&lt;&gt;"Coal w CCUS"),AB1638,AD1638*10^3/(HoursInYear*IF(G1638="NG w CCUS",0.9105,1.9075)))</f>
        <v>30783.438510081578</v>
      </c>
      <c r="AF1638" s="64" t="s">
        <v>4329</v>
      </c>
      <c r="AG1638" s="49">
        <v>0.3</v>
      </c>
    </row>
    <row r="1639" spans="1:33" customFormat="1" ht="35.1" customHeight="1" x14ac:dyDescent="0.3">
      <c r="A1639" s="46">
        <v>2187</v>
      </c>
      <c r="B1639" s="46" t="s">
        <v>4330</v>
      </c>
      <c r="C1639" s="46" t="s">
        <v>64</v>
      </c>
      <c r="D1639" s="60">
        <v>2030</v>
      </c>
      <c r="E1639" s="60"/>
      <c r="F1639" s="46" t="s">
        <v>591</v>
      </c>
      <c r="G1639" s="46" t="s">
        <v>159</v>
      </c>
      <c r="H1639" s="46" t="s">
        <v>592</v>
      </c>
      <c r="I1639" s="46" t="s">
        <v>169</v>
      </c>
      <c r="J1639" s="46" t="s">
        <v>245</v>
      </c>
      <c r="K1639" s="46" t="s">
        <v>141</v>
      </c>
      <c r="L1639" s="46"/>
      <c r="M1639" s="46">
        <v>1</v>
      </c>
      <c r="N1639" s="46"/>
      <c r="O1639" s="46"/>
      <c r="P1639" s="46"/>
      <c r="Q1639" s="46"/>
      <c r="R1639" s="46"/>
      <c r="S1639" s="46"/>
      <c r="T1639" s="46"/>
      <c r="U1639" s="46"/>
      <c r="V1639" s="46"/>
      <c r="W1639" s="46"/>
      <c r="X1639" s="46"/>
      <c r="Y1639" s="46"/>
      <c r="Z1639" s="46" t="s">
        <v>4331</v>
      </c>
      <c r="AA1639" s="61">
        <v>840</v>
      </c>
      <c r="AB1639" s="62">
        <f>IF(OR(G1639="ALK",G1639="PEM",G1639="SOEC",G1639="Other Electrolysis"),
AA1639/VLOOKUP(G1639,ElectrolysisConvF,3,FALSE),
AC1639*10^6/(H2dens*HoursInYear))</f>
        <v>186666.66666666669</v>
      </c>
      <c r="AC1639" s="63">
        <f>AB1639*H2dens*HoursInYear/10^6</f>
        <v>145.53280000000004</v>
      </c>
      <c r="AD1639" s="62"/>
      <c r="AE1639" s="62">
        <f t="shared" ref="AE1639:AE1696" si="182">IF(AND(G1639&lt;&gt;"NG w CCUS",G1639&lt;&gt;"Oil w CCUS",G1639&lt;&gt;"Coal w CCUS"),AB1639,AD1639*10^3/(HoursInYear*IF(G1639="NG w CCUS",0.9105,1.9075)))</f>
        <v>186666.66666666669</v>
      </c>
      <c r="AF1639" s="64" t="s">
        <v>4332</v>
      </c>
      <c r="AG1639" s="49">
        <v>0.4</v>
      </c>
    </row>
    <row r="1640" spans="1:33" customFormat="1" ht="35.1" customHeight="1" x14ac:dyDescent="0.3">
      <c r="A1640" s="46">
        <v>2188</v>
      </c>
      <c r="B1640" s="46" t="s">
        <v>4333</v>
      </c>
      <c r="C1640" s="46" t="s">
        <v>203</v>
      </c>
      <c r="D1640" s="60"/>
      <c r="E1640" s="60"/>
      <c r="F1640" s="46" t="s">
        <v>225</v>
      </c>
      <c r="G1640" s="46" t="s">
        <v>159</v>
      </c>
      <c r="H1640" s="46" t="s">
        <v>592</v>
      </c>
      <c r="I1640" s="46" t="s">
        <v>157</v>
      </c>
      <c r="J1640" s="46"/>
      <c r="K1640" s="46" t="s">
        <v>140</v>
      </c>
      <c r="L1640" s="46"/>
      <c r="M1640" s="46"/>
      <c r="N1640" s="46">
        <v>1</v>
      </c>
      <c r="O1640" s="46"/>
      <c r="P1640" s="46"/>
      <c r="Q1640" s="46"/>
      <c r="R1640" s="46"/>
      <c r="S1640" s="46"/>
      <c r="T1640" s="46"/>
      <c r="U1640" s="46"/>
      <c r="V1640" s="46"/>
      <c r="W1640" s="46"/>
      <c r="X1640" s="46"/>
      <c r="Y1640" s="46"/>
      <c r="Z1640" s="46" t="s">
        <v>4334</v>
      </c>
      <c r="AA1640" s="61">
        <f>IF(OR(G1640="ALK",G1640="PEM",G1640="SOEC",G1640="Other Electrolysis"),
AB1640*VLOOKUP(G1640,ElectrolysisConvF,3,FALSE),
"")</f>
        <v>387.4804565669985</v>
      </c>
      <c r="AB1640" s="62">
        <f>AC1640/(0.089*24*365/10^6)</f>
        <v>86106.768125999675</v>
      </c>
      <c r="AC1640" s="62">
        <f>200*0.191327/H2ProjectDB4578610[[#This Row],[Column33]]</f>
        <v>67.132280701754397</v>
      </c>
      <c r="AD1640" s="62"/>
      <c r="AE1640" s="62">
        <f t="shared" si="182"/>
        <v>86106.768125999675</v>
      </c>
      <c r="AF1640" s="64" t="s">
        <v>4335</v>
      </c>
      <c r="AG1640" s="49">
        <v>0.56999999999999995</v>
      </c>
    </row>
    <row r="1641" spans="1:33" customFormat="1" ht="35.1" customHeight="1" x14ac:dyDescent="0.3">
      <c r="A1641" s="46">
        <v>2189</v>
      </c>
      <c r="B1641" s="46" t="s">
        <v>4336</v>
      </c>
      <c r="C1641" s="46" t="s">
        <v>35</v>
      </c>
      <c r="D1641" s="60"/>
      <c r="E1641" s="60"/>
      <c r="F1641" s="46" t="s">
        <v>591</v>
      </c>
      <c r="G1641" s="46" t="s">
        <v>3</v>
      </c>
      <c r="H1641" s="46"/>
      <c r="I1641" s="46" t="s">
        <v>157</v>
      </c>
      <c r="J1641" s="46"/>
      <c r="K1641" s="46" t="s">
        <v>140</v>
      </c>
      <c r="L1641" s="46"/>
      <c r="M1641" s="46"/>
      <c r="N1641" s="46">
        <v>1</v>
      </c>
      <c r="O1641" s="46"/>
      <c r="P1641" s="46"/>
      <c r="Q1641" s="46"/>
      <c r="R1641" s="46"/>
      <c r="S1641" s="46"/>
      <c r="T1641" s="46"/>
      <c r="U1641" s="46"/>
      <c r="V1641" s="46"/>
      <c r="W1641" s="46"/>
      <c r="X1641" s="46"/>
      <c r="Y1641" s="46"/>
      <c r="Z1641" s="46" t="s">
        <v>4337</v>
      </c>
      <c r="AA1641" s="61">
        <f>IF(OR(G1641="ALK",G1641="PEM",G1641="SOEC",G1641="Other Electrolysis"),
AB1641*VLOOKUP(G1641,ElectrolysisConvF,3,FALSE),
"")</f>
        <v>819.81157295269895</v>
      </c>
      <c r="AB1641" s="62">
        <f>AC1641/(0.089*24*365/10^6)</f>
        <v>178219.90716363021</v>
      </c>
      <c r="AC1641" s="62">
        <f>100*0.792/H2ProjectDB4578610[[#This Row],[Column33]]</f>
        <v>138.94736842105266</v>
      </c>
      <c r="AD1641" s="62"/>
      <c r="AE1641" s="62">
        <f t="shared" si="182"/>
        <v>178219.90716363021</v>
      </c>
      <c r="AF1641" s="64" t="s">
        <v>4338</v>
      </c>
      <c r="AG1641" s="49">
        <v>0.56999999999999995</v>
      </c>
    </row>
    <row r="1642" spans="1:33" customFormat="1" ht="35.1" customHeight="1" x14ac:dyDescent="0.3">
      <c r="A1642" s="46">
        <v>2190</v>
      </c>
      <c r="B1642" s="46" t="s">
        <v>4339</v>
      </c>
      <c r="C1642" s="46" t="s">
        <v>75</v>
      </c>
      <c r="D1642" s="60">
        <v>2027</v>
      </c>
      <c r="E1642" s="60"/>
      <c r="F1642" s="46" t="s">
        <v>591</v>
      </c>
      <c r="G1642" s="46" t="s">
        <v>159</v>
      </c>
      <c r="H1642" s="46" t="s">
        <v>592</v>
      </c>
      <c r="I1642" s="46" t="s">
        <v>169</v>
      </c>
      <c r="J1642" s="46" t="s">
        <v>248</v>
      </c>
      <c r="K1642" s="46" t="s">
        <v>140</v>
      </c>
      <c r="L1642" s="46"/>
      <c r="M1642" s="46"/>
      <c r="N1642" s="46">
        <v>1</v>
      </c>
      <c r="O1642" s="46"/>
      <c r="P1642" s="46"/>
      <c r="Q1642" s="46"/>
      <c r="R1642" s="46"/>
      <c r="S1642" s="46"/>
      <c r="T1642" s="46"/>
      <c r="U1642" s="46"/>
      <c r="V1642" s="46"/>
      <c r="W1642" s="46"/>
      <c r="X1642" s="46"/>
      <c r="Y1642" s="46"/>
      <c r="Z1642" s="46" t="s">
        <v>914</v>
      </c>
      <c r="AA1642" s="61">
        <v>120</v>
      </c>
      <c r="AB1642" s="62">
        <f>IF(OR(G1642="ALK",G1642="PEM",G1642="SOEC",G1642="Other Electrolysis"),
AA1642/VLOOKUP(G1642,ElectrolysisConvF,3,FALSE),
AC1642*10^6/(H2dens*HoursInYear))</f>
        <v>26666.666666666668</v>
      </c>
      <c r="AC1642" s="63">
        <f>AB1642*H2dens*HoursInYear/10^6</f>
        <v>20.790400000000002</v>
      </c>
      <c r="AD1642" s="62"/>
      <c r="AE1642" s="62">
        <f t="shared" si="182"/>
        <v>26666.666666666668</v>
      </c>
      <c r="AF1642" s="64" t="s">
        <v>4340</v>
      </c>
      <c r="AG1642" s="49">
        <v>0.5</v>
      </c>
    </row>
    <row r="1643" spans="1:33" customFormat="1" ht="35.1" customHeight="1" x14ac:dyDescent="0.3">
      <c r="A1643" s="46">
        <v>2191</v>
      </c>
      <c r="B1643" s="46" t="s">
        <v>4341</v>
      </c>
      <c r="C1643" s="46" t="s">
        <v>40</v>
      </c>
      <c r="D1643" s="60">
        <v>2025</v>
      </c>
      <c r="E1643" s="60"/>
      <c r="F1643" s="46" t="s">
        <v>225</v>
      </c>
      <c r="G1643" s="46" t="s">
        <v>159</v>
      </c>
      <c r="H1643" s="46" t="s">
        <v>592</v>
      </c>
      <c r="I1643" s="46" t="s">
        <v>169</v>
      </c>
      <c r="J1643" s="46" t="s">
        <v>248</v>
      </c>
      <c r="K1643" s="46" t="s">
        <v>140</v>
      </c>
      <c r="L1643" s="46"/>
      <c r="M1643" s="46"/>
      <c r="N1643" s="46">
        <v>1</v>
      </c>
      <c r="O1643" s="46"/>
      <c r="P1643" s="46"/>
      <c r="Q1643" s="46"/>
      <c r="R1643" s="46"/>
      <c r="S1643" s="46"/>
      <c r="T1643" s="46"/>
      <c r="U1643" s="46"/>
      <c r="V1643" s="46"/>
      <c r="W1643" s="46"/>
      <c r="X1643" s="46"/>
      <c r="Y1643" s="46"/>
      <c r="Z1643" s="46" t="s">
        <v>4342</v>
      </c>
      <c r="AA1643" s="61">
        <v>675</v>
      </c>
      <c r="AB1643" s="62">
        <f>IF(OR(G1643="ALK",G1643="PEM",G1643="SOEC",G1643="Other Electrolysis"),
AA1643/VLOOKUP(G1643,ElectrolysisConvF,3,FALSE),
AC1643*10^6/(H2dens*HoursInYear))</f>
        <v>150000</v>
      </c>
      <c r="AC1643" s="63">
        <f>AB1643*H2dens*HoursInYear/10^6</f>
        <v>116.946</v>
      </c>
      <c r="AD1643" s="62"/>
      <c r="AE1643" s="62">
        <f t="shared" si="182"/>
        <v>150000</v>
      </c>
      <c r="AF1643" s="64" t="s">
        <v>4343</v>
      </c>
      <c r="AG1643" s="49">
        <v>0.5</v>
      </c>
    </row>
    <row r="1644" spans="1:33" customFormat="1" ht="35.1" customHeight="1" x14ac:dyDescent="0.3">
      <c r="A1644" s="46">
        <v>2192</v>
      </c>
      <c r="B1644" s="46" t="s">
        <v>4344</v>
      </c>
      <c r="C1644" s="46" t="s">
        <v>40</v>
      </c>
      <c r="D1644" s="60">
        <v>2025</v>
      </c>
      <c r="E1644" s="60"/>
      <c r="F1644" s="46" t="s">
        <v>225</v>
      </c>
      <c r="G1644" s="46" t="s">
        <v>159</v>
      </c>
      <c r="H1644" s="46" t="s">
        <v>592</v>
      </c>
      <c r="I1644" s="46" t="s">
        <v>169</v>
      </c>
      <c r="J1644" s="46" t="s">
        <v>69</v>
      </c>
      <c r="K1644" s="46" t="s">
        <v>140</v>
      </c>
      <c r="L1644" s="46"/>
      <c r="M1644" s="46"/>
      <c r="N1644" s="46">
        <v>1</v>
      </c>
      <c r="O1644" s="46"/>
      <c r="P1644" s="46"/>
      <c r="Q1644" s="46"/>
      <c r="R1644" s="46"/>
      <c r="S1644" s="46"/>
      <c r="T1644" s="46"/>
      <c r="U1644" s="46"/>
      <c r="V1644" s="46"/>
      <c r="W1644" s="46"/>
      <c r="X1644" s="46"/>
      <c r="Y1644" s="46"/>
      <c r="Z1644" s="46" t="s">
        <v>4345</v>
      </c>
      <c r="AA1644" s="61">
        <f>IF(OR(G1644="ALK",G1644="PEM",G1644="SOEC",G1644="Other Electrolysis"),
AB1644*VLOOKUP(G1644,ElectrolysisConvF,3,FALSE),
"")</f>
        <v>220.86386024318915</v>
      </c>
      <c r="AB1644" s="62">
        <f>AC1644/(0.089*24*365/10^6)</f>
        <v>49080.857831819812</v>
      </c>
      <c r="AC1644" s="62">
        <f>100*0.191327/H2ProjectDB4578610[[#This Row],[Column33]]</f>
        <v>38.2654</v>
      </c>
      <c r="AD1644" s="62"/>
      <c r="AE1644" s="62">
        <f t="shared" si="182"/>
        <v>49080.857831819812</v>
      </c>
      <c r="AF1644" s="64" t="s">
        <v>4346</v>
      </c>
      <c r="AG1644" s="49">
        <v>0.5</v>
      </c>
    </row>
    <row r="1645" spans="1:33" customFormat="1" ht="35.1" customHeight="1" x14ac:dyDescent="0.3">
      <c r="A1645" s="46">
        <v>2193</v>
      </c>
      <c r="B1645" s="46" t="s">
        <v>4347</v>
      </c>
      <c r="C1645" s="46" t="s">
        <v>203</v>
      </c>
      <c r="D1645" s="60"/>
      <c r="E1645" s="60"/>
      <c r="F1645" s="46" t="s">
        <v>591</v>
      </c>
      <c r="G1645" s="46" t="s">
        <v>159</v>
      </c>
      <c r="H1645" s="46" t="s">
        <v>592</v>
      </c>
      <c r="I1645" s="46" t="s">
        <v>169</v>
      </c>
      <c r="J1645" s="46" t="s">
        <v>69</v>
      </c>
      <c r="K1645" s="46" t="s">
        <v>68</v>
      </c>
      <c r="L1645" s="46"/>
      <c r="M1645" s="46"/>
      <c r="N1645" s="46"/>
      <c r="O1645" s="46"/>
      <c r="P1645" s="46"/>
      <c r="Q1645" s="46"/>
      <c r="R1645" s="46"/>
      <c r="S1645" s="46"/>
      <c r="T1645" s="46"/>
      <c r="U1645" s="46"/>
      <c r="V1645" s="46"/>
      <c r="W1645" s="46"/>
      <c r="X1645" s="46"/>
      <c r="Y1645" s="46"/>
      <c r="Z1645" s="46" t="s">
        <v>1691</v>
      </c>
      <c r="AA1645" s="61">
        <v>190</v>
      </c>
      <c r="AB1645" s="62">
        <f>IF(OR(G1645="ALK",G1645="PEM",G1645="SOEC",G1645="Other Electrolysis"),
AA1645/VLOOKUP(G1645,ElectrolysisConvF,3,FALSE),
AC1645*10^6/(H2dens*HoursInYear))</f>
        <v>42222.222222222226</v>
      </c>
      <c r="AC1645" s="63">
        <f>AB1645*H2dens*HoursInYear/10^6</f>
        <v>32.91813333333333</v>
      </c>
      <c r="AD1645" s="62"/>
      <c r="AE1645" s="62">
        <f t="shared" si="182"/>
        <v>42222.222222222226</v>
      </c>
      <c r="AF1645" s="64" t="s">
        <v>3466</v>
      </c>
      <c r="AG1645" s="49">
        <v>0.5</v>
      </c>
    </row>
    <row r="1646" spans="1:33" customFormat="1" ht="35.1" customHeight="1" x14ac:dyDescent="0.3">
      <c r="A1646" s="46">
        <v>2194</v>
      </c>
      <c r="B1646" s="46" t="s">
        <v>4348</v>
      </c>
      <c r="C1646" s="46" t="s">
        <v>49</v>
      </c>
      <c r="D1646" s="60">
        <v>2030</v>
      </c>
      <c r="E1646" s="60"/>
      <c r="F1646" s="46" t="s">
        <v>591</v>
      </c>
      <c r="G1646" s="46" t="s">
        <v>159</v>
      </c>
      <c r="H1646" s="46" t="s">
        <v>592</v>
      </c>
      <c r="I1646" s="46" t="s">
        <v>169</v>
      </c>
      <c r="J1646" s="46" t="s">
        <v>248</v>
      </c>
      <c r="K1646" s="46" t="s">
        <v>68</v>
      </c>
      <c r="L1646" s="46"/>
      <c r="M1646" s="46">
        <v>1</v>
      </c>
      <c r="N1646" s="46">
        <v>1</v>
      </c>
      <c r="O1646" s="46"/>
      <c r="P1646" s="46">
        <v>1</v>
      </c>
      <c r="Q1646" s="46">
        <v>1</v>
      </c>
      <c r="R1646" s="46"/>
      <c r="S1646" s="46"/>
      <c r="T1646" s="46"/>
      <c r="U1646" s="46"/>
      <c r="V1646" s="46"/>
      <c r="W1646" s="46"/>
      <c r="X1646" s="46"/>
      <c r="Y1646" s="46"/>
      <c r="Z1646" s="46" t="s">
        <v>2845</v>
      </c>
      <c r="AA1646" s="61">
        <v>2000</v>
      </c>
      <c r="AB1646" s="62">
        <f>IF(OR(G1646="ALK",G1646="PEM",G1646="SOEC",G1646="Other Electrolysis"),
AA1646/VLOOKUP(G1646,ElectrolysisConvF,3,FALSE),
AC1646*10^6/(H2dens*HoursInYear))</f>
        <v>444444.4444444445</v>
      </c>
      <c r="AC1646" s="63">
        <f>AB1646*H2dens*HoursInYear/10^6</f>
        <v>346.50666666666666</v>
      </c>
      <c r="AD1646" s="62"/>
      <c r="AE1646" s="62">
        <f t="shared" si="182"/>
        <v>444444.4444444445</v>
      </c>
      <c r="AF1646" s="64" t="s">
        <v>4349</v>
      </c>
      <c r="AG1646" s="49">
        <v>0.5</v>
      </c>
    </row>
    <row r="1647" spans="1:33" customFormat="1" ht="35.1" customHeight="1" x14ac:dyDescent="0.3">
      <c r="A1647" s="46">
        <v>2195</v>
      </c>
      <c r="B1647" s="46" t="s">
        <v>4350</v>
      </c>
      <c r="C1647" s="46" t="s">
        <v>40</v>
      </c>
      <c r="D1647" s="60">
        <v>2025</v>
      </c>
      <c r="E1647" s="60"/>
      <c r="F1647" s="46" t="s">
        <v>591</v>
      </c>
      <c r="G1647" s="46" t="s">
        <v>3</v>
      </c>
      <c r="H1647" s="46"/>
      <c r="I1647" s="46" t="s">
        <v>157</v>
      </c>
      <c r="J1647" s="46"/>
      <c r="K1647" s="46" t="s">
        <v>68</v>
      </c>
      <c r="L1647" s="46"/>
      <c r="M1647" s="46"/>
      <c r="N1647" s="46"/>
      <c r="O1647" s="46"/>
      <c r="P1647" s="46">
        <v>1</v>
      </c>
      <c r="Q1647" s="46">
        <v>1</v>
      </c>
      <c r="R1647" s="46"/>
      <c r="S1647" s="46"/>
      <c r="T1647" s="46"/>
      <c r="U1647" s="46"/>
      <c r="V1647" s="46"/>
      <c r="W1647" s="46"/>
      <c r="X1647" s="46"/>
      <c r="Y1647" s="46"/>
      <c r="Z1647" s="46" t="s">
        <v>4351</v>
      </c>
      <c r="AA1647" s="61">
        <v>135</v>
      </c>
      <c r="AB1647" s="62">
        <f>IF(OR(G1647="ALK",G1647="PEM",G1647="SOEC",G1647="Other Electrolysis"),
AA1647/VLOOKUP(G1647,ElectrolysisConvF,3,FALSE),
AC1647*10^6/(H2dens*HoursInYear))</f>
        <v>29347.826086956524</v>
      </c>
      <c r="AC1647" s="63">
        <f>AB1647*H2dens*HoursInYear/10^6</f>
        <v>22.88073913043478</v>
      </c>
      <c r="AD1647" s="62"/>
      <c r="AE1647" s="62">
        <f t="shared" si="182"/>
        <v>29347.826086956524</v>
      </c>
      <c r="AF1647" s="64" t="s">
        <v>4352</v>
      </c>
      <c r="AG1647" s="49">
        <v>0.56999999999999995</v>
      </c>
    </row>
    <row r="1648" spans="1:33" customFormat="1" ht="35.1" customHeight="1" x14ac:dyDescent="0.3">
      <c r="A1648" s="46">
        <v>2196</v>
      </c>
      <c r="B1648" s="46" t="s">
        <v>4353</v>
      </c>
      <c r="C1648" s="46" t="s">
        <v>39</v>
      </c>
      <c r="D1648" s="60"/>
      <c r="E1648" s="60"/>
      <c r="F1648" s="46" t="s">
        <v>225</v>
      </c>
      <c r="G1648" s="46" t="s">
        <v>159</v>
      </c>
      <c r="H1648" s="46" t="s">
        <v>592</v>
      </c>
      <c r="I1648" s="46" t="s">
        <v>169</v>
      </c>
      <c r="J1648" s="46" t="s">
        <v>248</v>
      </c>
      <c r="K1648" s="46" t="s">
        <v>140</v>
      </c>
      <c r="L1648" s="46"/>
      <c r="M1648" s="46"/>
      <c r="N1648" s="46">
        <v>1</v>
      </c>
      <c r="O1648" s="46"/>
      <c r="P1648" s="46"/>
      <c r="Q1648" s="46"/>
      <c r="R1648" s="46"/>
      <c r="S1648" s="46"/>
      <c r="T1648" s="46"/>
      <c r="U1648" s="46"/>
      <c r="V1648" s="46"/>
      <c r="W1648" s="46"/>
      <c r="X1648" s="46"/>
      <c r="Y1648" s="46"/>
      <c r="Z1648" s="46" t="s">
        <v>1168</v>
      </c>
      <c r="AA1648" s="61">
        <v>10</v>
      </c>
      <c r="AB1648" s="62">
        <f>IF(OR(G1648="ALK",G1648="PEM",G1648="SOEC",G1648="Other Electrolysis"),
AA1648/VLOOKUP(G1648,ElectrolysisConvF,3,FALSE),
AC1648*10^6/(H2dens*HoursInYear))</f>
        <v>2222.2222222222222</v>
      </c>
      <c r="AC1648" s="63">
        <f>AB1648*H2dens*HoursInYear/10^6</f>
        <v>1.7325333333333333</v>
      </c>
      <c r="AD1648" s="62"/>
      <c r="AE1648" s="62">
        <f t="shared" si="182"/>
        <v>2222.2222222222222</v>
      </c>
      <c r="AF1648" s="64" t="s">
        <v>4354</v>
      </c>
      <c r="AG1648" s="49">
        <v>0.5</v>
      </c>
    </row>
    <row r="1649" spans="1:33" customFormat="1" ht="35.1" customHeight="1" x14ac:dyDescent="0.3">
      <c r="A1649" s="46">
        <v>2197</v>
      </c>
      <c r="B1649" s="46" t="s">
        <v>4355</v>
      </c>
      <c r="C1649" s="46" t="s">
        <v>39</v>
      </c>
      <c r="D1649" s="60"/>
      <c r="E1649" s="60"/>
      <c r="F1649" s="46" t="s">
        <v>225</v>
      </c>
      <c r="G1649" s="46" t="s">
        <v>159</v>
      </c>
      <c r="H1649" s="46" t="s">
        <v>592</v>
      </c>
      <c r="I1649" s="46" t="s">
        <v>169</v>
      </c>
      <c r="J1649" s="46" t="s">
        <v>69</v>
      </c>
      <c r="K1649" s="46" t="s">
        <v>141</v>
      </c>
      <c r="L1649" s="46"/>
      <c r="M1649" s="46">
        <v>1</v>
      </c>
      <c r="N1649" s="46"/>
      <c r="O1649" s="46"/>
      <c r="P1649" s="46"/>
      <c r="Q1649" s="46"/>
      <c r="R1649" s="46"/>
      <c r="S1649" s="46"/>
      <c r="T1649" s="46"/>
      <c r="U1649" s="46"/>
      <c r="V1649" s="46"/>
      <c r="W1649" s="46"/>
      <c r="X1649" s="46"/>
      <c r="Y1649" s="46"/>
      <c r="Z1649" s="46" t="s">
        <v>672</v>
      </c>
      <c r="AA1649" s="61">
        <v>1000</v>
      </c>
      <c r="AB1649" s="62">
        <f>IF(OR(G1649="ALK",G1649="PEM",G1649="SOEC",G1649="Other Electrolysis"),
AA1649/VLOOKUP(G1649,ElectrolysisConvF,3,FALSE),
AC1649*10^6/(H2dens*HoursInYear))</f>
        <v>222222.22222222225</v>
      </c>
      <c r="AC1649" s="63">
        <f>AB1649*H2dens*HoursInYear/10^6</f>
        <v>173.25333333333333</v>
      </c>
      <c r="AD1649" s="62"/>
      <c r="AE1649" s="62">
        <f t="shared" si="182"/>
        <v>222222.22222222225</v>
      </c>
      <c r="AF1649" s="64" t="s">
        <v>4354</v>
      </c>
      <c r="AG1649" s="49">
        <v>0.5</v>
      </c>
    </row>
    <row r="1650" spans="1:33" customFormat="1" ht="35.1" customHeight="1" x14ac:dyDescent="0.3">
      <c r="A1650" s="46">
        <v>2198</v>
      </c>
      <c r="B1650" s="46" t="s">
        <v>4356</v>
      </c>
      <c r="C1650" s="46" t="s">
        <v>75</v>
      </c>
      <c r="D1650" s="60"/>
      <c r="E1650" s="60"/>
      <c r="F1650" s="46" t="s">
        <v>591</v>
      </c>
      <c r="G1650" s="46" t="s">
        <v>159</v>
      </c>
      <c r="H1650" s="46" t="s">
        <v>592</v>
      </c>
      <c r="I1650" s="46" t="s">
        <v>169</v>
      </c>
      <c r="J1650" s="46" t="s">
        <v>248</v>
      </c>
      <c r="K1650" s="46" t="s">
        <v>141</v>
      </c>
      <c r="L1650" s="46"/>
      <c r="M1650" s="46"/>
      <c r="N1650" s="46">
        <v>1</v>
      </c>
      <c r="O1650" s="46"/>
      <c r="P1650" s="46"/>
      <c r="Q1650" s="46"/>
      <c r="R1650" s="46"/>
      <c r="S1650" s="46"/>
      <c r="T1650" s="46"/>
      <c r="U1650" s="46"/>
      <c r="V1650" s="46"/>
      <c r="W1650" s="46"/>
      <c r="X1650" s="46"/>
      <c r="Y1650" s="46"/>
      <c r="Z1650" s="46" t="s">
        <v>3589</v>
      </c>
      <c r="AA1650" s="63">
        <f>IF(OR(G1650="ALK",G1650="PEM",G1650="SOEC",G1650="Other Electrolysis"),
AB1650*VLOOKUP(G1650,ElectrolysisConvF,3,FALSE),
"")</f>
        <v>207.87135848644522</v>
      </c>
      <c r="AB1650" s="62">
        <f>AC1650/(H2dens*HoursInYear/10^6)</f>
        <v>46193.635219210053</v>
      </c>
      <c r="AC1650" s="62">
        <f>100*3/17/0.98/H2ProjectDB4578610[[#This Row],[Column33]]</f>
        <v>36.014405762304925</v>
      </c>
      <c r="AD1650" s="62"/>
      <c r="AE1650" s="62">
        <f t="shared" si="182"/>
        <v>46193.635219210053</v>
      </c>
      <c r="AF1650" s="64" t="s">
        <v>4357</v>
      </c>
      <c r="AG1650" s="49">
        <v>0.5</v>
      </c>
    </row>
    <row r="1651" spans="1:33" customFormat="1" ht="35.1" customHeight="1" x14ac:dyDescent="0.3">
      <c r="A1651" s="46">
        <v>2199</v>
      </c>
      <c r="B1651" s="46" t="s">
        <v>4358</v>
      </c>
      <c r="C1651" s="46" t="s">
        <v>47</v>
      </c>
      <c r="D1651" s="60"/>
      <c r="E1651" s="60"/>
      <c r="F1651" s="46" t="s">
        <v>675</v>
      </c>
      <c r="G1651" s="46" t="s">
        <v>159</v>
      </c>
      <c r="H1651" s="46" t="s">
        <v>592</v>
      </c>
      <c r="I1651" s="46" t="s">
        <v>169</v>
      </c>
      <c r="J1651" s="46" t="s">
        <v>244</v>
      </c>
      <c r="K1651" s="46" t="s">
        <v>141</v>
      </c>
      <c r="L1651" s="46"/>
      <c r="M1651" s="46">
        <v>1</v>
      </c>
      <c r="N1651" s="46"/>
      <c r="O1651" s="46"/>
      <c r="P1651" s="46"/>
      <c r="Q1651" s="46"/>
      <c r="R1651" s="46"/>
      <c r="S1651" s="46"/>
      <c r="T1651" s="46"/>
      <c r="U1651" s="46"/>
      <c r="V1651" s="46"/>
      <c r="W1651" s="46"/>
      <c r="X1651" s="46"/>
      <c r="Y1651" s="46"/>
      <c r="Z1651" s="46" t="s">
        <v>4359</v>
      </c>
      <c r="AA1651" s="63">
        <f>IF(OR(G1651="ALK",G1651="PEM",G1651="SOEC",G1651="Other Electrolysis"),
AB1651*VLOOKUP(G1651,ElectrolysisConvF,3,FALSE),
"")</f>
        <v>346.45226414407534</v>
      </c>
      <c r="AB1651" s="62">
        <f>AC1651/(H2dens*HoursInYear/10^6)</f>
        <v>76989.392032016753</v>
      </c>
      <c r="AC1651" s="62">
        <f>100*3/17/0.98/H2ProjectDB4578610[[#This Row],[Column33]]</f>
        <v>60.024009603841542</v>
      </c>
      <c r="AD1651" s="62"/>
      <c r="AE1651" s="62">
        <f t="shared" si="182"/>
        <v>76989.392032016753</v>
      </c>
      <c r="AF1651" s="64" t="s">
        <v>4360</v>
      </c>
      <c r="AG1651" s="49">
        <v>0.3</v>
      </c>
    </row>
    <row r="1652" spans="1:33" customFormat="1" ht="35.1" customHeight="1" x14ac:dyDescent="0.3">
      <c r="A1652" s="46">
        <v>2200</v>
      </c>
      <c r="B1652" s="46" t="s">
        <v>4361</v>
      </c>
      <c r="C1652" s="46" t="s">
        <v>40</v>
      </c>
      <c r="D1652" s="60">
        <v>2028</v>
      </c>
      <c r="E1652" s="60"/>
      <c r="F1652" s="46" t="s">
        <v>591</v>
      </c>
      <c r="G1652" s="46" t="s">
        <v>159</v>
      </c>
      <c r="H1652" s="46" t="s">
        <v>592</v>
      </c>
      <c r="I1652" s="46" t="s">
        <v>169</v>
      </c>
      <c r="J1652" s="46" t="s">
        <v>248</v>
      </c>
      <c r="K1652" s="46" t="s">
        <v>68</v>
      </c>
      <c r="L1652" s="46"/>
      <c r="M1652" s="46">
        <v>1</v>
      </c>
      <c r="N1652" s="46">
        <v>1</v>
      </c>
      <c r="O1652" s="46"/>
      <c r="P1652" s="46"/>
      <c r="Q1652" s="46"/>
      <c r="R1652" s="46"/>
      <c r="S1652" s="46"/>
      <c r="T1652" s="46"/>
      <c r="U1652" s="46"/>
      <c r="V1652" s="46">
        <v>1</v>
      </c>
      <c r="W1652" s="46">
        <v>1</v>
      </c>
      <c r="X1652" s="46"/>
      <c r="Y1652" s="46"/>
      <c r="Z1652" s="46" t="s">
        <v>1292</v>
      </c>
      <c r="AA1652" s="61">
        <v>1000</v>
      </c>
      <c r="AB1652" s="62">
        <f>IF(OR(G1652="ALK",G1652="PEM",G1652="SOEC",G1652="Other Electrolysis"),
AA1652/VLOOKUP(G1652,ElectrolysisConvF,3,FALSE),
AC1652*10^6/(H2dens*HoursInYear))</f>
        <v>222222.22222222225</v>
      </c>
      <c r="AC1652" s="63">
        <f>AB1652*H2dens*HoursInYear/10^6</f>
        <v>173.25333333333333</v>
      </c>
      <c r="AD1652" s="62"/>
      <c r="AE1652" s="62">
        <f t="shared" si="182"/>
        <v>222222.22222222225</v>
      </c>
      <c r="AF1652" s="64" t="s">
        <v>4362</v>
      </c>
      <c r="AG1652" s="49">
        <v>0.5</v>
      </c>
    </row>
    <row r="1653" spans="1:33" customFormat="1" ht="35.1" customHeight="1" x14ac:dyDescent="0.3">
      <c r="A1653" s="46">
        <v>2201</v>
      </c>
      <c r="B1653" s="46" t="s">
        <v>4363</v>
      </c>
      <c r="C1653" s="46" t="s">
        <v>369</v>
      </c>
      <c r="D1653" s="60"/>
      <c r="E1653" s="60"/>
      <c r="F1653" s="46" t="s">
        <v>225</v>
      </c>
      <c r="G1653" s="46" t="s">
        <v>159</v>
      </c>
      <c r="H1653" s="46" t="s">
        <v>592</v>
      </c>
      <c r="I1653" s="46" t="s">
        <v>169</v>
      </c>
      <c r="J1653" s="46" t="s">
        <v>69</v>
      </c>
      <c r="K1653" s="46" t="s">
        <v>68</v>
      </c>
      <c r="L1653" s="46"/>
      <c r="M1653" s="46"/>
      <c r="N1653" s="46"/>
      <c r="O1653" s="46"/>
      <c r="P1653" s="46"/>
      <c r="Q1653" s="46"/>
      <c r="R1653" s="46"/>
      <c r="S1653" s="46"/>
      <c r="T1653" s="46"/>
      <c r="U1653" s="46"/>
      <c r="V1653" s="46"/>
      <c r="W1653" s="46"/>
      <c r="X1653" s="46"/>
      <c r="Y1653" s="46"/>
      <c r="Z1653" s="46" t="s">
        <v>1168</v>
      </c>
      <c r="AA1653" s="61">
        <v>10</v>
      </c>
      <c r="AB1653" s="62">
        <f>IF(OR(G1653="ALK",G1653="PEM",G1653="SOEC",G1653="Other Electrolysis"),
AA1653/VLOOKUP(G1653,ElectrolysisConvF,3,FALSE),
AC1653*10^6/(H2dens*HoursInYear))</f>
        <v>2222.2222222222222</v>
      </c>
      <c r="AC1653" s="63">
        <f>AB1653*H2dens*HoursInYear/10^6</f>
        <v>1.7325333333333333</v>
      </c>
      <c r="AD1653" s="62"/>
      <c r="AE1653" s="62">
        <f t="shared" si="182"/>
        <v>2222.2222222222222</v>
      </c>
      <c r="AF1653" s="64" t="s">
        <v>4364</v>
      </c>
      <c r="AG1653" s="49">
        <v>0.5</v>
      </c>
    </row>
    <row r="1654" spans="1:33" customFormat="1" ht="35.1" customHeight="1" x14ac:dyDescent="0.3">
      <c r="A1654" s="46">
        <v>2202</v>
      </c>
      <c r="B1654" s="46" t="s">
        <v>4365</v>
      </c>
      <c r="C1654" s="46" t="s">
        <v>40</v>
      </c>
      <c r="D1654" s="60">
        <v>2027</v>
      </c>
      <c r="E1654" s="60"/>
      <c r="F1654" s="46" t="s">
        <v>225</v>
      </c>
      <c r="G1654" s="46" t="s">
        <v>161</v>
      </c>
      <c r="H1654" s="46" t="s">
        <v>882</v>
      </c>
      <c r="I1654" s="46"/>
      <c r="J1654" s="46"/>
      <c r="K1654" s="46" t="s">
        <v>141</v>
      </c>
      <c r="L1654" s="46"/>
      <c r="M1654" s="46">
        <v>1</v>
      </c>
      <c r="N1654" s="46"/>
      <c r="O1654" s="46"/>
      <c r="P1654" s="46"/>
      <c r="Q1654" s="46"/>
      <c r="R1654" s="46"/>
      <c r="S1654" s="46"/>
      <c r="T1654" s="46"/>
      <c r="U1654" s="46"/>
      <c r="V1654" s="46"/>
      <c r="W1654" s="46"/>
      <c r="X1654" s="46"/>
      <c r="Y1654" s="46"/>
      <c r="Z1654" s="46" t="s">
        <v>4366</v>
      </c>
      <c r="AA1654" s="61" t="str">
        <f>IF(OR(G1654="ALK",G1654="PEM",G1654="SOEC",G1654="Other Electrolysis"),
AB1654*VLOOKUP(G1654,ElectrolysisConvF,3,FALSE),
"")</f>
        <v/>
      </c>
      <c r="AB1654" s="62">
        <f>IF(OR(G1654="ALK",G1654="PEM",G1654="SOEC",G1654="Other Electrolysis"),
AA1654/VLOOKUP(G1654,ElectrolysisConvF,3,FALSE),
AC1654*10^6/(H2dens*HoursInYear))</f>
        <v>337213.53710023331</v>
      </c>
      <c r="AC1654" s="62">
        <f>4*365*3/17/0.98</f>
        <v>262.9051620648259</v>
      </c>
      <c r="AD1654" s="62"/>
      <c r="AE1654" s="62">
        <f t="shared" si="182"/>
        <v>0</v>
      </c>
      <c r="AF1654" s="64" t="s">
        <v>4367</v>
      </c>
      <c r="AG1654" s="49">
        <v>0.9</v>
      </c>
    </row>
    <row r="1655" spans="1:33" customFormat="1" ht="35.1" customHeight="1" x14ac:dyDescent="0.3">
      <c r="A1655" s="46">
        <v>2203</v>
      </c>
      <c r="B1655" s="46" t="s">
        <v>4368</v>
      </c>
      <c r="C1655" s="46" t="s">
        <v>41</v>
      </c>
      <c r="D1655" s="60"/>
      <c r="E1655" s="60"/>
      <c r="F1655" s="46" t="s">
        <v>225</v>
      </c>
      <c r="G1655" s="46" t="s">
        <v>159</v>
      </c>
      <c r="H1655" s="46" t="s">
        <v>592</v>
      </c>
      <c r="I1655" s="46" t="s">
        <v>169</v>
      </c>
      <c r="J1655" s="46" t="s">
        <v>245</v>
      </c>
      <c r="K1655" s="46" t="s">
        <v>68</v>
      </c>
      <c r="L1655" s="46"/>
      <c r="M1655" s="46"/>
      <c r="N1655" s="46"/>
      <c r="O1655" s="46"/>
      <c r="P1655" s="46"/>
      <c r="Q1655" s="46"/>
      <c r="R1655" s="46"/>
      <c r="S1655" s="46"/>
      <c r="T1655" s="46"/>
      <c r="U1655" s="46"/>
      <c r="V1655" s="46"/>
      <c r="W1655" s="46"/>
      <c r="X1655" s="46"/>
      <c r="Y1655" s="46"/>
      <c r="Z1655" s="46"/>
      <c r="AA1655" s="61">
        <f>IF(OR(G1655="ALK",G1655="PEM",G1655="SOEC",G1655="Other Electrolysis"),
AB1655*VLOOKUP(G1655,ElectrolysisConvF,3,FALSE),
"")</f>
        <v>0</v>
      </c>
      <c r="AB1655" s="62"/>
      <c r="AC1655" s="62"/>
      <c r="AD1655" s="62"/>
      <c r="AE1655" s="62">
        <f t="shared" si="182"/>
        <v>0</v>
      </c>
      <c r="AF1655" s="64" t="s">
        <v>4369</v>
      </c>
      <c r="AG1655" s="49">
        <v>0.4</v>
      </c>
    </row>
    <row r="1656" spans="1:33" customFormat="1" ht="35.1" customHeight="1" x14ac:dyDescent="0.3">
      <c r="A1656" s="46">
        <v>2204</v>
      </c>
      <c r="B1656" s="46" t="s">
        <v>4370</v>
      </c>
      <c r="C1656" s="46" t="s">
        <v>105</v>
      </c>
      <c r="D1656" s="60">
        <v>2028</v>
      </c>
      <c r="E1656" s="60"/>
      <c r="F1656" s="46" t="s">
        <v>591</v>
      </c>
      <c r="G1656" s="46" t="s">
        <v>3</v>
      </c>
      <c r="H1656" s="46"/>
      <c r="I1656" s="46" t="s">
        <v>169</v>
      </c>
      <c r="J1656" s="46" t="s">
        <v>248</v>
      </c>
      <c r="K1656" s="46" t="s">
        <v>141</v>
      </c>
      <c r="L1656" s="46"/>
      <c r="M1656" s="46">
        <v>1</v>
      </c>
      <c r="N1656" s="46"/>
      <c r="O1656" s="46"/>
      <c r="P1656" s="46"/>
      <c r="Q1656" s="46"/>
      <c r="R1656" s="46"/>
      <c r="S1656" s="46"/>
      <c r="T1656" s="46"/>
      <c r="U1656" s="46"/>
      <c r="V1656" s="46"/>
      <c r="W1656" s="46"/>
      <c r="X1656" s="46"/>
      <c r="Y1656" s="46"/>
      <c r="Z1656" s="46" t="s">
        <v>1344</v>
      </c>
      <c r="AA1656" s="61">
        <v>160</v>
      </c>
      <c r="AB1656" s="62">
        <f>IF(OR(G1656="ALK",G1656="PEM",G1656="SOEC",G1656="Other Electrolysis"),
AA1656/VLOOKUP(G1656,ElectrolysisConvF,3,FALSE),
AC1656*10^6/(H2dens*HoursInYear))</f>
        <v>34782.608695652176</v>
      </c>
      <c r="AC1656" s="63">
        <f>AB1656*H2dens*HoursInYear/10^6</f>
        <v>27.117913043478261</v>
      </c>
      <c r="AD1656" s="62"/>
      <c r="AE1656" s="62">
        <f t="shared" si="182"/>
        <v>34782.608695652176</v>
      </c>
      <c r="AF1656" s="64" t="s">
        <v>4371</v>
      </c>
      <c r="AG1656" s="49">
        <v>0.5</v>
      </c>
    </row>
    <row r="1657" spans="1:33" customFormat="1" ht="35.1" customHeight="1" x14ac:dyDescent="0.3">
      <c r="A1657" s="46">
        <v>2205</v>
      </c>
      <c r="B1657" s="46" t="s">
        <v>4370</v>
      </c>
      <c r="C1657" s="46" t="s">
        <v>105</v>
      </c>
      <c r="D1657" s="60">
        <v>2028</v>
      </c>
      <c r="E1657" s="60"/>
      <c r="F1657" s="46" t="s">
        <v>591</v>
      </c>
      <c r="G1657" s="46" t="s">
        <v>1</v>
      </c>
      <c r="H1657" s="46"/>
      <c r="I1657" s="46" t="s">
        <v>169</v>
      </c>
      <c r="J1657" s="46" t="s">
        <v>248</v>
      </c>
      <c r="K1657" s="46" t="s">
        <v>141</v>
      </c>
      <c r="L1657" s="46"/>
      <c r="M1657" s="46">
        <v>1</v>
      </c>
      <c r="N1657" s="46"/>
      <c r="O1657" s="46"/>
      <c r="P1657" s="46"/>
      <c r="Q1657" s="46"/>
      <c r="R1657" s="46"/>
      <c r="S1657" s="46"/>
      <c r="T1657" s="46"/>
      <c r="U1657" s="46"/>
      <c r="V1657" s="46"/>
      <c r="W1657" s="46"/>
      <c r="X1657" s="46"/>
      <c r="Y1657" s="46"/>
      <c r="Z1657" s="46" t="s">
        <v>1339</v>
      </c>
      <c r="AA1657" s="61">
        <v>40</v>
      </c>
      <c r="AB1657" s="62">
        <f>IF(OR(G1657="ALK",G1657="PEM",G1657="SOEC",G1657="Other Electrolysis"),
AA1657/VLOOKUP(G1657,ElectrolysisConvF,3,FALSE),
AC1657*10^6/(H2dens*HoursInYear))</f>
        <v>7692.3076923076924</v>
      </c>
      <c r="AC1657" s="63">
        <f>AB1657*H2dens*HoursInYear/10^6</f>
        <v>5.9972307692307689</v>
      </c>
      <c r="AD1657" s="62"/>
      <c r="AE1657" s="62">
        <f t="shared" si="182"/>
        <v>7692.3076923076924</v>
      </c>
      <c r="AF1657" s="64" t="s">
        <v>4371</v>
      </c>
      <c r="AG1657" s="49">
        <v>0.5</v>
      </c>
    </row>
    <row r="1658" spans="1:33" customFormat="1" ht="35.1" customHeight="1" x14ac:dyDescent="0.3">
      <c r="A1658" s="46">
        <v>2206</v>
      </c>
      <c r="B1658" s="46" t="s">
        <v>4372</v>
      </c>
      <c r="C1658" s="46" t="s">
        <v>42</v>
      </c>
      <c r="D1658" s="60">
        <v>2024</v>
      </c>
      <c r="E1658" s="60">
        <v>2028</v>
      </c>
      <c r="F1658" s="46" t="s">
        <v>285</v>
      </c>
      <c r="G1658" s="46" t="s">
        <v>3</v>
      </c>
      <c r="H1658" s="46" t="s">
        <v>592</v>
      </c>
      <c r="I1658" s="46" t="s">
        <v>169</v>
      </c>
      <c r="J1658" s="46" t="s">
        <v>69</v>
      </c>
      <c r="K1658" s="46" t="s">
        <v>141</v>
      </c>
      <c r="L1658" s="46"/>
      <c r="M1658" s="46">
        <v>1</v>
      </c>
      <c r="N1658" s="46"/>
      <c r="O1658" s="46"/>
      <c r="P1658" s="46"/>
      <c r="Q1658" s="46"/>
      <c r="R1658" s="46"/>
      <c r="S1658" s="46"/>
      <c r="T1658" s="46"/>
      <c r="U1658" s="46"/>
      <c r="V1658" s="46"/>
      <c r="W1658" s="46"/>
      <c r="X1658" s="46"/>
      <c r="Y1658" s="46"/>
      <c r="Z1658" s="46" t="s">
        <v>4373</v>
      </c>
      <c r="AA1658" s="63">
        <f>IF(OR(G1658="ALK",G1658="PEM",G1658="SOEC",G1658="Other Electrolysis"),
AB1658*VLOOKUP(G1658,ElectrolysisConvF,3,FALSE),
"")</f>
        <v>3.1023645413221468</v>
      </c>
      <c r="AB1658" s="62">
        <f>AC1658/(H2dens*HoursInYear/10^6)</f>
        <v>674.42707420046668</v>
      </c>
      <c r="AC1658" s="62">
        <f>1.46*3/17/0.98/H2ProjectDB4578610[[#This Row],[Column33]]</f>
        <v>0.52581032412965178</v>
      </c>
      <c r="AD1658" s="62"/>
      <c r="AE1658" s="62">
        <f t="shared" si="182"/>
        <v>674.42707420046668</v>
      </c>
      <c r="AF1658" s="64" t="s">
        <v>4374</v>
      </c>
      <c r="AG1658" s="49">
        <v>0.5</v>
      </c>
    </row>
    <row r="1659" spans="1:33" customFormat="1" ht="35.1" customHeight="1" x14ac:dyDescent="0.3">
      <c r="A1659" s="46">
        <v>2207</v>
      </c>
      <c r="B1659" s="46" t="s">
        <v>4375</v>
      </c>
      <c r="C1659" s="46" t="s">
        <v>41</v>
      </c>
      <c r="D1659" s="60"/>
      <c r="E1659" s="60"/>
      <c r="F1659" s="46" t="s">
        <v>591</v>
      </c>
      <c r="G1659" s="46" t="s">
        <v>159</v>
      </c>
      <c r="H1659" s="46" t="s">
        <v>592</v>
      </c>
      <c r="I1659" s="46" t="s">
        <v>169</v>
      </c>
      <c r="J1659" s="46" t="s">
        <v>248</v>
      </c>
      <c r="K1659" s="46" t="s">
        <v>68</v>
      </c>
      <c r="L1659" s="46"/>
      <c r="M1659" s="46"/>
      <c r="N1659" s="46"/>
      <c r="O1659" s="46"/>
      <c r="P1659" s="46"/>
      <c r="Q1659" s="46"/>
      <c r="R1659" s="46"/>
      <c r="S1659" s="46"/>
      <c r="T1659" s="46"/>
      <c r="U1659" s="46"/>
      <c r="V1659" s="46"/>
      <c r="W1659" s="46"/>
      <c r="X1659" s="46"/>
      <c r="Y1659" s="46"/>
      <c r="Z1659" s="46" t="s">
        <v>4376</v>
      </c>
      <c r="AA1659" s="63">
        <f>IF(OR(G1659="ALK",G1659="PEM",G1659="SOEC",G1659="Other Electrolysis"),
AB1659*VLOOKUP(G1659,ElectrolysisConvF,3,FALSE),
"")</f>
        <v>38.094505156225942</v>
      </c>
      <c r="AB1659" s="62">
        <f>AC1659/(H2dens*HoursInYear/10^6)</f>
        <v>8465.445590272433</v>
      </c>
      <c r="AC1659" s="62">
        <f>3.3/H2ProjectDB4578610[[#This Row],[Column33]]</f>
        <v>6.6</v>
      </c>
      <c r="AD1659" s="62"/>
      <c r="AE1659" s="62">
        <f t="shared" si="182"/>
        <v>8465.445590272433</v>
      </c>
      <c r="AF1659" s="64" t="s">
        <v>4377</v>
      </c>
      <c r="AG1659" s="49">
        <v>0.5</v>
      </c>
    </row>
    <row r="1660" spans="1:33" customFormat="1" ht="35.1" customHeight="1" x14ac:dyDescent="0.3">
      <c r="A1660" s="46">
        <v>2208</v>
      </c>
      <c r="B1660" s="46" t="s">
        <v>4378</v>
      </c>
      <c r="C1660" s="46" t="s">
        <v>203</v>
      </c>
      <c r="D1660" s="60">
        <v>2024</v>
      </c>
      <c r="E1660" s="60"/>
      <c r="F1660" s="46" t="s">
        <v>225</v>
      </c>
      <c r="G1660" s="46" t="s">
        <v>3</v>
      </c>
      <c r="H1660" s="46"/>
      <c r="I1660" s="46" t="s">
        <v>169</v>
      </c>
      <c r="J1660" s="46" t="s">
        <v>248</v>
      </c>
      <c r="K1660" s="46" t="s">
        <v>68</v>
      </c>
      <c r="L1660" s="46"/>
      <c r="M1660" s="46"/>
      <c r="N1660" s="46"/>
      <c r="O1660" s="46"/>
      <c r="P1660" s="46"/>
      <c r="Q1660" s="46"/>
      <c r="R1660" s="46"/>
      <c r="S1660" s="46"/>
      <c r="T1660" s="46"/>
      <c r="U1660" s="46"/>
      <c r="V1660" s="46"/>
      <c r="W1660" s="46"/>
      <c r="X1660" s="46"/>
      <c r="Y1660" s="46"/>
      <c r="Z1660" s="46" t="s">
        <v>1168</v>
      </c>
      <c r="AA1660" s="61">
        <v>10</v>
      </c>
      <c r="AB1660" s="62">
        <f>IF(OR(G1660="ALK",G1660="PEM",G1660="SOEC",G1660="Other Electrolysis"),
AA1660/VLOOKUP(G1660,ElectrolysisConvF,3,FALSE),
AC1660*10^6/(H2dens*HoursInYear))</f>
        <v>2173.913043478261</v>
      </c>
      <c r="AC1660" s="63">
        <f>AB1660*H2dens*HoursInYear/10^6</f>
        <v>1.6948695652173913</v>
      </c>
      <c r="AD1660" s="62"/>
      <c r="AE1660" s="62">
        <f t="shared" si="182"/>
        <v>2173.913043478261</v>
      </c>
      <c r="AF1660" s="64" t="s">
        <v>4379</v>
      </c>
      <c r="AG1660" s="49">
        <v>0.5</v>
      </c>
    </row>
    <row r="1661" spans="1:33" customFormat="1" ht="35.1" customHeight="1" x14ac:dyDescent="0.3">
      <c r="A1661" s="46">
        <v>2209</v>
      </c>
      <c r="B1661" s="46" t="s">
        <v>4380</v>
      </c>
      <c r="C1661" s="46" t="s">
        <v>45</v>
      </c>
      <c r="D1661" s="60"/>
      <c r="E1661" s="60"/>
      <c r="F1661" s="46" t="s">
        <v>285</v>
      </c>
      <c r="G1661" s="46" t="s">
        <v>1</v>
      </c>
      <c r="H1661" s="46"/>
      <c r="I1661" s="46" t="s">
        <v>169</v>
      </c>
      <c r="J1661" s="46" t="s">
        <v>69</v>
      </c>
      <c r="K1661" s="46" t="s">
        <v>68</v>
      </c>
      <c r="L1661" s="46"/>
      <c r="M1661" s="46"/>
      <c r="N1661" s="46"/>
      <c r="O1661" s="46"/>
      <c r="P1661" s="46"/>
      <c r="Q1661" s="46"/>
      <c r="R1661" s="46"/>
      <c r="S1661" s="46"/>
      <c r="T1661" s="46"/>
      <c r="U1661" s="46"/>
      <c r="V1661" s="46"/>
      <c r="W1661" s="46"/>
      <c r="X1661" s="46"/>
      <c r="Y1661" s="46"/>
      <c r="Z1661" s="46" t="s">
        <v>1327</v>
      </c>
      <c r="AA1661" s="61">
        <v>1</v>
      </c>
      <c r="AB1661" s="62">
        <f>IF(OR(G1661="ALK",G1661="PEM",G1661="SOEC",G1661="Other Electrolysis"),
AA1661/VLOOKUP(G1661,ElectrolysisConvF,3,FALSE),
AC1661*10^6/(H2dens*HoursInYear))</f>
        <v>192.30769230769232</v>
      </c>
      <c r="AC1661" s="63">
        <f>AB1661*H2dens*HoursInYear/10^6</f>
        <v>0.14993076923076926</v>
      </c>
      <c r="AD1661" s="62"/>
      <c r="AE1661" s="62">
        <f t="shared" si="182"/>
        <v>192.30769230769232</v>
      </c>
      <c r="AF1661" s="64" t="s">
        <v>4381</v>
      </c>
      <c r="AG1661" s="49">
        <v>0.5</v>
      </c>
    </row>
    <row r="1662" spans="1:33" customFormat="1" ht="35.1" customHeight="1" x14ac:dyDescent="0.3">
      <c r="A1662" s="46">
        <v>2210</v>
      </c>
      <c r="B1662" s="46" t="s">
        <v>4382</v>
      </c>
      <c r="C1662" s="46" t="s">
        <v>45</v>
      </c>
      <c r="D1662" s="60">
        <v>2030</v>
      </c>
      <c r="E1662" s="60"/>
      <c r="F1662" s="46" t="s">
        <v>225</v>
      </c>
      <c r="G1662" s="46" t="s">
        <v>159</v>
      </c>
      <c r="H1662" s="46" t="s">
        <v>592</v>
      </c>
      <c r="I1662" s="46" t="s">
        <v>169</v>
      </c>
      <c r="J1662" s="46" t="s">
        <v>248</v>
      </c>
      <c r="K1662" s="46" t="s">
        <v>68</v>
      </c>
      <c r="L1662" s="46"/>
      <c r="M1662" s="46"/>
      <c r="N1662" s="46"/>
      <c r="O1662" s="46"/>
      <c r="P1662" s="46"/>
      <c r="Q1662" s="46"/>
      <c r="R1662" s="46"/>
      <c r="S1662" s="46"/>
      <c r="T1662" s="46"/>
      <c r="U1662" s="46"/>
      <c r="V1662" s="46"/>
      <c r="W1662" s="46"/>
      <c r="X1662" s="46"/>
      <c r="Y1662" s="46"/>
      <c r="Z1662" s="46" t="s">
        <v>1274</v>
      </c>
      <c r="AA1662" s="61">
        <v>50</v>
      </c>
      <c r="AB1662" s="62">
        <f>AA1662/0.0045</f>
        <v>11111.111111111111</v>
      </c>
      <c r="AC1662" s="63">
        <f>AB1662*H2dens*HoursInYear/10^6</f>
        <v>8.6626666666666665</v>
      </c>
      <c r="AD1662" s="62"/>
      <c r="AE1662" s="62">
        <f t="shared" si="182"/>
        <v>11111.111111111111</v>
      </c>
      <c r="AF1662" s="64" t="s">
        <v>4381</v>
      </c>
      <c r="AG1662" s="49">
        <v>0.5</v>
      </c>
    </row>
    <row r="1663" spans="1:33" customFormat="1" ht="35.1" customHeight="1" x14ac:dyDescent="0.3">
      <c r="A1663" s="46">
        <v>2211</v>
      </c>
      <c r="B1663" s="46" t="s">
        <v>4383</v>
      </c>
      <c r="C1663" s="46" t="s">
        <v>63</v>
      </c>
      <c r="D1663" s="60">
        <v>2030</v>
      </c>
      <c r="E1663" s="60"/>
      <c r="F1663" s="46" t="s">
        <v>591</v>
      </c>
      <c r="G1663" s="46" t="s">
        <v>159</v>
      </c>
      <c r="H1663" s="46" t="s">
        <v>592</v>
      </c>
      <c r="I1663" s="46" t="s">
        <v>169</v>
      </c>
      <c r="J1663" s="46" t="s">
        <v>246</v>
      </c>
      <c r="K1663" s="46" t="s">
        <v>68</v>
      </c>
      <c r="L1663" s="46"/>
      <c r="M1663" s="46"/>
      <c r="N1663" s="46"/>
      <c r="O1663" s="46"/>
      <c r="P1663" s="46"/>
      <c r="Q1663" s="46"/>
      <c r="R1663" s="46"/>
      <c r="S1663" s="46"/>
      <c r="T1663" s="46"/>
      <c r="U1663" s="46"/>
      <c r="V1663" s="46"/>
      <c r="W1663" s="46"/>
      <c r="X1663" s="46"/>
      <c r="Y1663" s="46"/>
      <c r="Z1663" s="46" t="s">
        <v>4384</v>
      </c>
      <c r="AA1663" s="63">
        <f>IF(OR(G1663="ALK",G1663="PEM",G1663="SOEC",G1663="Other Electrolysis"),
AB1663*VLOOKUP(G1663,ElectrolysisConvF,3,FALSE),
"")</f>
        <v>2361.2296584437572</v>
      </c>
      <c r="AB1663" s="62">
        <f>AC1663/(H2dens*HoursInYear/10^6)</f>
        <v>524717.70187639049</v>
      </c>
      <c r="AC1663" s="62">
        <f>225/H2ProjectDB4578610[[#This Row],[Column33]]</f>
        <v>409.09090909090907</v>
      </c>
      <c r="AD1663" s="62"/>
      <c r="AE1663" s="62">
        <f t="shared" si="182"/>
        <v>524717.70187639049</v>
      </c>
      <c r="AF1663" s="64" t="s">
        <v>4385</v>
      </c>
      <c r="AG1663" s="49">
        <v>0.55000000000000004</v>
      </c>
    </row>
    <row r="1664" spans="1:33" customFormat="1" ht="35.1" customHeight="1" x14ac:dyDescent="0.3">
      <c r="A1664" s="46">
        <v>2212</v>
      </c>
      <c r="B1664" s="46" t="s">
        <v>4386</v>
      </c>
      <c r="C1664" s="46" t="s">
        <v>321</v>
      </c>
      <c r="D1664" s="60">
        <v>2026</v>
      </c>
      <c r="E1664" s="60"/>
      <c r="F1664" s="46" t="s">
        <v>225</v>
      </c>
      <c r="G1664" s="46" t="s">
        <v>163</v>
      </c>
      <c r="H1664" s="46" t="s">
        <v>2289</v>
      </c>
      <c r="I1664" s="46"/>
      <c r="J1664" s="46"/>
      <c r="K1664" s="46" t="s">
        <v>140</v>
      </c>
      <c r="L1664" s="46"/>
      <c r="M1664" s="46"/>
      <c r="N1664" s="46">
        <v>1</v>
      </c>
      <c r="O1664" s="46"/>
      <c r="P1664" s="46"/>
      <c r="Q1664" s="46"/>
      <c r="R1664" s="46"/>
      <c r="S1664" s="46"/>
      <c r="T1664" s="46"/>
      <c r="U1664" s="46"/>
      <c r="V1664" s="46"/>
      <c r="W1664" s="46"/>
      <c r="X1664" s="46"/>
      <c r="Y1664" s="46"/>
      <c r="Z1664" s="46" t="s">
        <v>4387</v>
      </c>
      <c r="AA1664" s="61" t="str">
        <f>IF(OR(G1664="ALK",G1664="PEM",G1664="SOEC",G1664="Other Electrolysis"),
AB1664*VLOOKUP(G1664,ElectrolysisConvF,3,FALSE),
"")</f>
        <v/>
      </c>
      <c r="AB1664" s="62">
        <f>AC1664/(0.089*24*365/10^6)</f>
        <v>10797.760504848391</v>
      </c>
      <c r="AC1664" s="62">
        <f>66*0.127551</f>
        <v>8.4183660000000007</v>
      </c>
      <c r="AD1664" s="62"/>
      <c r="AE1664" s="62">
        <f t="shared" si="182"/>
        <v>10797.760504848391</v>
      </c>
      <c r="AF1664" s="64" t="s">
        <v>4388</v>
      </c>
      <c r="AG1664" s="49">
        <v>0.9</v>
      </c>
    </row>
    <row r="1665" spans="1:33" customFormat="1" ht="35.1" customHeight="1" x14ac:dyDescent="0.3">
      <c r="A1665" s="46">
        <v>2213</v>
      </c>
      <c r="B1665" s="46" t="s">
        <v>4389</v>
      </c>
      <c r="C1665" s="46" t="s">
        <v>321</v>
      </c>
      <c r="D1665" s="60">
        <v>2028</v>
      </c>
      <c r="E1665" s="60"/>
      <c r="F1665" s="46" t="s">
        <v>591</v>
      </c>
      <c r="G1665" s="46" t="s">
        <v>159</v>
      </c>
      <c r="H1665" s="46" t="s">
        <v>592</v>
      </c>
      <c r="I1665" s="46" t="s">
        <v>169</v>
      </c>
      <c r="J1665" s="46" t="s">
        <v>69</v>
      </c>
      <c r="K1665" s="46" t="s">
        <v>140</v>
      </c>
      <c r="L1665" s="46"/>
      <c r="M1665" s="46"/>
      <c r="N1665" s="46">
        <v>1</v>
      </c>
      <c r="O1665" s="46"/>
      <c r="P1665" s="46"/>
      <c r="Q1665" s="46"/>
      <c r="R1665" s="46"/>
      <c r="S1665" s="46"/>
      <c r="T1665" s="46"/>
      <c r="U1665" s="46"/>
      <c r="V1665" s="46"/>
      <c r="W1665" s="46"/>
      <c r="X1665" s="46"/>
      <c r="Y1665" s="46"/>
      <c r="Z1665" s="46" t="s">
        <v>4390</v>
      </c>
      <c r="AA1665" s="61">
        <f>IF(OR(G1665="ALK",G1665="PEM",G1665="SOEC",G1665="Other Electrolysis"),
AB1665*VLOOKUP(G1665,ElectrolysisConvF,3,FALSE),
"")</f>
        <v>154.6047021702324</v>
      </c>
      <c r="AB1665" s="62">
        <f>AC1665/(0.089*24*365/10^6)</f>
        <v>34356.600482273869</v>
      </c>
      <c r="AC1665" s="62">
        <f>70*0.191327/H2ProjectDB4578610[[#This Row],[Column33]]</f>
        <v>26.785779999999999</v>
      </c>
      <c r="AD1665" s="62"/>
      <c r="AE1665" s="62">
        <f t="shared" si="182"/>
        <v>34356.600482273869</v>
      </c>
      <c r="AF1665" s="64" t="s">
        <v>4388</v>
      </c>
      <c r="AG1665" s="49">
        <v>0.5</v>
      </c>
    </row>
    <row r="1666" spans="1:33" customFormat="1" ht="35.1" customHeight="1" x14ac:dyDescent="0.3">
      <c r="A1666" s="46">
        <v>2214</v>
      </c>
      <c r="B1666" s="46" t="s">
        <v>4391</v>
      </c>
      <c r="C1666" s="46" t="s">
        <v>321</v>
      </c>
      <c r="D1666" s="60">
        <v>2026</v>
      </c>
      <c r="E1666" s="60"/>
      <c r="F1666" s="46" t="s">
        <v>225</v>
      </c>
      <c r="G1666" s="46" t="s">
        <v>159</v>
      </c>
      <c r="H1666" s="46" t="s">
        <v>592</v>
      </c>
      <c r="I1666" s="46" t="s">
        <v>169</v>
      </c>
      <c r="J1666" s="46" t="s">
        <v>248</v>
      </c>
      <c r="K1666" s="46" t="s">
        <v>68</v>
      </c>
      <c r="L1666" s="46"/>
      <c r="M1666" s="46"/>
      <c r="N1666" s="46"/>
      <c r="O1666" s="46"/>
      <c r="P1666" s="46"/>
      <c r="Q1666" s="46"/>
      <c r="R1666" s="46"/>
      <c r="S1666" s="46"/>
      <c r="T1666" s="46"/>
      <c r="U1666" s="46"/>
      <c r="V1666" s="46"/>
      <c r="W1666" s="46"/>
      <c r="X1666" s="46"/>
      <c r="Y1666" s="46"/>
      <c r="Z1666" s="46" t="s">
        <v>1330</v>
      </c>
      <c r="AA1666" s="61">
        <v>125</v>
      </c>
      <c r="AB1666" s="62">
        <f>IF(OR(G1666="ALK",G1666="PEM",G1666="SOEC",G1666="Other Electrolysis"),
AA1666/VLOOKUP(G1666,ElectrolysisConvF,3,FALSE),
AC1666*10^6/(H2dens*HoursInYear))</f>
        <v>27777.777777777781</v>
      </c>
      <c r="AC1666" s="63">
        <f>AB1666*H2dens*HoursInYear/10^6</f>
        <v>21.656666666666666</v>
      </c>
      <c r="AD1666" s="62"/>
      <c r="AE1666" s="62">
        <f t="shared" si="182"/>
        <v>27777.777777777781</v>
      </c>
      <c r="AF1666" s="64" t="s">
        <v>4392</v>
      </c>
      <c r="AG1666" s="49">
        <v>0.5</v>
      </c>
    </row>
    <row r="1667" spans="1:33" customFormat="1" ht="35.1" customHeight="1" x14ac:dyDescent="0.3">
      <c r="A1667" s="46">
        <v>2215</v>
      </c>
      <c r="B1667" s="46" t="s">
        <v>4393</v>
      </c>
      <c r="C1667" s="46" t="s">
        <v>321</v>
      </c>
      <c r="D1667" s="60">
        <v>2030</v>
      </c>
      <c r="E1667" s="60"/>
      <c r="F1667" s="46" t="s">
        <v>591</v>
      </c>
      <c r="G1667" s="46" t="s">
        <v>159</v>
      </c>
      <c r="H1667" s="46" t="s">
        <v>592</v>
      </c>
      <c r="I1667" s="46" t="s">
        <v>169</v>
      </c>
      <c r="J1667" s="46" t="s">
        <v>248</v>
      </c>
      <c r="K1667" s="46" t="s">
        <v>68</v>
      </c>
      <c r="L1667" s="46"/>
      <c r="M1667" s="46"/>
      <c r="N1667" s="46"/>
      <c r="O1667" s="46"/>
      <c r="P1667" s="46"/>
      <c r="Q1667" s="46"/>
      <c r="R1667" s="46"/>
      <c r="S1667" s="46"/>
      <c r="T1667" s="46"/>
      <c r="U1667" s="46"/>
      <c r="V1667" s="46"/>
      <c r="W1667" s="46"/>
      <c r="X1667" s="46"/>
      <c r="Y1667" s="46"/>
      <c r="Z1667" s="46" t="s">
        <v>2917</v>
      </c>
      <c r="AA1667" s="61">
        <v>400</v>
      </c>
      <c r="AB1667" s="62">
        <f>IF(OR(G1667="ALK",G1667="PEM",G1667="SOEC",G1667="Other Electrolysis"),
AA1667/VLOOKUP(G1667,ElectrolysisConvF,3,FALSE),
AC1667*10^6/(H2dens*HoursInYear))</f>
        <v>88888.888888888891</v>
      </c>
      <c r="AC1667" s="63">
        <f>AB1667*H2dens*HoursInYear/10^6</f>
        <v>69.301333333333332</v>
      </c>
      <c r="AD1667" s="62"/>
      <c r="AE1667" s="62">
        <f t="shared" si="182"/>
        <v>88888.888888888891</v>
      </c>
      <c r="AF1667" s="64" t="s">
        <v>4392</v>
      </c>
      <c r="AG1667" s="49">
        <v>0.5</v>
      </c>
    </row>
    <row r="1668" spans="1:33" customFormat="1" ht="35.1" customHeight="1" x14ac:dyDescent="0.3">
      <c r="A1668" s="46">
        <v>2216</v>
      </c>
      <c r="B1668" s="46" t="s">
        <v>4394</v>
      </c>
      <c r="C1668" s="46" t="s">
        <v>313</v>
      </c>
      <c r="D1668" s="60"/>
      <c r="E1668" s="60"/>
      <c r="F1668" s="46" t="s">
        <v>225</v>
      </c>
      <c r="G1668" s="46" t="s">
        <v>163</v>
      </c>
      <c r="H1668" s="46" t="s">
        <v>2289</v>
      </c>
      <c r="I1668" s="46"/>
      <c r="J1668" s="46"/>
      <c r="K1668" s="46" t="s">
        <v>68</v>
      </c>
      <c r="L1668" s="46"/>
      <c r="M1668" s="46"/>
      <c r="N1668" s="46"/>
      <c r="O1668" s="46"/>
      <c r="P1668" s="46"/>
      <c r="Q1668" s="46"/>
      <c r="R1668" s="46"/>
      <c r="S1668" s="46"/>
      <c r="T1668" s="46"/>
      <c r="U1668" s="46"/>
      <c r="V1668" s="46"/>
      <c r="W1668" s="46"/>
      <c r="X1668" s="46"/>
      <c r="Y1668" s="46"/>
      <c r="Z1668" s="46"/>
      <c r="AA1668" s="61" t="str">
        <f>IF(OR(G1668="ALK",G1668="PEM",G1668="SOEC",G1668="Other Electrolysis"),
AB1668*VLOOKUP(G1668,ElectrolysisConvF,3,FALSE),
"")</f>
        <v/>
      </c>
      <c r="AB1668" s="62"/>
      <c r="AC1668" s="62"/>
      <c r="AD1668" s="62"/>
      <c r="AE1668" s="62">
        <f t="shared" si="182"/>
        <v>0</v>
      </c>
      <c r="AF1668" s="64" t="s">
        <v>4395</v>
      </c>
      <c r="AG1668" s="49">
        <v>0.9</v>
      </c>
    </row>
    <row r="1669" spans="1:33" customFormat="1" ht="35.1" customHeight="1" x14ac:dyDescent="0.3">
      <c r="A1669" s="46">
        <v>2217</v>
      </c>
      <c r="B1669" s="46" t="s">
        <v>4396</v>
      </c>
      <c r="C1669" s="46" t="s">
        <v>37</v>
      </c>
      <c r="D1669" s="60">
        <v>2027</v>
      </c>
      <c r="E1669" s="60"/>
      <c r="F1669" s="46" t="s">
        <v>225</v>
      </c>
      <c r="G1669" s="46" t="s">
        <v>159</v>
      </c>
      <c r="H1669" s="46" t="s">
        <v>592</v>
      </c>
      <c r="I1669" s="46" t="s">
        <v>169</v>
      </c>
      <c r="J1669" s="46" t="s">
        <v>245</v>
      </c>
      <c r="K1669" s="46" t="s">
        <v>68</v>
      </c>
      <c r="L1669" s="46">
        <v>1</v>
      </c>
      <c r="M1669" s="46"/>
      <c r="N1669" s="46"/>
      <c r="O1669" s="46"/>
      <c r="P1669" s="46"/>
      <c r="Q1669" s="46"/>
      <c r="R1669" s="46"/>
      <c r="S1669" s="46"/>
      <c r="T1669" s="46"/>
      <c r="U1669" s="46"/>
      <c r="V1669" s="46"/>
      <c r="W1669" s="46">
        <v>1</v>
      </c>
      <c r="X1669" s="46"/>
      <c r="Y1669" s="46"/>
      <c r="Z1669" s="46" t="s">
        <v>4397</v>
      </c>
      <c r="AA1669" s="63">
        <f>IF(OR(G1669="ALK",G1669="PEM",G1669="SOEC",G1669="Other Electrolysis"),
AB1669*VLOOKUP(G1669,ElectrolysisConvF,3,FALSE),
"")</f>
        <v>505.0407880560258</v>
      </c>
      <c r="AB1669" s="62">
        <f>AC1669/(H2dens*HoursInYear/10^6)</f>
        <v>112231.28623467241</v>
      </c>
      <c r="AC1669" s="62">
        <f>35/H2ProjectDB4578610[[#This Row],[Column33]]</f>
        <v>87.5</v>
      </c>
      <c r="AD1669" s="62"/>
      <c r="AE1669" s="62">
        <f t="shared" si="182"/>
        <v>112231.28623467241</v>
      </c>
      <c r="AF1669" s="64" t="s">
        <v>4398</v>
      </c>
      <c r="AG1669" s="49">
        <v>0.4</v>
      </c>
    </row>
    <row r="1670" spans="1:33" customFormat="1" ht="35.1" customHeight="1" x14ac:dyDescent="0.3">
      <c r="A1670" s="46">
        <v>2218</v>
      </c>
      <c r="B1670" s="46" t="s">
        <v>4399</v>
      </c>
      <c r="C1670" s="46" t="s">
        <v>35</v>
      </c>
      <c r="D1670" s="60">
        <v>2027</v>
      </c>
      <c r="E1670" s="60"/>
      <c r="F1670" s="46" t="s">
        <v>225</v>
      </c>
      <c r="G1670" s="46" t="s">
        <v>159</v>
      </c>
      <c r="H1670" s="46" t="s">
        <v>592</v>
      </c>
      <c r="I1670" s="46" t="s">
        <v>166</v>
      </c>
      <c r="J1670" s="46"/>
      <c r="K1670" s="46" t="s">
        <v>68</v>
      </c>
      <c r="L1670" s="46"/>
      <c r="M1670" s="46"/>
      <c r="N1670" s="46"/>
      <c r="O1670" s="46"/>
      <c r="P1670" s="46"/>
      <c r="Q1670" s="46"/>
      <c r="R1670" s="46"/>
      <c r="S1670" s="46"/>
      <c r="T1670" s="46"/>
      <c r="U1670" s="46"/>
      <c r="V1670" s="46"/>
      <c r="W1670" s="46"/>
      <c r="X1670" s="46"/>
      <c r="Y1670" s="46"/>
      <c r="Z1670" s="46" t="s">
        <v>1664</v>
      </c>
      <c r="AA1670" s="61">
        <v>300</v>
      </c>
      <c r="AB1670" s="62">
        <f>IF(OR(G1670="ALK",G1670="PEM",G1670="SOEC",G1670="Other Electrolysis"),
AA1670/VLOOKUP(G1670,ElectrolysisConvF,3,FALSE),
AC1670*10^6/(H2dens*HoursInYear))</f>
        <v>66666.666666666672</v>
      </c>
      <c r="AC1670" s="63">
        <f>AB1670*H2dens*HoursInYear/10^6</f>
        <v>51.975999999999999</v>
      </c>
      <c r="AD1670" s="62"/>
      <c r="AE1670" s="62">
        <f t="shared" si="182"/>
        <v>66666.666666666672</v>
      </c>
      <c r="AF1670" s="64" t="s">
        <v>4400</v>
      </c>
      <c r="AG1670" s="49">
        <v>0.56999999999999995</v>
      </c>
    </row>
    <row r="1671" spans="1:33" customFormat="1" ht="35.1" customHeight="1" x14ac:dyDescent="0.3">
      <c r="A1671" s="46">
        <v>2219</v>
      </c>
      <c r="B1671" s="46" t="s">
        <v>4401</v>
      </c>
      <c r="C1671" s="46" t="s">
        <v>50</v>
      </c>
      <c r="D1671" s="60">
        <v>2028</v>
      </c>
      <c r="E1671" s="60"/>
      <c r="F1671" s="46" t="s">
        <v>225</v>
      </c>
      <c r="G1671" s="46" t="s">
        <v>161</v>
      </c>
      <c r="H1671" s="46" t="s">
        <v>882</v>
      </c>
      <c r="I1671" s="46"/>
      <c r="J1671" s="46"/>
      <c r="K1671" s="46" t="s">
        <v>68</v>
      </c>
      <c r="L1671" s="46"/>
      <c r="M1671" s="46"/>
      <c r="N1671" s="46"/>
      <c r="O1671" s="46"/>
      <c r="P1671" s="46"/>
      <c r="Q1671" s="46"/>
      <c r="R1671" s="46"/>
      <c r="S1671" s="46"/>
      <c r="T1671" s="46"/>
      <c r="U1671" s="46"/>
      <c r="V1671" s="46"/>
      <c r="W1671" s="46"/>
      <c r="X1671" s="46"/>
      <c r="Y1671" s="46"/>
      <c r="Z1671" s="46" t="s">
        <v>4402</v>
      </c>
      <c r="AA1671" s="61" t="str">
        <f>IF(OR(G1671="ALK",G1671="PEM",G1671="SOEC",G1671="Other Electrolysis"),
AB1671*VLOOKUP(G1671,ElectrolysisConvF,3,FALSE),
"")</f>
        <v/>
      </c>
      <c r="AB1671" s="62">
        <f>AC1671/(0.089*24*365/10^6)</f>
        <v>384792.98137601966</v>
      </c>
      <c r="AC1671" s="62">
        <v>300</v>
      </c>
      <c r="AD1671" s="62"/>
      <c r="AE1671" s="62">
        <f t="shared" si="182"/>
        <v>0</v>
      </c>
      <c r="AF1671" s="64" t="s">
        <v>4403</v>
      </c>
      <c r="AG1671" s="49">
        <v>0.9</v>
      </c>
    </row>
    <row r="1672" spans="1:33" customFormat="1" ht="35.1" customHeight="1" x14ac:dyDescent="0.3">
      <c r="A1672" s="46">
        <v>2220</v>
      </c>
      <c r="B1672" s="46" t="s">
        <v>4404</v>
      </c>
      <c r="C1672" s="46" t="s">
        <v>121</v>
      </c>
      <c r="D1672" s="60"/>
      <c r="E1672" s="60"/>
      <c r="F1672" s="46" t="s">
        <v>225</v>
      </c>
      <c r="G1672" s="46" t="s">
        <v>159</v>
      </c>
      <c r="H1672" s="46" t="s">
        <v>592</v>
      </c>
      <c r="I1672" s="46" t="s">
        <v>169</v>
      </c>
      <c r="J1672" s="46" t="s">
        <v>69</v>
      </c>
      <c r="K1672" s="46" t="s">
        <v>68</v>
      </c>
      <c r="L1672" s="46"/>
      <c r="M1672" s="46"/>
      <c r="N1672" s="46">
        <v>1</v>
      </c>
      <c r="O1672" s="46"/>
      <c r="P1672" s="46"/>
      <c r="Q1672" s="46"/>
      <c r="R1672" s="46"/>
      <c r="S1672" s="46"/>
      <c r="T1672" s="46"/>
      <c r="U1672" s="46"/>
      <c r="V1672" s="46">
        <v>1</v>
      </c>
      <c r="W1672" s="46"/>
      <c r="X1672" s="46"/>
      <c r="Y1672" s="46"/>
      <c r="Z1672" s="46" t="s">
        <v>4405</v>
      </c>
      <c r="AA1672" s="63">
        <f>IF(OR(G1672="ALK",G1672="PEM",G1672="SOEC",G1672="Other Electrolysis"),
AB1672*VLOOKUP(G1672,ElectrolysisConvF,3,FALSE),
"")</f>
        <v>207.78820994305062</v>
      </c>
      <c r="AB1672" s="62">
        <f>AC1672/(H2dens*HoursInYear/10^6)</f>
        <v>46175.157765122363</v>
      </c>
      <c r="AC1672" s="62">
        <f>18/H2ProjectDB4578610[[#This Row],[Column33]]</f>
        <v>36</v>
      </c>
      <c r="AD1672" s="62"/>
      <c r="AE1672" s="62">
        <f t="shared" si="182"/>
        <v>46175.157765122363</v>
      </c>
      <c r="AF1672" s="64" t="s">
        <v>4406</v>
      </c>
      <c r="AG1672" s="49">
        <v>0.5</v>
      </c>
    </row>
    <row r="1673" spans="1:33" customFormat="1" ht="35.1" customHeight="1" x14ac:dyDescent="0.3">
      <c r="A1673" s="46">
        <v>2221</v>
      </c>
      <c r="B1673" s="46" t="s">
        <v>4407</v>
      </c>
      <c r="C1673" s="46" t="s">
        <v>42</v>
      </c>
      <c r="D1673" s="60">
        <v>2030</v>
      </c>
      <c r="E1673" s="60"/>
      <c r="F1673" s="46" t="s">
        <v>591</v>
      </c>
      <c r="G1673" s="46" t="s">
        <v>153</v>
      </c>
      <c r="H1673" s="46" t="s">
        <v>1715</v>
      </c>
      <c r="I1673" s="46"/>
      <c r="J1673" s="46"/>
      <c r="K1673" s="46" t="s">
        <v>68</v>
      </c>
      <c r="L1673" s="46"/>
      <c r="M1673" s="46"/>
      <c r="N1673" s="46"/>
      <c r="O1673" s="46"/>
      <c r="P1673" s="46">
        <v>1</v>
      </c>
      <c r="Q1673" s="46">
        <v>1</v>
      </c>
      <c r="R1673" s="46">
        <v>1</v>
      </c>
      <c r="S1673" s="46"/>
      <c r="T1673" s="46"/>
      <c r="U1673" s="46"/>
      <c r="V1673" s="46"/>
      <c r="W1673" s="46"/>
      <c r="X1673" s="46"/>
      <c r="Y1673" s="46"/>
      <c r="Z1673" s="46" t="s">
        <v>4408</v>
      </c>
      <c r="AA1673" s="61" t="str">
        <f>IF(OR(G1673="ALK",G1673="PEM",G1673="SOEC",G1673="Other Electrolysis"),
AB1673*VLOOKUP(G1673,ElectrolysisConvF,3,FALSE),
"")</f>
        <v/>
      </c>
      <c r="AB1673" s="62">
        <f>AC1673/(H2dens*HoursInYear/10^6)</f>
        <v>8016.5204453337446</v>
      </c>
      <c r="AC1673" s="62">
        <f>6.25</f>
        <v>6.25</v>
      </c>
      <c r="AD1673" s="62"/>
      <c r="AE1673" s="62">
        <f t="shared" si="182"/>
        <v>8016.5204453337446</v>
      </c>
      <c r="AF1673" s="64" t="s">
        <v>4409</v>
      </c>
      <c r="AG1673" s="49">
        <v>0.9</v>
      </c>
    </row>
    <row r="1674" spans="1:33" customFormat="1" ht="35.1" customHeight="1" x14ac:dyDescent="0.3">
      <c r="A1674" s="46">
        <v>2222</v>
      </c>
      <c r="B1674" s="46" t="s">
        <v>4410</v>
      </c>
      <c r="C1674" s="46" t="s">
        <v>42</v>
      </c>
      <c r="D1674" s="60"/>
      <c r="E1674" s="60"/>
      <c r="F1674" s="46" t="s">
        <v>591</v>
      </c>
      <c r="G1674" s="46" t="s">
        <v>153</v>
      </c>
      <c r="H1674" s="46" t="s">
        <v>1715</v>
      </c>
      <c r="I1674" s="46"/>
      <c r="J1674" s="46"/>
      <c r="K1674" s="46" t="s">
        <v>68</v>
      </c>
      <c r="L1674" s="46"/>
      <c r="M1674" s="46"/>
      <c r="N1674" s="46"/>
      <c r="O1674" s="46"/>
      <c r="P1674" s="46">
        <v>1</v>
      </c>
      <c r="Q1674" s="46">
        <v>1</v>
      </c>
      <c r="R1674" s="46">
        <v>1</v>
      </c>
      <c r="S1674" s="46"/>
      <c r="T1674" s="46"/>
      <c r="U1674" s="46"/>
      <c r="V1674" s="46"/>
      <c r="W1674" s="46"/>
      <c r="X1674" s="46"/>
      <c r="Y1674" s="46"/>
      <c r="Z1674" s="46" t="s">
        <v>4411</v>
      </c>
      <c r="AA1674" s="61" t="str">
        <f>IF(OR(G1674="ALK",G1674="PEM",G1674="SOEC",G1674="Other Electrolysis"),
AB1674*VLOOKUP(G1674,ElectrolysisConvF,3,FALSE),
"")</f>
        <v/>
      </c>
      <c r="AB1674" s="62">
        <f>AC1674/(H2dens*HoursInYear/10^6)</f>
        <v>96198.245344004928</v>
      </c>
      <c r="AC1674" s="62">
        <v>75</v>
      </c>
      <c r="AD1674" s="62"/>
      <c r="AE1674" s="62">
        <f t="shared" si="182"/>
        <v>96198.245344004928</v>
      </c>
      <c r="AF1674" s="64" t="s">
        <v>4409</v>
      </c>
      <c r="AG1674" s="49">
        <v>0.9</v>
      </c>
    </row>
    <row r="1675" spans="1:33" customFormat="1" ht="35.1" customHeight="1" x14ac:dyDescent="0.3">
      <c r="A1675" s="46">
        <v>2223</v>
      </c>
      <c r="B1675" s="46" t="s">
        <v>4412</v>
      </c>
      <c r="C1675" s="46" t="s">
        <v>40</v>
      </c>
      <c r="D1675" s="60">
        <v>2028</v>
      </c>
      <c r="E1675" s="60"/>
      <c r="F1675" s="46" t="s">
        <v>591</v>
      </c>
      <c r="G1675" s="46" t="s">
        <v>161</v>
      </c>
      <c r="H1675" s="46" t="s">
        <v>882</v>
      </c>
      <c r="I1675" s="46" t="str">
        <f>IF(AND(G1675&lt;&gt;"ALK",G1675&lt;&gt;"PEM",G1675&lt;&gt;"SOEC",G1675&lt;&gt;"Other electrolysis"),"N/A","")</f>
        <v>N/A</v>
      </c>
      <c r="J1675" s="46" t="str">
        <f>IF(I1675&lt;&gt;"Dedicated renewable","N/A",)</f>
        <v>N/A</v>
      </c>
      <c r="K1675" s="46" t="s">
        <v>141</v>
      </c>
      <c r="L1675" s="46"/>
      <c r="M1675" s="46"/>
      <c r="N1675" s="46"/>
      <c r="O1675" s="46"/>
      <c r="P1675" s="46"/>
      <c r="Q1675" s="46"/>
      <c r="R1675" s="46"/>
      <c r="S1675" s="46"/>
      <c r="T1675" s="46"/>
      <c r="U1675" s="46"/>
      <c r="V1675" s="46"/>
      <c r="W1675" s="46"/>
      <c r="X1675" s="46"/>
      <c r="Y1675" s="46"/>
      <c r="Z1675" s="46" t="s">
        <v>4413</v>
      </c>
      <c r="AA1675" s="61" t="str">
        <f>IF(OR(G1675="ALK",G1675="PEM",G1675="SOEC",G1675="Other Electrolysis"),
AB1675*VLOOKUP(G1675,ElectrolysisConvF,3,FALSE),
"")</f>
        <v/>
      </c>
      <c r="AB1675" s="62">
        <f>IF(OR(G1675="ALK",G1675="PEM",G1675="SOEC",G1675="Other Electrolysis"),
AA1675/VLOOKUP(G1675,ElectrolysisConvF,3,FALSE),
AC1675*10^6/(H2dens*HoursInYear))</f>
        <v>505820.30565035011</v>
      </c>
      <c r="AC1675" s="62">
        <f>6*365*3/17/0.98</f>
        <v>394.35774309723894</v>
      </c>
      <c r="AD1675" s="62">
        <f>2.87*10^6</f>
        <v>2870000</v>
      </c>
      <c r="AE1675" s="62">
        <f t="shared" si="182"/>
        <v>359830.39074822154</v>
      </c>
      <c r="AF1675" s="64" t="s">
        <v>4414</v>
      </c>
      <c r="AG1675" s="49">
        <v>0.9</v>
      </c>
    </row>
    <row r="1676" spans="1:33" customFormat="1" ht="35.1" customHeight="1" x14ac:dyDescent="0.3">
      <c r="A1676" s="46">
        <v>2224</v>
      </c>
      <c r="B1676" s="46" t="s">
        <v>4415</v>
      </c>
      <c r="C1676" s="46" t="s">
        <v>132</v>
      </c>
      <c r="D1676" s="60">
        <v>2026</v>
      </c>
      <c r="E1676" s="60"/>
      <c r="F1676" s="46" t="s">
        <v>591</v>
      </c>
      <c r="G1676" s="46" t="s">
        <v>159</v>
      </c>
      <c r="H1676" s="46" t="s">
        <v>592</v>
      </c>
      <c r="I1676" s="46" t="s">
        <v>169</v>
      </c>
      <c r="J1676" s="46" t="s">
        <v>69</v>
      </c>
      <c r="K1676" s="46" t="s">
        <v>141</v>
      </c>
      <c r="L1676" s="46"/>
      <c r="M1676" s="46"/>
      <c r="N1676" s="46"/>
      <c r="O1676" s="46"/>
      <c r="P1676" s="46"/>
      <c r="Q1676" s="46"/>
      <c r="R1676" s="46"/>
      <c r="S1676" s="46"/>
      <c r="T1676" s="46"/>
      <c r="U1676" s="46"/>
      <c r="V1676" s="46"/>
      <c r="W1676" s="46"/>
      <c r="X1676" s="46"/>
      <c r="Y1676" s="46"/>
      <c r="Z1676" s="46" t="s">
        <v>4416</v>
      </c>
      <c r="AA1676" s="61">
        <v>4500</v>
      </c>
      <c r="AB1676" s="62">
        <f>IF(OR(G1676="ALK",G1676="PEM",G1676="SOEC",G1676="Other Electrolysis"),
AA1676/VLOOKUP(G1676,ElectrolysisConvF,3,FALSE),
AC1676*10^6/(H2dens*HoursInYear))</f>
        <v>1000000.0000000001</v>
      </c>
      <c r="AC1676" s="63">
        <f>AB1676*H2dens*HoursInYear/10^6</f>
        <v>779.64</v>
      </c>
      <c r="AD1676" s="62"/>
      <c r="AE1676" s="62">
        <f t="shared" si="182"/>
        <v>1000000.0000000001</v>
      </c>
      <c r="AF1676" s="64" t="s">
        <v>4417</v>
      </c>
      <c r="AG1676" s="49">
        <v>0.5</v>
      </c>
    </row>
    <row r="1677" spans="1:33" customFormat="1" ht="35.1" customHeight="1" x14ac:dyDescent="0.3">
      <c r="A1677" s="46">
        <v>2225</v>
      </c>
      <c r="B1677" s="46" t="s">
        <v>4418</v>
      </c>
      <c r="C1677" s="46" t="s">
        <v>67</v>
      </c>
      <c r="D1677" s="60">
        <v>2030</v>
      </c>
      <c r="E1677" s="60"/>
      <c r="F1677" s="46" t="s">
        <v>225</v>
      </c>
      <c r="G1677" s="46" t="s">
        <v>159</v>
      </c>
      <c r="H1677" s="46" t="s">
        <v>592</v>
      </c>
      <c r="I1677" s="46" t="s">
        <v>169</v>
      </c>
      <c r="J1677" s="46" t="s">
        <v>69</v>
      </c>
      <c r="K1677" s="46" t="s">
        <v>68</v>
      </c>
      <c r="L1677" s="46"/>
      <c r="M1677" s="46">
        <v>1</v>
      </c>
      <c r="N1677" s="46">
        <v>1</v>
      </c>
      <c r="O1677" s="46"/>
      <c r="P1677" s="46">
        <v>1</v>
      </c>
      <c r="Q1677" s="46"/>
      <c r="R1677" s="46"/>
      <c r="S1677" s="46"/>
      <c r="T1677" s="46"/>
      <c r="U1677" s="46"/>
      <c r="V1677" s="46"/>
      <c r="W1677" s="46"/>
      <c r="X1677" s="46"/>
      <c r="Y1677" s="46"/>
      <c r="Z1677" s="46" t="s">
        <v>4419</v>
      </c>
      <c r="AA1677" s="63">
        <f>IF(OR(G1677="ALK",G1677="PEM",G1677="SOEC",G1677="Other Electrolysis"),
AB1677*VLOOKUP(G1677,ElectrolysisConvF,3,FALSE),
"")</f>
        <v>404.03263044482071</v>
      </c>
      <c r="AB1677" s="62">
        <f>AC1677/(H2dens*HoursInYear/10^6)</f>
        <v>89785.02898773794</v>
      </c>
      <c r="AC1677" s="62">
        <f>35/H2ProjectDB4578610[[#This Row],[Column33]]</f>
        <v>70</v>
      </c>
      <c r="AD1677" s="62"/>
      <c r="AE1677" s="62">
        <f t="shared" si="182"/>
        <v>89785.02898773794</v>
      </c>
      <c r="AF1677" s="64" t="s">
        <v>4420</v>
      </c>
      <c r="AG1677" s="49">
        <v>0.5</v>
      </c>
    </row>
    <row r="1678" spans="1:33" customFormat="1" ht="35.1" customHeight="1" x14ac:dyDescent="0.3">
      <c r="A1678" s="46">
        <v>2226</v>
      </c>
      <c r="B1678" s="46" t="s">
        <v>4421</v>
      </c>
      <c r="C1678" s="46" t="s">
        <v>37</v>
      </c>
      <c r="D1678" s="60">
        <v>2028</v>
      </c>
      <c r="E1678" s="60"/>
      <c r="F1678" s="46" t="s">
        <v>225</v>
      </c>
      <c r="G1678" s="46" t="s">
        <v>159</v>
      </c>
      <c r="H1678" s="46" t="s">
        <v>592</v>
      </c>
      <c r="I1678" s="46" t="s">
        <v>169</v>
      </c>
      <c r="J1678" s="46" t="s">
        <v>245</v>
      </c>
      <c r="K1678" s="46" t="s">
        <v>141</v>
      </c>
      <c r="L1678" s="46"/>
      <c r="M1678" s="46">
        <v>1</v>
      </c>
      <c r="N1678" s="46"/>
      <c r="O1678" s="46"/>
      <c r="P1678" s="46"/>
      <c r="Q1678" s="46"/>
      <c r="R1678" s="46"/>
      <c r="S1678" s="46"/>
      <c r="T1678" s="46"/>
      <c r="U1678" s="46"/>
      <c r="V1678" s="46"/>
      <c r="W1678" s="46"/>
      <c r="X1678" s="46"/>
      <c r="Y1678" s="46"/>
      <c r="Z1678" s="46" t="s">
        <v>4422</v>
      </c>
      <c r="AA1678" s="63">
        <f>IF(OR(G1678="ALK",G1678="PEM",G1678="SOEC",G1678="Other Electrolysis"),
AB1678*VLOOKUP(G1678,ElectrolysisConvF,3,FALSE),
"")</f>
        <v>5196.7839621611292</v>
      </c>
      <c r="AB1678" s="62">
        <f>AC1678/(H2dens*HoursInYear/10^6)</f>
        <v>1154840.880480251</v>
      </c>
      <c r="AC1678" s="62">
        <f>2000*3/17/0.98/H2ProjectDB4578610[[#This Row],[Column33]]</f>
        <v>900.36014405762296</v>
      </c>
      <c r="AD1678" s="62"/>
      <c r="AE1678" s="62">
        <f t="shared" si="182"/>
        <v>1154840.880480251</v>
      </c>
      <c r="AF1678" s="64" t="s">
        <v>4423</v>
      </c>
      <c r="AG1678" s="49">
        <v>0.4</v>
      </c>
    </row>
    <row r="1679" spans="1:33" customFormat="1" ht="35.1" customHeight="1" x14ac:dyDescent="0.3">
      <c r="A1679" s="46">
        <v>2227</v>
      </c>
      <c r="B1679" s="46" t="s">
        <v>4424</v>
      </c>
      <c r="C1679" s="46" t="s">
        <v>321</v>
      </c>
      <c r="D1679" s="60">
        <v>2027</v>
      </c>
      <c r="E1679" s="60"/>
      <c r="F1679" s="46" t="s">
        <v>225</v>
      </c>
      <c r="G1679" s="46" t="s">
        <v>159</v>
      </c>
      <c r="H1679" s="46" t="s">
        <v>592</v>
      </c>
      <c r="I1679" s="46" t="s">
        <v>169</v>
      </c>
      <c r="J1679" s="46" t="s">
        <v>248</v>
      </c>
      <c r="K1679" s="46" t="s">
        <v>68</v>
      </c>
      <c r="L1679" s="46"/>
      <c r="M1679" s="46"/>
      <c r="N1679" s="46"/>
      <c r="O1679" s="46"/>
      <c r="P1679" s="46"/>
      <c r="Q1679" s="46"/>
      <c r="R1679" s="46"/>
      <c r="S1679" s="46"/>
      <c r="T1679" s="46"/>
      <c r="U1679" s="46"/>
      <c r="V1679" s="46"/>
      <c r="W1679" s="46"/>
      <c r="X1679" s="46"/>
      <c r="Y1679" s="46"/>
      <c r="Z1679" s="46" t="s">
        <v>2872</v>
      </c>
      <c r="AA1679" s="61">
        <v>800</v>
      </c>
      <c r="AB1679" s="62">
        <f>IF(OR(G1679="ALK",G1679="PEM",G1679="SOEC",G1679="Other Electrolysis"),
AA1679/VLOOKUP(G1679,ElectrolysisConvF,3,FALSE),
AC1679*10^6/(H2dens*HoursInYear))</f>
        <v>177777.77777777778</v>
      </c>
      <c r="AC1679" s="63">
        <f>AB1679*H2dens*HoursInYear/10^6</f>
        <v>138.60266666666666</v>
      </c>
      <c r="AD1679" s="62"/>
      <c r="AE1679" s="62">
        <f t="shared" si="182"/>
        <v>177777.77777777778</v>
      </c>
      <c r="AF1679" s="64" t="s">
        <v>4425</v>
      </c>
      <c r="AG1679" s="49">
        <v>0.5</v>
      </c>
    </row>
    <row r="1680" spans="1:33" customFormat="1" ht="35.1" customHeight="1" x14ac:dyDescent="0.3">
      <c r="A1680" s="46">
        <v>2228</v>
      </c>
      <c r="B1680" s="46" t="s">
        <v>4426</v>
      </c>
      <c r="C1680" s="46" t="s">
        <v>321</v>
      </c>
      <c r="D1680" s="60">
        <v>2030</v>
      </c>
      <c r="E1680" s="60"/>
      <c r="F1680" s="46" t="s">
        <v>591</v>
      </c>
      <c r="G1680" s="46" t="s">
        <v>159</v>
      </c>
      <c r="H1680" s="46" t="s">
        <v>592</v>
      </c>
      <c r="I1680" s="46" t="s">
        <v>169</v>
      </c>
      <c r="J1680" s="46" t="s">
        <v>248</v>
      </c>
      <c r="K1680" s="46" t="s">
        <v>68</v>
      </c>
      <c r="L1680" s="46"/>
      <c r="M1680" s="46"/>
      <c r="N1680" s="46"/>
      <c r="O1680" s="46"/>
      <c r="P1680" s="46"/>
      <c r="Q1680" s="46"/>
      <c r="R1680" s="46"/>
      <c r="S1680" s="46"/>
      <c r="T1680" s="46"/>
      <c r="U1680" s="46"/>
      <c r="V1680" s="46"/>
      <c r="W1680" s="46"/>
      <c r="X1680" s="46"/>
      <c r="Y1680" s="46"/>
      <c r="Z1680" s="46" t="s">
        <v>2872</v>
      </c>
      <c r="AA1680" s="61">
        <v>800</v>
      </c>
      <c r="AB1680" s="62">
        <f>IF(OR(G1680="ALK",G1680="PEM",G1680="SOEC",G1680="Other Electrolysis"),
AA1680/VLOOKUP(G1680,ElectrolysisConvF,3,FALSE),
AC1680*10^6/(H2dens*HoursInYear))</f>
        <v>177777.77777777778</v>
      </c>
      <c r="AC1680" s="63">
        <f>AB1680*H2dens*HoursInYear/10^6</f>
        <v>138.60266666666666</v>
      </c>
      <c r="AD1680" s="62"/>
      <c r="AE1680" s="62">
        <f t="shared" si="182"/>
        <v>177777.77777777778</v>
      </c>
      <c r="AF1680" s="64" t="s">
        <v>4425</v>
      </c>
      <c r="AG1680" s="49">
        <v>0.5</v>
      </c>
    </row>
    <row r="1681" spans="1:33" customFormat="1" ht="35.1" customHeight="1" x14ac:dyDescent="0.3">
      <c r="A1681" s="46">
        <v>2229</v>
      </c>
      <c r="B1681" s="46" t="s">
        <v>4427</v>
      </c>
      <c r="C1681" s="46" t="s">
        <v>102</v>
      </c>
      <c r="D1681" s="60">
        <v>2027</v>
      </c>
      <c r="E1681" s="60"/>
      <c r="F1681" s="46" t="s">
        <v>225</v>
      </c>
      <c r="G1681" s="46" t="s">
        <v>159</v>
      </c>
      <c r="H1681" s="46" t="s">
        <v>592</v>
      </c>
      <c r="I1681" s="46" t="s">
        <v>169</v>
      </c>
      <c r="J1681" s="46" t="s">
        <v>245</v>
      </c>
      <c r="K1681" s="46" t="s">
        <v>68</v>
      </c>
      <c r="L1681" s="46"/>
      <c r="M1681" s="46"/>
      <c r="N1681" s="46"/>
      <c r="O1681" s="46"/>
      <c r="P1681" s="46"/>
      <c r="Q1681" s="46"/>
      <c r="R1681" s="46"/>
      <c r="S1681" s="46"/>
      <c r="T1681" s="46"/>
      <c r="U1681" s="46"/>
      <c r="V1681" s="46"/>
      <c r="W1681" s="46"/>
      <c r="X1681" s="46"/>
      <c r="Y1681" s="46"/>
      <c r="Z1681" s="46" t="s">
        <v>4428</v>
      </c>
      <c r="AA1681" s="61">
        <v>213</v>
      </c>
      <c r="AB1681" s="62">
        <f>IF(OR(G1681="ALK",G1681="PEM",G1681="SOEC",G1681="Other Electrolysis"),
AA1681/VLOOKUP(G1681,ElectrolysisConvF,3,FALSE),
AC1681*10^6/(H2dens*HoursInYear))</f>
        <v>47333.333333333336</v>
      </c>
      <c r="AC1681" s="63">
        <f>AB1681*H2dens*HoursInYear/10^6</f>
        <v>36.90296</v>
      </c>
      <c r="AD1681" s="62"/>
      <c r="AE1681" s="62">
        <f t="shared" si="182"/>
        <v>47333.333333333336</v>
      </c>
      <c r="AF1681" s="64" t="s">
        <v>4429</v>
      </c>
      <c r="AG1681" s="49">
        <v>0.4</v>
      </c>
    </row>
    <row r="1682" spans="1:33" customFormat="1" ht="35.1" customHeight="1" x14ac:dyDescent="0.3">
      <c r="A1682" s="46">
        <v>2230</v>
      </c>
      <c r="B1682" s="46" t="s">
        <v>4430</v>
      </c>
      <c r="C1682" s="46" t="s">
        <v>40</v>
      </c>
      <c r="D1682" s="60"/>
      <c r="E1682" s="60"/>
      <c r="F1682" s="46" t="s">
        <v>225</v>
      </c>
      <c r="G1682" s="46" t="s">
        <v>159</v>
      </c>
      <c r="H1682" s="46" t="s">
        <v>592</v>
      </c>
      <c r="I1682" s="46" t="s">
        <v>169</v>
      </c>
      <c r="J1682" s="46" t="s">
        <v>245</v>
      </c>
      <c r="K1682" s="46" t="s">
        <v>141</v>
      </c>
      <c r="L1682" s="46"/>
      <c r="M1682" s="46">
        <v>1</v>
      </c>
      <c r="N1682" s="46"/>
      <c r="O1682" s="46"/>
      <c r="P1682" s="46"/>
      <c r="Q1682" s="46"/>
      <c r="R1682" s="46"/>
      <c r="S1682" s="46"/>
      <c r="T1682" s="46"/>
      <c r="U1682" s="46"/>
      <c r="V1682" s="46"/>
      <c r="W1682" s="46"/>
      <c r="X1682" s="46"/>
      <c r="Y1682" s="46"/>
      <c r="Z1682" s="46" t="s">
        <v>1257</v>
      </c>
      <c r="AA1682" s="61">
        <v>100</v>
      </c>
      <c r="AB1682" s="62">
        <f>IF(OR(G1682="ALK",G1682="PEM",G1682="SOEC",G1682="Other Electrolysis"),
AA1682/VLOOKUP(G1682,ElectrolysisConvF,3,FALSE),
AC1682*10^6/(H2dens*HoursInYear))</f>
        <v>22222.222222222223</v>
      </c>
      <c r="AC1682" s="63">
        <f>AB1682*H2dens*HoursInYear/10^6</f>
        <v>17.325333333333333</v>
      </c>
      <c r="AD1682" s="62"/>
      <c r="AE1682" s="62">
        <f t="shared" si="182"/>
        <v>22222.222222222223</v>
      </c>
      <c r="AF1682" s="64" t="s">
        <v>4431</v>
      </c>
      <c r="AG1682" s="49">
        <v>0.4</v>
      </c>
    </row>
    <row r="1683" spans="1:33" customFormat="1" ht="35.1" customHeight="1" x14ac:dyDescent="0.3">
      <c r="A1683" s="46">
        <v>2231</v>
      </c>
      <c r="B1683" s="46" t="s">
        <v>4432</v>
      </c>
      <c r="C1683" s="46" t="s">
        <v>447</v>
      </c>
      <c r="D1683" s="60"/>
      <c r="E1683" s="60"/>
      <c r="F1683" s="46" t="s">
        <v>591</v>
      </c>
      <c r="G1683" s="46" t="s">
        <v>159</v>
      </c>
      <c r="H1683" s="46" t="s">
        <v>592</v>
      </c>
      <c r="I1683" s="46" t="s">
        <v>169</v>
      </c>
      <c r="J1683" s="46" t="s">
        <v>248</v>
      </c>
      <c r="K1683" s="46" t="s">
        <v>68</v>
      </c>
      <c r="L1683" s="46"/>
      <c r="M1683" s="46"/>
      <c r="N1683" s="46"/>
      <c r="O1683" s="46"/>
      <c r="P1683" s="46"/>
      <c r="Q1683" s="46"/>
      <c r="R1683" s="46"/>
      <c r="S1683" s="46"/>
      <c r="T1683" s="46"/>
      <c r="U1683" s="46"/>
      <c r="V1683" s="46"/>
      <c r="W1683" s="46"/>
      <c r="X1683" s="46"/>
      <c r="Y1683" s="46"/>
      <c r="Z1683" s="46" t="s">
        <v>4433</v>
      </c>
      <c r="AA1683" s="63">
        <f>IF(OR(G1683="ALK",G1683="PEM",G1683="SOEC",G1683="Other Electrolysis"),
AB1683*VLOOKUP(G1683,ElectrolysisConvF,3,FALSE),
"")</f>
        <v>164.49899953824843</v>
      </c>
      <c r="AB1683" s="62">
        <f>AC1683/(H2dens*HoursInYear/10^6)</f>
        <v>36555.333230721873</v>
      </c>
      <c r="AC1683" s="62">
        <f>28.5</f>
        <v>28.5</v>
      </c>
      <c r="AD1683" s="62"/>
      <c r="AE1683" s="62">
        <f t="shared" si="182"/>
        <v>36555.333230721873</v>
      </c>
      <c r="AF1683" s="64" t="s">
        <v>4434</v>
      </c>
      <c r="AG1683" s="49">
        <v>0.5</v>
      </c>
    </row>
    <row r="1684" spans="1:33" customFormat="1" ht="35.1" customHeight="1" x14ac:dyDescent="0.3">
      <c r="A1684" s="46">
        <v>2232</v>
      </c>
      <c r="B1684" s="46" t="s">
        <v>4435</v>
      </c>
      <c r="C1684" s="46" t="s">
        <v>321</v>
      </c>
      <c r="D1684" s="60">
        <v>2025</v>
      </c>
      <c r="E1684" s="60"/>
      <c r="F1684" s="46" t="s">
        <v>225</v>
      </c>
      <c r="G1684" s="46" t="s">
        <v>159</v>
      </c>
      <c r="H1684" s="46" t="s">
        <v>592</v>
      </c>
      <c r="I1684" s="46" t="s">
        <v>169</v>
      </c>
      <c r="J1684" s="46" t="s">
        <v>244</v>
      </c>
      <c r="K1684" s="46" t="s">
        <v>68</v>
      </c>
      <c r="L1684" s="46"/>
      <c r="M1684" s="46"/>
      <c r="N1684" s="46"/>
      <c r="O1684" s="46"/>
      <c r="P1684" s="46"/>
      <c r="Q1684" s="46"/>
      <c r="R1684" s="46"/>
      <c r="S1684" s="46"/>
      <c r="T1684" s="46"/>
      <c r="U1684" s="46"/>
      <c r="V1684" s="46"/>
      <c r="W1684" s="46"/>
      <c r="X1684" s="46"/>
      <c r="Y1684" s="46"/>
      <c r="Z1684" s="46" t="s">
        <v>1654</v>
      </c>
      <c r="AA1684" s="61">
        <v>500</v>
      </c>
      <c r="AB1684" s="62">
        <f>IF(OR(G1684="ALK",G1684="PEM",G1684="SOEC",G1684="Other Electrolysis"),
AA1684/VLOOKUP(G1684,ElectrolysisConvF,3,FALSE),
AC1684*10^6/(H2dens*HoursInYear))</f>
        <v>111111.11111111112</v>
      </c>
      <c r="AC1684" s="63">
        <f>AB1684*H2dens*HoursInYear/10^6</f>
        <v>86.626666666666665</v>
      </c>
      <c r="AD1684" s="62"/>
      <c r="AE1684" s="62">
        <f t="shared" si="182"/>
        <v>111111.11111111112</v>
      </c>
      <c r="AF1684" s="64" t="s">
        <v>4436</v>
      </c>
      <c r="AG1684" s="49">
        <v>0.3</v>
      </c>
    </row>
    <row r="1685" spans="1:33" customFormat="1" ht="35.1" customHeight="1" x14ac:dyDescent="0.3">
      <c r="A1685" s="46">
        <v>2233</v>
      </c>
      <c r="B1685" s="46" t="s">
        <v>4437</v>
      </c>
      <c r="C1685" s="46" t="s">
        <v>203</v>
      </c>
      <c r="D1685" s="60">
        <v>2027</v>
      </c>
      <c r="E1685" s="60"/>
      <c r="F1685" s="46" t="s">
        <v>225</v>
      </c>
      <c r="G1685" s="46" t="s">
        <v>159</v>
      </c>
      <c r="H1685" s="46" t="s">
        <v>592</v>
      </c>
      <c r="I1685" s="46" t="s">
        <v>169</v>
      </c>
      <c r="J1685" s="46" t="s">
        <v>69</v>
      </c>
      <c r="K1685" s="46" t="s">
        <v>68</v>
      </c>
      <c r="L1685" s="46"/>
      <c r="M1685" s="46"/>
      <c r="N1685" s="46"/>
      <c r="O1685" s="46"/>
      <c r="P1685" s="46"/>
      <c r="Q1685" s="46"/>
      <c r="R1685" s="46"/>
      <c r="S1685" s="46"/>
      <c r="T1685" s="46"/>
      <c r="U1685" s="46"/>
      <c r="V1685" s="46"/>
      <c r="W1685" s="46"/>
      <c r="X1685" s="46"/>
      <c r="Y1685" s="46"/>
      <c r="Z1685" s="46" t="s">
        <v>4438</v>
      </c>
      <c r="AA1685" s="61">
        <v>210</v>
      </c>
      <c r="AB1685" s="62">
        <f>IF(OR(G1685="ALK",G1685="PEM",G1685="SOEC",G1685="Other Electrolysis"),
AA1685/VLOOKUP(G1685,ElectrolysisConvF,3,FALSE),
AC1685*10^6/(H2dens*HoursInYear))</f>
        <v>46666.666666666672</v>
      </c>
      <c r="AC1685" s="63">
        <f>AB1685*H2dens*HoursInYear/10^6</f>
        <v>36.383200000000009</v>
      </c>
      <c r="AD1685" s="62"/>
      <c r="AE1685" s="62">
        <f t="shared" si="182"/>
        <v>46666.666666666672</v>
      </c>
      <c r="AF1685" s="64" t="s">
        <v>4439</v>
      </c>
      <c r="AG1685" s="49">
        <v>0.5</v>
      </c>
    </row>
    <row r="1686" spans="1:33" customFormat="1" ht="35.1" customHeight="1" x14ac:dyDescent="0.3">
      <c r="A1686" s="46">
        <v>2234</v>
      </c>
      <c r="B1686" s="46" t="s">
        <v>4440</v>
      </c>
      <c r="C1686" s="46" t="s">
        <v>64</v>
      </c>
      <c r="D1686" s="60"/>
      <c r="E1686" s="60"/>
      <c r="F1686" s="46" t="s">
        <v>591</v>
      </c>
      <c r="G1686" s="46" t="s">
        <v>159</v>
      </c>
      <c r="H1686" s="46" t="s">
        <v>592</v>
      </c>
      <c r="I1686" s="46" t="s">
        <v>169</v>
      </c>
      <c r="J1686" s="46" t="s">
        <v>244</v>
      </c>
      <c r="K1686" s="46" t="s">
        <v>141</v>
      </c>
      <c r="L1686" s="46"/>
      <c r="M1686" s="46">
        <v>1</v>
      </c>
      <c r="N1686" s="46"/>
      <c r="O1686" s="46"/>
      <c r="P1686" s="46"/>
      <c r="Q1686" s="46"/>
      <c r="R1686" s="46"/>
      <c r="S1686" s="46"/>
      <c r="T1686" s="46"/>
      <c r="U1686" s="46"/>
      <c r="V1686" s="46"/>
      <c r="W1686" s="46"/>
      <c r="X1686" s="46"/>
      <c r="Y1686" s="46"/>
      <c r="Z1686" s="46" t="s">
        <v>4441</v>
      </c>
      <c r="AA1686" s="61">
        <f>IF(OR(G1686="ALK",G1686="PEM",G1686="SOEC",G1686="Other Electrolysis"),
AB1686*VLOOKUP(G1686,ElectrolysisConvF,3,FALSE),
"")</f>
        <v>1590.2158924213063</v>
      </c>
      <c r="AB1686" s="62">
        <f>AC1686/(H2dens*HoursInYear/10^6)</f>
        <v>353381.30942695698</v>
      </c>
      <c r="AC1686" s="62">
        <f>(459*3/17/0.98/H2ProjectDB4578610[[#This Row],[Column33]])</f>
        <v>275.51020408163271</v>
      </c>
      <c r="AD1686" s="62"/>
      <c r="AE1686" s="62">
        <f t="shared" si="182"/>
        <v>353381.30942695698</v>
      </c>
      <c r="AF1686" s="64" t="s">
        <v>4442</v>
      </c>
      <c r="AG1686" s="49">
        <v>0.3</v>
      </c>
    </row>
    <row r="1687" spans="1:33" customFormat="1" ht="35.1" customHeight="1" x14ac:dyDescent="0.3">
      <c r="A1687" s="46">
        <v>2235</v>
      </c>
      <c r="B1687" s="46" t="s">
        <v>4443</v>
      </c>
      <c r="C1687" s="46" t="s">
        <v>34</v>
      </c>
      <c r="D1687" s="60"/>
      <c r="E1687" s="60"/>
      <c r="F1687" s="46" t="s">
        <v>591</v>
      </c>
      <c r="G1687" s="46" t="s">
        <v>153</v>
      </c>
      <c r="H1687" s="46" t="s">
        <v>1715</v>
      </c>
      <c r="I1687" s="46"/>
      <c r="J1687" s="46"/>
      <c r="K1687" s="46" t="s">
        <v>68</v>
      </c>
      <c r="L1687" s="46"/>
      <c r="M1687" s="46"/>
      <c r="N1687" s="46"/>
      <c r="O1687" s="46"/>
      <c r="P1687" s="46"/>
      <c r="Q1687" s="46"/>
      <c r="R1687" s="46"/>
      <c r="S1687" s="46"/>
      <c r="T1687" s="46"/>
      <c r="U1687" s="46"/>
      <c r="V1687" s="46"/>
      <c r="W1687" s="46"/>
      <c r="X1687" s="46"/>
      <c r="Y1687" s="46"/>
      <c r="Z1687" s="46" t="s">
        <v>4444</v>
      </c>
      <c r="AA1687" s="61" t="str">
        <f>IF(OR(G1687="ALK",G1687="PEM",G1687="SOEC",G1687="Other Electrolysis"),
AB1687*VLOOKUP(G1687,ElectrolysisConvF,3,FALSE),
"")</f>
        <v/>
      </c>
      <c r="AB1687" s="62">
        <f>AC1687/(H2dens*HoursInYear/10^6)</f>
        <v>3562.897975703886</v>
      </c>
      <c r="AC1687" s="62">
        <f>2.5/H2ProjectDB4578610[[#This Row],[Column33]]</f>
        <v>2.7777777777777777</v>
      </c>
      <c r="AD1687" s="62"/>
      <c r="AE1687" s="62">
        <f t="shared" si="182"/>
        <v>3562.897975703886</v>
      </c>
      <c r="AF1687" s="64" t="s">
        <v>4445</v>
      </c>
      <c r="AG1687" s="49">
        <v>0.9</v>
      </c>
    </row>
    <row r="1688" spans="1:33" customFormat="1" ht="35.1" customHeight="1" x14ac:dyDescent="0.3">
      <c r="A1688" s="46">
        <v>2236</v>
      </c>
      <c r="B1688" s="46" t="s">
        <v>4446</v>
      </c>
      <c r="C1688" s="46" t="s">
        <v>43</v>
      </c>
      <c r="D1688" s="60">
        <v>2025</v>
      </c>
      <c r="E1688" s="60"/>
      <c r="F1688" s="46" t="s">
        <v>225</v>
      </c>
      <c r="G1688" s="46" t="s">
        <v>3</v>
      </c>
      <c r="H1688" s="46"/>
      <c r="I1688" s="46" t="s">
        <v>169</v>
      </c>
      <c r="J1688" s="46" t="s">
        <v>69</v>
      </c>
      <c r="K1688" s="46" t="s">
        <v>68</v>
      </c>
      <c r="L1688" s="46"/>
      <c r="M1688" s="46"/>
      <c r="N1688" s="46"/>
      <c r="O1688" s="46">
        <v>1</v>
      </c>
      <c r="P1688" s="46"/>
      <c r="Q1688" s="46"/>
      <c r="R1688" s="46"/>
      <c r="S1688" s="46"/>
      <c r="T1688" s="46"/>
      <c r="U1688" s="46"/>
      <c r="V1688" s="46"/>
      <c r="W1688" s="46"/>
      <c r="X1688" s="46"/>
      <c r="Y1688" s="46"/>
      <c r="Z1688" s="46" t="s">
        <v>3023</v>
      </c>
      <c r="AA1688" s="61">
        <v>12</v>
      </c>
      <c r="AB1688" s="62">
        <f>IF(OR(G1688="ALK",G1688="PEM",G1688="SOEC",G1688="Other Electrolysis"),
AA1688/VLOOKUP(G1688,ElectrolysisConvF,3,FALSE),
AC1688*10^6/(H2dens*HoursInYear))</f>
        <v>2608.695652173913</v>
      </c>
      <c r="AC1688" s="63">
        <f>AB1688*H2dens*HoursInYear/10^6</f>
        <v>2.0338434782608692</v>
      </c>
      <c r="AD1688" s="62"/>
      <c r="AE1688" s="62">
        <f t="shared" si="182"/>
        <v>2608.695652173913</v>
      </c>
      <c r="AF1688" s="64" t="s">
        <v>4447</v>
      </c>
      <c r="AG1688" s="49">
        <v>0.5</v>
      </c>
    </row>
    <row r="1689" spans="1:33" customFormat="1" ht="35.1" customHeight="1" x14ac:dyDescent="0.3">
      <c r="A1689" s="46">
        <v>2237</v>
      </c>
      <c r="B1689" s="46" t="s">
        <v>4448</v>
      </c>
      <c r="C1689" s="46" t="s">
        <v>42</v>
      </c>
      <c r="D1689" s="60">
        <v>2030</v>
      </c>
      <c r="E1689" s="60"/>
      <c r="F1689" s="46" t="s">
        <v>591</v>
      </c>
      <c r="G1689" s="46" t="s">
        <v>164</v>
      </c>
      <c r="H1689" s="46" t="s">
        <v>2289</v>
      </c>
      <c r="I1689" s="46"/>
      <c r="J1689" s="46"/>
      <c r="K1689" s="46" t="s">
        <v>68</v>
      </c>
      <c r="L1689" s="46">
        <v>1</v>
      </c>
      <c r="M1689" s="46"/>
      <c r="N1689" s="46"/>
      <c r="O1689" s="46"/>
      <c r="P1689" s="46"/>
      <c r="Q1689" s="46"/>
      <c r="R1689" s="46"/>
      <c r="S1689" s="46"/>
      <c r="T1689" s="46"/>
      <c r="U1689" s="46"/>
      <c r="V1689" s="46"/>
      <c r="W1689" s="46"/>
      <c r="X1689" s="46"/>
      <c r="Y1689" s="46"/>
      <c r="Z1689" s="46" t="s">
        <v>2462</v>
      </c>
      <c r="AA1689" s="61" t="str">
        <f>IF(OR(G1689="ALK",G1689="PEM",G1689="SOEC",G1689="Other Electrolysis"),
AB1689*VLOOKUP(G1689,ElectrolysisConvF,3,FALSE),
"")</f>
        <v/>
      </c>
      <c r="AB1689" s="62">
        <f>AC1689/(H2dens*HoursInYear/10^6)</f>
        <v>7802.7465667915103</v>
      </c>
      <c r="AC1689" s="62">
        <f>(15/1000*365)/H2ProjectDB4578610[[#This Row],[Column33]]</f>
        <v>6.083333333333333</v>
      </c>
      <c r="AD1689" s="62"/>
      <c r="AE1689" s="62">
        <f t="shared" si="182"/>
        <v>7802.7465667915103</v>
      </c>
      <c r="AF1689" s="64" t="s">
        <v>4449</v>
      </c>
      <c r="AG1689" s="49">
        <v>0.9</v>
      </c>
    </row>
    <row r="1690" spans="1:33" customFormat="1" ht="35.1" customHeight="1" x14ac:dyDescent="0.3">
      <c r="A1690" s="46">
        <v>2238</v>
      </c>
      <c r="B1690" s="46" t="s">
        <v>4450</v>
      </c>
      <c r="C1690" s="46" t="s">
        <v>37</v>
      </c>
      <c r="D1690" s="60"/>
      <c r="E1690" s="60"/>
      <c r="F1690" s="46" t="s">
        <v>591</v>
      </c>
      <c r="G1690" s="46" t="s">
        <v>159</v>
      </c>
      <c r="H1690" s="46" t="s">
        <v>592</v>
      </c>
      <c r="I1690" s="46" t="s">
        <v>169</v>
      </c>
      <c r="J1690" s="46" t="s">
        <v>245</v>
      </c>
      <c r="K1690" s="46" t="s">
        <v>141</v>
      </c>
      <c r="L1690" s="46"/>
      <c r="M1690" s="46"/>
      <c r="N1690" s="46"/>
      <c r="O1690" s="46"/>
      <c r="P1690" s="46"/>
      <c r="Q1690" s="46"/>
      <c r="R1690" s="46"/>
      <c r="S1690" s="46"/>
      <c r="T1690" s="46"/>
      <c r="U1690" s="46"/>
      <c r="V1690" s="46"/>
      <c r="W1690" s="46"/>
      <c r="X1690" s="46"/>
      <c r="Y1690" s="46"/>
      <c r="Z1690" s="46"/>
      <c r="AA1690" s="61">
        <f>IF(OR(G1690="ALK",G1690="PEM",G1690="SOEC",G1690="Other Electrolysis"),
AB1690*VLOOKUP(G1690,ElectrolysisConvF,3,FALSE),
"")</f>
        <v>0</v>
      </c>
      <c r="AB1690" s="62"/>
      <c r="AC1690" s="62"/>
      <c r="AD1690" s="62"/>
      <c r="AE1690" s="62">
        <f t="shared" si="182"/>
        <v>0</v>
      </c>
      <c r="AF1690" s="64" t="s">
        <v>4451</v>
      </c>
      <c r="AG1690" s="49">
        <v>0.4</v>
      </c>
    </row>
    <row r="1691" spans="1:33" customFormat="1" ht="35.1" customHeight="1" x14ac:dyDescent="0.3">
      <c r="A1691" s="46">
        <v>2239</v>
      </c>
      <c r="B1691" s="46" t="s">
        <v>4452</v>
      </c>
      <c r="C1691" s="46" t="s">
        <v>90</v>
      </c>
      <c r="D1691" s="60">
        <v>2026</v>
      </c>
      <c r="E1691" s="60"/>
      <c r="F1691" s="46" t="s">
        <v>591</v>
      </c>
      <c r="G1691" s="46" t="s">
        <v>159</v>
      </c>
      <c r="H1691" s="46" t="s">
        <v>592</v>
      </c>
      <c r="I1691" s="46" t="s">
        <v>169</v>
      </c>
      <c r="J1691" s="46" t="s">
        <v>244</v>
      </c>
      <c r="K1691" s="46" t="s">
        <v>141</v>
      </c>
      <c r="L1691" s="46"/>
      <c r="M1691" s="46">
        <v>1</v>
      </c>
      <c r="N1691" s="46"/>
      <c r="O1691" s="46"/>
      <c r="P1691" s="46">
        <v>1</v>
      </c>
      <c r="Q1691" s="46"/>
      <c r="R1691" s="46"/>
      <c r="S1691" s="46"/>
      <c r="T1691" s="46"/>
      <c r="U1691" s="46"/>
      <c r="V1691" s="46"/>
      <c r="W1691" s="46"/>
      <c r="X1691" s="46"/>
      <c r="Y1691" s="46"/>
      <c r="Z1691" s="46" t="s">
        <v>4453</v>
      </c>
      <c r="AA1691" s="61">
        <v>1400</v>
      </c>
      <c r="AB1691" s="62">
        <f>IF(OR(G1691="ALK",G1691="PEM",G1691="SOEC",G1691="Other Electrolysis"),
AA1691/VLOOKUP(G1691,ElectrolysisConvF,3,FALSE),
AC1691*10^6/(H2dens*HoursInYear))</f>
        <v>311111.11111111112</v>
      </c>
      <c r="AC1691" s="63">
        <f>AB1691*H2dens*HoursInYear/10^6</f>
        <v>242.55466666666669</v>
      </c>
      <c r="AD1691" s="62"/>
      <c r="AE1691" s="62">
        <f t="shared" si="182"/>
        <v>311111.11111111112</v>
      </c>
      <c r="AF1691" s="64" t="s">
        <v>4454</v>
      </c>
      <c r="AG1691" s="49">
        <v>0.3</v>
      </c>
    </row>
    <row r="1692" spans="1:33" customFormat="1" ht="35.1" customHeight="1" x14ac:dyDescent="0.3">
      <c r="A1692" s="46">
        <v>2240</v>
      </c>
      <c r="B1692" s="46" t="s">
        <v>4455</v>
      </c>
      <c r="C1692" s="46" t="s">
        <v>90</v>
      </c>
      <c r="D1692" s="60">
        <v>2026</v>
      </c>
      <c r="E1692" s="60"/>
      <c r="F1692" s="46" t="s">
        <v>591</v>
      </c>
      <c r="G1692" s="46" t="s">
        <v>159</v>
      </c>
      <c r="H1692" s="46" t="s">
        <v>592</v>
      </c>
      <c r="I1692" s="46" t="s">
        <v>169</v>
      </c>
      <c r="J1692" s="46" t="s">
        <v>244</v>
      </c>
      <c r="K1692" s="46" t="s">
        <v>141</v>
      </c>
      <c r="L1692" s="46"/>
      <c r="M1692" s="46">
        <v>1</v>
      </c>
      <c r="N1692" s="46"/>
      <c r="O1692" s="46"/>
      <c r="P1692" s="46"/>
      <c r="Q1692" s="46"/>
      <c r="R1692" s="46"/>
      <c r="S1692" s="46"/>
      <c r="T1692" s="46"/>
      <c r="U1692" s="46"/>
      <c r="V1692" s="46"/>
      <c r="W1692" s="46"/>
      <c r="X1692" s="46"/>
      <c r="Y1692" s="46"/>
      <c r="Z1692" s="46" t="s">
        <v>4456</v>
      </c>
      <c r="AA1692" s="61">
        <v>945</v>
      </c>
      <c r="AB1692" s="62">
        <f>IF(OR(G1692="ALK",G1692="PEM",G1692="SOEC",G1692="Other Electrolysis"),
AA1692/VLOOKUP(G1692,ElectrolysisConvF,3,FALSE),
AC1692*10^6/(H2dens*HoursInYear))</f>
        <v>210000.00000000003</v>
      </c>
      <c r="AC1692" s="63">
        <f>AB1692*H2dens*HoursInYear/10^6</f>
        <v>163.7244</v>
      </c>
      <c r="AD1692" s="62"/>
      <c r="AE1692" s="62">
        <f t="shared" si="182"/>
        <v>210000.00000000003</v>
      </c>
      <c r="AF1692" s="64" t="s">
        <v>4454</v>
      </c>
      <c r="AG1692" s="49">
        <v>0.3</v>
      </c>
    </row>
    <row r="1693" spans="1:33" customFormat="1" ht="35.1" customHeight="1" x14ac:dyDescent="0.3">
      <c r="A1693" s="46">
        <v>2241</v>
      </c>
      <c r="B1693" s="46" t="s">
        <v>4457</v>
      </c>
      <c r="C1693" s="46" t="s">
        <v>63</v>
      </c>
      <c r="D1693" s="60"/>
      <c r="E1693" s="60"/>
      <c r="F1693" s="46" t="s">
        <v>225</v>
      </c>
      <c r="G1693" s="46" t="s">
        <v>164</v>
      </c>
      <c r="H1693" s="46" t="s">
        <v>2289</v>
      </c>
      <c r="I1693" s="46"/>
      <c r="J1693" s="46"/>
      <c r="K1693" s="46" t="s">
        <v>68</v>
      </c>
      <c r="L1693" s="46"/>
      <c r="M1693" s="46"/>
      <c r="N1693" s="46"/>
      <c r="O1693" s="46"/>
      <c r="P1693" s="46"/>
      <c r="Q1693" s="46"/>
      <c r="R1693" s="46"/>
      <c r="S1693" s="46"/>
      <c r="T1693" s="46"/>
      <c r="U1693" s="46"/>
      <c r="V1693" s="46"/>
      <c r="W1693" s="46"/>
      <c r="X1693" s="46"/>
      <c r="Y1693" s="46"/>
      <c r="Z1693" s="46" t="s">
        <v>4458</v>
      </c>
      <c r="AA1693" s="61" t="str">
        <f>IF(OR(G1693="ALK",G1693="PEM",G1693="SOEC",G1693="Other Electrolysis"),
AB1693*VLOOKUP(G1693,ElectrolysisConvF,3,FALSE),
"")</f>
        <v/>
      </c>
      <c r="AB1693" s="62">
        <f>AC1693/(H2dens*HoursInYear/10^6)</f>
        <v>17101.910283378653</v>
      </c>
      <c r="AC1693" s="62">
        <f>12/H2ProjectDB4578610[[#This Row],[Column33]]</f>
        <v>13.333333333333332</v>
      </c>
      <c r="AD1693" s="62"/>
      <c r="AE1693" s="62">
        <f t="shared" si="182"/>
        <v>17101.910283378653</v>
      </c>
      <c r="AF1693" s="64" t="s">
        <v>4459</v>
      </c>
      <c r="AG1693" s="49">
        <v>0.9</v>
      </c>
    </row>
    <row r="1694" spans="1:33" customFormat="1" ht="35.1" customHeight="1" x14ac:dyDescent="0.3">
      <c r="A1694" s="46">
        <v>2242</v>
      </c>
      <c r="B1694" s="46" t="s">
        <v>4460</v>
      </c>
      <c r="C1694" s="46" t="s">
        <v>37</v>
      </c>
      <c r="D1694" s="60">
        <v>2025</v>
      </c>
      <c r="E1694" s="60"/>
      <c r="F1694" s="46" t="s">
        <v>591</v>
      </c>
      <c r="G1694" s="46" t="s">
        <v>159</v>
      </c>
      <c r="H1694" s="46" t="s">
        <v>2855</v>
      </c>
      <c r="I1694" s="46" t="s">
        <v>157</v>
      </c>
      <c r="J1694" s="46" t="s">
        <v>248</v>
      </c>
      <c r="K1694" s="46" t="s">
        <v>68</v>
      </c>
      <c r="L1694" s="46"/>
      <c r="M1694" s="46"/>
      <c r="N1694" s="46"/>
      <c r="O1694" s="46"/>
      <c r="P1694" s="46">
        <v>1</v>
      </c>
      <c r="Q1694" s="46">
        <v>1</v>
      </c>
      <c r="R1694" s="46"/>
      <c r="S1694" s="46"/>
      <c r="T1694" s="46"/>
      <c r="U1694" s="46"/>
      <c r="V1694" s="46"/>
      <c r="W1694" s="46"/>
      <c r="X1694" s="46"/>
      <c r="Y1694" s="46"/>
      <c r="Z1694" s="46" t="s">
        <v>1198</v>
      </c>
      <c r="AA1694" s="61">
        <v>2</v>
      </c>
      <c r="AB1694" s="62">
        <f>IF(OR(G1694="ALK",G1694="PEM",G1694="SOEC",G1694="Other Electrolysis"),
AA1694/VLOOKUP(G1694,ElectrolysisConvF,3,FALSE),
AC1694*10^6/(H2dens*HoursInYear))</f>
        <v>444.44444444444446</v>
      </c>
      <c r="AC1694" s="63">
        <f>AB1694*H2dens*HoursInYear/10^6</f>
        <v>0.34650666666666669</v>
      </c>
      <c r="AD1694" s="62"/>
      <c r="AE1694" s="62">
        <f t="shared" si="182"/>
        <v>444.44444444444446</v>
      </c>
      <c r="AF1694" s="64" t="s">
        <v>4461</v>
      </c>
      <c r="AG1694" s="49">
        <v>0.56999999999999995</v>
      </c>
    </row>
    <row r="1695" spans="1:33" customFormat="1" ht="35.1" customHeight="1" x14ac:dyDescent="0.3">
      <c r="A1695" s="46">
        <v>2243</v>
      </c>
      <c r="B1695" s="46" t="s">
        <v>4462</v>
      </c>
      <c r="C1695" s="46" t="s">
        <v>50</v>
      </c>
      <c r="D1695" s="60">
        <v>2023</v>
      </c>
      <c r="E1695" s="60"/>
      <c r="F1695" s="46" t="s">
        <v>675</v>
      </c>
      <c r="G1695" s="46" t="s">
        <v>159</v>
      </c>
      <c r="H1695" s="46" t="s">
        <v>2855</v>
      </c>
      <c r="I1695" s="46" t="s">
        <v>157</v>
      </c>
      <c r="J1695" s="46" t="s">
        <v>69</v>
      </c>
      <c r="K1695" s="46" t="s">
        <v>68</v>
      </c>
      <c r="L1695" s="46"/>
      <c r="M1695" s="46"/>
      <c r="N1695" s="46"/>
      <c r="O1695" s="46"/>
      <c r="P1695" s="46"/>
      <c r="Q1695" s="46">
        <v>1</v>
      </c>
      <c r="R1695" s="46"/>
      <c r="S1695" s="46"/>
      <c r="T1695" s="46"/>
      <c r="U1695" s="46"/>
      <c r="V1695" s="46"/>
      <c r="W1695" s="46"/>
      <c r="X1695" s="46"/>
      <c r="Y1695" s="46"/>
      <c r="Z1695" s="46" t="s">
        <v>1327</v>
      </c>
      <c r="AA1695" s="61">
        <v>1</v>
      </c>
      <c r="AB1695" s="62">
        <f>IF(OR(G1695="ALK",G1695="PEM",G1695="SOEC",G1695="Other Electrolysis"),
AA1695/VLOOKUP(G1695,ElectrolysisConvF,3,FALSE),
AC1695*10^6/(H2dens*HoursInYear))</f>
        <v>222.22222222222223</v>
      </c>
      <c r="AC1695" s="63">
        <f>AB1695*H2dens*HoursInYear/10^6</f>
        <v>0.17325333333333334</v>
      </c>
      <c r="AD1695" s="62"/>
      <c r="AE1695" s="62">
        <f t="shared" si="182"/>
        <v>222.22222222222223</v>
      </c>
      <c r="AF1695" s="64" t="s">
        <v>4463</v>
      </c>
      <c r="AG1695" s="49">
        <v>0.56999999999999995</v>
      </c>
    </row>
    <row r="1696" spans="1:33" customFormat="1" ht="35.1" customHeight="1" x14ac:dyDescent="0.3">
      <c r="A1696" s="46">
        <v>2244</v>
      </c>
      <c r="B1696" s="46" t="s">
        <v>4464</v>
      </c>
      <c r="C1696" s="46" t="s">
        <v>203</v>
      </c>
      <c r="D1696" s="60">
        <v>2023</v>
      </c>
      <c r="E1696" s="60"/>
      <c r="F1696" s="46" t="s">
        <v>675</v>
      </c>
      <c r="G1696" s="46" t="s">
        <v>159</v>
      </c>
      <c r="H1696" s="46" t="s">
        <v>2855</v>
      </c>
      <c r="I1696" s="46" t="s">
        <v>157</v>
      </c>
      <c r="J1696" s="46" t="s">
        <v>244</v>
      </c>
      <c r="K1696" s="46" t="s">
        <v>68</v>
      </c>
      <c r="L1696" s="46"/>
      <c r="M1696" s="46"/>
      <c r="N1696" s="46"/>
      <c r="O1696" s="46"/>
      <c r="P1696" s="46"/>
      <c r="Q1696" s="46">
        <v>1</v>
      </c>
      <c r="R1696" s="46"/>
      <c r="S1696" s="46"/>
      <c r="T1696" s="46"/>
      <c r="U1696" s="46"/>
      <c r="V1696" s="46"/>
      <c r="W1696" s="46"/>
      <c r="X1696" s="46"/>
      <c r="Y1696" s="46"/>
      <c r="Z1696" s="46" t="s">
        <v>1327</v>
      </c>
      <c r="AA1696" s="61">
        <v>1</v>
      </c>
      <c r="AB1696" s="62">
        <f>IF(OR(G1696="ALK",G1696="PEM",G1696="SOEC",G1696="Other Electrolysis"),
AA1696/VLOOKUP(G1696,ElectrolysisConvF,3,FALSE),
AC1696*10^6/(H2dens*HoursInYear))</f>
        <v>222.22222222222223</v>
      </c>
      <c r="AC1696" s="63">
        <f>AB1696*H2dens*HoursInYear/10^6</f>
        <v>0.17325333333333334</v>
      </c>
      <c r="AD1696" s="62"/>
      <c r="AE1696" s="62">
        <f t="shared" si="182"/>
        <v>222.22222222222223</v>
      </c>
      <c r="AF1696" s="64" t="s">
        <v>4465</v>
      </c>
      <c r="AG1696" s="49">
        <v>0.56999999999999995</v>
      </c>
    </row>
    <row r="1697" spans="1:33" customFormat="1" ht="35.1" customHeight="1" x14ac:dyDescent="0.3">
      <c r="A1697" s="46">
        <v>2246</v>
      </c>
      <c r="B1697" s="46" t="s">
        <v>4466</v>
      </c>
      <c r="C1697" s="46" t="s">
        <v>321</v>
      </c>
      <c r="D1697" s="60">
        <v>2026</v>
      </c>
      <c r="E1697" s="60"/>
      <c r="F1697" s="46" t="s">
        <v>225</v>
      </c>
      <c r="G1697" s="46" t="s">
        <v>3</v>
      </c>
      <c r="H1697" s="46"/>
      <c r="I1697" s="46" t="s">
        <v>166</v>
      </c>
      <c r="J1697" s="46"/>
      <c r="K1697" s="46" t="s">
        <v>68</v>
      </c>
      <c r="L1697" s="46">
        <v>1</v>
      </c>
      <c r="M1697" s="46"/>
      <c r="N1697" s="46">
        <v>1</v>
      </c>
      <c r="O1697" s="46"/>
      <c r="P1697" s="46"/>
      <c r="Q1697" s="46">
        <v>1</v>
      </c>
      <c r="R1697" s="46"/>
      <c r="S1697" s="46">
        <v>1</v>
      </c>
      <c r="T1697" s="46"/>
      <c r="U1697" s="46"/>
      <c r="V1697" s="46"/>
      <c r="W1697" s="46"/>
      <c r="X1697" s="46"/>
      <c r="Y1697" s="46"/>
      <c r="Z1697" s="46" t="s">
        <v>1347</v>
      </c>
      <c r="AA1697" s="61">
        <v>150</v>
      </c>
      <c r="AB1697" s="62">
        <f>IF(OR(G1697="ALK",G1697="PEM",G1697="SOEC",G1697="Other Electrolysis"),
AA1697/VLOOKUP(G1697,ElectrolysisConvF,3,FALSE),
AC1697*10^6/(H2dens*HoursInYear))</f>
        <v>32608.695652173912</v>
      </c>
      <c r="AC1697" s="63">
        <f>AB1697*H2dens*HoursInYear/10^6</f>
        <v>25.423043478260869</v>
      </c>
      <c r="AD1697" s="62"/>
      <c r="AE1697" s="62">
        <f>IF(AND(G1697&lt;&gt;"NG w CCUS",G1697&lt;&gt;"Oil w CCUS",G1697&lt;&gt;"Coal w CCUS"),AB1697,AD1697*10^3/(HoursInYear*IF(G1697="NG w CCUS",0.9105,1.9075)))</f>
        <v>32608.695652173912</v>
      </c>
      <c r="AF1697" s="64" t="s">
        <v>4467</v>
      </c>
      <c r="AG1697" s="49">
        <v>0.56999999999999995</v>
      </c>
    </row>
    <row r="1698" spans="1:33" customFormat="1" ht="35.1" customHeight="1" x14ac:dyDescent="0.3">
      <c r="A1698" s="46">
        <v>2247</v>
      </c>
      <c r="B1698" s="46" t="s">
        <v>4468</v>
      </c>
      <c r="C1698" s="46" t="s">
        <v>74</v>
      </c>
      <c r="D1698" s="60"/>
      <c r="E1698" s="60"/>
      <c r="F1698" s="46" t="s">
        <v>591</v>
      </c>
      <c r="G1698" s="46" t="s">
        <v>159</v>
      </c>
      <c r="H1698" s="46" t="s">
        <v>592</v>
      </c>
      <c r="I1698" s="46" t="s">
        <v>169</v>
      </c>
      <c r="J1698" s="46" t="s">
        <v>69</v>
      </c>
      <c r="K1698" s="46" t="s">
        <v>68</v>
      </c>
      <c r="L1698" s="46"/>
      <c r="M1698" s="46"/>
      <c r="N1698" s="46">
        <v>1</v>
      </c>
      <c r="O1698" s="46"/>
      <c r="P1698" s="46"/>
      <c r="Q1698" s="46"/>
      <c r="R1698" s="46"/>
      <c r="S1698" s="46"/>
      <c r="T1698" s="46"/>
      <c r="U1698" s="46"/>
      <c r="V1698" s="46"/>
      <c r="W1698" s="46"/>
      <c r="X1698" s="46"/>
      <c r="Y1698" s="46"/>
      <c r="Z1698" s="46"/>
      <c r="AA1698" s="61">
        <f>IF(OR(G1698="ALK",G1698="PEM",G1698="SOEC",G1698="Other Electrolysis"),
AB1698*VLOOKUP(G1698,ElectrolysisConvF,3,FALSE),
"")</f>
        <v>0</v>
      </c>
      <c r="AB1698" s="62"/>
      <c r="AC1698" s="62"/>
      <c r="AD1698" s="62"/>
      <c r="AE1698" s="62">
        <f>IF(AND(G1698&lt;&gt;"NG w CCUS",G1698&lt;&gt;"Oil w CCUS",G1698&lt;&gt;"Coal w CCUS"),AB1698,AD1698*10^3/(HoursInYear*IF(G1698="NG w CCUS",0.9105,1.9075)))</f>
        <v>0</v>
      </c>
      <c r="AF1698" s="64" t="s">
        <v>4469</v>
      </c>
      <c r="AG1698" s="49">
        <v>0.5</v>
      </c>
    </row>
    <row r="1699" spans="1:33" customFormat="1" ht="35.1" customHeight="1" x14ac:dyDescent="0.3">
      <c r="A1699" s="46">
        <v>2248</v>
      </c>
      <c r="B1699" s="46" t="s">
        <v>4470</v>
      </c>
      <c r="C1699" s="46" t="s">
        <v>321</v>
      </c>
      <c r="D1699" s="60"/>
      <c r="E1699" s="60"/>
      <c r="F1699" s="46" t="s">
        <v>591</v>
      </c>
      <c r="G1699" s="46" t="s">
        <v>159</v>
      </c>
      <c r="H1699" s="46" t="s">
        <v>592</v>
      </c>
      <c r="I1699" s="46" t="s">
        <v>169</v>
      </c>
      <c r="J1699" s="46" t="s">
        <v>69</v>
      </c>
      <c r="K1699" s="46" t="s">
        <v>167</v>
      </c>
      <c r="L1699" s="46"/>
      <c r="M1699" s="46"/>
      <c r="N1699" s="46"/>
      <c r="O1699" s="46"/>
      <c r="P1699" s="46"/>
      <c r="Q1699" s="46"/>
      <c r="R1699" s="46"/>
      <c r="S1699" s="46"/>
      <c r="T1699" s="46"/>
      <c r="U1699" s="46"/>
      <c r="V1699" s="46"/>
      <c r="W1699" s="46">
        <v>1</v>
      </c>
      <c r="X1699" s="46"/>
      <c r="Y1699" s="46"/>
      <c r="Z1699" s="46" t="s">
        <v>4471</v>
      </c>
      <c r="AA1699" s="63">
        <f>IF(OR(G1699="ALK",G1699="PEM",G1699="SOEC",G1699="Other Electrolysis"),
AB1699*VLOOKUP(G1699,ElectrolysisConvF,3,FALSE),
"")</f>
        <v>115.43789441280592</v>
      </c>
      <c r="AB1699" s="62">
        <f>AC1699/(H2dens*HoursInYear/10^6)</f>
        <v>25652.865425067983</v>
      </c>
      <c r="AC1699" s="62">
        <f>10/H2ProjectDB4578610[[#This Row],[Column33]]</f>
        <v>20</v>
      </c>
      <c r="AD1699" s="62"/>
      <c r="AE1699" s="62">
        <f>IF(AND(G1699&lt;&gt;"NG w CCUS",G1699&lt;&gt;"Oil w CCUS",G1699&lt;&gt;"Coal w CCUS"),AB1699,AD1699*10^3/(HoursInYear*IF(G1699="NG w CCUS",0.9105,1.9075)))</f>
        <v>25652.865425067983</v>
      </c>
      <c r="AF1699" s="64" t="s">
        <v>4472</v>
      </c>
      <c r="AG1699" s="49">
        <v>0.5</v>
      </c>
    </row>
    <row r="1700" spans="1:33" customFormat="1" ht="35.1" customHeight="1" x14ac:dyDescent="0.3">
      <c r="A1700" s="46">
        <v>2250</v>
      </c>
      <c r="B1700" s="46" t="s">
        <v>4473</v>
      </c>
      <c r="C1700" s="46" t="s">
        <v>60</v>
      </c>
      <c r="D1700" s="60"/>
      <c r="E1700" s="60"/>
      <c r="F1700" s="46" t="s">
        <v>225</v>
      </c>
      <c r="G1700" s="46" t="s">
        <v>159</v>
      </c>
      <c r="H1700" s="46" t="s">
        <v>592</v>
      </c>
      <c r="I1700" s="46" t="s">
        <v>169</v>
      </c>
      <c r="J1700" s="46" t="s">
        <v>246</v>
      </c>
      <c r="K1700" s="46" t="s">
        <v>68</v>
      </c>
      <c r="L1700" s="46"/>
      <c r="M1700" s="46"/>
      <c r="N1700" s="46"/>
      <c r="O1700" s="46"/>
      <c r="P1700" s="46"/>
      <c r="Q1700" s="46"/>
      <c r="R1700" s="46"/>
      <c r="S1700" s="46"/>
      <c r="T1700" s="46"/>
      <c r="U1700" s="46"/>
      <c r="V1700" s="46"/>
      <c r="W1700" s="46"/>
      <c r="X1700" s="46"/>
      <c r="Y1700" s="46"/>
      <c r="Z1700" s="46" t="s">
        <v>4474</v>
      </c>
      <c r="AA1700" s="63">
        <f>IF(OR(G1700="ALK",G1700="PEM",G1700="SOEC",G1700="Other Electrolysis"),
AB1700*VLOOKUP(G1700,ElectrolysisConvF,3,FALSE),
"")</f>
        <v>1049.435403752781</v>
      </c>
      <c r="AB1700" s="62">
        <f>AC1700/(H2dens*HoursInYear/10^6)</f>
        <v>233207.86750061801</v>
      </c>
      <c r="AC1700" s="62">
        <f>100/H2ProjectDB4578610[[#This Row],[Column33]]</f>
        <v>181.81818181818181</v>
      </c>
      <c r="AD1700" s="62"/>
      <c r="AE1700" s="62">
        <f t="shared" ref="AE1700:AE1763" si="183">IF(AND(G1700&lt;&gt;"NG w CCUS",G1700&lt;&gt;"Oil w CCUS",G1700&lt;&gt;"Coal w CCUS"),AB1700,AD1700*10^3/(HoursInYear*IF(G1700="NG w CCUS",0.9105,1.9075)))</f>
        <v>233207.86750061801</v>
      </c>
      <c r="AF1700" s="64" t="s">
        <v>4475</v>
      </c>
      <c r="AG1700" s="49">
        <v>0.55000000000000004</v>
      </c>
    </row>
    <row r="1701" spans="1:33" customFormat="1" ht="35.1" customHeight="1" x14ac:dyDescent="0.3">
      <c r="A1701" s="46">
        <v>2251</v>
      </c>
      <c r="B1701" s="46" t="s">
        <v>4476</v>
      </c>
      <c r="C1701" s="46" t="s">
        <v>321</v>
      </c>
      <c r="D1701" s="60">
        <v>2026</v>
      </c>
      <c r="E1701" s="60"/>
      <c r="F1701" s="46" t="s">
        <v>225</v>
      </c>
      <c r="G1701" s="46" t="s">
        <v>3</v>
      </c>
      <c r="H1701" s="46"/>
      <c r="I1701" s="46" t="s">
        <v>1317</v>
      </c>
      <c r="J1701" s="46" t="s">
        <v>244</v>
      </c>
      <c r="K1701" s="46" t="s">
        <v>68</v>
      </c>
      <c r="L1701" s="46">
        <v>1</v>
      </c>
      <c r="M1701" s="46">
        <v>1</v>
      </c>
      <c r="N1701" s="46"/>
      <c r="O1701" s="46"/>
      <c r="P1701" s="46"/>
      <c r="Q1701" s="46"/>
      <c r="R1701" s="46"/>
      <c r="S1701" s="46"/>
      <c r="T1701" s="46"/>
      <c r="U1701" s="46"/>
      <c r="V1701" s="46"/>
      <c r="W1701" s="46"/>
      <c r="X1701" s="46"/>
      <c r="Y1701" s="46"/>
      <c r="Z1701" s="46" t="s">
        <v>964</v>
      </c>
      <c r="AA1701" s="61">
        <v>30</v>
      </c>
      <c r="AB1701" s="62">
        <f>IF(OR(G1701="ALK",G1701="PEM",G1701="SOEC",G1701="Other Electrolysis"),
AA1701/VLOOKUP(G1701,ElectrolysisConvF,3,FALSE),
AC1701*10^6/(H2dens*HoursInYear))</f>
        <v>6521.739130434783</v>
      </c>
      <c r="AC1701" s="63">
        <f>AB1701*H2dens*HoursInYear/10^6</f>
        <v>5.0846086956521734</v>
      </c>
      <c r="AD1701" s="62"/>
      <c r="AE1701" s="62">
        <f t="shared" si="183"/>
        <v>6521.739130434783</v>
      </c>
      <c r="AF1701" s="64" t="s">
        <v>4477</v>
      </c>
      <c r="AG1701" s="49">
        <v>0.7</v>
      </c>
    </row>
    <row r="1702" spans="1:33" customFormat="1" ht="35.1" customHeight="1" x14ac:dyDescent="0.3">
      <c r="A1702" s="46">
        <v>2252</v>
      </c>
      <c r="B1702" s="46" t="s">
        <v>4478</v>
      </c>
      <c r="C1702" s="46" t="s">
        <v>39</v>
      </c>
      <c r="D1702" s="60"/>
      <c r="E1702" s="60"/>
      <c r="F1702" s="46" t="s">
        <v>225</v>
      </c>
      <c r="G1702" s="46" t="s">
        <v>159</v>
      </c>
      <c r="H1702" s="46" t="s">
        <v>592</v>
      </c>
      <c r="I1702" s="46" t="s">
        <v>169</v>
      </c>
      <c r="J1702" s="46" t="s">
        <v>69</v>
      </c>
      <c r="K1702" s="46" t="s">
        <v>68</v>
      </c>
      <c r="L1702" s="46"/>
      <c r="M1702" s="46"/>
      <c r="N1702" s="46"/>
      <c r="O1702" s="46">
        <v>1</v>
      </c>
      <c r="P1702" s="46"/>
      <c r="Q1702" s="46"/>
      <c r="R1702" s="46"/>
      <c r="S1702" s="46"/>
      <c r="T1702" s="46"/>
      <c r="U1702" s="46"/>
      <c r="V1702" s="46"/>
      <c r="W1702" s="46"/>
      <c r="X1702" s="46"/>
      <c r="Y1702" s="46"/>
      <c r="Z1702" s="46" t="s">
        <v>4479</v>
      </c>
      <c r="AA1702" s="61">
        <f>IF(OR(G1702="ALK",G1702="PEM",G1702="SOEC",G1702="Other Electrolysis"),
AB1702*VLOOKUP(G1702,ElectrolysisConvF,3,FALSE),
"")</f>
        <v>10.389410497152532</v>
      </c>
      <c r="AB1702" s="62">
        <f>AC1702/(H2dens*HoursInYear/10^6)</f>
        <v>2308.7578882561183</v>
      </c>
      <c r="AC1702" s="62">
        <v>1.8</v>
      </c>
      <c r="AD1702" s="62"/>
      <c r="AE1702" s="62">
        <f t="shared" si="183"/>
        <v>2308.7578882561183</v>
      </c>
      <c r="AF1702" s="64" t="s">
        <v>4480</v>
      </c>
      <c r="AG1702" s="49">
        <v>0.5</v>
      </c>
    </row>
    <row r="1703" spans="1:33" customFormat="1" ht="35.1" customHeight="1" x14ac:dyDescent="0.3">
      <c r="A1703" s="46">
        <v>2253</v>
      </c>
      <c r="B1703" s="46" t="s">
        <v>4481</v>
      </c>
      <c r="C1703" s="46" t="s">
        <v>46</v>
      </c>
      <c r="D1703" s="60">
        <v>2030</v>
      </c>
      <c r="E1703" s="60"/>
      <c r="F1703" s="46" t="s">
        <v>225</v>
      </c>
      <c r="G1703" s="46" t="s">
        <v>159</v>
      </c>
      <c r="H1703" s="46" t="s">
        <v>592</v>
      </c>
      <c r="I1703" s="46" t="s">
        <v>169</v>
      </c>
      <c r="J1703" s="46" t="s">
        <v>69</v>
      </c>
      <c r="K1703" s="46" t="s">
        <v>68</v>
      </c>
      <c r="L1703" s="46"/>
      <c r="M1703" s="46"/>
      <c r="N1703" s="46"/>
      <c r="O1703" s="46"/>
      <c r="P1703" s="46">
        <v>1</v>
      </c>
      <c r="Q1703" s="46"/>
      <c r="R1703" s="46"/>
      <c r="S1703" s="46"/>
      <c r="T1703" s="46"/>
      <c r="U1703" s="46"/>
      <c r="V1703" s="46"/>
      <c r="W1703" s="46"/>
      <c r="X1703" s="46"/>
      <c r="Y1703" s="46"/>
      <c r="Z1703" s="46" t="s">
        <v>4482</v>
      </c>
      <c r="AA1703" s="61">
        <v>22.5</v>
      </c>
      <c r="AB1703" s="62">
        <f>IF(OR(G1703="ALK",G1703="PEM",G1703="SOEC",G1703="Other Electrolysis"),
AA1703/VLOOKUP(G1703,ElectrolysisConvF,3,FALSE),
AC1703*10^6/(H2dens*HoursInYear))</f>
        <v>5000</v>
      </c>
      <c r="AC1703" s="63">
        <f>AB1703*H2dens*HoursInYear/10^6</f>
        <v>3.8982000000000001</v>
      </c>
      <c r="AD1703" s="62"/>
      <c r="AE1703" s="62">
        <f t="shared" si="183"/>
        <v>5000</v>
      </c>
      <c r="AF1703" s="64" t="s">
        <v>4483</v>
      </c>
      <c r="AG1703" s="49">
        <v>0.5</v>
      </c>
    </row>
    <row r="1704" spans="1:33" customFormat="1" ht="35.1" customHeight="1" x14ac:dyDescent="0.3">
      <c r="A1704" s="46">
        <v>2254</v>
      </c>
      <c r="B1704" s="46" t="s">
        <v>4484</v>
      </c>
      <c r="C1704" s="46" t="s">
        <v>321</v>
      </c>
      <c r="D1704" s="60"/>
      <c r="E1704" s="60"/>
      <c r="F1704" s="46" t="s">
        <v>225</v>
      </c>
      <c r="G1704" s="46" t="s">
        <v>159</v>
      </c>
      <c r="H1704" s="46" t="s">
        <v>592</v>
      </c>
      <c r="I1704" s="46" t="s">
        <v>169</v>
      </c>
      <c r="J1704" s="46" t="s">
        <v>69</v>
      </c>
      <c r="K1704" s="46" t="s">
        <v>68</v>
      </c>
      <c r="L1704" s="46"/>
      <c r="M1704" s="46"/>
      <c r="N1704" s="46"/>
      <c r="O1704" s="46"/>
      <c r="P1704" s="46"/>
      <c r="Q1704" s="46"/>
      <c r="R1704" s="46"/>
      <c r="S1704" s="46"/>
      <c r="T1704" s="46"/>
      <c r="U1704" s="46"/>
      <c r="V1704" s="46"/>
      <c r="W1704" s="46"/>
      <c r="X1704" s="46"/>
      <c r="Y1704" s="46"/>
      <c r="Z1704" s="46" t="s">
        <v>1161</v>
      </c>
      <c r="AA1704" s="63">
        <v>25</v>
      </c>
      <c r="AB1704" s="62">
        <f>IF(OR(G1704="ALK",G1704="PEM",G1704="SOEC",G1704="Other Electrolysis"),
AA1704/VLOOKUP(G1704,ElectrolysisConvF,3,FALSE),
AC1704*10^6/(H2dens*HoursInYear))</f>
        <v>5555.5555555555557</v>
      </c>
      <c r="AC1704" s="63">
        <f>AB1704*H2dens*HoursInYear/10^6</f>
        <v>4.3313333333333333</v>
      </c>
      <c r="AD1704" s="62"/>
      <c r="AE1704" s="62">
        <f t="shared" si="183"/>
        <v>5555.5555555555557</v>
      </c>
      <c r="AF1704" s="64" t="s">
        <v>4485</v>
      </c>
      <c r="AG1704" s="49">
        <v>0.5</v>
      </c>
    </row>
    <row r="1705" spans="1:33" customFormat="1" ht="35.1" customHeight="1" x14ac:dyDescent="0.3">
      <c r="A1705" s="46">
        <v>2255</v>
      </c>
      <c r="B1705" s="46" t="s">
        <v>4486</v>
      </c>
      <c r="C1705" s="46" t="s">
        <v>321</v>
      </c>
      <c r="D1705" s="60"/>
      <c r="E1705" s="60"/>
      <c r="F1705" s="46" t="s">
        <v>591</v>
      </c>
      <c r="G1705" s="46" t="s">
        <v>159</v>
      </c>
      <c r="H1705" s="46" t="s">
        <v>592</v>
      </c>
      <c r="I1705" s="46" t="s">
        <v>169</v>
      </c>
      <c r="J1705" s="46" t="s">
        <v>69</v>
      </c>
      <c r="K1705" s="46" t="s">
        <v>141</v>
      </c>
      <c r="L1705" s="46"/>
      <c r="M1705" s="46">
        <v>1</v>
      </c>
      <c r="N1705" s="46"/>
      <c r="O1705" s="46"/>
      <c r="P1705" s="46"/>
      <c r="Q1705" s="46"/>
      <c r="R1705" s="46"/>
      <c r="S1705" s="46"/>
      <c r="T1705" s="46"/>
      <c r="U1705" s="46"/>
      <c r="V1705" s="46"/>
      <c r="W1705" s="46"/>
      <c r="X1705" s="46"/>
      <c r="Y1705" s="46"/>
      <c r="Z1705" s="46" t="s">
        <v>4487</v>
      </c>
      <c r="AA1705" s="63">
        <f>IF(OR(G1705="ALK",G1705="PEM",G1705="SOEC",G1705="Other Electrolysis"),
AB1705*VLOOKUP(G1705,ElectrolysisConvF,3,FALSE),
"")</f>
        <v>311.8070377296678</v>
      </c>
      <c r="AB1705" s="62">
        <f>AC1705/(H2dens*HoursInYear/10^6)</f>
        <v>69290.452828815076</v>
      </c>
      <c r="AC1705" s="62">
        <f>150*3/17/0.98/H2ProjectDB4578610[[#This Row],[Column33]]</f>
        <v>54.021608643457384</v>
      </c>
      <c r="AD1705" s="62"/>
      <c r="AE1705" s="62">
        <f t="shared" si="183"/>
        <v>69290.452828815076</v>
      </c>
      <c r="AF1705" s="64" t="s">
        <v>4488</v>
      </c>
      <c r="AG1705" s="49">
        <v>0.5</v>
      </c>
    </row>
    <row r="1706" spans="1:33" customFormat="1" ht="35.1" customHeight="1" x14ac:dyDescent="0.3">
      <c r="A1706" s="46">
        <v>2256</v>
      </c>
      <c r="B1706" s="46" t="s">
        <v>4489</v>
      </c>
      <c r="C1706" s="46" t="s">
        <v>321</v>
      </c>
      <c r="D1706" s="60">
        <v>2024</v>
      </c>
      <c r="E1706" s="60"/>
      <c r="F1706" s="46" t="s">
        <v>225</v>
      </c>
      <c r="G1706" s="46" t="s">
        <v>163</v>
      </c>
      <c r="H1706" s="46" t="s">
        <v>2289</v>
      </c>
      <c r="I1706" s="46"/>
      <c r="J1706" s="46"/>
      <c r="K1706" s="46" t="s">
        <v>68</v>
      </c>
      <c r="L1706" s="46"/>
      <c r="M1706" s="46"/>
      <c r="N1706" s="46"/>
      <c r="O1706" s="46"/>
      <c r="P1706" s="46"/>
      <c r="Q1706" s="46"/>
      <c r="R1706" s="46"/>
      <c r="S1706" s="46"/>
      <c r="T1706" s="46"/>
      <c r="U1706" s="46"/>
      <c r="V1706" s="46"/>
      <c r="W1706" s="46"/>
      <c r="X1706" s="46"/>
      <c r="Y1706" s="46"/>
      <c r="Z1706" s="46" t="s">
        <v>4490</v>
      </c>
      <c r="AA1706" s="61" t="str">
        <f>IF(OR(G1706="ALK",G1706="PEM",G1706="SOEC",G1706="Other Electrolysis"),
AB1706*VLOOKUP(G1706,ElectrolysisConvF,3,FALSE),
"")</f>
        <v/>
      </c>
      <c r="AB1706" s="62">
        <f>AC1706/(H2dens*HoursInYear/10^6)</f>
        <v>2280.2547044504872</v>
      </c>
      <c r="AC1706" s="62">
        <f>1.6/H2ProjectDB4578610[[#This Row],[Column33]]</f>
        <v>1.7777777777777779</v>
      </c>
      <c r="AD1706" s="62"/>
      <c r="AE1706" s="62">
        <f t="shared" si="183"/>
        <v>2280.2547044504872</v>
      </c>
      <c r="AF1706" s="64" t="s">
        <v>4491</v>
      </c>
      <c r="AG1706" s="49">
        <v>0.9</v>
      </c>
    </row>
    <row r="1707" spans="1:33" customFormat="1" ht="35.1" customHeight="1" x14ac:dyDescent="0.3">
      <c r="A1707" s="46">
        <v>2257</v>
      </c>
      <c r="B1707" s="46" t="s">
        <v>4492</v>
      </c>
      <c r="C1707" s="46" t="s">
        <v>40</v>
      </c>
      <c r="D1707" s="60">
        <v>2026</v>
      </c>
      <c r="E1707" s="60"/>
      <c r="F1707" s="46" t="s">
        <v>591</v>
      </c>
      <c r="G1707" s="46" t="s">
        <v>159</v>
      </c>
      <c r="H1707" s="46" t="s">
        <v>592</v>
      </c>
      <c r="I1707" s="46" t="s">
        <v>169</v>
      </c>
      <c r="J1707" s="46" t="s">
        <v>69</v>
      </c>
      <c r="K1707" s="46" t="s">
        <v>68</v>
      </c>
      <c r="L1707" s="46"/>
      <c r="M1707" s="46"/>
      <c r="N1707" s="46"/>
      <c r="O1707" s="46"/>
      <c r="P1707" s="46"/>
      <c r="Q1707" s="46"/>
      <c r="R1707" s="46"/>
      <c r="S1707" s="46"/>
      <c r="T1707" s="46"/>
      <c r="U1707" s="46"/>
      <c r="V1707" s="46"/>
      <c r="W1707" s="46"/>
      <c r="X1707" s="46"/>
      <c r="Y1707" s="46"/>
      <c r="Z1707" s="46" t="s">
        <v>4493</v>
      </c>
      <c r="AA1707" s="61">
        <f>IF(OR(G1707="ALK",G1707="PEM",G1707="SOEC",G1707="Other Electrolysis"),
AB1707*VLOOKUP(G1707,ElectrolysisConvF,3,FALSE),
"")</f>
        <v>189.60674157303373</v>
      </c>
      <c r="AB1707" s="62">
        <f>AC1707/(H2dens*HoursInYear/10^6)</f>
        <v>42134.831460674162</v>
      </c>
      <c r="AC1707" s="62">
        <f>45*0.365/H2ProjectDB4578610[[#This Row],[Column33]]</f>
        <v>32.85</v>
      </c>
      <c r="AD1707" s="62"/>
      <c r="AE1707" s="62">
        <f t="shared" si="183"/>
        <v>42134.831460674162</v>
      </c>
      <c r="AF1707" s="64" t="s">
        <v>4494</v>
      </c>
      <c r="AG1707" s="49">
        <v>0.5</v>
      </c>
    </row>
    <row r="1708" spans="1:33" customFormat="1" ht="35.1" customHeight="1" x14ac:dyDescent="0.3">
      <c r="A1708" s="46">
        <v>2258</v>
      </c>
      <c r="B1708" s="46" t="s">
        <v>4495</v>
      </c>
      <c r="C1708" s="46" t="s">
        <v>203</v>
      </c>
      <c r="D1708" s="60">
        <v>2025</v>
      </c>
      <c r="E1708" s="60"/>
      <c r="F1708" s="46" t="s">
        <v>225</v>
      </c>
      <c r="G1708" s="46" t="s">
        <v>159</v>
      </c>
      <c r="H1708" s="46" t="s">
        <v>592</v>
      </c>
      <c r="I1708" s="46" t="s">
        <v>169</v>
      </c>
      <c r="J1708" s="46" t="s">
        <v>69</v>
      </c>
      <c r="K1708" s="46" t="s">
        <v>68</v>
      </c>
      <c r="L1708" s="46"/>
      <c r="M1708" s="46"/>
      <c r="N1708" s="46"/>
      <c r="O1708" s="46"/>
      <c r="P1708" s="46">
        <v>1</v>
      </c>
      <c r="Q1708" s="46"/>
      <c r="R1708" s="46"/>
      <c r="S1708" s="46"/>
      <c r="T1708" s="46"/>
      <c r="U1708" s="46"/>
      <c r="V1708" s="46"/>
      <c r="W1708" s="46"/>
      <c r="X1708" s="46"/>
      <c r="Y1708" s="46"/>
      <c r="Z1708" s="46" t="s">
        <v>1379</v>
      </c>
      <c r="AA1708" s="61">
        <v>15</v>
      </c>
      <c r="AB1708" s="62">
        <f>IF(OR(G1708="ALK",G1708="PEM",G1708="SOEC",G1708="Other Electrolysis"),
AA1708/VLOOKUP(G1708,ElectrolysisConvF,3,FALSE),
AC1708*10^6/(H2dens*HoursInYear))</f>
        <v>3333.3333333333335</v>
      </c>
      <c r="AC1708" s="63">
        <f>AB1708*H2dens*HoursInYear/10^6</f>
        <v>2.5988000000000002</v>
      </c>
      <c r="AD1708" s="62"/>
      <c r="AE1708" s="62">
        <f t="shared" si="183"/>
        <v>3333.3333333333335</v>
      </c>
      <c r="AF1708" s="64" t="s">
        <v>4496</v>
      </c>
      <c r="AG1708" s="49">
        <v>0.5</v>
      </c>
    </row>
    <row r="1709" spans="1:33" customFormat="1" ht="35.1" customHeight="1" x14ac:dyDescent="0.3">
      <c r="A1709" s="46">
        <v>2259</v>
      </c>
      <c r="B1709" s="46" t="s">
        <v>4497</v>
      </c>
      <c r="C1709" s="46" t="s">
        <v>40</v>
      </c>
      <c r="D1709" s="60">
        <v>2026</v>
      </c>
      <c r="E1709" s="60"/>
      <c r="F1709" s="46" t="s">
        <v>225</v>
      </c>
      <c r="G1709" s="46" t="s">
        <v>159</v>
      </c>
      <c r="H1709" s="46" t="s">
        <v>592</v>
      </c>
      <c r="I1709" s="46" t="s">
        <v>169</v>
      </c>
      <c r="J1709" s="46" t="s">
        <v>69</v>
      </c>
      <c r="K1709" s="46" t="s">
        <v>140</v>
      </c>
      <c r="L1709" s="46"/>
      <c r="M1709" s="46"/>
      <c r="N1709" s="46">
        <v>1</v>
      </c>
      <c r="O1709" s="46"/>
      <c r="P1709" s="46"/>
      <c r="Q1709" s="46"/>
      <c r="R1709" s="46"/>
      <c r="S1709" s="46"/>
      <c r="T1709" s="46"/>
      <c r="U1709" s="46"/>
      <c r="V1709" s="46"/>
      <c r="W1709" s="46"/>
      <c r="X1709" s="46"/>
      <c r="Y1709" s="46"/>
      <c r="Z1709" s="46" t="s">
        <v>4498</v>
      </c>
      <c r="AA1709" s="61">
        <f>IF(OR(G1709="ALK",G1709="PEM",G1709="SOEC",G1709="Other Electrolysis"),
AB1709*VLOOKUP(G1709,ElectrolysisConvF,3,FALSE),
"")</f>
        <v>430.68452747421884</v>
      </c>
      <c r="AB1709" s="62">
        <f>AC1709/(0.089*24*365/10^6)</f>
        <v>95707.672772048638</v>
      </c>
      <c r="AC1709" s="62">
        <f>390*0.191327</f>
        <v>74.617530000000002</v>
      </c>
      <c r="AD1709" s="62"/>
      <c r="AE1709" s="62">
        <f t="shared" si="183"/>
        <v>95707.672772048638</v>
      </c>
      <c r="AF1709" s="64" t="s">
        <v>4499</v>
      </c>
      <c r="AG1709" s="49">
        <v>0.5</v>
      </c>
    </row>
    <row r="1710" spans="1:33" customFormat="1" ht="35.1" customHeight="1" x14ac:dyDescent="0.3">
      <c r="A1710" s="46">
        <v>2260</v>
      </c>
      <c r="B1710" s="46" t="s">
        <v>4500</v>
      </c>
      <c r="C1710" s="46" t="s">
        <v>321</v>
      </c>
      <c r="D1710" s="60">
        <v>2025</v>
      </c>
      <c r="E1710" s="60"/>
      <c r="F1710" s="46" t="s">
        <v>225</v>
      </c>
      <c r="G1710" s="46" t="s">
        <v>159</v>
      </c>
      <c r="H1710" s="46" t="s">
        <v>592</v>
      </c>
      <c r="I1710" s="46" t="s">
        <v>169</v>
      </c>
      <c r="J1710" s="46" t="s">
        <v>69</v>
      </c>
      <c r="K1710" s="46" t="s">
        <v>68</v>
      </c>
      <c r="L1710" s="46"/>
      <c r="M1710" s="46"/>
      <c r="N1710" s="46"/>
      <c r="O1710" s="46"/>
      <c r="P1710" s="46"/>
      <c r="Q1710" s="46"/>
      <c r="R1710" s="46"/>
      <c r="S1710" s="46"/>
      <c r="T1710" s="46"/>
      <c r="U1710" s="46"/>
      <c r="V1710" s="46"/>
      <c r="W1710" s="46"/>
      <c r="X1710" s="46"/>
      <c r="Y1710" s="46"/>
      <c r="Z1710" s="46" t="s">
        <v>2033</v>
      </c>
      <c r="AA1710" s="61">
        <v>70</v>
      </c>
      <c r="AB1710" s="62">
        <f>IF(OR(G1710="ALK",G1710="PEM",G1710="SOEC",G1710="Other Electrolysis"),
AA1710/VLOOKUP(G1710,ElectrolysisConvF,3,FALSE),
AC1710*10^6/(H2dens*HoursInYear))</f>
        <v>15555.555555555557</v>
      </c>
      <c r="AC1710" s="63">
        <f>AB1710*H2dens*HoursInYear/10^6</f>
        <v>12.127733333333333</v>
      </c>
      <c r="AD1710" s="62"/>
      <c r="AE1710" s="62">
        <f t="shared" si="183"/>
        <v>15555.555555555557</v>
      </c>
      <c r="AF1710" s="64" t="s">
        <v>4501</v>
      </c>
      <c r="AG1710" s="49">
        <v>0.5</v>
      </c>
    </row>
    <row r="1711" spans="1:33" customFormat="1" ht="35.1" customHeight="1" x14ac:dyDescent="0.3">
      <c r="A1711" s="46">
        <v>2261</v>
      </c>
      <c r="B1711" s="46" t="s">
        <v>4502</v>
      </c>
      <c r="C1711" s="46" t="s">
        <v>65</v>
      </c>
      <c r="D1711" s="60">
        <v>2024</v>
      </c>
      <c r="E1711" s="60"/>
      <c r="F1711" s="46" t="s">
        <v>225</v>
      </c>
      <c r="G1711" s="46" t="s">
        <v>159</v>
      </c>
      <c r="H1711" s="46" t="s">
        <v>592</v>
      </c>
      <c r="I1711" s="46" t="s">
        <v>169</v>
      </c>
      <c r="J1711" s="46" t="s">
        <v>244</v>
      </c>
      <c r="K1711" s="46" t="s">
        <v>68</v>
      </c>
      <c r="L1711" s="46"/>
      <c r="M1711" s="46"/>
      <c r="N1711" s="46"/>
      <c r="O1711" s="46"/>
      <c r="P1711" s="46"/>
      <c r="Q1711" s="46"/>
      <c r="R1711" s="46"/>
      <c r="S1711" s="46"/>
      <c r="T1711" s="46"/>
      <c r="U1711" s="46"/>
      <c r="V1711" s="46"/>
      <c r="W1711" s="46"/>
      <c r="X1711" s="46"/>
      <c r="Y1711" s="46"/>
      <c r="Z1711" s="46" t="s">
        <v>1396</v>
      </c>
      <c r="AA1711" s="61">
        <v>5</v>
      </c>
      <c r="AB1711" s="62">
        <f>IF(OR(G1711="ALK",G1711="PEM",G1711="SOEC",G1711="Other Electrolysis"),
AA1711/VLOOKUP(G1711,ElectrolysisConvF,3,FALSE),
AC1711*10^6/(H2dens*HoursInYear))</f>
        <v>1111.1111111111111</v>
      </c>
      <c r="AC1711" s="63">
        <f>AB1711*H2dens*HoursInYear/10^6</f>
        <v>0.86626666666666663</v>
      </c>
      <c r="AD1711" s="62"/>
      <c r="AE1711" s="62">
        <f t="shared" si="183"/>
        <v>1111.1111111111111</v>
      </c>
      <c r="AF1711" s="64" t="s">
        <v>4503</v>
      </c>
      <c r="AG1711" s="49">
        <v>0.3</v>
      </c>
    </row>
    <row r="1712" spans="1:33" customFormat="1" ht="35.1" customHeight="1" x14ac:dyDescent="0.3">
      <c r="A1712" s="46">
        <v>2262</v>
      </c>
      <c r="B1712" s="46" t="s">
        <v>4504</v>
      </c>
      <c r="C1712" s="46" t="s">
        <v>46</v>
      </c>
      <c r="D1712" s="60">
        <v>2025</v>
      </c>
      <c r="E1712" s="60"/>
      <c r="F1712" s="46" t="s">
        <v>225</v>
      </c>
      <c r="G1712" s="46" t="s">
        <v>159</v>
      </c>
      <c r="H1712" s="46" t="s">
        <v>592</v>
      </c>
      <c r="I1712" s="46" t="s">
        <v>169</v>
      </c>
      <c r="J1712" s="46" t="s">
        <v>69</v>
      </c>
      <c r="K1712" s="46" t="s">
        <v>68</v>
      </c>
      <c r="L1712" s="46"/>
      <c r="M1712" s="46"/>
      <c r="N1712" s="46"/>
      <c r="O1712" s="46"/>
      <c r="P1712" s="46"/>
      <c r="Q1712" s="46"/>
      <c r="R1712" s="46"/>
      <c r="S1712" s="46"/>
      <c r="T1712" s="46"/>
      <c r="U1712" s="46"/>
      <c r="V1712" s="46"/>
      <c r="W1712" s="46"/>
      <c r="X1712" s="46"/>
      <c r="Y1712" s="46"/>
      <c r="Z1712" s="46"/>
      <c r="AA1712" s="61">
        <f>IF(OR(G1712="ALK",G1712="PEM",G1712="SOEC",G1712="Other Electrolysis"),
AB1712*VLOOKUP(G1712,ElectrolysisConvF,3,FALSE),
"")</f>
        <v>0</v>
      </c>
      <c r="AB1712" s="62"/>
      <c r="AC1712" s="62"/>
      <c r="AD1712" s="62"/>
      <c r="AE1712" s="62">
        <f t="shared" si="183"/>
        <v>0</v>
      </c>
      <c r="AF1712" s="64" t="s">
        <v>4505</v>
      </c>
      <c r="AG1712" s="49">
        <v>0.5</v>
      </c>
    </row>
    <row r="1713" spans="1:33" customFormat="1" ht="35.1" customHeight="1" x14ac:dyDescent="0.3">
      <c r="A1713" s="46">
        <v>2263</v>
      </c>
      <c r="B1713" s="46" t="s">
        <v>4506</v>
      </c>
      <c r="C1713" s="46" t="s">
        <v>46</v>
      </c>
      <c r="D1713" s="60">
        <v>2026</v>
      </c>
      <c r="E1713" s="60"/>
      <c r="F1713" s="46" t="s">
        <v>225</v>
      </c>
      <c r="G1713" s="46" t="s">
        <v>159</v>
      </c>
      <c r="H1713" s="46" t="s">
        <v>592</v>
      </c>
      <c r="I1713" s="46" t="s">
        <v>169</v>
      </c>
      <c r="J1713" s="46" t="s">
        <v>69</v>
      </c>
      <c r="K1713" s="46" t="s">
        <v>68</v>
      </c>
      <c r="L1713" s="46"/>
      <c r="M1713" s="46"/>
      <c r="N1713" s="46"/>
      <c r="O1713" s="46"/>
      <c r="P1713" s="46"/>
      <c r="Q1713" s="46"/>
      <c r="R1713" s="46"/>
      <c r="S1713" s="46"/>
      <c r="T1713" s="46"/>
      <c r="U1713" s="46"/>
      <c r="V1713" s="46"/>
      <c r="W1713" s="46"/>
      <c r="X1713" s="46"/>
      <c r="Y1713" s="46"/>
      <c r="Z1713" s="46" t="s">
        <v>964</v>
      </c>
      <c r="AA1713" s="61">
        <v>30</v>
      </c>
      <c r="AB1713" s="62">
        <f>IF(OR(G1713="ALK",G1713="PEM",G1713="SOEC",G1713="Other Electrolysis"),
AA1713/VLOOKUP(G1713,ElectrolysisConvF,3,FALSE),
AC1713*10^6/(H2dens*HoursInYear))</f>
        <v>6666.666666666667</v>
      </c>
      <c r="AC1713" s="63">
        <f>AB1713*H2dens*HoursInYear/10^6</f>
        <v>5.1976000000000004</v>
      </c>
      <c r="AD1713" s="62"/>
      <c r="AE1713" s="62">
        <f t="shared" si="183"/>
        <v>6666.666666666667</v>
      </c>
      <c r="AF1713" s="64" t="s">
        <v>4507</v>
      </c>
      <c r="AG1713" s="49">
        <v>0.5</v>
      </c>
    </row>
    <row r="1714" spans="1:33" customFormat="1" ht="35.1" customHeight="1" x14ac:dyDescent="0.3">
      <c r="A1714" s="46">
        <v>2264</v>
      </c>
      <c r="B1714" s="46" t="s">
        <v>4508</v>
      </c>
      <c r="C1714" s="46" t="s">
        <v>46</v>
      </c>
      <c r="D1714" s="60">
        <v>2027</v>
      </c>
      <c r="E1714" s="60"/>
      <c r="F1714" s="46" t="s">
        <v>225</v>
      </c>
      <c r="G1714" s="46" t="s">
        <v>159</v>
      </c>
      <c r="H1714" s="46" t="s">
        <v>592</v>
      </c>
      <c r="I1714" s="46" t="s">
        <v>169</v>
      </c>
      <c r="J1714" s="46" t="s">
        <v>69</v>
      </c>
      <c r="K1714" s="46" t="s">
        <v>68</v>
      </c>
      <c r="L1714" s="46"/>
      <c r="M1714" s="46"/>
      <c r="N1714" s="46"/>
      <c r="O1714" s="46"/>
      <c r="P1714" s="46"/>
      <c r="Q1714" s="46"/>
      <c r="R1714" s="46"/>
      <c r="S1714" s="46"/>
      <c r="T1714" s="46"/>
      <c r="U1714" s="46"/>
      <c r="V1714" s="46"/>
      <c r="W1714" s="46"/>
      <c r="X1714" s="46"/>
      <c r="Y1714" s="46"/>
      <c r="Z1714" s="46"/>
      <c r="AA1714" s="61">
        <f>IF(OR(G1714="ALK",G1714="PEM",G1714="SOEC",G1714="Other Electrolysis"),
AB1714*VLOOKUP(G1714,ElectrolysisConvF,3,FALSE),
"")</f>
        <v>0</v>
      </c>
      <c r="AB1714" s="62"/>
      <c r="AC1714" s="62"/>
      <c r="AD1714" s="62"/>
      <c r="AE1714" s="62">
        <f t="shared" si="183"/>
        <v>0</v>
      </c>
      <c r="AF1714" s="64" t="s">
        <v>4505</v>
      </c>
      <c r="AG1714" s="49">
        <v>0.5</v>
      </c>
    </row>
    <row r="1715" spans="1:33" customFormat="1" ht="35.1" customHeight="1" x14ac:dyDescent="0.3">
      <c r="A1715" s="46">
        <v>2265</v>
      </c>
      <c r="B1715" s="46" t="s">
        <v>4509</v>
      </c>
      <c r="C1715" s="46" t="s">
        <v>46</v>
      </c>
      <c r="D1715" s="60">
        <v>2028</v>
      </c>
      <c r="E1715" s="60"/>
      <c r="F1715" s="46" t="s">
        <v>225</v>
      </c>
      <c r="G1715" s="46" t="s">
        <v>159</v>
      </c>
      <c r="H1715" s="46" t="s">
        <v>592</v>
      </c>
      <c r="I1715" s="46" t="s">
        <v>169</v>
      </c>
      <c r="J1715" s="46" t="s">
        <v>69</v>
      </c>
      <c r="K1715" s="46" t="s">
        <v>68</v>
      </c>
      <c r="L1715" s="46"/>
      <c r="M1715" s="46"/>
      <c r="N1715" s="46"/>
      <c r="O1715" s="46"/>
      <c r="P1715" s="46"/>
      <c r="Q1715" s="46"/>
      <c r="R1715" s="46"/>
      <c r="S1715" s="46"/>
      <c r="T1715" s="46"/>
      <c r="U1715" s="46"/>
      <c r="V1715" s="46"/>
      <c r="W1715" s="46"/>
      <c r="X1715" s="46"/>
      <c r="Y1715" s="46"/>
      <c r="Z1715" s="46"/>
      <c r="AA1715" s="61">
        <f>IF(OR(G1715="ALK",G1715="PEM",G1715="SOEC",G1715="Other Electrolysis"),
AB1715*VLOOKUP(G1715,ElectrolysisConvF,3,FALSE),
"")</f>
        <v>0</v>
      </c>
      <c r="AB1715" s="62"/>
      <c r="AC1715" s="62"/>
      <c r="AD1715" s="62"/>
      <c r="AE1715" s="62">
        <f t="shared" si="183"/>
        <v>0</v>
      </c>
      <c r="AF1715" s="64" t="s">
        <v>4505</v>
      </c>
      <c r="AG1715" s="49">
        <v>0.5</v>
      </c>
    </row>
    <row r="1716" spans="1:33" customFormat="1" ht="35.1" customHeight="1" x14ac:dyDescent="0.3">
      <c r="A1716" s="46">
        <v>2266</v>
      </c>
      <c r="B1716" s="46" t="s">
        <v>4510</v>
      </c>
      <c r="C1716" s="46" t="s">
        <v>46</v>
      </c>
      <c r="D1716" s="60">
        <v>2029</v>
      </c>
      <c r="E1716" s="60"/>
      <c r="F1716" s="46" t="s">
        <v>225</v>
      </c>
      <c r="G1716" s="46" t="s">
        <v>159</v>
      </c>
      <c r="H1716" s="46" t="s">
        <v>592</v>
      </c>
      <c r="I1716" s="46" t="s">
        <v>169</v>
      </c>
      <c r="J1716" s="46" t="s">
        <v>69</v>
      </c>
      <c r="K1716" s="46" t="s">
        <v>68</v>
      </c>
      <c r="L1716" s="46"/>
      <c r="M1716" s="46"/>
      <c r="N1716" s="46"/>
      <c r="O1716" s="46"/>
      <c r="P1716" s="46"/>
      <c r="Q1716" s="46"/>
      <c r="R1716" s="46"/>
      <c r="S1716" s="46"/>
      <c r="T1716" s="46"/>
      <c r="U1716" s="46"/>
      <c r="V1716" s="46"/>
      <c r="W1716" s="46"/>
      <c r="X1716" s="46"/>
      <c r="Y1716" s="46"/>
      <c r="Z1716" s="46"/>
      <c r="AA1716" s="61">
        <f>IF(OR(G1716="ALK",G1716="PEM",G1716="SOEC",G1716="Other Electrolysis"),
AB1716*VLOOKUP(G1716,ElectrolysisConvF,3,FALSE),
"")</f>
        <v>0</v>
      </c>
      <c r="AB1716" s="62"/>
      <c r="AC1716" s="62"/>
      <c r="AD1716" s="62"/>
      <c r="AE1716" s="62">
        <f t="shared" si="183"/>
        <v>0</v>
      </c>
      <c r="AF1716" s="64" t="s">
        <v>4505</v>
      </c>
      <c r="AG1716" s="49">
        <v>0.5</v>
      </c>
    </row>
    <row r="1717" spans="1:33" customFormat="1" ht="35.1" customHeight="1" x14ac:dyDescent="0.3">
      <c r="A1717" s="46">
        <v>2267</v>
      </c>
      <c r="B1717" s="46" t="s">
        <v>4511</v>
      </c>
      <c r="C1717" s="46" t="s">
        <v>46</v>
      </c>
      <c r="D1717" s="60">
        <v>2030</v>
      </c>
      <c r="E1717" s="60"/>
      <c r="F1717" s="46" t="s">
        <v>225</v>
      </c>
      <c r="G1717" s="46" t="s">
        <v>159</v>
      </c>
      <c r="H1717" s="46" t="s">
        <v>592</v>
      </c>
      <c r="I1717" s="46" t="s">
        <v>169</v>
      </c>
      <c r="J1717" s="46" t="s">
        <v>69</v>
      </c>
      <c r="K1717" s="46" t="s">
        <v>68</v>
      </c>
      <c r="L1717" s="46"/>
      <c r="M1717" s="46"/>
      <c r="N1717" s="46"/>
      <c r="O1717" s="46"/>
      <c r="P1717" s="46"/>
      <c r="Q1717" s="46"/>
      <c r="R1717" s="46"/>
      <c r="S1717" s="46"/>
      <c r="T1717" s="46"/>
      <c r="U1717" s="46"/>
      <c r="V1717" s="46"/>
      <c r="W1717" s="46"/>
      <c r="X1717" s="46"/>
      <c r="Y1717" s="46"/>
      <c r="Z1717" s="46"/>
      <c r="AA1717" s="61">
        <f>IF(OR(G1717="ALK",G1717="PEM",G1717="SOEC",G1717="Other Electrolysis"),
AB1717*VLOOKUP(G1717,ElectrolysisConvF,3,FALSE),
"")</f>
        <v>0</v>
      </c>
      <c r="AB1717" s="62"/>
      <c r="AC1717" s="62"/>
      <c r="AD1717" s="62"/>
      <c r="AE1717" s="62">
        <f t="shared" si="183"/>
        <v>0</v>
      </c>
      <c r="AF1717" s="64" t="s">
        <v>4505</v>
      </c>
      <c r="AG1717" s="49">
        <v>0.5</v>
      </c>
    </row>
    <row r="1718" spans="1:33" customFormat="1" ht="35.1" customHeight="1" x14ac:dyDescent="0.3">
      <c r="A1718" s="46">
        <v>2268</v>
      </c>
      <c r="B1718" s="46" t="s">
        <v>4512</v>
      </c>
      <c r="C1718" s="46" t="s">
        <v>46</v>
      </c>
      <c r="D1718" s="60">
        <v>2031</v>
      </c>
      <c r="E1718" s="60"/>
      <c r="F1718" s="46" t="s">
        <v>225</v>
      </c>
      <c r="G1718" s="46" t="s">
        <v>159</v>
      </c>
      <c r="H1718" s="46" t="s">
        <v>592</v>
      </c>
      <c r="I1718" s="46" t="s">
        <v>169</v>
      </c>
      <c r="J1718" s="46" t="s">
        <v>69</v>
      </c>
      <c r="K1718" s="46" t="s">
        <v>68</v>
      </c>
      <c r="L1718" s="46"/>
      <c r="M1718" s="46"/>
      <c r="N1718" s="46"/>
      <c r="O1718" s="46"/>
      <c r="P1718" s="46"/>
      <c r="Q1718" s="46"/>
      <c r="R1718" s="46"/>
      <c r="S1718" s="46"/>
      <c r="T1718" s="46"/>
      <c r="U1718" s="46"/>
      <c r="V1718" s="46"/>
      <c r="W1718" s="46"/>
      <c r="X1718" s="46"/>
      <c r="Y1718" s="46"/>
      <c r="Z1718" s="46"/>
      <c r="AA1718" s="61">
        <f>IF(OR(G1718="ALK",G1718="PEM",G1718="SOEC",G1718="Other Electrolysis"),
AB1718*VLOOKUP(G1718,ElectrolysisConvF,3,FALSE),
"")</f>
        <v>0</v>
      </c>
      <c r="AB1718" s="62"/>
      <c r="AC1718" s="62"/>
      <c r="AD1718" s="62"/>
      <c r="AE1718" s="62">
        <f t="shared" si="183"/>
        <v>0</v>
      </c>
      <c r="AF1718" s="64" t="s">
        <v>4505</v>
      </c>
      <c r="AG1718" s="49">
        <v>0.5</v>
      </c>
    </row>
    <row r="1719" spans="1:33" customFormat="1" ht="35.1" customHeight="1" x14ac:dyDescent="0.3">
      <c r="A1719" s="46">
        <v>2269</v>
      </c>
      <c r="B1719" s="46" t="s">
        <v>4513</v>
      </c>
      <c r="C1719" s="46" t="s">
        <v>42</v>
      </c>
      <c r="D1719" s="60">
        <v>2025</v>
      </c>
      <c r="E1719" s="60"/>
      <c r="F1719" s="46" t="s">
        <v>225</v>
      </c>
      <c r="G1719" s="46" t="s">
        <v>159</v>
      </c>
      <c r="H1719" s="46" t="s">
        <v>592</v>
      </c>
      <c r="I1719" s="46" t="s">
        <v>169</v>
      </c>
      <c r="J1719" s="46" t="s">
        <v>244</v>
      </c>
      <c r="K1719" s="46" t="s">
        <v>68</v>
      </c>
      <c r="L1719" s="46"/>
      <c r="M1719" s="46"/>
      <c r="N1719" s="46"/>
      <c r="O1719" s="46"/>
      <c r="P1719" s="46">
        <v>1</v>
      </c>
      <c r="Q1719" s="46"/>
      <c r="R1719" s="46"/>
      <c r="S1719" s="46"/>
      <c r="T1719" s="46"/>
      <c r="U1719" s="46"/>
      <c r="V1719" s="46"/>
      <c r="W1719" s="46"/>
      <c r="X1719" s="46"/>
      <c r="Y1719" s="46"/>
      <c r="Z1719" s="46" t="s">
        <v>4514</v>
      </c>
      <c r="AA1719" s="61">
        <v>16</v>
      </c>
      <c r="AB1719" s="62">
        <f>IF(OR(G1719="ALK",G1719="PEM",G1719="SOEC",G1719="Other Electrolysis"),
AA1719/VLOOKUP(G1719,ElectrolysisConvF,3,FALSE),
AC1719*10^6/(H2dens*HoursInYear))</f>
        <v>3555.5555555555557</v>
      </c>
      <c r="AC1719" s="63">
        <f>AB1719*H2dens*HoursInYear/10^6</f>
        <v>2.7720533333333335</v>
      </c>
      <c r="AD1719" s="62"/>
      <c r="AE1719" s="62">
        <f t="shared" si="183"/>
        <v>3555.5555555555557</v>
      </c>
      <c r="AF1719" s="64" t="s">
        <v>4515</v>
      </c>
      <c r="AG1719" s="49">
        <v>0.3</v>
      </c>
    </row>
    <row r="1720" spans="1:33" customFormat="1" ht="35.1" customHeight="1" x14ac:dyDescent="0.3">
      <c r="A1720" s="46">
        <v>2270</v>
      </c>
      <c r="B1720" s="46" t="s">
        <v>4516</v>
      </c>
      <c r="C1720" s="46" t="s">
        <v>78</v>
      </c>
      <c r="D1720" s="60"/>
      <c r="E1720" s="60"/>
      <c r="F1720" s="46" t="s">
        <v>591</v>
      </c>
      <c r="G1720" s="46" t="s">
        <v>163</v>
      </c>
      <c r="H1720" s="46" t="s">
        <v>4517</v>
      </c>
      <c r="I1720" s="46"/>
      <c r="J1720" s="46"/>
      <c r="K1720" s="46" t="s">
        <v>68</v>
      </c>
      <c r="L1720" s="46"/>
      <c r="M1720" s="46"/>
      <c r="N1720" s="46"/>
      <c r="O1720" s="46"/>
      <c r="P1720" s="46"/>
      <c r="Q1720" s="46"/>
      <c r="R1720" s="46"/>
      <c r="S1720" s="46"/>
      <c r="T1720" s="46"/>
      <c r="U1720" s="46"/>
      <c r="V1720" s="46"/>
      <c r="W1720" s="46"/>
      <c r="X1720" s="46"/>
      <c r="Y1720" s="46"/>
      <c r="Z1720" s="46"/>
      <c r="AA1720" s="61" t="str">
        <f t="shared" ref="AA1720:AA1725" si="184">IF(OR(G1720="ALK",G1720="PEM",G1720="SOEC",G1720="Other Electrolysis"),
AB1720*VLOOKUP(G1720,ElectrolysisConvF,3,FALSE),
"")</f>
        <v/>
      </c>
      <c r="AB1720" s="62"/>
      <c r="AC1720" s="62"/>
      <c r="AD1720" s="62"/>
      <c r="AE1720" s="62">
        <f t="shared" si="183"/>
        <v>0</v>
      </c>
      <c r="AF1720" s="64" t="s">
        <v>4518</v>
      </c>
      <c r="AG1720" s="49">
        <v>0.9</v>
      </c>
    </row>
    <row r="1721" spans="1:33" customFormat="1" ht="35.1" customHeight="1" x14ac:dyDescent="0.3">
      <c r="A1721" s="46">
        <v>2271</v>
      </c>
      <c r="B1721" s="46" t="s">
        <v>4519</v>
      </c>
      <c r="C1721" s="46" t="s">
        <v>135</v>
      </c>
      <c r="D1721" s="60">
        <v>2027</v>
      </c>
      <c r="E1721" s="60"/>
      <c r="F1721" s="46" t="s">
        <v>591</v>
      </c>
      <c r="G1721" s="46" t="s">
        <v>159</v>
      </c>
      <c r="H1721" s="46" t="s">
        <v>592</v>
      </c>
      <c r="I1721" s="46" t="s">
        <v>169</v>
      </c>
      <c r="J1721" s="46" t="s">
        <v>248</v>
      </c>
      <c r="K1721" s="46" t="s">
        <v>141</v>
      </c>
      <c r="L1721" s="46"/>
      <c r="M1721" s="46">
        <v>1</v>
      </c>
      <c r="N1721" s="46"/>
      <c r="O1721" s="46"/>
      <c r="P1721" s="46"/>
      <c r="Q1721" s="46"/>
      <c r="R1721" s="46"/>
      <c r="S1721" s="46"/>
      <c r="T1721" s="46"/>
      <c r="U1721" s="46"/>
      <c r="V1721" s="46"/>
      <c r="W1721" s="46"/>
      <c r="X1721" s="46"/>
      <c r="Y1721" s="46"/>
      <c r="Z1721" s="46" t="s">
        <v>2951</v>
      </c>
      <c r="AA1721" s="63">
        <f t="shared" si="184"/>
        <v>2078.7135848644521</v>
      </c>
      <c r="AB1721" s="62">
        <f>AC1721/(H2dens*HoursInYear/10^6)</f>
        <v>461936.35219210049</v>
      </c>
      <c r="AC1721" s="62">
        <f>1000*3/17/0.98/H2ProjectDB4578610[[#This Row],[Column33]]</f>
        <v>360.14405762304921</v>
      </c>
      <c r="AD1721" s="62"/>
      <c r="AE1721" s="62">
        <f t="shared" si="183"/>
        <v>461936.35219210049</v>
      </c>
      <c r="AF1721" s="64" t="s">
        <v>4520</v>
      </c>
      <c r="AG1721" s="49">
        <v>0.5</v>
      </c>
    </row>
    <row r="1722" spans="1:33" customFormat="1" ht="35.1" customHeight="1" x14ac:dyDescent="0.3">
      <c r="A1722" s="46">
        <v>2272</v>
      </c>
      <c r="B1722" s="46" t="s">
        <v>4521</v>
      </c>
      <c r="C1722" s="46" t="s">
        <v>45</v>
      </c>
      <c r="D1722" s="60"/>
      <c r="E1722" s="60"/>
      <c r="F1722" s="46" t="s">
        <v>225</v>
      </c>
      <c r="G1722" s="46" t="s">
        <v>159</v>
      </c>
      <c r="H1722" s="46" t="s">
        <v>592</v>
      </c>
      <c r="I1722" s="46" t="s">
        <v>169</v>
      </c>
      <c r="J1722" s="46" t="s">
        <v>69</v>
      </c>
      <c r="K1722" s="46" t="s">
        <v>140</v>
      </c>
      <c r="L1722" s="46"/>
      <c r="M1722" s="46"/>
      <c r="N1722" s="46"/>
      <c r="O1722" s="46"/>
      <c r="P1722" s="46"/>
      <c r="Q1722" s="46"/>
      <c r="R1722" s="46"/>
      <c r="S1722" s="46"/>
      <c r="T1722" s="46"/>
      <c r="U1722" s="46"/>
      <c r="V1722" s="46"/>
      <c r="W1722" s="46"/>
      <c r="X1722" s="46"/>
      <c r="Y1722" s="46"/>
      <c r="Z1722" s="46"/>
      <c r="AA1722" s="61">
        <f t="shared" si="184"/>
        <v>0</v>
      </c>
      <c r="AB1722" s="62"/>
      <c r="AC1722" s="62"/>
      <c r="AD1722" s="62"/>
      <c r="AE1722" s="62">
        <f t="shared" si="183"/>
        <v>0</v>
      </c>
      <c r="AF1722" s="64" t="s">
        <v>4522</v>
      </c>
      <c r="AG1722" s="49">
        <v>0.5</v>
      </c>
    </row>
    <row r="1723" spans="1:33" customFormat="1" ht="35.1" customHeight="1" x14ac:dyDescent="0.3">
      <c r="A1723" s="46">
        <v>2273</v>
      </c>
      <c r="B1723" s="46" t="s">
        <v>4394</v>
      </c>
      <c r="C1723" s="46" t="s">
        <v>60</v>
      </c>
      <c r="D1723" s="60"/>
      <c r="E1723" s="60"/>
      <c r="F1723" s="46" t="s">
        <v>591</v>
      </c>
      <c r="G1723" s="46" t="s">
        <v>163</v>
      </c>
      <c r="H1723" s="46" t="s">
        <v>2289</v>
      </c>
      <c r="I1723" s="46"/>
      <c r="J1723" s="46"/>
      <c r="K1723" s="46" t="s">
        <v>68</v>
      </c>
      <c r="L1723" s="46"/>
      <c r="M1723" s="46"/>
      <c r="N1723" s="46"/>
      <c r="O1723" s="46"/>
      <c r="P1723" s="46"/>
      <c r="Q1723" s="46"/>
      <c r="R1723" s="46"/>
      <c r="S1723" s="46"/>
      <c r="T1723" s="46"/>
      <c r="U1723" s="46"/>
      <c r="V1723" s="46"/>
      <c r="W1723" s="46"/>
      <c r="X1723" s="46"/>
      <c r="Y1723" s="46"/>
      <c r="Z1723" s="46"/>
      <c r="AA1723" s="61" t="str">
        <f t="shared" si="184"/>
        <v/>
      </c>
      <c r="AB1723" s="62"/>
      <c r="AC1723" s="62"/>
      <c r="AD1723" s="62"/>
      <c r="AE1723" s="62">
        <f t="shared" si="183"/>
        <v>0</v>
      </c>
      <c r="AF1723" s="64" t="s">
        <v>4523</v>
      </c>
      <c r="AG1723" s="49">
        <v>0.9</v>
      </c>
    </row>
    <row r="1724" spans="1:33" customFormat="1" ht="40.35" customHeight="1" x14ac:dyDescent="0.3">
      <c r="A1724" s="46">
        <v>2274</v>
      </c>
      <c r="B1724" s="46" t="s">
        <v>4524</v>
      </c>
      <c r="C1724" s="46" t="s">
        <v>34</v>
      </c>
      <c r="D1724" s="60"/>
      <c r="E1724" s="60"/>
      <c r="F1724" s="46" t="s">
        <v>591</v>
      </c>
      <c r="G1724" s="46" t="s">
        <v>163</v>
      </c>
      <c r="H1724" s="46" t="s">
        <v>1805</v>
      </c>
      <c r="I1724" s="46"/>
      <c r="J1724" s="46"/>
      <c r="K1724" s="46" t="s">
        <v>68</v>
      </c>
      <c r="L1724" s="46"/>
      <c r="M1724" s="46"/>
      <c r="N1724" s="46"/>
      <c r="O1724" s="46"/>
      <c r="P1724" s="46"/>
      <c r="Q1724" s="46"/>
      <c r="R1724" s="46"/>
      <c r="S1724" s="46"/>
      <c r="T1724" s="46"/>
      <c r="U1724" s="46"/>
      <c r="V1724" s="46"/>
      <c r="W1724" s="46"/>
      <c r="X1724" s="46"/>
      <c r="Y1724" s="46"/>
      <c r="Z1724" s="46" t="s">
        <v>4525</v>
      </c>
      <c r="AA1724" s="61" t="str">
        <f t="shared" si="184"/>
        <v/>
      </c>
      <c r="AB1724" s="62">
        <f>AC1724/(H2dens*HoursInYear/10^6)</f>
        <v>320.66081781334975</v>
      </c>
      <c r="AC1724" s="62">
        <f>225/1000/H2ProjectDB4578610[[#This Row],[Column33]]</f>
        <v>0.25</v>
      </c>
      <c r="AD1724" s="62"/>
      <c r="AE1724" s="62">
        <f t="shared" si="183"/>
        <v>320.66081781334975</v>
      </c>
      <c r="AF1724" s="64" t="s">
        <v>4526</v>
      </c>
      <c r="AG1724" s="49">
        <v>0.9</v>
      </c>
    </row>
    <row r="1725" spans="1:33" customFormat="1" ht="35.1" customHeight="1" x14ac:dyDescent="0.3">
      <c r="A1725" s="46">
        <v>2275</v>
      </c>
      <c r="B1725" s="46" t="s">
        <v>4527</v>
      </c>
      <c r="C1725" s="46" t="s">
        <v>78</v>
      </c>
      <c r="D1725" s="60">
        <v>2026</v>
      </c>
      <c r="E1725" s="60"/>
      <c r="F1725" s="46" t="s">
        <v>591</v>
      </c>
      <c r="G1725" s="46" t="s">
        <v>2</v>
      </c>
      <c r="H1725" s="46"/>
      <c r="I1725" s="46" t="s">
        <v>288</v>
      </c>
      <c r="J1725" s="46"/>
      <c r="K1725" s="46" t="s">
        <v>68</v>
      </c>
      <c r="L1725" s="46"/>
      <c r="M1725" s="46"/>
      <c r="N1725" s="46"/>
      <c r="O1725" s="46"/>
      <c r="P1725" s="46"/>
      <c r="Q1725" s="46"/>
      <c r="R1725" s="46"/>
      <c r="S1725" s="46"/>
      <c r="T1725" s="46"/>
      <c r="U1725" s="46"/>
      <c r="V1725" s="46"/>
      <c r="W1725" s="46"/>
      <c r="X1725" s="46"/>
      <c r="Y1725" s="46"/>
      <c r="Z1725" s="46"/>
      <c r="AA1725" s="61">
        <f t="shared" si="184"/>
        <v>0</v>
      </c>
      <c r="AB1725" s="62"/>
      <c r="AC1725" s="62"/>
      <c r="AD1725" s="62"/>
      <c r="AE1725" s="62">
        <f t="shared" si="183"/>
        <v>0</v>
      </c>
      <c r="AF1725" s="64" t="s">
        <v>4528</v>
      </c>
      <c r="AG1725" s="49">
        <v>0.8</v>
      </c>
    </row>
    <row r="1726" spans="1:33" customFormat="1" ht="35.1" customHeight="1" x14ac:dyDescent="0.3">
      <c r="A1726" s="46">
        <v>2276</v>
      </c>
      <c r="B1726" s="46" t="s">
        <v>4529</v>
      </c>
      <c r="C1726" s="46" t="s">
        <v>321</v>
      </c>
      <c r="D1726" s="60"/>
      <c r="E1726" s="60"/>
      <c r="F1726" s="46" t="s">
        <v>285</v>
      </c>
      <c r="G1726" s="46" t="s">
        <v>159</v>
      </c>
      <c r="H1726" s="46" t="s">
        <v>592</v>
      </c>
      <c r="I1726" s="46" t="s">
        <v>169</v>
      </c>
      <c r="J1726" s="46" t="s">
        <v>245</v>
      </c>
      <c r="K1726" s="46" t="s">
        <v>68</v>
      </c>
      <c r="L1726" s="46"/>
      <c r="M1726" s="46"/>
      <c r="N1726" s="46"/>
      <c r="O1726" s="46"/>
      <c r="P1726" s="46"/>
      <c r="Q1726" s="46"/>
      <c r="R1726" s="46"/>
      <c r="S1726" s="46"/>
      <c r="T1726" s="46"/>
      <c r="U1726" s="46"/>
      <c r="V1726" s="46"/>
      <c r="W1726" s="46"/>
      <c r="X1726" s="46"/>
      <c r="Y1726" s="46"/>
      <c r="Z1726" s="46" t="s">
        <v>4530</v>
      </c>
      <c r="AA1726" s="61">
        <v>0.4</v>
      </c>
      <c r="AB1726" s="62">
        <f>IF(OR(G1726="ALK",G1726="PEM",G1726="SOEC",G1726="Other Electrolysis"),
AA1726/VLOOKUP(G1726,ElectrolysisConvF,3,FALSE),
AC1726*10^6/(H2dens*HoursInYear))</f>
        <v>88.8888888888889</v>
      </c>
      <c r="AC1726" s="63">
        <f>AB1726*H2dens*HoursInYear/10^6</f>
        <v>6.930133333333334E-2</v>
      </c>
      <c r="AD1726" s="62"/>
      <c r="AE1726" s="62">
        <f t="shared" si="183"/>
        <v>88.8888888888889</v>
      </c>
      <c r="AF1726" s="64" t="s">
        <v>4531</v>
      </c>
      <c r="AG1726" s="49">
        <v>0.4</v>
      </c>
    </row>
    <row r="1727" spans="1:33" customFormat="1" ht="35.1" customHeight="1" x14ac:dyDescent="0.3">
      <c r="A1727" s="46">
        <v>2277</v>
      </c>
      <c r="B1727" s="46" t="s">
        <v>4532</v>
      </c>
      <c r="C1727" s="46" t="s">
        <v>313</v>
      </c>
      <c r="D1727" s="60"/>
      <c r="E1727" s="60"/>
      <c r="F1727" s="46" t="s">
        <v>591</v>
      </c>
      <c r="G1727" s="46" t="s">
        <v>159</v>
      </c>
      <c r="H1727" s="46" t="s">
        <v>592</v>
      </c>
      <c r="I1727" s="46" t="s">
        <v>157</v>
      </c>
      <c r="J1727" s="46" t="s">
        <v>69</v>
      </c>
      <c r="K1727" s="46" t="s">
        <v>68</v>
      </c>
      <c r="L1727" s="46"/>
      <c r="M1727" s="46"/>
      <c r="N1727" s="46"/>
      <c r="O1727" s="46"/>
      <c r="P1727" s="46"/>
      <c r="Q1727" s="46"/>
      <c r="R1727" s="46"/>
      <c r="S1727" s="46"/>
      <c r="T1727" s="46"/>
      <c r="U1727" s="46"/>
      <c r="V1727" s="46"/>
      <c r="W1727" s="46"/>
      <c r="X1727" s="46"/>
      <c r="Y1727" s="46"/>
      <c r="Z1727" s="46" t="s">
        <v>1168</v>
      </c>
      <c r="AA1727" s="61">
        <v>10</v>
      </c>
      <c r="AB1727" s="62">
        <f>IF(OR(G1727="ALK",G1727="PEM",G1727="SOEC",G1727="Other Electrolysis"),
AA1727/VLOOKUP(G1727,ElectrolysisConvF,3,FALSE),
AC1727*10^6/(H2dens*HoursInYear))</f>
        <v>2222.2222222222222</v>
      </c>
      <c r="AC1727" s="63">
        <f>AB1727*H2dens*HoursInYear/10^6</f>
        <v>1.7325333333333333</v>
      </c>
      <c r="AD1727" s="62"/>
      <c r="AE1727" s="62">
        <f t="shared" si="183"/>
        <v>2222.2222222222222</v>
      </c>
      <c r="AF1727" s="64" t="s">
        <v>4533</v>
      </c>
      <c r="AG1727" s="49">
        <v>0.56999999999999995</v>
      </c>
    </row>
    <row r="1728" spans="1:33" customFormat="1" ht="35.1" customHeight="1" x14ac:dyDescent="0.3">
      <c r="A1728" s="46">
        <v>2278</v>
      </c>
      <c r="B1728" s="46" t="s">
        <v>4534</v>
      </c>
      <c r="C1728" s="46" t="s">
        <v>313</v>
      </c>
      <c r="D1728" s="60"/>
      <c r="E1728" s="60"/>
      <c r="F1728" s="46" t="s">
        <v>225</v>
      </c>
      <c r="G1728" s="46" t="s">
        <v>159</v>
      </c>
      <c r="H1728" s="46" t="s">
        <v>592</v>
      </c>
      <c r="I1728" s="46" t="s">
        <v>169</v>
      </c>
      <c r="J1728" s="46" t="s">
        <v>245</v>
      </c>
      <c r="K1728" s="46" t="s">
        <v>68</v>
      </c>
      <c r="L1728" s="46"/>
      <c r="M1728" s="46"/>
      <c r="N1728" s="46"/>
      <c r="O1728" s="46"/>
      <c r="P1728" s="46"/>
      <c r="Q1728" s="46"/>
      <c r="R1728" s="46"/>
      <c r="S1728" s="46"/>
      <c r="T1728" s="46"/>
      <c r="U1728" s="46"/>
      <c r="V1728" s="46"/>
      <c r="W1728" s="46"/>
      <c r="X1728" s="46"/>
      <c r="Y1728" s="46"/>
      <c r="Z1728" s="46" t="s">
        <v>1198</v>
      </c>
      <c r="AA1728" s="61">
        <v>2</v>
      </c>
      <c r="AB1728" s="62">
        <f>IF(OR(G1728="ALK",G1728="PEM",G1728="SOEC",G1728="Other Electrolysis"),
AA1728/VLOOKUP(G1728,ElectrolysisConvF,3,FALSE),
AC1728*10^6/(H2dens*HoursInYear))</f>
        <v>444.44444444444446</v>
      </c>
      <c r="AC1728" s="63">
        <f>AB1728*H2dens*HoursInYear/10^6</f>
        <v>0.34650666666666669</v>
      </c>
      <c r="AD1728" s="62"/>
      <c r="AE1728" s="62">
        <f t="shared" si="183"/>
        <v>444.44444444444446</v>
      </c>
      <c r="AF1728" s="64" t="s">
        <v>4535</v>
      </c>
      <c r="AG1728" s="49">
        <v>0.4</v>
      </c>
    </row>
    <row r="1729" spans="1:33" customFormat="1" ht="35.1" customHeight="1" x14ac:dyDescent="0.3">
      <c r="A1729" s="46">
        <v>2279</v>
      </c>
      <c r="B1729" s="46" t="s">
        <v>4536</v>
      </c>
      <c r="C1729" s="46" t="s">
        <v>313</v>
      </c>
      <c r="D1729" s="60"/>
      <c r="E1729" s="60"/>
      <c r="F1729" s="46" t="s">
        <v>225</v>
      </c>
      <c r="G1729" s="46" t="s">
        <v>159</v>
      </c>
      <c r="H1729" s="46" t="s">
        <v>592</v>
      </c>
      <c r="I1729" s="46" t="s">
        <v>169</v>
      </c>
      <c r="J1729" s="46" t="s">
        <v>245</v>
      </c>
      <c r="K1729" s="46" t="s">
        <v>68</v>
      </c>
      <c r="L1729" s="46"/>
      <c r="M1729" s="46"/>
      <c r="N1729" s="46"/>
      <c r="O1729" s="46"/>
      <c r="P1729" s="46"/>
      <c r="Q1729" s="46">
        <v>1</v>
      </c>
      <c r="R1729" s="46"/>
      <c r="S1729" s="46"/>
      <c r="T1729" s="46"/>
      <c r="U1729" s="46"/>
      <c r="V1729" s="46"/>
      <c r="W1729" s="46"/>
      <c r="X1729" s="46"/>
      <c r="Y1729" s="46"/>
      <c r="Z1729" s="46" t="s">
        <v>2596</v>
      </c>
      <c r="AA1729" s="61">
        <v>80</v>
      </c>
      <c r="AB1729" s="62">
        <f>IF(OR(G1729="ALK",G1729="PEM",G1729="SOEC",G1729="Other Electrolysis"),
AA1729/VLOOKUP(G1729,ElectrolysisConvF,3,FALSE),
AC1729*10^6/(H2dens*HoursInYear))</f>
        <v>17777.777777777777</v>
      </c>
      <c r="AC1729" s="63">
        <f>AB1729*H2dens*HoursInYear/10^6</f>
        <v>13.860266666666666</v>
      </c>
      <c r="AD1729" s="62"/>
      <c r="AE1729" s="62">
        <f t="shared" si="183"/>
        <v>17777.777777777777</v>
      </c>
      <c r="AF1729" s="64" t="s">
        <v>4537</v>
      </c>
      <c r="AG1729" s="49">
        <v>0.4</v>
      </c>
    </row>
    <row r="1730" spans="1:33" customFormat="1" ht="35.1" customHeight="1" x14ac:dyDescent="0.3">
      <c r="A1730" s="46">
        <v>2280</v>
      </c>
      <c r="B1730" s="46" t="s">
        <v>4538</v>
      </c>
      <c r="C1730" s="46" t="s">
        <v>313</v>
      </c>
      <c r="D1730" s="60">
        <v>2030</v>
      </c>
      <c r="E1730" s="60"/>
      <c r="F1730" s="46" t="s">
        <v>591</v>
      </c>
      <c r="G1730" s="46" t="s">
        <v>159</v>
      </c>
      <c r="H1730" s="46" t="s">
        <v>592</v>
      </c>
      <c r="I1730" s="46" t="s">
        <v>169</v>
      </c>
      <c r="J1730" s="46" t="s">
        <v>246</v>
      </c>
      <c r="K1730" s="46" t="s">
        <v>68</v>
      </c>
      <c r="L1730" s="46"/>
      <c r="M1730" s="46"/>
      <c r="N1730" s="46"/>
      <c r="O1730" s="46"/>
      <c r="P1730" s="46"/>
      <c r="Q1730" s="46"/>
      <c r="R1730" s="46"/>
      <c r="S1730" s="46"/>
      <c r="T1730" s="46"/>
      <c r="U1730" s="46"/>
      <c r="V1730" s="46"/>
      <c r="W1730" s="46"/>
      <c r="X1730" s="46"/>
      <c r="Y1730" s="46"/>
      <c r="Z1730" s="46"/>
      <c r="AA1730" s="61">
        <f>IF(OR(G1730="ALK",G1730="PEM",G1730="SOEC",G1730="Other Electrolysis"),
AB1730*VLOOKUP(G1730,ElectrolysisConvF,3,FALSE),
"")</f>
        <v>0</v>
      </c>
      <c r="AB1730" s="62"/>
      <c r="AC1730" s="62"/>
      <c r="AD1730" s="62"/>
      <c r="AE1730" s="62">
        <f t="shared" si="183"/>
        <v>0</v>
      </c>
      <c r="AF1730" s="64" t="s">
        <v>4539</v>
      </c>
      <c r="AG1730" s="49">
        <v>0.55000000000000004</v>
      </c>
    </row>
    <row r="1731" spans="1:33" customFormat="1" ht="35.1" customHeight="1" x14ac:dyDescent="0.3">
      <c r="A1731" s="46">
        <v>2281</v>
      </c>
      <c r="B1731" s="46" t="s">
        <v>4540</v>
      </c>
      <c r="C1731" s="46" t="s">
        <v>313</v>
      </c>
      <c r="D1731" s="60">
        <v>2024</v>
      </c>
      <c r="E1731" s="60"/>
      <c r="F1731" s="46" t="s">
        <v>225</v>
      </c>
      <c r="G1731" s="46" t="s">
        <v>159</v>
      </c>
      <c r="H1731" s="46" t="s">
        <v>592</v>
      </c>
      <c r="I1731" s="46" t="s">
        <v>169</v>
      </c>
      <c r="J1731" s="46" t="s">
        <v>69</v>
      </c>
      <c r="K1731" s="46" t="s">
        <v>68</v>
      </c>
      <c r="L1731" s="46"/>
      <c r="M1731" s="46"/>
      <c r="N1731" s="46"/>
      <c r="O1731" s="46"/>
      <c r="P1731" s="46"/>
      <c r="Q1731" s="46"/>
      <c r="R1731" s="46"/>
      <c r="S1731" s="46"/>
      <c r="T1731" s="46"/>
      <c r="U1731" s="46"/>
      <c r="V1731" s="46"/>
      <c r="W1731" s="46"/>
      <c r="X1731" s="46"/>
      <c r="Y1731" s="46"/>
      <c r="Z1731" s="46" t="s">
        <v>1274</v>
      </c>
      <c r="AA1731" s="61">
        <v>50</v>
      </c>
      <c r="AB1731" s="62">
        <f>IF(OR(G1731="ALK",G1731="PEM",G1731="SOEC",G1731="Other Electrolysis"),
AA1731/VLOOKUP(G1731,ElectrolysisConvF,3,FALSE),
AC1731*10^6/(H2dens*HoursInYear))</f>
        <v>11111.111111111111</v>
      </c>
      <c r="AC1731" s="63">
        <f>AB1731*H2dens*HoursInYear/10^6</f>
        <v>8.6626666666666665</v>
      </c>
      <c r="AD1731" s="62"/>
      <c r="AE1731" s="62">
        <f t="shared" si="183"/>
        <v>11111.111111111111</v>
      </c>
      <c r="AF1731" s="64" t="s">
        <v>4541</v>
      </c>
      <c r="AG1731" s="49">
        <v>0.5</v>
      </c>
    </row>
    <row r="1732" spans="1:33" customFormat="1" ht="35.1" customHeight="1" x14ac:dyDescent="0.3">
      <c r="A1732" s="46">
        <v>2282</v>
      </c>
      <c r="B1732" s="46" t="s">
        <v>4542</v>
      </c>
      <c r="C1732" s="46" t="s">
        <v>203</v>
      </c>
      <c r="D1732" s="60">
        <v>2025</v>
      </c>
      <c r="E1732" s="60"/>
      <c r="F1732" s="46" t="s">
        <v>225</v>
      </c>
      <c r="G1732" s="46" t="s">
        <v>159</v>
      </c>
      <c r="H1732" s="46" t="s">
        <v>592</v>
      </c>
      <c r="I1732" s="46" t="s">
        <v>169</v>
      </c>
      <c r="J1732" s="46" t="s">
        <v>69</v>
      </c>
      <c r="K1732" s="46" t="s">
        <v>68</v>
      </c>
      <c r="L1732" s="46"/>
      <c r="M1732" s="46"/>
      <c r="N1732" s="46"/>
      <c r="O1732" s="46"/>
      <c r="P1732" s="46"/>
      <c r="Q1732" s="46"/>
      <c r="R1732" s="46"/>
      <c r="S1732" s="46"/>
      <c r="T1732" s="46"/>
      <c r="U1732" s="46"/>
      <c r="V1732" s="46"/>
      <c r="W1732" s="46"/>
      <c r="X1732" s="46"/>
      <c r="Y1732" s="46"/>
      <c r="Z1732" s="46" t="s">
        <v>981</v>
      </c>
      <c r="AA1732" s="61">
        <v>20</v>
      </c>
      <c r="AB1732" s="62">
        <f>IF(OR(G1732="ALK",G1732="PEM",G1732="SOEC",G1732="Other Electrolysis"),
AA1732/VLOOKUP(G1732,ElectrolysisConvF,3,FALSE),
AC1732*10^6/(H2dens*HoursInYear))</f>
        <v>4444.4444444444443</v>
      </c>
      <c r="AC1732" s="63">
        <f>AB1732*H2dens*HoursInYear/10^6</f>
        <v>3.4650666666666665</v>
      </c>
      <c r="AD1732" s="62"/>
      <c r="AE1732" s="62">
        <f t="shared" si="183"/>
        <v>4444.4444444444443</v>
      </c>
      <c r="AF1732" s="64" t="s">
        <v>4543</v>
      </c>
      <c r="AG1732" s="49">
        <v>0.5</v>
      </c>
    </row>
    <row r="1733" spans="1:33" customFormat="1" ht="35.1" customHeight="1" x14ac:dyDescent="0.3">
      <c r="A1733" s="46">
        <v>2283</v>
      </c>
      <c r="B1733" s="46" t="s">
        <v>4544</v>
      </c>
      <c r="C1733" s="46" t="s">
        <v>571</v>
      </c>
      <c r="D1733" s="60"/>
      <c r="E1733" s="60"/>
      <c r="F1733" s="46" t="s">
        <v>591</v>
      </c>
      <c r="G1733" s="46" t="s">
        <v>159</v>
      </c>
      <c r="H1733" s="46" t="s">
        <v>592</v>
      </c>
      <c r="I1733" s="46" t="s">
        <v>169</v>
      </c>
      <c r="J1733" s="46" t="s">
        <v>244</v>
      </c>
      <c r="K1733" s="46" t="s">
        <v>141</v>
      </c>
      <c r="L1733" s="46"/>
      <c r="M1733" s="46">
        <v>1</v>
      </c>
      <c r="N1733" s="46"/>
      <c r="O1733" s="46"/>
      <c r="P1733" s="46"/>
      <c r="Q1733" s="46"/>
      <c r="R1733" s="46"/>
      <c r="S1733" s="46">
        <v>1</v>
      </c>
      <c r="T1733" s="46"/>
      <c r="U1733" s="46"/>
      <c r="V1733" s="46"/>
      <c r="W1733" s="46"/>
      <c r="X1733" s="46"/>
      <c r="Y1733" s="46"/>
      <c r="Z1733" s="46" t="s">
        <v>4545</v>
      </c>
      <c r="AA1733" s="63">
        <v>530</v>
      </c>
      <c r="AB1733" s="62">
        <f>IF(OR(G1733="ALK",G1733="PEM",G1733="SOEC",G1733="Other Electrolysis"),
AA1733/VLOOKUP(G1733,ElectrolysisConvF,3,FALSE),
AC1733*10^6/(H2dens*HoursInYear))</f>
        <v>117777.77777777778</v>
      </c>
      <c r="AC1733" s="63">
        <f>AB1733*H2dens*HoursInYear/10^6</f>
        <v>91.824266666666674</v>
      </c>
      <c r="AD1733" s="62"/>
      <c r="AE1733" s="62">
        <f t="shared" si="183"/>
        <v>117777.77777777778</v>
      </c>
      <c r="AF1733" s="64" t="s">
        <v>4546</v>
      </c>
      <c r="AG1733" s="49">
        <v>0.3</v>
      </c>
    </row>
    <row r="1734" spans="1:33" customFormat="1" ht="35.1" customHeight="1" x14ac:dyDescent="0.3">
      <c r="A1734" s="46">
        <v>2284</v>
      </c>
      <c r="B1734" s="46" t="s">
        <v>4547</v>
      </c>
      <c r="C1734" s="46" t="s">
        <v>321</v>
      </c>
      <c r="D1734" s="60">
        <v>2025</v>
      </c>
      <c r="E1734" s="60"/>
      <c r="F1734" s="46" t="s">
        <v>591</v>
      </c>
      <c r="G1734" s="46" t="s">
        <v>159</v>
      </c>
      <c r="H1734" s="46" t="s">
        <v>592</v>
      </c>
      <c r="I1734" s="46" t="s">
        <v>169</v>
      </c>
      <c r="J1734" s="46" t="s">
        <v>69</v>
      </c>
      <c r="K1734" s="46" t="s">
        <v>68</v>
      </c>
      <c r="L1734" s="46"/>
      <c r="M1734" s="46"/>
      <c r="N1734" s="46"/>
      <c r="O1734" s="46"/>
      <c r="P1734" s="46">
        <v>1</v>
      </c>
      <c r="Q1734" s="46"/>
      <c r="R1734" s="46"/>
      <c r="S1734" s="46"/>
      <c r="T1734" s="46"/>
      <c r="U1734" s="46"/>
      <c r="V1734" s="46"/>
      <c r="W1734" s="46"/>
      <c r="X1734" s="46"/>
      <c r="Y1734" s="46"/>
      <c r="Z1734" s="46" t="s">
        <v>3699</v>
      </c>
      <c r="AA1734" s="63">
        <f>IF(OR(G1734="ALK",G1734="PEM",G1734="SOEC",G1734="Other Electrolysis"),
AB1734*VLOOKUP(G1734,ElectrolysisConvF,3,FALSE),
"")</f>
        <v>11543.789441280591</v>
      </c>
      <c r="AB1734" s="62">
        <f>AC1734/(H2dens*HoursInYear/10^6)</f>
        <v>2565286.5425067982</v>
      </c>
      <c r="AC1734" s="62">
        <f>1000/H2ProjectDB4578610[[#This Row],[Column33]]</f>
        <v>2000</v>
      </c>
      <c r="AD1734" s="62"/>
      <c r="AE1734" s="62">
        <f t="shared" si="183"/>
        <v>2565286.5425067982</v>
      </c>
      <c r="AF1734" s="64" t="s">
        <v>4548</v>
      </c>
      <c r="AG1734" s="49">
        <v>0.5</v>
      </c>
    </row>
    <row r="1735" spans="1:33" customFormat="1" ht="35.1" customHeight="1" x14ac:dyDescent="0.3">
      <c r="A1735" s="46">
        <v>2285</v>
      </c>
      <c r="B1735" s="46" t="s">
        <v>4549</v>
      </c>
      <c r="C1735" s="46" t="s">
        <v>39</v>
      </c>
      <c r="D1735" s="60"/>
      <c r="E1735" s="60"/>
      <c r="F1735" s="46" t="s">
        <v>591</v>
      </c>
      <c r="G1735" s="46" t="s">
        <v>159</v>
      </c>
      <c r="H1735" s="46" t="s">
        <v>592</v>
      </c>
      <c r="I1735" s="46" t="s">
        <v>169</v>
      </c>
      <c r="J1735" s="46" t="s">
        <v>244</v>
      </c>
      <c r="K1735" s="46" t="s">
        <v>68</v>
      </c>
      <c r="L1735" s="46"/>
      <c r="M1735" s="46"/>
      <c r="N1735" s="46"/>
      <c r="O1735" s="46"/>
      <c r="P1735" s="46"/>
      <c r="Q1735" s="46"/>
      <c r="R1735" s="46"/>
      <c r="S1735" s="46"/>
      <c r="T1735" s="46"/>
      <c r="U1735" s="46"/>
      <c r="V1735" s="46"/>
      <c r="W1735" s="46"/>
      <c r="X1735" s="46"/>
      <c r="Y1735" s="46"/>
      <c r="Z1735" s="46" t="s">
        <v>1274</v>
      </c>
      <c r="AA1735" s="61">
        <v>50</v>
      </c>
      <c r="AB1735" s="62">
        <f>IF(OR(G1735="ALK",G1735="PEM",G1735="SOEC",G1735="Other Electrolysis"),
AA1735/VLOOKUP(G1735,ElectrolysisConvF,3,FALSE),
AC1735*10^6/(H2dens*HoursInYear))</f>
        <v>11111.111111111111</v>
      </c>
      <c r="AC1735" s="63">
        <f>AB1735*H2dens*HoursInYear/10^6</f>
        <v>8.6626666666666665</v>
      </c>
      <c r="AD1735" s="62"/>
      <c r="AE1735" s="62">
        <f t="shared" si="183"/>
        <v>11111.111111111111</v>
      </c>
      <c r="AF1735" s="64" t="s">
        <v>4550</v>
      </c>
      <c r="AG1735" s="49">
        <v>0.3</v>
      </c>
    </row>
    <row r="1736" spans="1:33" customFormat="1" ht="35.1" customHeight="1" x14ac:dyDescent="0.3">
      <c r="A1736" s="46">
        <v>2286</v>
      </c>
      <c r="B1736" s="46" t="s">
        <v>4551</v>
      </c>
      <c r="C1736" s="46" t="s">
        <v>39</v>
      </c>
      <c r="D1736" s="60">
        <v>2023</v>
      </c>
      <c r="E1736" s="60"/>
      <c r="F1736" s="46" t="s">
        <v>225</v>
      </c>
      <c r="G1736" s="46" t="s">
        <v>159</v>
      </c>
      <c r="H1736" s="46" t="s">
        <v>592</v>
      </c>
      <c r="I1736" s="46" t="s">
        <v>169</v>
      </c>
      <c r="J1736" s="46" t="s">
        <v>244</v>
      </c>
      <c r="K1736" s="46" t="s">
        <v>68</v>
      </c>
      <c r="L1736" s="46"/>
      <c r="M1736" s="46"/>
      <c r="N1736" s="46"/>
      <c r="O1736" s="46"/>
      <c r="P1736" s="46"/>
      <c r="Q1736" s="46"/>
      <c r="R1736" s="46"/>
      <c r="S1736" s="46"/>
      <c r="T1736" s="46"/>
      <c r="U1736" s="46"/>
      <c r="V1736" s="46"/>
      <c r="W1736" s="46"/>
      <c r="X1736" s="46"/>
      <c r="Y1736" s="46"/>
      <c r="Z1736" s="46" t="s">
        <v>4552</v>
      </c>
      <c r="AA1736" s="61">
        <v>0.25</v>
      </c>
      <c r="AB1736" s="62">
        <f>IF(OR(G1736="ALK",G1736="PEM",G1736="SOEC",G1736="Other Electrolysis"),
AA1736/VLOOKUP(G1736,ElectrolysisConvF,3,FALSE),
AC1736*10^6/(H2dens*HoursInYear))</f>
        <v>55.555555555555557</v>
      </c>
      <c r="AC1736" s="63">
        <f>AB1736*H2dens*HoursInYear/10^6</f>
        <v>4.3313333333333336E-2</v>
      </c>
      <c r="AD1736" s="62"/>
      <c r="AE1736" s="62">
        <f t="shared" si="183"/>
        <v>55.555555555555557</v>
      </c>
      <c r="AF1736" s="64" t="s">
        <v>4553</v>
      </c>
      <c r="AG1736" s="49">
        <v>0.3</v>
      </c>
    </row>
    <row r="1737" spans="1:33" customFormat="1" ht="35.1" customHeight="1" x14ac:dyDescent="0.3">
      <c r="A1737" s="46">
        <v>2287</v>
      </c>
      <c r="B1737" s="46" t="s">
        <v>4554</v>
      </c>
      <c r="C1737" s="46" t="s">
        <v>39</v>
      </c>
      <c r="D1737" s="60">
        <v>2023</v>
      </c>
      <c r="E1737" s="60"/>
      <c r="F1737" s="46" t="s">
        <v>225</v>
      </c>
      <c r="G1737" s="46" t="s">
        <v>159</v>
      </c>
      <c r="H1737" s="46" t="s">
        <v>592</v>
      </c>
      <c r="I1737" s="46" t="s">
        <v>169</v>
      </c>
      <c r="J1737" s="46" t="s">
        <v>244</v>
      </c>
      <c r="K1737" s="46" t="s">
        <v>68</v>
      </c>
      <c r="L1737" s="46"/>
      <c r="M1737" s="46"/>
      <c r="N1737" s="46"/>
      <c r="O1737" s="46"/>
      <c r="P1737" s="46"/>
      <c r="Q1737" s="46"/>
      <c r="R1737" s="46"/>
      <c r="S1737" s="46"/>
      <c r="T1737" s="46"/>
      <c r="U1737" s="46"/>
      <c r="V1737" s="46"/>
      <c r="W1737" s="46"/>
      <c r="X1737" s="46"/>
      <c r="Y1737" s="46"/>
      <c r="Z1737" s="46" t="s">
        <v>2596</v>
      </c>
      <c r="AA1737" s="61">
        <v>80</v>
      </c>
      <c r="AB1737" s="62">
        <f>IF(OR(G1737="ALK",G1737="PEM",G1737="SOEC",G1737="Other Electrolysis"),
AA1737/VLOOKUP(G1737,ElectrolysisConvF,3,FALSE),
AC1737*10^6/(H2dens*HoursInYear))</f>
        <v>17777.777777777777</v>
      </c>
      <c r="AC1737" s="63">
        <f>AB1737*H2dens*HoursInYear/10^6</f>
        <v>13.860266666666666</v>
      </c>
      <c r="AD1737" s="62"/>
      <c r="AE1737" s="62">
        <f t="shared" si="183"/>
        <v>17777.777777777777</v>
      </c>
      <c r="AF1737" s="64" t="s">
        <v>4553</v>
      </c>
      <c r="AG1737" s="49">
        <v>0.3</v>
      </c>
    </row>
    <row r="1738" spans="1:33" customFormat="1" ht="35.1" customHeight="1" x14ac:dyDescent="0.3">
      <c r="A1738" s="46">
        <v>2288</v>
      </c>
      <c r="B1738" s="46" t="s">
        <v>4555</v>
      </c>
      <c r="C1738" s="46" t="s">
        <v>41</v>
      </c>
      <c r="D1738" s="60">
        <v>2023</v>
      </c>
      <c r="E1738" s="60"/>
      <c r="F1738" s="46" t="s">
        <v>226</v>
      </c>
      <c r="G1738" s="46" t="s">
        <v>3</v>
      </c>
      <c r="H1738" s="46"/>
      <c r="I1738" s="46" t="s">
        <v>169</v>
      </c>
      <c r="J1738" s="46" t="s">
        <v>244</v>
      </c>
      <c r="K1738" s="46" t="s">
        <v>68</v>
      </c>
      <c r="L1738" s="46"/>
      <c r="M1738" s="46"/>
      <c r="N1738" s="46"/>
      <c r="O1738" s="46"/>
      <c r="P1738" s="46">
        <v>1</v>
      </c>
      <c r="Q1738" s="46">
        <v>1</v>
      </c>
      <c r="R1738" s="46"/>
      <c r="S1738" s="46"/>
      <c r="T1738" s="46"/>
      <c r="U1738" s="46"/>
      <c r="V1738" s="46"/>
      <c r="W1738" s="46"/>
      <c r="X1738" s="46"/>
      <c r="Y1738" s="46"/>
      <c r="Z1738" s="46" t="s">
        <v>4556</v>
      </c>
      <c r="AA1738" s="63">
        <f>IF(OR(G1738="ALK",G1738="PEM",G1738="SOEC",G1738="Other Electrolysis"),
AB1738*VLOOKUP(G1738,ElectrolysisConvF,3,FALSE),
"")</f>
        <v>69</v>
      </c>
      <c r="AB1738" s="62">
        <f>15*1000</f>
        <v>15000</v>
      </c>
      <c r="AC1738" s="63">
        <f>AB1738*H2dens*HoursInYear/10^6</f>
        <v>11.694599999999999</v>
      </c>
      <c r="AD1738" s="62"/>
      <c r="AE1738" s="62">
        <f t="shared" si="183"/>
        <v>15000</v>
      </c>
      <c r="AF1738" s="64" t="s">
        <v>4557</v>
      </c>
      <c r="AG1738" s="49">
        <v>0.3</v>
      </c>
    </row>
    <row r="1739" spans="1:33" customFormat="1" ht="35.1" customHeight="1" x14ac:dyDescent="0.3">
      <c r="A1739" s="46">
        <v>2289</v>
      </c>
      <c r="B1739" s="46" t="s">
        <v>4558</v>
      </c>
      <c r="C1739" s="46" t="s">
        <v>40</v>
      </c>
      <c r="D1739" s="60">
        <v>2024</v>
      </c>
      <c r="E1739" s="60"/>
      <c r="F1739" s="46" t="s">
        <v>675</v>
      </c>
      <c r="G1739" s="46" t="s">
        <v>1</v>
      </c>
      <c r="H1739" s="46"/>
      <c r="I1739" s="46" t="s">
        <v>169</v>
      </c>
      <c r="J1739" s="46" t="s">
        <v>69</v>
      </c>
      <c r="K1739" s="46" t="s">
        <v>167</v>
      </c>
      <c r="L1739" s="46"/>
      <c r="M1739" s="46"/>
      <c r="N1739" s="46"/>
      <c r="O1739" s="46"/>
      <c r="P1739" s="46"/>
      <c r="Q1739" s="46"/>
      <c r="R1739" s="46"/>
      <c r="S1739" s="46"/>
      <c r="T1739" s="46"/>
      <c r="U1739" s="46"/>
      <c r="V1739" s="46"/>
      <c r="W1739" s="46">
        <v>1</v>
      </c>
      <c r="X1739" s="46"/>
      <c r="Y1739" s="46"/>
      <c r="Z1739" s="46" t="s">
        <v>4559</v>
      </c>
      <c r="AA1739" s="63">
        <f>IF(OR(G1739="ALK",G1739="PEM",G1739="SOEC",G1739="Other Electrolysis"),
AB1739*VLOOKUP(G1739,ElectrolysisConvF,3,FALSE),
"")</f>
        <v>0.83308450053871042</v>
      </c>
      <c r="AB1739" s="62">
        <f>AC1739/(H2dens*HoursInYear/10^6)</f>
        <v>160.20855779590585</v>
      </c>
      <c r="AC1739" s="62">
        <f>40000*3.785*0.803*45/0.73/120/1000000/H2ProjectDB4578610[[#This Row],[Column33]]</f>
        <v>0.12490500000000003</v>
      </c>
      <c r="AD1739" s="62"/>
      <c r="AE1739" s="62">
        <f t="shared" si="183"/>
        <v>160.20855779590585</v>
      </c>
      <c r="AF1739" s="64" t="s">
        <v>4560</v>
      </c>
      <c r="AG1739" s="49">
        <v>0.5</v>
      </c>
    </row>
    <row r="1740" spans="1:33" customFormat="1" ht="35.1" customHeight="1" x14ac:dyDescent="0.3">
      <c r="A1740" s="46">
        <v>2292</v>
      </c>
      <c r="B1740" s="46" t="s">
        <v>4561</v>
      </c>
      <c r="C1740" s="46" t="s">
        <v>37</v>
      </c>
      <c r="D1740" s="60"/>
      <c r="E1740" s="60"/>
      <c r="F1740" s="46" t="s">
        <v>591</v>
      </c>
      <c r="G1740" s="46" t="s">
        <v>159</v>
      </c>
      <c r="H1740" s="46" t="s">
        <v>592</v>
      </c>
      <c r="I1740" s="46" t="s">
        <v>169</v>
      </c>
      <c r="J1740" s="46" t="s">
        <v>245</v>
      </c>
      <c r="K1740" s="46" t="s">
        <v>68</v>
      </c>
      <c r="L1740" s="46"/>
      <c r="M1740" s="46">
        <v>1</v>
      </c>
      <c r="N1740" s="46"/>
      <c r="O1740" s="46"/>
      <c r="P1740" s="46"/>
      <c r="Q1740" s="46"/>
      <c r="R1740" s="46">
        <v>1</v>
      </c>
      <c r="S1740" s="46">
        <v>1</v>
      </c>
      <c r="T1740" s="46"/>
      <c r="U1740" s="46"/>
      <c r="V1740" s="46"/>
      <c r="W1740" s="46"/>
      <c r="X1740" s="46"/>
      <c r="Y1740" s="46"/>
      <c r="Z1740" s="46" t="s">
        <v>3752</v>
      </c>
      <c r="AA1740" s="61">
        <v>900</v>
      </c>
      <c r="AB1740" s="62">
        <f>IF(OR(G1740="ALK",G1740="PEM",G1740="SOEC",G1740="Other Electrolysis"),
AA1740/VLOOKUP(G1740,ElectrolysisConvF,3,FALSE),
AC1740*10^6/(H2dens*HoursInYear))</f>
        <v>200000.00000000003</v>
      </c>
      <c r="AC1740" s="63">
        <f>AB1740*H2dens*HoursInYear/10^6</f>
        <v>155.928</v>
      </c>
      <c r="AD1740" s="62"/>
      <c r="AE1740" s="62">
        <f t="shared" si="183"/>
        <v>200000.00000000003</v>
      </c>
      <c r="AF1740" s="64" t="s">
        <v>4321</v>
      </c>
      <c r="AG1740" s="49">
        <v>0.4</v>
      </c>
    </row>
    <row r="1741" spans="1:33" customFormat="1" ht="35.1" customHeight="1" x14ac:dyDescent="0.3">
      <c r="A1741" s="46">
        <v>2293</v>
      </c>
      <c r="B1741" s="46" t="s">
        <v>4562</v>
      </c>
      <c r="C1741" s="46" t="s">
        <v>41</v>
      </c>
      <c r="D1741" s="60">
        <v>2023</v>
      </c>
      <c r="E1741" s="60"/>
      <c r="F1741" s="46" t="s">
        <v>675</v>
      </c>
      <c r="G1741" s="46" t="s">
        <v>161</v>
      </c>
      <c r="H1741" s="46" t="s">
        <v>1951</v>
      </c>
      <c r="I1741" s="46"/>
      <c r="J1741" s="46"/>
      <c r="K1741" s="46" t="s">
        <v>68</v>
      </c>
      <c r="L1741" s="46"/>
      <c r="M1741" s="46"/>
      <c r="N1741" s="46"/>
      <c r="O1741" s="46"/>
      <c r="P1741" s="46">
        <v>1</v>
      </c>
      <c r="Q1741" s="46"/>
      <c r="R1741" s="46"/>
      <c r="S1741" s="46"/>
      <c r="T1741" s="46"/>
      <c r="U1741" s="46"/>
      <c r="V1741" s="46"/>
      <c r="W1741" s="46"/>
      <c r="X1741" s="46"/>
      <c r="Y1741" s="46"/>
      <c r="Z1741" s="46" t="s">
        <v>4563</v>
      </c>
      <c r="AA1741" s="61" t="str">
        <f>IF(OR(G1741="ALK",G1741="PEM",G1741="SOEC",G1741="Other Electrolysis"),
AB1741*VLOOKUP(G1741,ElectrolysisConvF,3,FALSE),
"")</f>
        <v/>
      </c>
      <c r="AB1741" s="62">
        <v>70000</v>
      </c>
      <c r="AC1741" s="63">
        <f>AB1741*H2dens*HoursInYear/10^6</f>
        <v>54.574800000000003</v>
      </c>
      <c r="AD1741" s="62"/>
      <c r="AE1741" s="62">
        <f t="shared" si="183"/>
        <v>0</v>
      </c>
      <c r="AF1741" s="64" t="s">
        <v>4564</v>
      </c>
      <c r="AG1741" s="49">
        <v>0.9</v>
      </c>
    </row>
    <row r="1742" spans="1:33" customFormat="1" ht="35.1" customHeight="1" x14ac:dyDescent="0.3">
      <c r="A1742" s="46">
        <v>2294</v>
      </c>
      <c r="B1742" s="46" t="s">
        <v>4565</v>
      </c>
      <c r="C1742" s="46" t="s">
        <v>52</v>
      </c>
      <c r="D1742" s="60">
        <v>2025</v>
      </c>
      <c r="E1742" s="60"/>
      <c r="F1742" s="46" t="s">
        <v>675</v>
      </c>
      <c r="G1742" s="46" t="s">
        <v>159</v>
      </c>
      <c r="H1742" s="46" t="s">
        <v>592</v>
      </c>
      <c r="I1742" s="46" t="s">
        <v>157</v>
      </c>
      <c r="J1742" s="46" t="str">
        <f>IF(I1742&lt;&gt;"Dedicated renewable","N/A",)</f>
        <v>N/A</v>
      </c>
      <c r="K1742" s="46" t="s">
        <v>68</v>
      </c>
      <c r="L1742" s="46"/>
      <c r="M1742" s="46"/>
      <c r="N1742" s="46"/>
      <c r="O1742" s="46"/>
      <c r="P1742" s="46"/>
      <c r="Q1742" s="46">
        <v>1</v>
      </c>
      <c r="R1742" s="46"/>
      <c r="S1742" s="46"/>
      <c r="T1742" s="46"/>
      <c r="U1742" s="46"/>
      <c r="V1742" s="46"/>
      <c r="W1742" s="46"/>
      <c r="X1742" s="46"/>
      <c r="Y1742" s="46"/>
      <c r="Z1742" s="46" t="s">
        <v>676</v>
      </c>
      <c r="AA1742" s="61">
        <v>2.5</v>
      </c>
      <c r="AB1742" s="62">
        <f>IF(OR(G1742="ALK",G1742="PEM",G1742="SOEC",G1742="Other Electrolysis"),
AA1742/VLOOKUP(G1742,ElectrolysisConvF,3,FALSE),
AC1742*10^6/(H2dens*HoursInYear))</f>
        <v>555.55555555555554</v>
      </c>
      <c r="AC1742" s="63">
        <f>AB1742*H2dens*HoursInYear/10^6</f>
        <v>0.43313333333333331</v>
      </c>
      <c r="AD1742" s="62"/>
      <c r="AE1742" s="62">
        <f t="shared" si="183"/>
        <v>555.55555555555554</v>
      </c>
      <c r="AF1742" s="64" t="s">
        <v>4566</v>
      </c>
      <c r="AG1742" s="49">
        <v>0.56999999999999995</v>
      </c>
    </row>
    <row r="1743" spans="1:33" customFormat="1" ht="35.1" customHeight="1" x14ac:dyDescent="0.3">
      <c r="A1743" s="46">
        <v>2295</v>
      </c>
      <c r="B1743" s="46" t="s">
        <v>4567</v>
      </c>
      <c r="C1743" s="46" t="s">
        <v>83</v>
      </c>
      <c r="D1743" s="60"/>
      <c r="E1743" s="60"/>
      <c r="F1743" s="46" t="s">
        <v>591</v>
      </c>
      <c r="G1743" s="46" t="s">
        <v>159</v>
      </c>
      <c r="H1743" s="46" t="s">
        <v>592</v>
      </c>
      <c r="I1743" s="46" t="s">
        <v>169</v>
      </c>
      <c r="J1743" s="46" t="s">
        <v>248</v>
      </c>
      <c r="K1743" s="46" t="s">
        <v>68</v>
      </c>
      <c r="L1743" s="46"/>
      <c r="M1743" s="46"/>
      <c r="N1743" s="46"/>
      <c r="O1743" s="46"/>
      <c r="P1743" s="46"/>
      <c r="Q1743" s="46"/>
      <c r="R1743" s="46"/>
      <c r="S1743" s="46"/>
      <c r="T1743" s="46"/>
      <c r="U1743" s="46"/>
      <c r="V1743" s="46"/>
      <c r="W1743" s="46"/>
      <c r="X1743" s="46"/>
      <c r="Y1743" s="46"/>
      <c r="Z1743" s="46"/>
      <c r="AA1743" s="61">
        <f>IF(OR(G1743="ALK",G1743="PEM",G1743="SOEC",G1743="Other Electrolysis"),
AB1743*VLOOKUP(G1743,ElectrolysisConvF,3,FALSE),
"")</f>
        <v>0</v>
      </c>
      <c r="AB1743" s="62"/>
      <c r="AC1743" s="62"/>
      <c r="AD1743" s="62"/>
      <c r="AE1743" s="62">
        <f t="shared" si="183"/>
        <v>0</v>
      </c>
      <c r="AF1743" s="64" t="s">
        <v>4568</v>
      </c>
      <c r="AG1743" s="49">
        <v>0.5</v>
      </c>
    </row>
    <row r="1744" spans="1:33" customFormat="1" ht="35.1" customHeight="1" x14ac:dyDescent="0.3">
      <c r="A1744" s="46">
        <v>2296</v>
      </c>
      <c r="B1744" s="46" t="s">
        <v>4569</v>
      </c>
      <c r="C1744" s="46" t="s">
        <v>34</v>
      </c>
      <c r="D1744" s="60">
        <v>2026</v>
      </c>
      <c r="E1744" s="60"/>
      <c r="F1744" s="46" t="s">
        <v>225</v>
      </c>
      <c r="G1744" s="46" t="s">
        <v>159</v>
      </c>
      <c r="H1744" s="46" t="s">
        <v>592</v>
      </c>
      <c r="I1744" s="46" t="s">
        <v>166</v>
      </c>
      <c r="J1744" s="46"/>
      <c r="K1744" s="46" t="s">
        <v>68</v>
      </c>
      <c r="L1744" s="46"/>
      <c r="M1744" s="46"/>
      <c r="N1744" s="46"/>
      <c r="O1744" s="46"/>
      <c r="P1744" s="46"/>
      <c r="Q1744" s="46">
        <v>1</v>
      </c>
      <c r="R1744" s="46"/>
      <c r="S1744" s="46"/>
      <c r="T1744" s="46"/>
      <c r="U1744" s="46"/>
      <c r="V1744" s="46"/>
      <c r="W1744" s="46"/>
      <c r="X1744" s="46"/>
      <c r="Y1744" s="46"/>
      <c r="Z1744" s="46" t="s">
        <v>676</v>
      </c>
      <c r="AA1744" s="61">
        <v>2.5</v>
      </c>
      <c r="AB1744" s="62">
        <f t="shared" ref="AB1744:AB1749" si="185">IF(OR(G1744="ALK",G1744="PEM",G1744="SOEC",G1744="Other Electrolysis"),
AA1744/VLOOKUP(G1744,ElectrolysisConvF,3,FALSE),
AC1744*10^6/(H2dens*HoursInYear))</f>
        <v>555.55555555555554</v>
      </c>
      <c r="AC1744" s="63">
        <f t="shared" ref="AC1744:AC1749" si="186">AB1744*H2dens*HoursInYear/10^6</f>
        <v>0.43313333333333331</v>
      </c>
      <c r="AD1744" s="62"/>
      <c r="AE1744" s="62">
        <f t="shared" si="183"/>
        <v>555.55555555555554</v>
      </c>
      <c r="AF1744" s="64"/>
      <c r="AG1744" s="49">
        <v>0.56999999999999995</v>
      </c>
    </row>
    <row r="1745" spans="1:33" customFormat="1" ht="35.1" customHeight="1" x14ac:dyDescent="0.3">
      <c r="A1745" s="46">
        <v>2297</v>
      </c>
      <c r="B1745" s="46" t="s">
        <v>4570</v>
      </c>
      <c r="C1745" s="46" t="s">
        <v>34</v>
      </c>
      <c r="D1745" s="60">
        <v>2028</v>
      </c>
      <c r="E1745" s="60"/>
      <c r="F1745" s="46" t="s">
        <v>225</v>
      </c>
      <c r="G1745" s="46" t="s">
        <v>159</v>
      </c>
      <c r="H1745" s="46" t="s">
        <v>592</v>
      </c>
      <c r="I1745" s="46" t="s">
        <v>166</v>
      </c>
      <c r="J1745" s="46"/>
      <c r="K1745" s="46" t="s">
        <v>68</v>
      </c>
      <c r="L1745" s="46"/>
      <c r="M1745" s="46"/>
      <c r="N1745" s="46"/>
      <c r="O1745" s="46"/>
      <c r="P1745" s="46">
        <v>1</v>
      </c>
      <c r="Q1745" s="46"/>
      <c r="R1745" s="46"/>
      <c r="S1745" s="46"/>
      <c r="T1745" s="46"/>
      <c r="U1745" s="46"/>
      <c r="V1745" s="46"/>
      <c r="W1745" s="46"/>
      <c r="X1745" s="46"/>
      <c r="Y1745" s="46"/>
      <c r="Z1745" s="46" t="s">
        <v>914</v>
      </c>
      <c r="AA1745" s="61">
        <v>120</v>
      </c>
      <c r="AB1745" s="62">
        <f t="shared" si="185"/>
        <v>26666.666666666668</v>
      </c>
      <c r="AC1745" s="63">
        <f t="shared" si="186"/>
        <v>20.790400000000002</v>
      </c>
      <c r="AD1745" s="62"/>
      <c r="AE1745" s="62">
        <f t="shared" si="183"/>
        <v>26666.666666666668</v>
      </c>
      <c r="AF1745" s="64"/>
      <c r="AG1745" s="49">
        <v>0.56999999999999995</v>
      </c>
    </row>
    <row r="1746" spans="1:33" customFormat="1" ht="35.1" customHeight="1" x14ac:dyDescent="0.3">
      <c r="A1746" s="46">
        <v>2298</v>
      </c>
      <c r="B1746" s="46" t="s">
        <v>4571</v>
      </c>
      <c r="C1746" s="46" t="s">
        <v>34</v>
      </c>
      <c r="D1746" s="60">
        <v>2028</v>
      </c>
      <c r="E1746" s="60"/>
      <c r="F1746" s="46" t="s">
        <v>225</v>
      </c>
      <c r="G1746" s="46" t="s">
        <v>1</v>
      </c>
      <c r="H1746" s="46"/>
      <c r="I1746" s="46" t="s">
        <v>166</v>
      </c>
      <c r="J1746" s="46"/>
      <c r="K1746" s="46" t="s">
        <v>68</v>
      </c>
      <c r="L1746" s="46"/>
      <c r="M1746" s="46"/>
      <c r="N1746" s="46"/>
      <c r="O1746" s="46">
        <v>1</v>
      </c>
      <c r="P1746" s="46"/>
      <c r="Q1746" s="46"/>
      <c r="R1746" s="46"/>
      <c r="S1746" s="46"/>
      <c r="T1746" s="46"/>
      <c r="U1746" s="46"/>
      <c r="V1746" s="46"/>
      <c r="W1746" s="46"/>
      <c r="X1746" s="46"/>
      <c r="Y1746" s="46"/>
      <c r="Z1746" s="46" t="s">
        <v>1664</v>
      </c>
      <c r="AA1746" s="61">
        <v>300</v>
      </c>
      <c r="AB1746" s="62">
        <f t="shared" si="185"/>
        <v>57692.307692307695</v>
      </c>
      <c r="AC1746" s="63">
        <f t="shared" si="186"/>
        <v>44.979230769230767</v>
      </c>
      <c r="AD1746" s="62"/>
      <c r="AE1746" s="62">
        <f t="shared" si="183"/>
        <v>57692.307692307695</v>
      </c>
      <c r="AF1746" s="64"/>
      <c r="AG1746" s="49">
        <v>0.56999999999999995</v>
      </c>
    </row>
    <row r="1747" spans="1:33" customFormat="1" ht="35.1" customHeight="1" x14ac:dyDescent="0.3">
      <c r="A1747" s="46">
        <v>2299</v>
      </c>
      <c r="B1747" s="46" t="s">
        <v>4572</v>
      </c>
      <c r="C1747" s="46" t="s">
        <v>34</v>
      </c>
      <c r="D1747" s="60">
        <v>2025</v>
      </c>
      <c r="E1747" s="60"/>
      <c r="F1747" s="46" t="s">
        <v>225</v>
      </c>
      <c r="G1747" s="46" t="s">
        <v>159</v>
      </c>
      <c r="H1747" s="46" t="s">
        <v>592</v>
      </c>
      <c r="I1747" s="46" t="s">
        <v>166</v>
      </c>
      <c r="J1747" s="46"/>
      <c r="K1747" s="46" t="s">
        <v>68</v>
      </c>
      <c r="L1747" s="46"/>
      <c r="M1747" s="46"/>
      <c r="N1747" s="46"/>
      <c r="O1747" s="46"/>
      <c r="P1747" s="46"/>
      <c r="Q1747" s="46">
        <v>1</v>
      </c>
      <c r="R1747" s="46"/>
      <c r="S1747" s="46"/>
      <c r="T1747" s="46"/>
      <c r="U1747" s="46"/>
      <c r="V1747" s="46"/>
      <c r="W1747" s="46"/>
      <c r="X1747" s="46"/>
      <c r="Y1747" s="46"/>
      <c r="Z1747" s="46" t="s">
        <v>1198</v>
      </c>
      <c r="AA1747" s="61">
        <v>2</v>
      </c>
      <c r="AB1747" s="62">
        <f t="shared" si="185"/>
        <v>444.44444444444446</v>
      </c>
      <c r="AC1747" s="63">
        <f t="shared" si="186"/>
        <v>0.34650666666666669</v>
      </c>
      <c r="AD1747" s="62"/>
      <c r="AE1747" s="62">
        <f t="shared" si="183"/>
        <v>444.44444444444446</v>
      </c>
      <c r="AF1747" s="64"/>
      <c r="AG1747" s="49">
        <v>0.56999999999999995</v>
      </c>
    </row>
    <row r="1748" spans="1:33" customFormat="1" ht="35.1" customHeight="1" x14ac:dyDescent="0.3">
      <c r="A1748" s="46">
        <v>2300</v>
      </c>
      <c r="B1748" s="46" t="s">
        <v>4573</v>
      </c>
      <c r="C1748" s="46" t="s">
        <v>34</v>
      </c>
      <c r="D1748" s="60">
        <v>2025</v>
      </c>
      <c r="E1748" s="60"/>
      <c r="F1748" s="46" t="s">
        <v>225</v>
      </c>
      <c r="G1748" s="46" t="s">
        <v>159</v>
      </c>
      <c r="H1748" s="46" t="s">
        <v>592</v>
      </c>
      <c r="I1748" s="46" t="s">
        <v>166</v>
      </c>
      <c r="J1748" s="46"/>
      <c r="K1748" s="46" t="s">
        <v>68</v>
      </c>
      <c r="L1748" s="46"/>
      <c r="M1748" s="46"/>
      <c r="N1748" s="46"/>
      <c r="O1748" s="46"/>
      <c r="P1748" s="46"/>
      <c r="Q1748" s="46">
        <v>1</v>
      </c>
      <c r="R1748" s="46"/>
      <c r="S1748" s="46"/>
      <c r="T1748" s="46"/>
      <c r="U1748" s="46"/>
      <c r="V1748" s="46"/>
      <c r="W1748" s="46"/>
      <c r="X1748" s="46"/>
      <c r="Y1748" s="46"/>
      <c r="Z1748" s="46" t="s">
        <v>1327</v>
      </c>
      <c r="AA1748" s="61">
        <v>1</v>
      </c>
      <c r="AB1748" s="62">
        <f t="shared" si="185"/>
        <v>222.22222222222223</v>
      </c>
      <c r="AC1748" s="63">
        <f t="shared" si="186"/>
        <v>0.17325333333333334</v>
      </c>
      <c r="AD1748" s="62"/>
      <c r="AE1748" s="62">
        <f t="shared" si="183"/>
        <v>222.22222222222223</v>
      </c>
      <c r="AF1748" s="64"/>
      <c r="AG1748" s="49">
        <v>0.56999999999999995</v>
      </c>
    </row>
    <row r="1749" spans="1:33" customFormat="1" ht="35.1" customHeight="1" x14ac:dyDescent="0.3">
      <c r="A1749" s="46">
        <v>2301</v>
      </c>
      <c r="B1749" s="46" t="s">
        <v>4574</v>
      </c>
      <c r="C1749" s="46" t="s">
        <v>40</v>
      </c>
      <c r="D1749" s="60"/>
      <c r="E1749" s="60"/>
      <c r="F1749" s="46" t="s">
        <v>591</v>
      </c>
      <c r="G1749" s="46" t="s">
        <v>159</v>
      </c>
      <c r="H1749" s="46" t="s">
        <v>592</v>
      </c>
      <c r="I1749" s="46" t="s">
        <v>169</v>
      </c>
      <c r="J1749" s="46" t="s">
        <v>248</v>
      </c>
      <c r="K1749" s="46" t="s">
        <v>68</v>
      </c>
      <c r="L1749" s="46"/>
      <c r="M1749" s="46"/>
      <c r="N1749" s="46"/>
      <c r="O1749" s="46"/>
      <c r="P1749" s="46"/>
      <c r="Q1749" s="46"/>
      <c r="R1749" s="46"/>
      <c r="S1749" s="46">
        <v>1</v>
      </c>
      <c r="T1749" s="46"/>
      <c r="U1749" s="46"/>
      <c r="V1749" s="46"/>
      <c r="W1749" s="46"/>
      <c r="X1749" s="46"/>
      <c r="Y1749" s="46"/>
      <c r="Z1749" s="46" t="s">
        <v>4575</v>
      </c>
      <c r="AA1749" s="61">
        <v>15000</v>
      </c>
      <c r="AB1749" s="62">
        <f t="shared" si="185"/>
        <v>3333333.3333333335</v>
      </c>
      <c r="AC1749" s="63">
        <f t="shared" si="186"/>
        <v>2598.8000000000002</v>
      </c>
      <c r="AD1749" s="62"/>
      <c r="AE1749" s="62">
        <f t="shared" si="183"/>
        <v>3333333.3333333335</v>
      </c>
      <c r="AF1749" s="64" t="s">
        <v>4576</v>
      </c>
      <c r="AG1749" s="49">
        <v>0.5</v>
      </c>
    </row>
    <row r="1750" spans="1:33" customFormat="1" ht="35.1" customHeight="1" x14ac:dyDescent="0.3">
      <c r="A1750" s="46">
        <v>2302</v>
      </c>
      <c r="B1750" s="46" t="s">
        <v>4577</v>
      </c>
      <c r="C1750" s="46" t="s">
        <v>83</v>
      </c>
      <c r="D1750" s="60"/>
      <c r="E1750" s="60"/>
      <c r="F1750" s="46" t="s">
        <v>591</v>
      </c>
      <c r="G1750" s="46" t="s">
        <v>159</v>
      </c>
      <c r="H1750" s="46" t="s">
        <v>592</v>
      </c>
      <c r="I1750" s="46" t="s">
        <v>169</v>
      </c>
      <c r="J1750" s="46" t="s">
        <v>248</v>
      </c>
      <c r="K1750" s="46" t="s">
        <v>141</v>
      </c>
      <c r="L1750" s="46"/>
      <c r="M1750" s="46"/>
      <c r="N1750" s="46"/>
      <c r="O1750" s="46"/>
      <c r="P1750" s="46"/>
      <c r="Q1750" s="46"/>
      <c r="R1750" s="46"/>
      <c r="S1750" s="46"/>
      <c r="T1750" s="46"/>
      <c r="U1750" s="46"/>
      <c r="V1750" s="46"/>
      <c r="W1750" s="46"/>
      <c r="X1750" s="46"/>
      <c r="Y1750" s="46"/>
      <c r="Z1750" s="46" t="s">
        <v>4578</v>
      </c>
      <c r="AA1750" s="61">
        <f>IF(OR(G1750="ALK",G1750="PEM",G1750="SOEC",G1750="Other Electrolysis"),
AB1750*VLOOKUP(G1750,ElectrolysisConvF,3,FALSE),
"")</f>
        <v>25396.336770817303</v>
      </c>
      <c r="AB1750" s="62">
        <f>AC1750/(H2dens*HoursInYear/10^6)</f>
        <v>5643630.3935149563</v>
      </c>
      <c r="AC1750" s="62">
        <f>2200/H2ProjectDB4578610[[#This Row],[Column33]]</f>
        <v>4400</v>
      </c>
      <c r="AD1750" s="62"/>
      <c r="AE1750" s="62">
        <f t="shared" si="183"/>
        <v>5643630.3935149563</v>
      </c>
      <c r="AF1750" s="64" t="s">
        <v>4579</v>
      </c>
      <c r="AG1750" s="49">
        <v>0.5</v>
      </c>
    </row>
    <row r="1751" spans="1:33" customFormat="1" ht="35.1" customHeight="1" x14ac:dyDescent="0.3">
      <c r="A1751" s="46">
        <v>2303</v>
      </c>
      <c r="B1751" s="46" t="s">
        <v>4580</v>
      </c>
      <c r="C1751" s="46" t="s">
        <v>83</v>
      </c>
      <c r="D1751" s="60"/>
      <c r="E1751" s="60"/>
      <c r="F1751" s="46" t="s">
        <v>591</v>
      </c>
      <c r="G1751" s="46" t="s">
        <v>159</v>
      </c>
      <c r="H1751" s="46" t="s">
        <v>592</v>
      </c>
      <c r="I1751" s="46" t="s">
        <v>169</v>
      </c>
      <c r="J1751" s="46" t="s">
        <v>248</v>
      </c>
      <c r="K1751" s="46" t="s">
        <v>141</v>
      </c>
      <c r="L1751" s="46"/>
      <c r="M1751" s="46">
        <v>1</v>
      </c>
      <c r="N1751" s="46"/>
      <c r="O1751" s="46"/>
      <c r="P1751" s="46"/>
      <c r="Q1751" s="46"/>
      <c r="R1751" s="46"/>
      <c r="S1751" s="46"/>
      <c r="T1751" s="46"/>
      <c r="U1751" s="46"/>
      <c r="V1751" s="46"/>
      <c r="W1751" s="46"/>
      <c r="X1751" s="46"/>
      <c r="Y1751" s="46"/>
      <c r="Z1751" s="46" t="s">
        <v>1257</v>
      </c>
      <c r="AA1751" s="61">
        <v>100</v>
      </c>
      <c r="AB1751" s="62">
        <f t="shared" ref="AB1751:AB1763" si="187">IF(OR(G1751="ALK",G1751="PEM",G1751="SOEC",G1751="Other Electrolysis"),
AA1751/VLOOKUP(G1751,ElectrolysisConvF,3,FALSE),
AC1751*10^6/(H2dens*HoursInYear))</f>
        <v>22222.222222222223</v>
      </c>
      <c r="AC1751" s="63">
        <f t="shared" ref="AC1751:AC1763" si="188">AB1751*H2dens*HoursInYear/10^6</f>
        <v>17.325333333333333</v>
      </c>
      <c r="AD1751" s="62"/>
      <c r="AE1751" s="62">
        <f t="shared" si="183"/>
        <v>22222.222222222223</v>
      </c>
      <c r="AF1751" s="64" t="s">
        <v>4581</v>
      </c>
      <c r="AG1751" s="49">
        <v>0.5</v>
      </c>
    </row>
    <row r="1752" spans="1:33" customFormat="1" ht="35.1" customHeight="1" x14ac:dyDescent="0.3">
      <c r="A1752" s="46">
        <v>2304</v>
      </c>
      <c r="B1752" s="46" t="s">
        <v>4582</v>
      </c>
      <c r="C1752" s="46" t="s">
        <v>83</v>
      </c>
      <c r="D1752" s="60"/>
      <c r="E1752" s="60"/>
      <c r="F1752" s="46" t="s">
        <v>591</v>
      </c>
      <c r="G1752" s="46" t="s">
        <v>159</v>
      </c>
      <c r="H1752" s="46" t="s">
        <v>592</v>
      </c>
      <c r="I1752" s="46" t="s">
        <v>169</v>
      </c>
      <c r="J1752" s="46" t="s">
        <v>248</v>
      </c>
      <c r="K1752" s="46" t="s">
        <v>68</v>
      </c>
      <c r="L1752" s="46"/>
      <c r="M1752" s="46">
        <v>1</v>
      </c>
      <c r="N1752" s="46"/>
      <c r="O1752" s="46"/>
      <c r="P1752" s="46"/>
      <c r="Q1752" s="46">
        <v>1</v>
      </c>
      <c r="R1752" s="46"/>
      <c r="S1752" s="46"/>
      <c r="T1752" s="46"/>
      <c r="U1752" s="46"/>
      <c r="V1752" s="46"/>
      <c r="W1752" s="46"/>
      <c r="X1752" s="46"/>
      <c r="Y1752" s="46"/>
      <c r="Z1752" s="46" t="s">
        <v>4583</v>
      </c>
      <c r="AA1752" s="61">
        <v>3500</v>
      </c>
      <c r="AB1752" s="62">
        <f t="shared" si="187"/>
        <v>777777.77777777787</v>
      </c>
      <c r="AC1752" s="63">
        <f t="shared" si="188"/>
        <v>606.38666666666677</v>
      </c>
      <c r="AD1752" s="62"/>
      <c r="AE1752" s="62">
        <f t="shared" si="183"/>
        <v>777777.77777777787</v>
      </c>
      <c r="AF1752" s="64" t="s">
        <v>4581</v>
      </c>
      <c r="AG1752" s="49">
        <v>0.5</v>
      </c>
    </row>
    <row r="1753" spans="1:33" customFormat="1" ht="35.1" customHeight="1" x14ac:dyDescent="0.3">
      <c r="A1753" s="46">
        <v>2305</v>
      </c>
      <c r="B1753" s="46" t="s">
        <v>4584</v>
      </c>
      <c r="C1753" s="46" t="s">
        <v>503</v>
      </c>
      <c r="D1753" s="60">
        <v>2023</v>
      </c>
      <c r="E1753" s="60"/>
      <c r="F1753" s="46" t="s">
        <v>675</v>
      </c>
      <c r="G1753" s="46" t="s">
        <v>159</v>
      </c>
      <c r="H1753" s="46" t="s">
        <v>592</v>
      </c>
      <c r="I1753" s="46" t="s">
        <v>169</v>
      </c>
      <c r="J1753" s="46" t="s">
        <v>248</v>
      </c>
      <c r="K1753" s="46" t="s">
        <v>141</v>
      </c>
      <c r="L1753" s="46"/>
      <c r="M1753" s="46">
        <v>1</v>
      </c>
      <c r="N1753" s="46"/>
      <c r="O1753" s="46"/>
      <c r="P1753" s="46"/>
      <c r="Q1753" s="46"/>
      <c r="R1753" s="46"/>
      <c r="S1753" s="46"/>
      <c r="T1753" s="46"/>
      <c r="U1753" s="46"/>
      <c r="V1753" s="46"/>
      <c r="W1753" s="46"/>
      <c r="X1753" s="46"/>
      <c r="Y1753" s="46"/>
      <c r="Z1753" s="46" t="s">
        <v>1624</v>
      </c>
      <c r="AA1753" s="61">
        <v>0.5</v>
      </c>
      <c r="AB1753" s="62">
        <f t="shared" si="187"/>
        <v>111.11111111111111</v>
      </c>
      <c r="AC1753" s="63">
        <f t="shared" si="188"/>
        <v>8.6626666666666671E-2</v>
      </c>
      <c r="AD1753" s="62"/>
      <c r="AE1753" s="62">
        <f t="shared" si="183"/>
        <v>111.11111111111111</v>
      </c>
      <c r="AF1753" s="64" t="s">
        <v>4585</v>
      </c>
      <c r="AG1753" s="49">
        <v>0.5</v>
      </c>
    </row>
    <row r="1754" spans="1:33" customFormat="1" ht="35.1" customHeight="1" x14ac:dyDescent="0.3">
      <c r="A1754" s="46">
        <v>2306</v>
      </c>
      <c r="B1754" s="46" t="s">
        <v>4586</v>
      </c>
      <c r="C1754" s="46" t="s">
        <v>503</v>
      </c>
      <c r="D1754" s="60">
        <v>2024</v>
      </c>
      <c r="E1754" s="60"/>
      <c r="F1754" s="46" t="s">
        <v>225</v>
      </c>
      <c r="G1754" s="46" t="s">
        <v>159</v>
      </c>
      <c r="H1754" s="46" t="s">
        <v>592</v>
      </c>
      <c r="I1754" s="46" t="s">
        <v>169</v>
      </c>
      <c r="J1754" s="46" t="s">
        <v>248</v>
      </c>
      <c r="K1754" s="46" t="s">
        <v>141</v>
      </c>
      <c r="L1754" s="46"/>
      <c r="M1754" s="46">
        <v>1</v>
      </c>
      <c r="N1754" s="46"/>
      <c r="O1754" s="46"/>
      <c r="P1754" s="46"/>
      <c r="Q1754" s="46"/>
      <c r="R1754" s="46"/>
      <c r="S1754" s="46"/>
      <c r="T1754" s="46"/>
      <c r="U1754" s="46"/>
      <c r="V1754" s="46"/>
      <c r="W1754" s="46"/>
      <c r="X1754" s="46"/>
      <c r="Y1754" s="46"/>
      <c r="Z1754" s="46" t="s">
        <v>1828</v>
      </c>
      <c r="AA1754" s="61">
        <v>3.5</v>
      </c>
      <c r="AB1754" s="62">
        <f t="shared" si="187"/>
        <v>777.77777777777783</v>
      </c>
      <c r="AC1754" s="63">
        <f t="shared" si="188"/>
        <v>0.60638666666666674</v>
      </c>
      <c r="AD1754" s="62"/>
      <c r="AE1754" s="62">
        <f t="shared" si="183"/>
        <v>777.77777777777783</v>
      </c>
      <c r="AF1754" s="64" t="s">
        <v>4585</v>
      </c>
      <c r="AG1754" s="49">
        <v>0.5</v>
      </c>
    </row>
    <row r="1755" spans="1:33" customFormat="1" ht="35.1" customHeight="1" x14ac:dyDescent="0.3">
      <c r="A1755" s="46">
        <v>2307</v>
      </c>
      <c r="B1755" s="46" t="s">
        <v>4587</v>
      </c>
      <c r="C1755" s="46" t="s">
        <v>503</v>
      </c>
      <c r="D1755" s="60">
        <v>2028</v>
      </c>
      <c r="E1755" s="60"/>
      <c r="F1755" s="46" t="s">
        <v>225</v>
      </c>
      <c r="G1755" s="46" t="s">
        <v>159</v>
      </c>
      <c r="H1755" s="46" t="s">
        <v>592</v>
      </c>
      <c r="I1755" s="46" t="s">
        <v>169</v>
      </c>
      <c r="J1755" s="46" t="s">
        <v>248</v>
      </c>
      <c r="K1755" s="46" t="s">
        <v>141</v>
      </c>
      <c r="L1755" s="46"/>
      <c r="M1755" s="46">
        <v>1</v>
      </c>
      <c r="N1755" s="46"/>
      <c r="O1755" s="46"/>
      <c r="P1755" s="46"/>
      <c r="Q1755" s="46"/>
      <c r="R1755" s="46"/>
      <c r="S1755" s="46"/>
      <c r="T1755" s="46"/>
      <c r="U1755" s="46"/>
      <c r="V1755" s="46"/>
      <c r="W1755" s="46"/>
      <c r="X1755" s="46"/>
      <c r="Y1755" s="46"/>
      <c r="Z1755" s="46" t="s">
        <v>4588</v>
      </c>
      <c r="AA1755" s="61">
        <v>38</v>
      </c>
      <c r="AB1755" s="62">
        <f t="shared" si="187"/>
        <v>8444.4444444444453</v>
      </c>
      <c r="AC1755" s="63">
        <f t="shared" si="188"/>
        <v>6.5836266666666674</v>
      </c>
      <c r="AD1755" s="62"/>
      <c r="AE1755" s="62">
        <f t="shared" si="183"/>
        <v>8444.4444444444453</v>
      </c>
      <c r="AF1755" s="64" t="s">
        <v>4585</v>
      </c>
      <c r="AG1755" s="49">
        <v>0.5</v>
      </c>
    </row>
    <row r="1756" spans="1:33" customFormat="1" ht="35.1" customHeight="1" x14ac:dyDescent="0.3">
      <c r="A1756" s="46">
        <v>2308</v>
      </c>
      <c r="B1756" s="46" t="s">
        <v>4589</v>
      </c>
      <c r="C1756" s="46" t="s">
        <v>503</v>
      </c>
      <c r="D1756" s="60">
        <v>2032</v>
      </c>
      <c r="E1756" s="60"/>
      <c r="F1756" s="46" t="s">
        <v>591</v>
      </c>
      <c r="G1756" s="46" t="s">
        <v>159</v>
      </c>
      <c r="H1756" s="46" t="s">
        <v>592</v>
      </c>
      <c r="I1756" s="46" t="s">
        <v>169</v>
      </c>
      <c r="J1756" s="46" t="s">
        <v>248</v>
      </c>
      <c r="K1756" s="46" t="s">
        <v>141</v>
      </c>
      <c r="L1756" s="46"/>
      <c r="M1756" s="46">
        <v>1</v>
      </c>
      <c r="N1756" s="46"/>
      <c r="O1756" s="46"/>
      <c r="P1756" s="46"/>
      <c r="Q1756" s="46"/>
      <c r="R1756" s="46"/>
      <c r="S1756" s="46"/>
      <c r="T1756" s="46"/>
      <c r="U1756" s="46"/>
      <c r="V1756" s="46"/>
      <c r="W1756" s="46"/>
      <c r="X1756" s="46"/>
      <c r="Y1756" s="46"/>
      <c r="Z1756" s="46" t="s">
        <v>4590</v>
      </c>
      <c r="AA1756" s="61">
        <v>378</v>
      </c>
      <c r="AB1756" s="62">
        <f t="shared" si="187"/>
        <v>84000</v>
      </c>
      <c r="AC1756" s="63">
        <f t="shared" si="188"/>
        <v>65.489760000000004</v>
      </c>
      <c r="AD1756" s="62"/>
      <c r="AE1756" s="62">
        <f t="shared" si="183"/>
        <v>84000</v>
      </c>
      <c r="AF1756" s="64" t="s">
        <v>4585</v>
      </c>
      <c r="AG1756" s="49">
        <v>0.5</v>
      </c>
    </row>
    <row r="1757" spans="1:33" customFormat="1" ht="35.1" customHeight="1" x14ac:dyDescent="0.3">
      <c r="A1757" s="46">
        <v>2309</v>
      </c>
      <c r="B1757" s="46" t="s">
        <v>4591</v>
      </c>
      <c r="C1757" s="46" t="s">
        <v>34</v>
      </c>
      <c r="D1757" s="60">
        <v>2024</v>
      </c>
      <c r="E1757" s="60"/>
      <c r="F1757" s="46" t="s">
        <v>675</v>
      </c>
      <c r="G1757" s="46" t="s">
        <v>3</v>
      </c>
      <c r="H1757" s="46"/>
      <c r="I1757" s="46" t="s">
        <v>166</v>
      </c>
      <c r="J1757" s="46"/>
      <c r="K1757" s="46" t="s">
        <v>68</v>
      </c>
      <c r="L1757" s="46"/>
      <c r="M1757" s="46"/>
      <c r="N1757" s="46"/>
      <c r="O1757" s="46"/>
      <c r="P1757" s="46"/>
      <c r="Q1757" s="46">
        <v>1</v>
      </c>
      <c r="R1757" s="46"/>
      <c r="S1757" s="46"/>
      <c r="T1757" s="46"/>
      <c r="U1757" s="46"/>
      <c r="V1757" s="46"/>
      <c r="W1757" s="46"/>
      <c r="X1757" s="46"/>
      <c r="Y1757" s="46"/>
      <c r="Z1757" s="46" t="s">
        <v>1327</v>
      </c>
      <c r="AA1757" s="61">
        <v>1</v>
      </c>
      <c r="AB1757" s="62">
        <f t="shared" si="187"/>
        <v>217.39130434782609</v>
      </c>
      <c r="AC1757" s="63">
        <f t="shared" si="188"/>
        <v>0.16948695652173912</v>
      </c>
      <c r="AD1757" s="62"/>
      <c r="AE1757" s="62">
        <f t="shared" si="183"/>
        <v>217.39130434782609</v>
      </c>
      <c r="AF1757" s="64" t="s">
        <v>4592</v>
      </c>
      <c r="AG1757" s="49">
        <v>0.56999999999999995</v>
      </c>
    </row>
    <row r="1758" spans="1:33" customFormat="1" ht="35.1" customHeight="1" x14ac:dyDescent="0.3">
      <c r="A1758" s="46">
        <v>2310</v>
      </c>
      <c r="B1758" s="46" t="s">
        <v>4593</v>
      </c>
      <c r="C1758" s="46" t="s">
        <v>34</v>
      </c>
      <c r="D1758" s="60">
        <v>2025</v>
      </c>
      <c r="E1758" s="60"/>
      <c r="F1758" s="46" t="s">
        <v>225</v>
      </c>
      <c r="G1758" s="46" t="s">
        <v>3</v>
      </c>
      <c r="H1758" s="46"/>
      <c r="I1758" s="46" t="s">
        <v>166</v>
      </c>
      <c r="J1758" s="46"/>
      <c r="K1758" s="46" t="s">
        <v>68</v>
      </c>
      <c r="L1758" s="46"/>
      <c r="M1758" s="46"/>
      <c r="N1758" s="46"/>
      <c r="O1758" s="46"/>
      <c r="P1758" s="46"/>
      <c r="Q1758" s="46">
        <v>1</v>
      </c>
      <c r="R1758" s="46"/>
      <c r="S1758" s="46"/>
      <c r="T1758" s="46"/>
      <c r="U1758" s="46"/>
      <c r="V1758" s="46"/>
      <c r="W1758" s="46"/>
      <c r="X1758" s="46"/>
      <c r="Y1758" s="46"/>
      <c r="Z1758" s="46" t="s">
        <v>1198</v>
      </c>
      <c r="AA1758" s="61">
        <v>2</v>
      </c>
      <c r="AB1758" s="62">
        <f t="shared" si="187"/>
        <v>434.78260869565219</v>
      </c>
      <c r="AC1758" s="63">
        <f t="shared" si="188"/>
        <v>0.33897391304347824</v>
      </c>
      <c r="AD1758" s="62"/>
      <c r="AE1758" s="62">
        <f t="shared" si="183"/>
        <v>434.78260869565219</v>
      </c>
      <c r="AF1758" s="64" t="s">
        <v>4592</v>
      </c>
      <c r="AG1758" s="49">
        <v>0.56999999999999995</v>
      </c>
    </row>
    <row r="1759" spans="1:33" customFormat="1" ht="35.1" customHeight="1" x14ac:dyDescent="0.3">
      <c r="A1759" s="46">
        <v>2311</v>
      </c>
      <c r="B1759" s="46" t="s">
        <v>4594</v>
      </c>
      <c r="C1759" s="46" t="s">
        <v>34</v>
      </c>
      <c r="D1759" s="60">
        <v>2025</v>
      </c>
      <c r="E1759" s="60"/>
      <c r="F1759" s="46" t="s">
        <v>225</v>
      </c>
      <c r="G1759" s="46" t="s">
        <v>3</v>
      </c>
      <c r="H1759" s="46"/>
      <c r="I1759" s="46" t="s">
        <v>166</v>
      </c>
      <c r="J1759" s="46"/>
      <c r="K1759" s="46" t="s">
        <v>68</v>
      </c>
      <c r="L1759" s="46"/>
      <c r="M1759" s="46"/>
      <c r="N1759" s="46"/>
      <c r="O1759" s="46"/>
      <c r="P1759" s="46"/>
      <c r="Q1759" s="46">
        <v>1</v>
      </c>
      <c r="R1759" s="46"/>
      <c r="S1759" s="46"/>
      <c r="T1759" s="46"/>
      <c r="U1759" s="46"/>
      <c r="V1759" s="46"/>
      <c r="W1759" s="46"/>
      <c r="X1759" s="46"/>
      <c r="Y1759" s="46"/>
      <c r="Z1759" s="46" t="s">
        <v>1198</v>
      </c>
      <c r="AA1759" s="61">
        <v>2</v>
      </c>
      <c r="AB1759" s="62">
        <f t="shared" si="187"/>
        <v>434.78260869565219</v>
      </c>
      <c r="AC1759" s="63">
        <f t="shared" si="188"/>
        <v>0.33897391304347824</v>
      </c>
      <c r="AD1759" s="62"/>
      <c r="AE1759" s="62">
        <f t="shared" si="183"/>
        <v>434.78260869565219</v>
      </c>
      <c r="AF1759" s="64" t="s">
        <v>4592</v>
      </c>
      <c r="AG1759" s="49">
        <v>0.56999999999999995</v>
      </c>
    </row>
    <row r="1760" spans="1:33" customFormat="1" ht="35.1" customHeight="1" x14ac:dyDescent="0.3">
      <c r="A1760" s="46">
        <v>2312</v>
      </c>
      <c r="B1760" s="46" t="s">
        <v>4595</v>
      </c>
      <c r="C1760" s="46" t="s">
        <v>34</v>
      </c>
      <c r="D1760" s="60">
        <v>2025</v>
      </c>
      <c r="E1760" s="60"/>
      <c r="F1760" s="46" t="s">
        <v>225</v>
      </c>
      <c r="G1760" s="46" t="s">
        <v>3</v>
      </c>
      <c r="H1760" s="46"/>
      <c r="I1760" s="46" t="s">
        <v>166</v>
      </c>
      <c r="J1760" s="46"/>
      <c r="K1760" s="46" t="s">
        <v>68</v>
      </c>
      <c r="L1760" s="46"/>
      <c r="M1760" s="46"/>
      <c r="N1760" s="46"/>
      <c r="O1760" s="46"/>
      <c r="P1760" s="46"/>
      <c r="Q1760" s="46">
        <v>1</v>
      </c>
      <c r="R1760" s="46"/>
      <c r="S1760" s="46"/>
      <c r="T1760" s="46"/>
      <c r="U1760" s="46"/>
      <c r="V1760" s="46"/>
      <c r="W1760" s="46"/>
      <c r="X1760" s="46"/>
      <c r="Y1760" s="46"/>
      <c r="Z1760" s="46" t="s">
        <v>1198</v>
      </c>
      <c r="AA1760" s="61">
        <v>2</v>
      </c>
      <c r="AB1760" s="62">
        <f t="shared" si="187"/>
        <v>434.78260869565219</v>
      </c>
      <c r="AC1760" s="63">
        <f t="shared" si="188"/>
        <v>0.33897391304347824</v>
      </c>
      <c r="AD1760" s="62"/>
      <c r="AE1760" s="62">
        <f t="shared" si="183"/>
        <v>434.78260869565219</v>
      </c>
      <c r="AF1760" s="64" t="s">
        <v>4592</v>
      </c>
      <c r="AG1760" s="49">
        <v>0.56999999999999995</v>
      </c>
    </row>
    <row r="1761" spans="1:33" customFormat="1" ht="35.1" customHeight="1" x14ac:dyDescent="0.3">
      <c r="A1761" s="46">
        <v>2313</v>
      </c>
      <c r="B1761" s="46" t="s">
        <v>4596</v>
      </c>
      <c r="C1761" s="46" t="s">
        <v>34</v>
      </c>
      <c r="D1761" s="60">
        <v>2025</v>
      </c>
      <c r="E1761" s="60"/>
      <c r="F1761" s="46" t="s">
        <v>225</v>
      </c>
      <c r="G1761" s="46" t="s">
        <v>3</v>
      </c>
      <c r="H1761" s="46"/>
      <c r="I1761" s="46" t="s">
        <v>166</v>
      </c>
      <c r="J1761" s="46"/>
      <c r="K1761" s="46" t="s">
        <v>68</v>
      </c>
      <c r="L1761" s="46"/>
      <c r="M1761" s="46"/>
      <c r="N1761" s="46"/>
      <c r="O1761" s="46"/>
      <c r="P1761" s="46"/>
      <c r="Q1761" s="46">
        <v>1</v>
      </c>
      <c r="R1761" s="46"/>
      <c r="S1761" s="46"/>
      <c r="T1761" s="46"/>
      <c r="U1761" s="46"/>
      <c r="V1761" s="46"/>
      <c r="W1761" s="46"/>
      <c r="X1761" s="46"/>
      <c r="Y1761" s="46"/>
      <c r="Z1761" s="46" t="s">
        <v>1198</v>
      </c>
      <c r="AA1761" s="61">
        <v>2</v>
      </c>
      <c r="AB1761" s="62">
        <f t="shared" si="187"/>
        <v>434.78260869565219</v>
      </c>
      <c r="AC1761" s="63">
        <f t="shared" si="188"/>
        <v>0.33897391304347824</v>
      </c>
      <c r="AD1761" s="62"/>
      <c r="AE1761" s="62">
        <f t="shared" si="183"/>
        <v>434.78260869565219</v>
      </c>
      <c r="AF1761" s="64" t="s">
        <v>4592</v>
      </c>
      <c r="AG1761" s="49">
        <v>0.56999999999999995</v>
      </c>
    </row>
    <row r="1762" spans="1:33" customFormat="1" ht="35.1" customHeight="1" x14ac:dyDescent="0.3">
      <c r="A1762" s="46">
        <v>2314</v>
      </c>
      <c r="B1762" s="46" t="s">
        <v>4597</v>
      </c>
      <c r="C1762" s="46" t="s">
        <v>34</v>
      </c>
      <c r="D1762" s="60">
        <v>2025</v>
      </c>
      <c r="E1762" s="60"/>
      <c r="F1762" s="46" t="s">
        <v>225</v>
      </c>
      <c r="G1762" s="46" t="s">
        <v>3</v>
      </c>
      <c r="H1762" s="46"/>
      <c r="I1762" s="46" t="s">
        <v>166</v>
      </c>
      <c r="J1762" s="46"/>
      <c r="K1762" s="46" t="s">
        <v>68</v>
      </c>
      <c r="L1762" s="46"/>
      <c r="M1762" s="46"/>
      <c r="N1762" s="46"/>
      <c r="O1762" s="46"/>
      <c r="P1762" s="46"/>
      <c r="Q1762" s="46">
        <v>1</v>
      </c>
      <c r="R1762" s="46"/>
      <c r="S1762" s="46"/>
      <c r="T1762" s="46"/>
      <c r="U1762" s="46"/>
      <c r="V1762" s="46"/>
      <c r="W1762" s="46"/>
      <c r="X1762" s="46"/>
      <c r="Y1762" s="46"/>
      <c r="Z1762" s="46" t="s">
        <v>1198</v>
      </c>
      <c r="AA1762" s="61">
        <v>2</v>
      </c>
      <c r="AB1762" s="62">
        <f t="shared" si="187"/>
        <v>434.78260869565219</v>
      </c>
      <c r="AC1762" s="63">
        <f t="shared" si="188"/>
        <v>0.33897391304347824</v>
      </c>
      <c r="AD1762" s="62"/>
      <c r="AE1762" s="62">
        <f t="shared" si="183"/>
        <v>434.78260869565219</v>
      </c>
      <c r="AF1762" s="64" t="s">
        <v>4592</v>
      </c>
      <c r="AG1762" s="49">
        <v>0.56999999999999995</v>
      </c>
    </row>
    <row r="1763" spans="1:33" customFormat="1" ht="35.1" customHeight="1" x14ac:dyDescent="0.3">
      <c r="A1763" s="46">
        <v>2315</v>
      </c>
      <c r="B1763" s="46" t="s">
        <v>4598</v>
      </c>
      <c r="C1763" s="46" t="s">
        <v>34</v>
      </c>
      <c r="D1763" s="60">
        <v>2027</v>
      </c>
      <c r="E1763" s="60"/>
      <c r="F1763" s="46" t="s">
        <v>225</v>
      </c>
      <c r="G1763" s="46" t="s">
        <v>3</v>
      </c>
      <c r="H1763" s="46"/>
      <c r="I1763" s="46" t="s">
        <v>166</v>
      </c>
      <c r="J1763" s="46"/>
      <c r="K1763" s="46" t="s">
        <v>68</v>
      </c>
      <c r="L1763" s="46"/>
      <c r="M1763" s="46"/>
      <c r="N1763" s="46"/>
      <c r="O1763" s="46"/>
      <c r="P1763" s="46">
        <v>1</v>
      </c>
      <c r="Q1763" s="46"/>
      <c r="R1763" s="46"/>
      <c r="S1763" s="46"/>
      <c r="T1763" s="46"/>
      <c r="U1763" s="46"/>
      <c r="V1763" s="46"/>
      <c r="W1763" s="46"/>
      <c r="X1763" s="46"/>
      <c r="Y1763" s="46"/>
      <c r="Z1763" s="46" t="s">
        <v>2678</v>
      </c>
      <c r="AA1763" s="61">
        <v>85</v>
      </c>
      <c r="AB1763" s="62">
        <f t="shared" si="187"/>
        <v>18478.260869565216</v>
      </c>
      <c r="AC1763" s="63">
        <f t="shared" si="188"/>
        <v>14.406391304347826</v>
      </c>
      <c r="AD1763" s="62"/>
      <c r="AE1763" s="62">
        <f t="shared" si="183"/>
        <v>18478.260869565216</v>
      </c>
      <c r="AF1763" s="64" t="s">
        <v>4599</v>
      </c>
      <c r="AG1763" s="49">
        <v>0.56999999999999995</v>
      </c>
    </row>
    <row r="1764" spans="1:33" customFormat="1" ht="35.1" customHeight="1" x14ac:dyDescent="0.3">
      <c r="A1764" s="46">
        <v>2316</v>
      </c>
      <c r="B1764" s="46" t="s">
        <v>4600</v>
      </c>
      <c r="C1764" s="46" t="s">
        <v>34</v>
      </c>
      <c r="D1764" s="60">
        <v>2028</v>
      </c>
      <c r="E1764" s="60"/>
      <c r="F1764" s="46" t="s">
        <v>591</v>
      </c>
      <c r="G1764" s="46" t="s">
        <v>159</v>
      </c>
      <c r="H1764" s="46" t="s">
        <v>592</v>
      </c>
      <c r="I1764" s="46" t="s">
        <v>166</v>
      </c>
      <c r="J1764" s="46"/>
      <c r="K1764" s="46" t="s">
        <v>167</v>
      </c>
      <c r="L1764" s="46"/>
      <c r="M1764" s="46"/>
      <c r="N1764" s="46"/>
      <c r="O1764" s="46"/>
      <c r="P1764" s="46"/>
      <c r="Q1764" s="46"/>
      <c r="R1764" s="46"/>
      <c r="S1764" s="46"/>
      <c r="T1764" s="46"/>
      <c r="U1764" s="46"/>
      <c r="V1764" s="46"/>
      <c r="W1764" s="46">
        <v>1</v>
      </c>
      <c r="X1764" s="46"/>
      <c r="Y1764" s="46"/>
      <c r="Z1764" s="46"/>
      <c r="AA1764" s="61">
        <f>IF(OR(G1764="ALK",G1764="PEM",G1764="SOEC",G1764="Other Electrolysis"),
AB1764*VLOOKUP(G1764,ElectrolysisConvF,3,FALSE),
"")</f>
        <v>0</v>
      </c>
      <c r="AB1764" s="62"/>
      <c r="AC1764" s="62"/>
      <c r="AD1764" s="62"/>
      <c r="AE1764" s="62">
        <f t="shared" ref="AE1764:AE1827" si="189">IF(AND(G1764&lt;&gt;"NG w CCUS",G1764&lt;&gt;"Oil w CCUS",G1764&lt;&gt;"Coal w CCUS"),AB1764,AD1764*10^3/(HoursInYear*IF(G1764="NG w CCUS",0.9105,1.9075)))</f>
        <v>0</v>
      </c>
      <c r="AF1764" s="64" t="s">
        <v>4601</v>
      </c>
      <c r="AG1764" s="49">
        <v>0.56999999999999995</v>
      </c>
    </row>
    <row r="1765" spans="1:33" customFormat="1" ht="35.1" customHeight="1" x14ac:dyDescent="0.3">
      <c r="A1765" s="46">
        <v>2317</v>
      </c>
      <c r="B1765" s="46" t="s">
        <v>4602</v>
      </c>
      <c r="C1765" s="46" t="s">
        <v>46</v>
      </c>
      <c r="D1765" s="60">
        <v>2026</v>
      </c>
      <c r="E1765" s="60"/>
      <c r="F1765" s="46" t="s">
        <v>225</v>
      </c>
      <c r="G1765" s="46" t="s">
        <v>3</v>
      </c>
      <c r="H1765" s="46"/>
      <c r="I1765" s="46" t="s">
        <v>169</v>
      </c>
      <c r="J1765" s="46" t="s">
        <v>69</v>
      </c>
      <c r="K1765" s="46" t="s">
        <v>68</v>
      </c>
      <c r="L1765" s="46"/>
      <c r="M1765" s="46"/>
      <c r="N1765" s="46"/>
      <c r="O1765" s="46"/>
      <c r="P1765" s="46"/>
      <c r="Q1765" s="46">
        <v>1</v>
      </c>
      <c r="R1765" s="46"/>
      <c r="S1765" s="46"/>
      <c r="T1765" s="46"/>
      <c r="U1765" s="46"/>
      <c r="V1765" s="46"/>
      <c r="W1765" s="46"/>
      <c r="X1765" s="46"/>
      <c r="Y1765" s="46"/>
      <c r="Z1765" s="46" t="s">
        <v>4603</v>
      </c>
      <c r="AA1765" s="61">
        <v>5</v>
      </c>
      <c r="AB1765" s="62">
        <f>IF(OR(G1765="ALK",G1765="PEM",G1765="SOEC",G1765="Other Electrolysis"),
AA1765/VLOOKUP(G1765,ElectrolysisConvF,3,FALSE),
AC1765*10^6/(H2dens*HoursInYear))</f>
        <v>1086.9565217391305</v>
      </c>
      <c r="AC1765" s="63">
        <f>AB1765*H2dens*HoursInYear/10^6</f>
        <v>0.84743478260869565</v>
      </c>
      <c r="AD1765" s="62"/>
      <c r="AE1765" s="62">
        <f t="shared" si="189"/>
        <v>1086.9565217391305</v>
      </c>
      <c r="AF1765" s="64" t="s">
        <v>4604</v>
      </c>
      <c r="AG1765" s="49">
        <v>0.5</v>
      </c>
    </row>
    <row r="1766" spans="1:33" customFormat="1" ht="35.1" customHeight="1" x14ac:dyDescent="0.3">
      <c r="A1766" s="46">
        <v>2318</v>
      </c>
      <c r="B1766" s="46" t="s">
        <v>4605</v>
      </c>
      <c r="C1766" s="46" t="s">
        <v>39</v>
      </c>
      <c r="D1766" s="60">
        <v>2025</v>
      </c>
      <c r="E1766" s="60"/>
      <c r="F1766" s="46" t="s">
        <v>285</v>
      </c>
      <c r="G1766" s="46" t="s">
        <v>3</v>
      </c>
      <c r="H1766" s="46" t="s">
        <v>4606</v>
      </c>
      <c r="I1766" s="46" t="s">
        <v>157</v>
      </c>
      <c r="J1766" s="46"/>
      <c r="K1766" s="46" t="s">
        <v>68</v>
      </c>
      <c r="L1766" s="46"/>
      <c r="M1766" s="46"/>
      <c r="N1766" s="46"/>
      <c r="O1766" s="46"/>
      <c r="P1766" s="46"/>
      <c r="Q1766" s="46"/>
      <c r="R1766" s="46"/>
      <c r="S1766" s="46"/>
      <c r="T1766" s="46"/>
      <c r="U1766" s="46"/>
      <c r="V1766" s="46"/>
      <c r="W1766" s="46"/>
      <c r="X1766" s="46"/>
      <c r="Y1766" s="46"/>
      <c r="Z1766" s="46" t="s">
        <v>1396</v>
      </c>
      <c r="AA1766" s="61">
        <v>5</v>
      </c>
      <c r="AB1766" s="62">
        <f>IF(OR(G1766="ALK",G1766="PEM",G1766="SOEC",G1766="Other Electrolysis"),
AA1766/VLOOKUP(G1766,ElectrolysisConvF,3,FALSE),
AC1766*10^6/(H2dens*HoursInYear))</f>
        <v>1086.9565217391305</v>
      </c>
      <c r="AC1766" s="63">
        <f>AB1766*H2dens*HoursInYear/10^6</f>
        <v>0.84743478260869565</v>
      </c>
      <c r="AD1766" s="62"/>
      <c r="AE1766" s="62">
        <f t="shared" si="189"/>
        <v>1086.9565217391305</v>
      </c>
      <c r="AF1766" s="64" t="s">
        <v>4607</v>
      </c>
      <c r="AG1766" s="49">
        <v>0.56999999999999995</v>
      </c>
    </row>
    <row r="1767" spans="1:33" customFormat="1" ht="35.1" customHeight="1" x14ac:dyDescent="0.3">
      <c r="A1767" s="46">
        <v>2319</v>
      </c>
      <c r="B1767" s="46" t="s">
        <v>4608</v>
      </c>
      <c r="C1767" s="46" t="s">
        <v>45</v>
      </c>
      <c r="D1767" s="60">
        <v>2027</v>
      </c>
      <c r="E1767" s="60"/>
      <c r="F1767" s="46" t="s">
        <v>591</v>
      </c>
      <c r="G1767" s="46" t="s">
        <v>163</v>
      </c>
      <c r="H1767" s="46" t="s">
        <v>2289</v>
      </c>
      <c r="I1767" s="46"/>
      <c r="J1767" s="46"/>
      <c r="K1767" s="46" t="s">
        <v>68</v>
      </c>
      <c r="L1767" s="46">
        <v>1</v>
      </c>
      <c r="M1767" s="46"/>
      <c r="N1767" s="46">
        <v>1</v>
      </c>
      <c r="O1767" s="46"/>
      <c r="P1767" s="46"/>
      <c r="Q1767" s="46"/>
      <c r="R1767" s="46"/>
      <c r="S1767" s="46"/>
      <c r="T1767" s="46"/>
      <c r="U1767" s="46"/>
      <c r="V1767" s="46"/>
      <c r="W1767" s="46"/>
      <c r="X1767" s="46"/>
      <c r="Y1767" s="46"/>
      <c r="Z1767" s="46" t="s">
        <v>4609</v>
      </c>
      <c r="AA1767" s="61" t="str">
        <f>IF(OR(G1767="ALK",G1767="PEM",G1767="SOEC",G1767="Other Electrolysis"),
AB1767*VLOOKUP(G1767,ElectrolysisConvF,3,FALSE),
"")</f>
        <v/>
      </c>
      <c r="AB1767" s="62">
        <v>2100</v>
      </c>
      <c r="AC1767" s="63">
        <f>AB1767*H2dens*HoursInYear/10^6</f>
        <v>1.6372439999999997</v>
      </c>
      <c r="AD1767" s="62"/>
      <c r="AE1767" s="62">
        <f t="shared" si="189"/>
        <v>2100</v>
      </c>
      <c r="AF1767" s="64" t="s">
        <v>4610</v>
      </c>
      <c r="AG1767" s="49">
        <v>0.9</v>
      </c>
    </row>
    <row r="1768" spans="1:33" customFormat="1" ht="35.1" customHeight="1" x14ac:dyDescent="0.3">
      <c r="A1768" s="46">
        <v>2320</v>
      </c>
      <c r="B1768" s="46" t="s">
        <v>4611</v>
      </c>
      <c r="C1768" s="46" t="s">
        <v>46</v>
      </c>
      <c r="D1768" s="60">
        <v>2030</v>
      </c>
      <c r="E1768" s="60"/>
      <c r="F1768" s="46" t="s">
        <v>225</v>
      </c>
      <c r="G1768" s="46" t="s">
        <v>161</v>
      </c>
      <c r="H1768" s="46" t="s">
        <v>882</v>
      </c>
      <c r="I1768" s="46"/>
      <c r="J1768" s="46"/>
      <c r="K1768" s="46" t="s">
        <v>68</v>
      </c>
      <c r="L1768" s="46"/>
      <c r="M1768" s="46"/>
      <c r="N1768" s="46"/>
      <c r="O1768" s="46"/>
      <c r="P1768" s="46">
        <v>1</v>
      </c>
      <c r="Q1768" s="46"/>
      <c r="R1768" s="46">
        <v>1</v>
      </c>
      <c r="S1768" s="46">
        <v>1</v>
      </c>
      <c r="T1768" s="46"/>
      <c r="U1768" s="46"/>
      <c r="V1768" s="46"/>
      <c r="W1768" s="46"/>
      <c r="X1768" s="46"/>
      <c r="Y1768" s="46"/>
      <c r="Z1768" s="46" t="s">
        <v>4612</v>
      </c>
      <c r="AA1768" s="61" t="str">
        <f>IF(OR(G1768="ALK",G1768="PEM",G1768="SOEC",G1768="Other Electrolysis"),
AB1768*VLOOKUP(G1768,ElectrolysisConvF,3,FALSE),
"")</f>
        <v/>
      </c>
      <c r="AB1768" s="62">
        <f>IF(OR(G1768="ALK",G1768="PEM",G1768="SOEC",G1768="Other Electrolysis"),
AA1768/VLOOKUP(G1768,ElectrolysisConvF,3,FALSE),
AC1768*10^6/(H2dens*HoursInYear))</f>
        <v>192134.83146067415</v>
      </c>
      <c r="AC1768" s="63">
        <f>600*HoursInYear*0.95*3600/120/10^6</f>
        <v>149.79599999999999</v>
      </c>
      <c r="AD1768" s="62"/>
      <c r="AE1768" s="62">
        <f t="shared" si="189"/>
        <v>0</v>
      </c>
      <c r="AF1768" s="64" t="s">
        <v>4613</v>
      </c>
      <c r="AG1768" s="49">
        <v>0.9</v>
      </c>
    </row>
    <row r="1769" spans="1:33" customFormat="1" ht="35.1" customHeight="1" x14ac:dyDescent="0.3">
      <c r="A1769" s="46">
        <v>2321</v>
      </c>
      <c r="B1769" s="46" t="s">
        <v>4614</v>
      </c>
      <c r="C1769" s="46" t="s">
        <v>46</v>
      </c>
      <c r="D1769" s="60">
        <v>2030</v>
      </c>
      <c r="E1769" s="60"/>
      <c r="F1769" s="46" t="s">
        <v>591</v>
      </c>
      <c r="G1769" s="46" t="s">
        <v>159</v>
      </c>
      <c r="H1769" s="46" t="s">
        <v>592</v>
      </c>
      <c r="I1769" s="46" t="s">
        <v>169</v>
      </c>
      <c r="J1769" s="46" t="s">
        <v>246</v>
      </c>
      <c r="K1769" s="46" t="s">
        <v>68</v>
      </c>
      <c r="L1769" s="46"/>
      <c r="M1769" s="46"/>
      <c r="N1769" s="46"/>
      <c r="O1769" s="46"/>
      <c r="P1769" s="46"/>
      <c r="Q1769" s="46"/>
      <c r="R1769" s="46"/>
      <c r="S1769" s="46"/>
      <c r="T1769" s="46"/>
      <c r="U1769" s="46"/>
      <c r="V1769" s="46"/>
      <c r="W1769" s="46"/>
      <c r="X1769" s="46"/>
      <c r="Y1769" s="46"/>
      <c r="Z1769" s="46"/>
      <c r="AA1769" s="61">
        <f>IF(OR(G1769="ALK",G1769="PEM",G1769="SOEC",G1769="Other Electrolysis"),
AB1769*VLOOKUP(G1769,ElectrolysisConvF,3,FALSE),
"")</f>
        <v>0</v>
      </c>
      <c r="AB1769" s="62"/>
      <c r="AC1769" s="62"/>
      <c r="AD1769" s="62"/>
      <c r="AE1769" s="62">
        <f t="shared" si="189"/>
        <v>0</v>
      </c>
      <c r="AF1769" s="64" t="s">
        <v>4615</v>
      </c>
      <c r="AG1769" s="49">
        <v>0.55000000000000004</v>
      </c>
    </row>
    <row r="1770" spans="1:33" customFormat="1" ht="35.1" customHeight="1" x14ac:dyDescent="0.3">
      <c r="A1770" s="46">
        <v>2322</v>
      </c>
      <c r="B1770" s="46" t="s">
        <v>4616</v>
      </c>
      <c r="C1770" s="46" t="s">
        <v>35</v>
      </c>
      <c r="D1770" s="60">
        <v>2030</v>
      </c>
      <c r="E1770" s="60"/>
      <c r="F1770" s="46" t="s">
        <v>225</v>
      </c>
      <c r="G1770" s="46" t="s">
        <v>161</v>
      </c>
      <c r="H1770" s="46" t="s">
        <v>882</v>
      </c>
      <c r="I1770" s="46"/>
      <c r="J1770" s="46"/>
      <c r="K1770" s="46" t="s">
        <v>68</v>
      </c>
      <c r="L1770" s="46"/>
      <c r="M1770" s="46"/>
      <c r="N1770" s="46"/>
      <c r="O1770" s="46">
        <v>1</v>
      </c>
      <c r="P1770" s="46">
        <v>1</v>
      </c>
      <c r="Q1770" s="46"/>
      <c r="R1770" s="46">
        <v>1</v>
      </c>
      <c r="S1770" s="46">
        <v>1</v>
      </c>
      <c r="T1770" s="46"/>
      <c r="U1770" s="46"/>
      <c r="V1770" s="46"/>
      <c r="W1770" s="46"/>
      <c r="X1770" s="46"/>
      <c r="Y1770" s="46"/>
      <c r="Z1770" s="46" t="s">
        <v>4617</v>
      </c>
      <c r="AA1770" s="61" t="str">
        <f>IF(OR(G1770="ALK",G1770="PEM",G1770="SOEC",G1770="Other Electrolysis"),
AB1770*VLOOKUP(G1770,ElectrolysisConvF,3,FALSE),
"")</f>
        <v/>
      </c>
      <c r="AB1770" s="62">
        <f t="shared" ref="AB1770:AB1780" si="190">IF(OR(G1770="ALK",G1770="PEM",G1770="SOEC",G1770="Other Electrolysis"),
AA1770/VLOOKUP(G1770,ElectrolysisConvF,3,FALSE),
AC1770*10^6/(H2dens*HoursInYear))</f>
        <v>640449.43820224726</v>
      </c>
      <c r="AC1770" s="63">
        <f>2000*HoursInYear*0.95*3600/120/10^6</f>
        <v>499.32</v>
      </c>
      <c r="AD1770" s="62">
        <v>3600000</v>
      </c>
      <c r="AE1770" s="62">
        <f t="shared" si="189"/>
        <v>451355.19396989461</v>
      </c>
      <c r="AF1770" s="64" t="s">
        <v>4618</v>
      </c>
      <c r="AG1770" s="49">
        <v>0.9</v>
      </c>
    </row>
    <row r="1771" spans="1:33" customFormat="1" ht="35.1" customHeight="1" x14ac:dyDescent="0.3">
      <c r="A1771" s="46">
        <v>2323</v>
      </c>
      <c r="B1771" s="46" t="s">
        <v>4619</v>
      </c>
      <c r="C1771" s="46" t="s">
        <v>318</v>
      </c>
      <c r="D1771" s="60"/>
      <c r="E1771" s="60"/>
      <c r="F1771" s="46" t="s">
        <v>225</v>
      </c>
      <c r="G1771" s="46" t="s">
        <v>1</v>
      </c>
      <c r="H1771" s="46"/>
      <c r="I1771" s="46" t="s">
        <v>1317</v>
      </c>
      <c r="J1771" s="46" t="s">
        <v>244</v>
      </c>
      <c r="K1771" s="46" t="s">
        <v>68</v>
      </c>
      <c r="L1771" s="46">
        <v>1</v>
      </c>
      <c r="M1771" s="46"/>
      <c r="N1771" s="46">
        <v>1</v>
      </c>
      <c r="O1771" s="46"/>
      <c r="P1771" s="46"/>
      <c r="Q1771" s="46"/>
      <c r="R1771" s="46"/>
      <c r="S1771" s="46"/>
      <c r="T1771" s="46"/>
      <c r="U1771" s="46"/>
      <c r="V1771" s="46"/>
      <c r="W1771" s="46"/>
      <c r="X1771" s="46"/>
      <c r="Y1771" s="46"/>
      <c r="Z1771" s="46" t="s">
        <v>1828</v>
      </c>
      <c r="AA1771" s="61">
        <v>4</v>
      </c>
      <c r="AB1771" s="62">
        <f t="shared" si="190"/>
        <v>769.23076923076928</v>
      </c>
      <c r="AC1771" s="63">
        <f t="shared" ref="AC1771:AC1780" si="191">AB1771*H2dens*HoursInYear/10^6</f>
        <v>0.59972307692307703</v>
      </c>
      <c r="AD1771" s="62"/>
      <c r="AE1771" s="62">
        <f t="shared" si="189"/>
        <v>769.23076923076928</v>
      </c>
      <c r="AF1771" s="64" t="s">
        <v>4620</v>
      </c>
      <c r="AG1771" s="49">
        <v>0.7</v>
      </c>
    </row>
    <row r="1772" spans="1:33" customFormat="1" ht="35.1" customHeight="1" x14ac:dyDescent="0.3">
      <c r="A1772" s="46">
        <v>2324</v>
      </c>
      <c r="B1772" s="46" t="s">
        <v>4621</v>
      </c>
      <c r="C1772" s="46" t="s">
        <v>45</v>
      </c>
      <c r="D1772" s="60">
        <v>2031</v>
      </c>
      <c r="E1772" s="60"/>
      <c r="F1772" s="46" t="s">
        <v>591</v>
      </c>
      <c r="G1772" s="46" t="s">
        <v>159</v>
      </c>
      <c r="H1772" s="46" t="s">
        <v>592</v>
      </c>
      <c r="I1772" s="46" t="s">
        <v>166</v>
      </c>
      <c r="J1772" s="46"/>
      <c r="K1772" s="46" t="s">
        <v>68</v>
      </c>
      <c r="L1772" s="46"/>
      <c r="M1772" s="46"/>
      <c r="N1772" s="46"/>
      <c r="O1772" s="46"/>
      <c r="P1772" s="46"/>
      <c r="Q1772" s="46"/>
      <c r="R1772" s="46"/>
      <c r="S1772" s="46">
        <v>1</v>
      </c>
      <c r="T1772" s="46"/>
      <c r="U1772" s="46"/>
      <c r="V1772" s="46"/>
      <c r="W1772" s="46"/>
      <c r="X1772" s="46"/>
      <c r="Y1772" s="46"/>
      <c r="Z1772" s="46" t="s">
        <v>2872</v>
      </c>
      <c r="AA1772" s="61">
        <v>710</v>
      </c>
      <c r="AB1772" s="62">
        <f t="shared" si="190"/>
        <v>157777.77777777778</v>
      </c>
      <c r="AC1772" s="63">
        <f t="shared" si="191"/>
        <v>123.00986666666667</v>
      </c>
      <c r="AD1772" s="62"/>
      <c r="AE1772" s="62">
        <f t="shared" si="189"/>
        <v>157777.77777777778</v>
      </c>
      <c r="AF1772" s="64" t="s">
        <v>4622</v>
      </c>
      <c r="AG1772" s="49">
        <v>0.56999999999999995</v>
      </c>
    </row>
    <row r="1773" spans="1:33" customFormat="1" ht="35.1" customHeight="1" x14ac:dyDescent="0.3">
      <c r="A1773" s="46">
        <v>2325</v>
      </c>
      <c r="B1773" s="46" t="s">
        <v>4623</v>
      </c>
      <c r="C1773" s="46" t="s">
        <v>45</v>
      </c>
      <c r="D1773" s="60">
        <v>2026</v>
      </c>
      <c r="E1773" s="60"/>
      <c r="F1773" s="46" t="s">
        <v>591</v>
      </c>
      <c r="G1773" s="46" t="s">
        <v>159</v>
      </c>
      <c r="H1773" s="46" t="s">
        <v>592</v>
      </c>
      <c r="I1773" s="46" t="s">
        <v>166</v>
      </c>
      <c r="J1773" s="46"/>
      <c r="K1773" s="46" t="s">
        <v>72</v>
      </c>
      <c r="L1773" s="46"/>
      <c r="M1773" s="46"/>
      <c r="N1773" s="46"/>
      <c r="O1773" s="46"/>
      <c r="P1773" s="46"/>
      <c r="Q1773" s="46"/>
      <c r="R1773" s="46"/>
      <c r="S1773" s="46"/>
      <c r="T1773" s="46"/>
      <c r="U1773" s="46"/>
      <c r="V1773" s="46"/>
      <c r="W1773" s="46"/>
      <c r="X1773" s="46">
        <v>1</v>
      </c>
      <c r="Y1773" s="46"/>
      <c r="Z1773" s="46" t="s">
        <v>2242</v>
      </c>
      <c r="AA1773" s="61">
        <v>90</v>
      </c>
      <c r="AB1773" s="62">
        <f t="shared" si="190"/>
        <v>20000</v>
      </c>
      <c r="AC1773" s="63">
        <f t="shared" si="191"/>
        <v>15.5928</v>
      </c>
      <c r="AD1773" s="62"/>
      <c r="AE1773" s="62">
        <f t="shared" si="189"/>
        <v>20000</v>
      </c>
      <c r="AF1773" s="64" t="s">
        <v>4622</v>
      </c>
      <c r="AG1773" s="49">
        <v>0.56999999999999995</v>
      </c>
    </row>
    <row r="1774" spans="1:33" customFormat="1" ht="35.1" customHeight="1" x14ac:dyDescent="0.3">
      <c r="A1774" s="46">
        <v>2326</v>
      </c>
      <c r="B1774" s="46" t="s">
        <v>4624</v>
      </c>
      <c r="C1774" s="46" t="s">
        <v>45</v>
      </c>
      <c r="D1774" s="60">
        <v>2031</v>
      </c>
      <c r="E1774" s="60"/>
      <c r="F1774" s="46" t="s">
        <v>591</v>
      </c>
      <c r="G1774" s="46" t="s">
        <v>159</v>
      </c>
      <c r="H1774" s="46" t="s">
        <v>592</v>
      </c>
      <c r="I1774" s="46" t="s">
        <v>166</v>
      </c>
      <c r="J1774" s="46"/>
      <c r="K1774" s="46" t="s">
        <v>68</v>
      </c>
      <c r="L1774" s="46"/>
      <c r="M1774" s="46"/>
      <c r="N1774" s="46"/>
      <c r="O1774" s="46"/>
      <c r="P1774" s="46"/>
      <c r="Q1774" s="46"/>
      <c r="R1774" s="46"/>
      <c r="S1774" s="46">
        <v>1</v>
      </c>
      <c r="T1774" s="46"/>
      <c r="U1774" s="46"/>
      <c r="V1774" s="46"/>
      <c r="W1774" s="46"/>
      <c r="X1774" s="46"/>
      <c r="Y1774" s="46"/>
      <c r="Z1774" s="46" t="s">
        <v>1843</v>
      </c>
      <c r="AA1774" s="61">
        <v>610</v>
      </c>
      <c r="AB1774" s="62">
        <f t="shared" si="190"/>
        <v>135555.55555555556</v>
      </c>
      <c r="AC1774" s="63">
        <f t="shared" si="191"/>
        <v>105.68453333333335</v>
      </c>
      <c r="AD1774" s="62"/>
      <c r="AE1774" s="62">
        <f t="shared" si="189"/>
        <v>135555.55555555556</v>
      </c>
      <c r="AF1774" s="64" t="s">
        <v>4622</v>
      </c>
      <c r="AG1774" s="49">
        <v>0.56999999999999995</v>
      </c>
    </row>
    <row r="1775" spans="1:33" customFormat="1" ht="35.1" customHeight="1" x14ac:dyDescent="0.3">
      <c r="A1775" s="46">
        <v>2327</v>
      </c>
      <c r="B1775" s="46" t="s">
        <v>4625</v>
      </c>
      <c r="C1775" s="46" t="s">
        <v>45</v>
      </c>
      <c r="D1775" s="60">
        <v>2026</v>
      </c>
      <c r="E1775" s="60"/>
      <c r="F1775" s="46" t="s">
        <v>675</v>
      </c>
      <c r="G1775" s="46" t="s">
        <v>3</v>
      </c>
      <c r="H1775" s="46"/>
      <c r="I1775" s="46" t="s">
        <v>169</v>
      </c>
      <c r="J1775" s="46" t="s">
        <v>244</v>
      </c>
      <c r="K1775" s="46" t="s">
        <v>68</v>
      </c>
      <c r="L1775" s="46"/>
      <c r="M1775" s="46"/>
      <c r="N1775" s="46"/>
      <c r="O1775" s="46"/>
      <c r="P1775" s="46"/>
      <c r="Q1775" s="46">
        <v>1</v>
      </c>
      <c r="R1775" s="46">
        <v>1</v>
      </c>
      <c r="S1775" s="46"/>
      <c r="T1775" s="46"/>
      <c r="U1775" s="46"/>
      <c r="V1775" s="46"/>
      <c r="W1775" s="46"/>
      <c r="X1775" s="46"/>
      <c r="Y1775" s="46"/>
      <c r="Z1775" s="46" t="s">
        <v>676</v>
      </c>
      <c r="AA1775" s="61">
        <v>2.5</v>
      </c>
      <c r="AB1775" s="62">
        <f t="shared" si="190"/>
        <v>543.47826086956525</v>
      </c>
      <c r="AC1775" s="63">
        <f t="shared" si="191"/>
        <v>0.42371739130434782</v>
      </c>
      <c r="AD1775" s="62"/>
      <c r="AE1775" s="62">
        <f t="shared" si="189"/>
        <v>543.47826086956525</v>
      </c>
      <c r="AF1775" s="64" t="s">
        <v>4622</v>
      </c>
      <c r="AG1775" s="49">
        <v>0.3</v>
      </c>
    </row>
    <row r="1776" spans="1:33" customFormat="1" ht="35.1" customHeight="1" x14ac:dyDescent="0.3">
      <c r="A1776" s="46">
        <v>2328</v>
      </c>
      <c r="B1776" s="46" t="s">
        <v>4626</v>
      </c>
      <c r="C1776" s="46" t="s">
        <v>203</v>
      </c>
      <c r="D1776" s="60">
        <v>2026</v>
      </c>
      <c r="E1776" s="60"/>
      <c r="F1776" s="46" t="s">
        <v>591</v>
      </c>
      <c r="G1776" s="46" t="s">
        <v>1</v>
      </c>
      <c r="H1776" s="46"/>
      <c r="I1776" s="46" t="s">
        <v>169</v>
      </c>
      <c r="J1776" s="46" t="s">
        <v>247</v>
      </c>
      <c r="K1776" s="46" t="s">
        <v>68</v>
      </c>
      <c r="L1776" s="46"/>
      <c r="M1776" s="46"/>
      <c r="N1776" s="46"/>
      <c r="O1776" s="46"/>
      <c r="P1776" s="46"/>
      <c r="Q1776" s="46">
        <v>1</v>
      </c>
      <c r="R1776" s="46">
        <v>1</v>
      </c>
      <c r="S1776" s="46"/>
      <c r="T1776" s="46"/>
      <c r="U1776" s="46"/>
      <c r="V1776" s="46"/>
      <c r="W1776" s="46"/>
      <c r="X1776" s="46"/>
      <c r="Y1776" s="46"/>
      <c r="Z1776" s="46" t="s">
        <v>1274</v>
      </c>
      <c r="AA1776" s="61">
        <v>50</v>
      </c>
      <c r="AB1776" s="62">
        <f t="shared" si="190"/>
        <v>9615.3846153846152</v>
      </c>
      <c r="AC1776" s="63">
        <f t="shared" si="191"/>
        <v>7.4965384615384609</v>
      </c>
      <c r="AD1776" s="62"/>
      <c r="AE1776" s="62">
        <f t="shared" si="189"/>
        <v>9615.3846153846152</v>
      </c>
      <c r="AF1776" s="64" t="s">
        <v>4627</v>
      </c>
      <c r="AG1776" s="49">
        <v>0.8</v>
      </c>
    </row>
    <row r="1777" spans="1:33" customFormat="1" ht="35.1" customHeight="1" x14ac:dyDescent="0.3">
      <c r="A1777" s="46">
        <v>2329</v>
      </c>
      <c r="B1777" s="46" t="s">
        <v>4628</v>
      </c>
      <c r="C1777" s="46" t="s">
        <v>64</v>
      </c>
      <c r="D1777" s="60">
        <v>2025</v>
      </c>
      <c r="E1777" s="60"/>
      <c r="F1777" s="46" t="s">
        <v>225</v>
      </c>
      <c r="G1777" s="46" t="s">
        <v>159</v>
      </c>
      <c r="H1777" s="46" t="s">
        <v>592</v>
      </c>
      <c r="I1777" s="46" t="s">
        <v>169</v>
      </c>
      <c r="J1777" s="46" t="s">
        <v>244</v>
      </c>
      <c r="K1777" s="46" t="s">
        <v>68</v>
      </c>
      <c r="L1777" s="46"/>
      <c r="M1777" s="46"/>
      <c r="N1777" s="46"/>
      <c r="O1777" s="46"/>
      <c r="P1777" s="46"/>
      <c r="Q1777" s="46"/>
      <c r="R1777" s="46"/>
      <c r="S1777" s="46"/>
      <c r="T1777" s="46"/>
      <c r="U1777" s="46"/>
      <c r="V1777" s="46"/>
      <c r="W1777" s="46"/>
      <c r="X1777" s="46"/>
      <c r="Y1777" s="46"/>
      <c r="Z1777" s="46" t="s">
        <v>1257</v>
      </c>
      <c r="AA1777" s="61">
        <v>100</v>
      </c>
      <c r="AB1777" s="62">
        <f t="shared" si="190"/>
        <v>22222.222222222223</v>
      </c>
      <c r="AC1777" s="63">
        <f t="shared" si="191"/>
        <v>17.325333333333333</v>
      </c>
      <c r="AD1777" s="62"/>
      <c r="AE1777" s="62">
        <f t="shared" si="189"/>
        <v>22222.222222222223</v>
      </c>
      <c r="AF1777" s="64"/>
      <c r="AG1777" s="49">
        <v>0.3</v>
      </c>
    </row>
    <row r="1778" spans="1:33" customFormat="1" ht="35.1" customHeight="1" x14ac:dyDescent="0.3">
      <c r="A1778" s="46">
        <v>2330</v>
      </c>
      <c r="B1778" s="46" t="s">
        <v>4629</v>
      </c>
      <c r="C1778" s="46" t="s">
        <v>64</v>
      </c>
      <c r="D1778" s="60"/>
      <c r="E1778" s="60"/>
      <c r="F1778" s="46" t="s">
        <v>591</v>
      </c>
      <c r="G1778" s="46" t="s">
        <v>159</v>
      </c>
      <c r="H1778" s="46" t="s">
        <v>592</v>
      </c>
      <c r="I1778" s="46" t="s">
        <v>169</v>
      </c>
      <c r="J1778" s="46" t="s">
        <v>69</v>
      </c>
      <c r="K1778" s="46" t="s">
        <v>68</v>
      </c>
      <c r="L1778" s="46"/>
      <c r="M1778" s="46"/>
      <c r="N1778" s="46"/>
      <c r="O1778" s="46"/>
      <c r="P1778" s="46"/>
      <c r="Q1778" s="46"/>
      <c r="R1778" s="46"/>
      <c r="S1778" s="46"/>
      <c r="T1778" s="46"/>
      <c r="U1778" s="46"/>
      <c r="V1778" s="46"/>
      <c r="W1778" s="46"/>
      <c r="X1778" s="46"/>
      <c r="Y1778" s="46"/>
      <c r="Z1778" s="46" t="s">
        <v>1327</v>
      </c>
      <c r="AA1778" s="61">
        <v>1</v>
      </c>
      <c r="AB1778" s="62">
        <f t="shared" si="190"/>
        <v>222.22222222222223</v>
      </c>
      <c r="AC1778" s="63">
        <f t="shared" si="191"/>
        <v>0.17325333333333334</v>
      </c>
      <c r="AD1778" s="62"/>
      <c r="AE1778" s="62">
        <f t="shared" si="189"/>
        <v>222.22222222222223</v>
      </c>
      <c r="AF1778" s="64" t="s">
        <v>4630</v>
      </c>
      <c r="AG1778" s="49">
        <v>0.5</v>
      </c>
    </row>
    <row r="1779" spans="1:33" customFormat="1" ht="35.1" customHeight="1" x14ac:dyDescent="0.3">
      <c r="A1779" s="46">
        <v>2331</v>
      </c>
      <c r="B1779" s="46" t="s">
        <v>4631</v>
      </c>
      <c r="C1779" s="46" t="s">
        <v>64</v>
      </c>
      <c r="D1779" s="60"/>
      <c r="E1779" s="60"/>
      <c r="F1779" s="46" t="s">
        <v>591</v>
      </c>
      <c r="G1779" s="46" t="s">
        <v>159</v>
      </c>
      <c r="H1779" s="46" t="s">
        <v>592</v>
      </c>
      <c r="I1779" s="46" t="s">
        <v>169</v>
      </c>
      <c r="J1779" s="46" t="s">
        <v>69</v>
      </c>
      <c r="K1779" s="46" t="s">
        <v>68</v>
      </c>
      <c r="L1779" s="46"/>
      <c r="M1779" s="46"/>
      <c r="N1779" s="46"/>
      <c r="O1779" s="46"/>
      <c r="P1779" s="46"/>
      <c r="Q1779" s="46"/>
      <c r="R1779" s="46"/>
      <c r="S1779" s="46"/>
      <c r="T1779" s="46"/>
      <c r="U1779" s="46"/>
      <c r="V1779" s="46"/>
      <c r="W1779" s="46"/>
      <c r="X1779" s="46"/>
      <c r="Y1779" s="46"/>
      <c r="Z1779" s="46" t="s">
        <v>1168</v>
      </c>
      <c r="AA1779" s="61">
        <f>10-1</f>
        <v>9</v>
      </c>
      <c r="AB1779" s="62">
        <f t="shared" si="190"/>
        <v>2000.0000000000002</v>
      </c>
      <c r="AC1779" s="63">
        <f t="shared" si="191"/>
        <v>1.55928</v>
      </c>
      <c r="AD1779" s="62"/>
      <c r="AE1779" s="62">
        <f t="shared" si="189"/>
        <v>2000.0000000000002</v>
      </c>
      <c r="AF1779" s="64" t="s">
        <v>4630</v>
      </c>
      <c r="AG1779" s="49">
        <v>0.5</v>
      </c>
    </row>
    <row r="1780" spans="1:33" customFormat="1" ht="35.1" customHeight="1" x14ac:dyDescent="0.3">
      <c r="A1780" s="46">
        <v>2332</v>
      </c>
      <c r="B1780" s="46" t="s">
        <v>4632</v>
      </c>
      <c r="C1780" s="46" t="s">
        <v>64</v>
      </c>
      <c r="D1780" s="60"/>
      <c r="E1780" s="60"/>
      <c r="F1780" s="46" t="s">
        <v>591</v>
      </c>
      <c r="G1780" s="46" t="s">
        <v>159</v>
      </c>
      <c r="H1780" s="46" t="s">
        <v>592</v>
      </c>
      <c r="I1780" s="46" t="s">
        <v>169</v>
      </c>
      <c r="J1780" s="46" t="s">
        <v>69</v>
      </c>
      <c r="K1780" s="46" t="s">
        <v>68</v>
      </c>
      <c r="L1780" s="46"/>
      <c r="M1780" s="46"/>
      <c r="N1780" s="46"/>
      <c r="O1780" s="46"/>
      <c r="P1780" s="46"/>
      <c r="Q1780" s="46"/>
      <c r="R1780" s="46"/>
      <c r="S1780" s="46"/>
      <c r="T1780" s="46"/>
      <c r="U1780" s="46"/>
      <c r="V1780" s="46"/>
      <c r="W1780" s="46"/>
      <c r="X1780" s="46"/>
      <c r="Y1780" s="46"/>
      <c r="Z1780" s="46" t="s">
        <v>1257</v>
      </c>
      <c r="AA1780" s="61">
        <f>100-10</f>
        <v>90</v>
      </c>
      <c r="AB1780" s="62">
        <f t="shared" si="190"/>
        <v>20000</v>
      </c>
      <c r="AC1780" s="63">
        <f t="shared" si="191"/>
        <v>15.5928</v>
      </c>
      <c r="AD1780" s="62"/>
      <c r="AE1780" s="62">
        <f t="shared" si="189"/>
        <v>20000</v>
      </c>
      <c r="AF1780" s="64" t="s">
        <v>4630</v>
      </c>
      <c r="AG1780" s="49">
        <v>0.5</v>
      </c>
    </row>
    <row r="1781" spans="1:33" customFormat="1" ht="35.1" customHeight="1" x14ac:dyDescent="0.3">
      <c r="A1781" s="46">
        <v>2333</v>
      </c>
      <c r="B1781" s="46" t="s">
        <v>4633</v>
      </c>
      <c r="C1781" s="46" t="s">
        <v>64</v>
      </c>
      <c r="D1781" s="60">
        <v>2024</v>
      </c>
      <c r="E1781" s="60"/>
      <c r="F1781" s="46" t="s">
        <v>591</v>
      </c>
      <c r="G1781" s="46" t="s">
        <v>159</v>
      </c>
      <c r="H1781" s="46" t="s">
        <v>592</v>
      </c>
      <c r="I1781" s="46" t="s">
        <v>169</v>
      </c>
      <c r="J1781" s="46" t="s">
        <v>248</v>
      </c>
      <c r="K1781" s="46" t="s">
        <v>68</v>
      </c>
      <c r="L1781" s="46"/>
      <c r="M1781" s="46"/>
      <c r="N1781" s="46"/>
      <c r="O1781" s="46"/>
      <c r="P1781" s="46">
        <v>1</v>
      </c>
      <c r="Q1781" s="46"/>
      <c r="R1781" s="46"/>
      <c r="S1781" s="46"/>
      <c r="T1781" s="46"/>
      <c r="U1781" s="46"/>
      <c r="V1781" s="46"/>
      <c r="W1781" s="46"/>
      <c r="X1781" s="46"/>
      <c r="Y1781" s="46"/>
      <c r="Z1781" s="46" t="s">
        <v>4634</v>
      </c>
      <c r="AA1781" s="61">
        <f>IF(OR(G1781="ALK",G1781="PEM",G1781="SOEC",G1781="Other Electrolysis"),
AB1781*VLOOKUP(G1781,ElectrolysisConvF,3,FALSE),
"")</f>
        <v>1.2640449438202246</v>
      </c>
      <c r="AB1781" s="62">
        <f>AC1781/(H2dens*HoursInYear/10^6)</f>
        <v>280.89887640449439</v>
      </c>
      <c r="AC1781" s="76">
        <f>300/1000000*365/H2ProjectDB4578610[[#This Row],[Column33]]</f>
        <v>0.21899999999999997</v>
      </c>
      <c r="AD1781" s="62"/>
      <c r="AE1781" s="62">
        <f t="shared" si="189"/>
        <v>280.89887640449439</v>
      </c>
      <c r="AF1781" s="64" t="s">
        <v>4635</v>
      </c>
      <c r="AG1781" s="49">
        <v>0.5</v>
      </c>
    </row>
    <row r="1782" spans="1:33" customFormat="1" ht="35.1" customHeight="1" x14ac:dyDescent="0.3">
      <c r="A1782" s="46">
        <v>2334</v>
      </c>
      <c r="B1782" s="46" t="s">
        <v>4636</v>
      </c>
      <c r="C1782" s="46" t="s">
        <v>64</v>
      </c>
      <c r="D1782" s="60">
        <v>2025</v>
      </c>
      <c r="E1782" s="60"/>
      <c r="F1782" s="46" t="s">
        <v>225</v>
      </c>
      <c r="G1782" s="46" t="s">
        <v>159</v>
      </c>
      <c r="H1782" s="46" t="s">
        <v>592</v>
      </c>
      <c r="I1782" s="46" t="s">
        <v>169</v>
      </c>
      <c r="J1782" s="46" t="s">
        <v>245</v>
      </c>
      <c r="K1782" s="46" t="s">
        <v>68</v>
      </c>
      <c r="L1782" s="46"/>
      <c r="M1782" s="46"/>
      <c r="N1782" s="46"/>
      <c r="O1782" s="46"/>
      <c r="P1782" s="46"/>
      <c r="Q1782" s="46"/>
      <c r="R1782" s="46">
        <v>1</v>
      </c>
      <c r="S1782" s="46"/>
      <c r="T1782" s="46"/>
      <c r="U1782" s="46"/>
      <c r="V1782" s="46"/>
      <c r="W1782" s="46"/>
      <c r="X1782" s="46"/>
      <c r="Y1782" s="46"/>
      <c r="Z1782" s="46" t="s">
        <v>4637</v>
      </c>
      <c r="AA1782" s="61">
        <f>IF(OR(G1782="ALK",G1782="PEM",G1782="SOEC",G1782="Other Electrolysis"),
AB1782*VLOOKUP(G1782,ElectrolysisConvF,3,FALSE),
"")</f>
        <v>12.986763121440664</v>
      </c>
      <c r="AB1782" s="62">
        <f>AC1782/(H2dens*HoursInYear/10^6)</f>
        <v>2885.9473603201477</v>
      </c>
      <c r="AC1782" s="62">
        <f>900/1000/H2ProjectDB4578610[[#This Row],[Column33]]</f>
        <v>2.25</v>
      </c>
      <c r="AD1782" s="62"/>
      <c r="AE1782" s="62">
        <f t="shared" si="189"/>
        <v>2885.9473603201477</v>
      </c>
      <c r="AF1782" s="64" t="s">
        <v>4635</v>
      </c>
      <c r="AG1782" s="49">
        <v>0.4</v>
      </c>
    </row>
    <row r="1783" spans="1:33" customFormat="1" ht="35.1" customHeight="1" x14ac:dyDescent="0.3">
      <c r="A1783" s="46">
        <v>2335</v>
      </c>
      <c r="B1783" s="46" t="s">
        <v>4638</v>
      </c>
      <c r="C1783" s="46" t="s">
        <v>64</v>
      </c>
      <c r="D1783" s="60">
        <v>2025</v>
      </c>
      <c r="E1783" s="60"/>
      <c r="F1783" s="46" t="s">
        <v>591</v>
      </c>
      <c r="G1783" s="46" t="s">
        <v>159</v>
      </c>
      <c r="H1783" s="46" t="s">
        <v>592</v>
      </c>
      <c r="I1783" s="46" t="s">
        <v>1317</v>
      </c>
      <c r="J1783" s="46" t="s">
        <v>69</v>
      </c>
      <c r="K1783" s="46" t="s">
        <v>68</v>
      </c>
      <c r="L1783" s="46"/>
      <c r="M1783" s="46"/>
      <c r="N1783" s="46"/>
      <c r="O1783" s="46"/>
      <c r="P1783" s="46"/>
      <c r="Q1783" s="46"/>
      <c r="R1783" s="46"/>
      <c r="S1783" s="46">
        <v>1</v>
      </c>
      <c r="T1783" s="46"/>
      <c r="U1783" s="46"/>
      <c r="V1783" s="46"/>
      <c r="W1783" s="46"/>
      <c r="X1783" s="46"/>
      <c r="Y1783" s="46"/>
      <c r="Z1783" s="46" t="s">
        <v>1257</v>
      </c>
      <c r="AA1783" s="61">
        <v>100</v>
      </c>
      <c r="AB1783" s="62">
        <f>IF(OR(G1783="ALK",G1783="PEM",G1783="SOEC",G1783="Other Electrolysis"),
AA1783/VLOOKUP(G1783,ElectrolysisConvF,3,FALSE),
AC1783*10^6/(H2dens*HoursInYear))</f>
        <v>22222.222222222223</v>
      </c>
      <c r="AC1783" s="63">
        <f>AB1783*H2dens*HoursInYear/10^6</f>
        <v>17.325333333333333</v>
      </c>
      <c r="AD1783" s="62"/>
      <c r="AE1783" s="62">
        <f t="shared" si="189"/>
        <v>22222.222222222223</v>
      </c>
      <c r="AF1783" s="64" t="s">
        <v>4635</v>
      </c>
      <c r="AG1783" s="49">
        <v>0.7</v>
      </c>
    </row>
    <row r="1784" spans="1:33" customFormat="1" ht="35.1" customHeight="1" x14ac:dyDescent="0.3">
      <c r="A1784" s="46">
        <v>2336</v>
      </c>
      <c r="B1784" s="46" t="s">
        <v>4639</v>
      </c>
      <c r="C1784" s="46" t="s">
        <v>64</v>
      </c>
      <c r="D1784" s="60">
        <v>2023</v>
      </c>
      <c r="E1784" s="60"/>
      <c r="F1784" s="46" t="s">
        <v>675</v>
      </c>
      <c r="G1784" s="46" t="s">
        <v>159</v>
      </c>
      <c r="H1784" s="46" t="s">
        <v>592</v>
      </c>
      <c r="I1784" s="46" t="s">
        <v>169</v>
      </c>
      <c r="J1784" s="46" t="s">
        <v>244</v>
      </c>
      <c r="K1784" s="46" t="s">
        <v>68</v>
      </c>
      <c r="L1784" s="46"/>
      <c r="M1784" s="46"/>
      <c r="N1784" s="46"/>
      <c r="O1784" s="46"/>
      <c r="P1784" s="46">
        <v>1</v>
      </c>
      <c r="Q1784" s="46"/>
      <c r="R1784" s="46"/>
      <c r="S1784" s="46"/>
      <c r="T1784" s="46"/>
      <c r="U1784" s="46"/>
      <c r="V1784" s="46"/>
      <c r="W1784" s="46"/>
      <c r="X1784" s="46"/>
      <c r="Y1784" s="46"/>
      <c r="Z1784" s="46"/>
      <c r="AA1784" s="61">
        <f>IF(OR(G1784="ALK",G1784="PEM",G1784="SOEC",G1784="Other Electrolysis"),
AB1784*VLOOKUP(G1784,ElectrolysisConvF,3,FALSE),
"")</f>
        <v>0</v>
      </c>
      <c r="AB1784" s="62"/>
      <c r="AC1784" s="62"/>
      <c r="AD1784" s="62"/>
      <c r="AE1784" s="62">
        <f t="shared" si="189"/>
        <v>0</v>
      </c>
      <c r="AF1784" s="64" t="s">
        <v>4635</v>
      </c>
      <c r="AG1784" s="49">
        <v>0.3</v>
      </c>
    </row>
    <row r="1785" spans="1:33" customFormat="1" ht="35.1" customHeight="1" x14ac:dyDescent="0.3">
      <c r="A1785" s="46">
        <v>2337</v>
      </c>
      <c r="B1785" s="46" t="s">
        <v>4640</v>
      </c>
      <c r="C1785" s="46" t="s">
        <v>64</v>
      </c>
      <c r="D1785" s="60">
        <v>2028</v>
      </c>
      <c r="E1785" s="60"/>
      <c r="F1785" s="46" t="s">
        <v>225</v>
      </c>
      <c r="G1785" s="46" t="s">
        <v>159</v>
      </c>
      <c r="H1785" s="46" t="s">
        <v>592</v>
      </c>
      <c r="I1785" s="46" t="s">
        <v>169</v>
      </c>
      <c r="J1785" s="46" t="s">
        <v>245</v>
      </c>
      <c r="K1785" s="46" t="s">
        <v>141</v>
      </c>
      <c r="L1785" s="46"/>
      <c r="M1785" s="46">
        <v>1</v>
      </c>
      <c r="N1785" s="46"/>
      <c r="O1785" s="46"/>
      <c r="P1785" s="46">
        <v>1</v>
      </c>
      <c r="Q1785" s="46"/>
      <c r="R1785" s="46"/>
      <c r="S1785" s="46"/>
      <c r="T1785" s="46"/>
      <c r="U1785" s="46"/>
      <c r="V1785" s="46"/>
      <c r="W1785" s="46"/>
      <c r="X1785" s="46"/>
      <c r="Y1785" s="46"/>
      <c r="Z1785" s="46" t="s">
        <v>4641</v>
      </c>
      <c r="AA1785" s="62">
        <f>IF(OR(G1785="ALK",G1785="PEM",G1785="SOEC",G1785="Other Electrolysis"),
AB1785*VLOOKUP(G1785,ElectrolysisConvF,3,FALSE),
"")</f>
        <v>1818.8743867563956</v>
      </c>
      <c r="AB1785" s="62">
        <f>AC1785/(H2dens*HoursInYear/10^6)</f>
        <v>404194.30816808791</v>
      </c>
      <c r="AC1785" s="62">
        <f>(700*3/17/0.98/H2ProjectDB4578610[[#This Row],[Column33]])</f>
        <v>315.12605042016804</v>
      </c>
      <c r="AD1785" s="62"/>
      <c r="AE1785" s="62">
        <f t="shared" si="189"/>
        <v>404194.30816808791</v>
      </c>
      <c r="AF1785" s="64" t="s">
        <v>4635</v>
      </c>
      <c r="AG1785" s="49">
        <v>0.4</v>
      </c>
    </row>
    <row r="1786" spans="1:33" customFormat="1" ht="35.1" customHeight="1" x14ac:dyDescent="0.3">
      <c r="A1786" s="46">
        <v>2338</v>
      </c>
      <c r="B1786" s="46" t="s">
        <v>1594</v>
      </c>
      <c r="C1786" s="46" t="s">
        <v>37</v>
      </c>
      <c r="D1786" s="60"/>
      <c r="E1786" s="60"/>
      <c r="F1786" s="46" t="s">
        <v>225</v>
      </c>
      <c r="G1786" s="46" t="s">
        <v>161</v>
      </c>
      <c r="H1786" s="46" t="s">
        <v>882</v>
      </c>
      <c r="I1786" s="46"/>
      <c r="J1786" s="46" t="str">
        <f>IF(I1786&lt;&gt;"Dedicated renewable","N/A",)</f>
        <v>N/A</v>
      </c>
      <c r="K1786" s="46" t="s">
        <v>68</v>
      </c>
      <c r="L1786" s="46">
        <v>1</v>
      </c>
      <c r="M1786" s="46"/>
      <c r="N1786" s="46"/>
      <c r="O1786" s="46"/>
      <c r="P1786" s="46">
        <v>1</v>
      </c>
      <c r="Q1786" s="46">
        <v>1</v>
      </c>
      <c r="R1786" s="46">
        <v>1</v>
      </c>
      <c r="S1786" s="46"/>
      <c r="T1786" s="46"/>
      <c r="U1786" s="46"/>
      <c r="V1786" s="46"/>
      <c r="W1786" s="46"/>
      <c r="X1786" s="46"/>
      <c r="Y1786" s="46"/>
      <c r="Z1786" s="46" t="s">
        <v>4642</v>
      </c>
      <c r="AA1786" s="61" t="str">
        <f>IF(OR(G1786="ALK",G1786="PEM",G1786="SOEC",G1786="Other Electrolysis"),
AB1786*VLOOKUP(G1786,ElectrolysisConvF,3,FALSE),
"")</f>
        <v/>
      </c>
      <c r="AB1786" s="62">
        <f>AC1786/(0.089*24*365/10^6)</f>
        <v>487564.77348519827</v>
      </c>
      <c r="AC1786" s="63">
        <f>1.5*365*0.95-AC392</f>
        <v>380.125</v>
      </c>
      <c r="AD1786" s="62">
        <v>3000000</v>
      </c>
      <c r="AE1786" s="62">
        <f t="shared" si="189"/>
        <v>376129.32830824552</v>
      </c>
      <c r="AF1786" s="64" t="s">
        <v>1596</v>
      </c>
      <c r="AG1786" s="49">
        <v>0.9</v>
      </c>
    </row>
    <row r="1787" spans="1:33" customFormat="1" ht="35.1" customHeight="1" x14ac:dyDescent="0.3">
      <c r="A1787" s="46">
        <v>2339</v>
      </c>
      <c r="B1787" s="46" t="s">
        <v>4643</v>
      </c>
      <c r="C1787" s="46" t="s">
        <v>121</v>
      </c>
      <c r="D1787" s="60"/>
      <c r="E1787" s="60"/>
      <c r="F1787" s="46" t="s">
        <v>675</v>
      </c>
      <c r="G1787" s="46" t="s">
        <v>164</v>
      </c>
      <c r="H1787" s="46"/>
      <c r="I1787" s="46"/>
      <c r="J1787" s="46"/>
      <c r="K1787" s="46" t="s">
        <v>168</v>
      </c>
      <c r="L1787" s="46"/>
      <c r="M1787" s="46"/>
      <c r="N1787" s="46"/>
      <c r="O1787" s="46"/>
      <c r="P1787" s="46">
        <v>1</v>
      </c>
      <c r="Q1787" s="46">
        <v>1</v>
      </c>
      <c r="R1787" s="46"/>
      <c r="S1787" s="46">
        <v>1</v>
      </c>
      <c r="T1787" s="46"/>
      <c r="U1787" s="46"/>
      <c r="V1787" s="46"/>
      <c r="W1787" s="46"/>
      <c r="X1787" s="46"/>
      <c r="Y1787" s="46"/>
      <c r="Z1787" s="46" t="s">
        <v>4644</v>
      </c>
      <c r="AA1787" s="61" t="str">
        <f>IF(OR(G1787="ALK",G1787="PEM",G1787="SOEC",G1787="Other Electrolysis"),
AB1787*VLOOKUP(G1787,ElectrolysisConvF,3,FALSE),
"")</f>
        <v/>
      </c>
      <c r="AB1787" s="62">
        <v>47</v>
      </c>
      <c r="AC1787" s="62"/>
      <c r="AD1787" s="62"/>
      <c r="AE1787" s="62">
        <f t="shared" si="189"/>
        <v>47</v>
      </c>
      <c r="AF1787" s="64" t="s">
        <v>4645</v>
      </c>
      <c r="AG1787" s="49">
        <v>0.9</v>
      </c>
    </row>
    <row r="1788" spans="1:33" customFormat="1" ht="35.1" customHeight="1" x14ac:dyDescent="0.3">
      <c r="A1788" s="46">
        <v>2340</v>
      </c>
      <c r="B1788" s="46" t="s">
        <v>4646</v>
      </c>
      <c r="C1788" s="46" t="s">
        <v>121</v>
      </c>
      <c r="D1788" s="60">
        <v>2026</v>
      </c>
      <c r="E1788" s="60"/>
      <c r="F1788" s="46" t="s">
        <v>591</v>
      </c>
      <c r="G1788" s="46" t="s">
        <v>3</v>
      </c>
      <c r="H1788" s="46"/>
      <c r="I1788" s="46" t="s">
        <v>169</v>
      </c>
      <c r="J1788" s="46" t="s">
        <v>244</v>
      </c>
      <c r="K1788" s="46" t="s">
        <v>141</v>
      </c>
      <c r="L1788" s="46"/>
      <c r="M1788" s="46">
        <v>1</v>
      </c>
      <c r="N1788" s="46"/>
      <c r="O1788" s="46"/>
      <c r="P1788" s="46"/>
      <c r="Q1788" s="46"/>
      <c r="R1788" s="46"/>
      <c r="S1788" s="46"/>
      <c r="T1788" s="46"/>
      <c r="U1788" s="46"/>
      <c r="V1788" s="46"/>
      <c r="W1788" s="46"/>
      <c r="X1788" s="46"/>
      <c r="Y1788" s="46"/>
      <c r="Z1788" s="46" t="s">
        <v>4647</v>
      </c>
      <c r="AA1788" s="61">
        <v>30</v>
      </c>
      <c r="AB1788" s="62">
        <f>IF(OR(G1788="ALK",G1788="PEM",G1788="SOEC",G1788="Other Electrolysis"),
AA1788/VLOOKUP(G1788,ElectrolysisConvF,3,FALSE),
AC1788*10^6/(H2dens*HoursInYear))</f>
        <v>6521.739130434783</v>
      </c>
      <c r="AC1788" s="63">
        <f t="shared" ref="AC1788:AC1793" si="192">AB1788*H2dens*HoursInYear/10^6</f>
        <v>5.0846086956521734</v>
      </c>
      <c r="AD1788" s="62"/>
      <c r="AE1788" s="62">
        <f t="shared" si="189"/>
        <v>6521.739130434783</v>
      </c>
      <c r="AF1788" s="64" t="s">
        <v>4645</v>
      </c>
      <c r="AG1788" s="49">
        <v>0.3</v>
      </c>
    </row>
    <row r="1789" spans="1:33" customFormat="1" ht="35.1" customHeight="1" x14ac:dyDescent="0.3">
      <c r="A1789" s="46">
        <v>2341</v>
      </c>
      <c r="B1789" s="46" t="s">
        <v>4648</v>
      </c>
      <c r="C1789" s="46" t="s">
        <v>121</v>
      </c>
      <c r="D1789" s="60">
        <v>2023</v>
      </c>
      <c r="E1789" s="60"/>
      <c r="F1789" s="46" t="s">
        <v>675</v>
      </c>
      <c r="G1789" s="46" t="s">
        <v>3</v>
      </c>
      <c r="H1789" s="46"/>
      <c r="I1789" s="46" t="s">
        <v>169</v>
      </c>
      <c r="J1789" s="46" t="s">
        <v>247</v>
      </c>
      <c r="K1789" s="46" t="s">
        <v>141</v>
      </c>
      <c r="L1789" s="46"/>
      <c r="M1789" s="46">
        <v>1</v>
      </c>
      <c r="N1789" s="46"/>
      <c r="O1789" s="46"/>
      <c r="P1789" s="46"/>
      <c r="Q1789" s="46"/>
      <c r="R1789" s="46"/>
      <c r="S1789" s="46"/>
      <c r="T1789" s="46"/>
      <c r="U1789" s="46"/>
      <c r="V1789" s="46"/>
      <c r="W1789" s="46"/>
      <c r="X1789" s="46"/>
      <c r="Y1789" s="46"/>
      <c r="Z1789" s="46" t="s">
        <v>4649</v>
      </c>
      <c r="AA1789" s="61">
        <v>2.2999999999999998</v>
      </c>
      <c r="AB1789" s="62">
        <f>IF(OR(G1789="ALK",G1789="PEM",G1789="SOEC",G1789="Other Electrolysis"),
AA1789/VLOOKUP(G1789,ElectrolysisConvF,3,FALSE),
AC1789*10^6/(H2dens*HoursInYear))</f>
        <v>499.99999999999994</v>
      </c>
      <c r="AC1789" s="63">
        <f t="shared" si="192"/>
        <v>0.38981999999999994</v>
      </c>
      <c r="AD1789" s="62"/>
      <c r="AE1789" s="62">
        <f t="shared" si="189"/>
        <v>499.99999999999994</v>
      </c>
      <c r="AF1789" s="64" t="s">
        <v>4645</v>
      </c>
      <c r="AG1789" s="49">
        <v>0.8</v>
      </c>
    </row>
    <row r="1790" spans="1:33" customFormat="1" ht="35.1" customHeight="1" x14ac:dyDescent="0.3">
      <c r="A1790" s="46">
        <v>2342</v>
      </c>
      <c r="B1790" s="46" t="s">
        <v>4650</v>
      </c>
      <c r="C1790" s="46" t="s">
        <v>121</v>
      </c>
      <c r="D1790" s="60">
        <v>2025</v>
      </c>
      <c r="E1790" s="60"/>
      <c r="F1790" s="46" t="s">
        <v>675</v>
      </c>
      <c r="G1790" s="46" t="s">
        <v>3</v>
      </c>
      <c r="H1790" s="46"/>
      <c r="I1790" s="46" t="s">
        <v>169</v>
      </c>
      <c r="J1790" s="46" t="s">
        <v>247</v>
      </c>
      <c r="K1790" s="46" t="s">
        <v>168</v>
      </c>
      <c r="L1790" s="46"/>
      <c r="M1790" s="46">
        <v>1</v>
      </c>
      <c r="N1790" s="46"/>
      <c r="O1790" s="46"/>
      <c r="P1790" s="46"/>
      <c r="Q1790" s="46">
        <v>1</v>
      </c>
      <c r="R1790" s="46">
        <v>1</v>
      </c>
      <c r="S1790" s="46"/>
      <c r="T1790" s="46"/>
      <c r="U1790" s="46"/>
      <c r="V1790" s="46"/>
      <c r="W1790" s="46"/>
      <c r="X1790" s="46"/>
      <c r="Y1790" s="46"/>
      <c r="Z1790" s="46" t="s">
        <v>1001</v>
      </c>
      <c r="AA1790" s="61">
        <v>5</v>
      </c>
      <c r="AB1790" s="62">
        <f>IF(OR(G1790="ALK",G1790="PEM",G1790="SOEC",G1790="Other Electrolysis"),
AA1790/VLOOKUP(G1790,ElectrolysisConvF,3,FALSE),
AC1790*10^6/(H2dens*HoursInYear))</f>
        <v>1086.9565217391305</v>
      </c>
      <c r="AC1790" s="63">
        <f t="shared" si="192"/>
        <v>0.84743478260869565</v>
      </c>
      <c r="AD1790" s="62"/>
      <c r="AE1790" s="62">
        <f t="shared" si="189"/>
        <v>1086.9565217391305</v>
      </c>
      <c r="AF1790" s="64" t="s">
        <v>4645</v>
      </c>
      <c r="AG1790" s="49">
        <v>0.8</v>
      </c>
    </row>
    <row r="1791" spans="1:33" customFormat="1" ht="35.1" customHeight="1" x14ac:dyDescent="0.3">
      <c r="A1791" s="46">
        <v>2343</v>
      </c>
      <c r="B1791" s="46" t="s">
        <v>4651</v>
      </c>
      <c r="C1791" s="46" t="s">
        <v>121</v>
      </c>
      <c r="D1791" s="60">
        <v>2025</v>
      </c>
      <c r="E1791" s="60"/>
      <c r="F1791" s="46" t="s">
        <v>225</v>
      </c>
      <c r="G1791" s="46" t="s">
        <v>3</v>
      </c>
      <c r="H1791" s="46"/>
      <c r="I1791" s="46" t="s">
        <v>166</v>
      </c>
      <c r="J1791" s="46"/>
      <c r="K1791" s="46" t="s">
        <v>141</v>
      </c>
      <c r="L1791" s="46"/>
      <c r="M1791" s="46">
        <v>1</v>
      </c>
      <c r="N1791" s="46"/>
      <c r="O1791" s="46"/>
      <c r="P1791" s="46"/>
      <c r="Q1791" s="46"/>
      <c r="R1791" s="46"/>
      <c r="S1791" s="46"/>
      <c r="T1791" s="46"/>
      <c r="U1791" s="46"/>
      <c r="V1791" s="46"/>
      <c r="W1791" s="46"/>
      <c r="X1791" s="46"/>
      <c r="Y1791" s="46"/>
      <c r="Z1791" s="46" t="s">
        <v>708</v>
      </c>
      <c r="AA1791" s="61">
        <v>1</v>
      </c>
      <c r="AB1791" s="62">
        <f>IF(OR(G1791="ALK",G1791="PEM",G1791="SOEC",G1791="Other Electrolysis"),
AA1791/VLOOKUP(G1791,ElectrolysisConvF,3,FALSE),
AC1791*10^6/(H2dens*HoursInYear))</f>
        <v>217.39130434782609</v>
      </c>
      <c r="AC1791" s="63">
        <f t="shared" si="192"/>
        <v>0.16948695652173912</v>
      </c>
      <c r="AD1791" s="62"/>
      <c r="AE1791" s="62">
        <f t="shared" si="189"/>
        <v>217.39130434782609</v>
      </c>
      <c r="AF1791" s="64" t="s">
        <v>4645</v>
      </c>
      <c r="AG1791" s="49">
        <v>0.56999999999999995</v>
      </c>
    </row>
    <row r="1792" spans="1:33" customFormat="1" ht="35.1" customHeight="1" x14ac:dyDescent="0.3">
      <c r="A1792" s="46">
        <v>2344</v>
      </c>
      <c r="B1792" s="46" t="s">
        <v>4652</v>
      </c>
      <c r="C1792" s="46" t="s">
        <v>121</v>
      </c>
      <c r="D1792" s="60">
        <v>2026</v>
      </c>
      <c r="E1792" s="60"/>
      <c r="F1792" s="46" t="s">
        <v>591</v>
      </c>
      <c r="G1792" s="46" t="s">
        <v>1</v>
      </c>
      <c r="H1792" s="46"/>
      <c r="I1792" s="46" t="s">
        <v>169</v>
      </c>
      <c r="J1792" s="46" t="s">
        <v>248</v>
      </c>
      <c r="K1792" s="46" t="s">
        <v>168</v>
      </c>
      <c r="L1792" s="46">
        <v>1</v>
      </c>
      <c r="M1792" s="46">
        <v>1</v>
      </c>
      <c r="N1792" s="46"/>
      <c r="O1792" s="46"/>
      <c r="P1792" s="46">
        <v>1</v>
      </c>
      <c r="Q1792" s="46"/>
      <c r="R1792" s="46"/>
      <c r="S1792" s="46"/>
      <c r="T1792" s="46"/>
      <c r="U1792" s="46"/>
      <c r="V1792" s="46"/>
      <c r="W1792" s="46"/>
      <c r="X1792" s="46"/>
      <c r="Y1792" s="46"/>
      <c r="Z1792" s="46" t="s">
        <v>4653</v>
      </c>
      <c r="AA1792" s="61">
        <v>3000</v>
      </c>
      <c r="AB1792" s="62">
        <f>IF(OR(G1792="ALK",G1792="PEM",G1792="SOEC",G1792="Other Electrolysis"),
AA1792/VLOOKUP(G1792,ElectrolysisConvF,3,FALSE),
AC1792*10^6/(H2dens*HoursInYear))</f>
        <v>576923.07692307699</v>
      </c>
      <c r="AC1792" s="63">
        <f t="shared" si="192"/>
        <v>449.7923076923077</v>
      </c>
      <c r="AD1792" s="62"/>
      <c r="AE1792" s="62">
        <f t="shared" si="189"/>
        <v>576923.07692307699</v>
      </c>
      <c r="AF1792" s="64" t="s">
        <v>4645</v>
      </c>
      <c r="AG1792" s="49">
        <v>0.5</v>
      </c>
    </row>
    <row r="1793" spans="1:33" customFormat="1" ht="35.1" customHeight="1" x14ac:dyDescent="0.3">
      <c r="A1793" s="46">
        <v>2345</v>
      </c>
      <c r="B1793" s="46" t="s">
        <v>4654</v>
      </c>
      <c r="C1793" s="46" t="s">
        <v>121</v>
      </c>
      <c r="D1793" s="60">
        <v>2026</v>
      </c>
      <c r="E1793" s="60"/>
      <c r="F1793" s="46" t="s">
        <v>225</v>
      </c>
      <c r="G1793" s="46" t="s">
        <v>159</v>
      </c>
      <c r="H1793" s="46" t="s">
        <v>592</v>
      </c>
      <c r="I1793" s="46" t="s">
        <v>169</v>
      </c>
      <c r="J1793" s="46" t="s">
        <v>248</v>
      </c>
      <c r="K1793" s="46" t="s">
        <v>168</v>
      </c>
      <c r="L1793" s="46"/>
      <c r="M1793" s="46">
        <v>1</v>
      </c>
      <c r="N1793" s="46">
        <v>1</v>
      </c>
      <c r="O1793" s="46"/>
      <c r="P1793" s="46"/>
      <c r="Q1793" s="46"/>
      <c r="R1793" s="46"/>
      <c r="S1793" s="46"/>
      <c r="T1793" s="46"/>
      <c r="U1793" s="46"/>
      <c r="V1793" s="46"/>
      <c r="W1793" s="46"/>
      <c r="X1793" s="46"/>
      <c r="Y1793" s="46"/>
      <c r="Z1793" s="46" t="s">
        <v>4655</v>
      </c>
      <c r="AA1793" s="61">
        <f>IF(OR(G1793="ALK",G1793="PEM",G1793="SOEC",G1793="Other Electrolysis"),
AB1793*VLOOKUP(G1793,ElectrolysisConvF,3,FALSE),
"")</f>
        <v>125.163</v>
      </c>
      <c r="AB1793" s="62">
        <v>27814</v>
      </c>
      <c r="AC1793" s="63">
        <f t="shared" si="192"/>
        <v>21.684906959999999</v>
      </c>
      <c r="AD1793" s="62"/>
      <c r="AE1793" s="62">
        <f t="shared" si="189"/>
        <v>27814</v>
      </c>
      <c r="AF1793" s="64" t="s">
        <v>4645</v>
      </c>
      <c r="AG1793" s="49">
        <v>0.5</v>
      </c>
    </row>
    <row r="1794" spans="1:33" customFormat="1" ht="35.1" customHeight="1" x14ac:dyDescent="0.3">
      <c r="A1794" s="46">
        <v>2346</v>
      </c>
      <c r="B1794" s="46" t="s">
        <v>4656</v>
      </c>
      <c r="C1794" s="46" t="s">
        <v>121</v>
      </c>
      <c r="D1794" s="60"/>
      <c r="E1794" s="60"/>
      <c r="F1794" s="46" t="s">
        <v>225</v>
      </c>
      <c r="G1794" s="46" t="s">
        <v>159</v>
      </c>
      <c r="H1794" s="46" t="s">
        <v>592</v>
      </c>
      <c r="I1794" s="46" t="s">
        <v>157</v>
      </c>
      <c r="J1794" s="46"/>
      <c r="K1794" s="46" t="s">
        <v>68</v>
      </c>
      <c r="L1794" s="46"/>
      <c r="M1794" s="46"/>
      <c r="N1794" s="46"/>
      <c r="O1794" s="46"/>
      <c r="P1794" s="46"/>
      <c r="Q1794" s="46"/>
      <c r="R1794" s="46"/>
      <c r="S1794" s="46"/>
      <c r="T1794" s="46"/>
      <c r="U1794" s="46"/>
      <c r="V1794" s="46"/>
      <c r="W1794" s="46"/>
      <c r="X1794" s="46"/>
      <c r="Y1794" s="46"/>
      <c r="Z1794" s="46"/>
      <c r="AA1794" s="61">
        <f>IF(OR(G1794="ALK",G1794="PEM",G1794="SOEC",G1794="Other Electrolysis"),
AB1794*VLOOKUP(G1794,ElectrolysisConvF,3,FALSE),
"")</f>
        <v>0</v>
      </c>
      <c r="AB1794" s="62"/>
      <c r="AC1794" s="62"/>
      <c r="AD1794" s="62"/>
      <c r="AE1794" s="62">
        <f t="shared" si="189"/>
        <v>0</v>
      </c>
      <c r="AF1794" s="64" t="s">
        <v>4645</v>
      </c>
      <c r="AG1794" s="49">
        <v>0.56999999999999995</v>
      </c>
    </row>
    <row r="1795" spans="1:33" customFormat="1" ht="35.1" customHeight="1" x14ac:dyDescent="0.3">
      <c r="A1795" s="46">
        <v>2347</v>
      </c>
      <c r="B1795" s="46" t="s">
        <v>4657</v>
      </c>
      <c r="C1795" s="46" t="s">
        <v>121</v>
      </c>
      <c r="D1795" s="60">
        <v>2026</v>
      </c>
      <c r="E1795" s="60"/>
      <c r="F1795" s="46" t="s">
        <v>591</v>
      </c>
      <c r="G1795" s="46" t="s">
        <v>1</v>
      </c>
      <c r="H1795" s="46"/>
      <c r="I1795" s="46" t="s">
        <v>169</v>
      </c>
      <c r="J1795" s="46" t="s">
        <v>244</v>
      </c>
      <c r="K1795" s="46" t="s">
        <v>68</v>
      </c>
      <c r="L1795" s="46"/>
      <c r="M1795" s="46"/>
      <c r="N1795" s="46"/>
      <c r="O1795" s="46"/>
      <c r="P1795" s="46"/>
      <c r="Q1795" s="46">
        <v>1</v>
      </c>
      <c r="R1795" s="46"/>
      <c r="S1795" s="46"/>
      <c r="T1795" s="46"/>
      <c r="U1795" s="46"/>
      <c r="V1795" s="46"/>
      <c r="W1795" s="46"/>
      <c r="X1795" s="46"/>
      <c r="Y1795" s="46"/>
      <c r="Z1795" s="46" t="s">
        <v>714</v>
      </c>
      <c r="AA1795" s="61">
        <v>2</v>
      </c>
      <c r="AB1795" s="62">
        <f>IF(OR(G1795="ALK",G1795="PEM",G1795="SOEC",G1795="Other Electrolysis"),
AA1795/VLOOKUP(G1795,ElectrolysisConvF,3,FALSE),
AC1795*10^6/(H2dens*HoursInYear))</f>
        <v>384.61538461538464</v>
      </c>
      <c r="AC1795" s="63">
        <f t="shared" ref="AC1795:AC1802" si="193">AB1795*H2dens*HoursInYear/10^6</f>
        <v>0.29986153846153851</v>
      </c>
      <c r="AD1795" s="62"/>
      <c r="AE1795" s="62">
        <f t="shared" si="189"/>
        <v>384.61538461538464</v>
      </c>
      <c r="AF1795" s="64" t="s">
        <v>4645</v>
      </c>
      <c r="AG1795" s="49">
        <v>0.3</v>
      </c>
    </row>
    <row r="1796" spans="1:33" customFormat="1" ht="35.1" customHeight="1" x14ac:dyDescent="0.3">
      <c r="A1796" s="46">
        <v>2348</v>
      </c>
      <c r="B1796" s="46" t="s">
        <v>4658</v>
      </c>
      <c r="C1796" s="46" t="s">
        <v>121</v>
      </c>
      <c r="D1796" s="60">
        <v>2027</v>
      </c>
      <c r="E1796" s="60"/>
      <c r="F1796" s="46" t="s">
        <v>591</v>
      </c>
      <c r="G1796" s="46" t="s">
        <v>1</v>
      </c>
      <c r="H1796" s="46"/>
      <c r="I1796" s="46" t="s">
        <v>169</v>
      </c>
      <c r="J1796" s="46" t="s">
        <v>244</v>
      </c>
      <c r="K1796" s="46" t="s">
        <v>168</v>
      </c>
      <c r="L1796" s="46">
        <v>1</v>
      </c>
      <c r="M1796" s="46">
        <v>1</v>
      </c>
      <c r="N1796" s="46"/>
      <c r="O1796" s="46"/>
      <c r="P1796" s="46">
        <v>1</v>
      </c>
      <c r="Q1796" s="46"/>
      <c r="R1796" s="46"/>
      <c r="S1796" s="46"/>
      <c r="T1796" s="46"/>
      <c r="U1796" s="46"/>
      <c r="V1796" s="46"/>
      <c r="W1796" s="46"/>
      <c r="X1796" s="46"/>
      <c r="Y1796" s="46"/>
      <c r="Z1796" s="46" t="s">
        <v>4659</v>
      </c>
      <c r="AA1796" s="61">
        <f>IF(OR(G1796="ALK",G1796="PEM",G1796="SOEC",G1796="Other Electrolysis"),
AB1796*VLOOKUP(G1796,ElectrolysisConvF,3,FALSE),
"")</f>
        <v>1106.3832</v>
      </c>
      <c r="AB1796" s="62">
        <v>212766</v>
      </c>
      <c r="AC1796" s="63">
        <f t="shared" si="193"/>
        <v>165.88088423999997</v>
      </c>
      <c r="AD1796" s="62"/>
      <c r="AE1796" s="62">
        <f t="shared" si="189"/>
        <v>212766</v>
      </c>
      <c r="AF1796" s="64" t="s">
        <v>4645</v>
      </c>
      <c r="AG1796" s="49">
        <v>0.3</v>
      </c>
    </row>
    <row r="1797" spans="1:33" customFormat="1" ht="35.1" customHeight="1" x14ac:dyDescent="0.3">
      <c r="A1797" s="46">
        <v>2349</v>
      </c>
      <c r="B1797" s="46" t="s">
        <v>4660</v>
      </c>
      <c r="C1797" s="46" t="s">
        <v>121</v>
      </c>
      <c r="D1797" s="60">
        <v>2027</v>
      </c>
      <c r="E1797" s="60"/>
      <c r="F1797" s="46" t="s">
        <v>225</v>
      </c>
      <c r="G1797" s="46" t="s">
        <v>1</v>
      </c>
      <c r="H1797" s="46"/>
      <c r="I1797" s="46" t="s">
        <v>169</v>
      </c>
      <c r="J1797" s="46" t="s">
        <v>244</v>
      </c>
      <c r="K1797" s="46" t="s">
        <v>168</v>
      </c>
      <c r="L1797" s="46">
        <v>1</v>
      </c>
      <c r="M1797" s="46">
        <v>1</v>
      </c>
      <c r="N1797" s="46"/>
      <c r="O1797" s="46"/>
      <c r="P1797" s="46"/>
      <c r="Q1797" s="46"/>
      <c r="R1797" s="46"/>
      <c r="S1797" s="46"/>
      <c r="T1797" s="46"/>
      <c r="U1797" s="46"/>
      <c r="V1797" s="46"/>
      <c r="W1797" s="46"/>
      <c r="X1797" s="46"/>
      <c r="Y1797" s="46"/>
      <c r="Z1797" s="46" t="s">
        <v>3091</v>
      </c>
      <c r="AA1797" s="61">
        <v>40</v>
      </c>
      <c r="AB1797" s="62">
        <f>IF(OR(G1797="ALK",G1797="PEM",G1797="SOEC",G1797="Other Electrolysis"),
AA1797/VLOOKUP(G1797,ElectrolysisConvF,3,FALSE),
AC1797*10^6/(H2dens*HoursInYear))</f>
        <v>7692.3076923076924</v>
      </c>
      <c r="AC1797" s="63">
        <f t="shared" si="193"/>
        <v>5.9972307692307689</v>
      </c>
      <c r="AD1797" s="62"/>
      <c r="AE1797" s="62">
        <f t="shared" si="189"/>
        <v>7692.3076923076924</v>
      </c>
      <c r="AF1797" s="64" t="s">
        <v>4645</v>
      </c>
      <c r="AG1797" s="49">
        <v>0.3</v>
      </c>
    </row>
    <row r="1798" spans="1:33" customFormat="1" ht="35.1" customHeight="1" x14ac:dyDescent="0.3">
      <c r="A1798" s="46">
        <v>2350</v>
      </c>
      <c r="B1798" s="46" t="s">
        <v>4661</v>
      </c>
      <c r="C1798" s="46" t="s">
        <v>121</v>
      </c>
      <c r="D1798" s="60">
        <v>2027</v>
      </c>
      <c r="E1798" s="60"/>
      <c r="F1798" s="46" t="s">
        <v>591</v>
      </c>
      <c r="G1798" s="46" t="s">
        <v>1</v>
      </c>
      <c r="H1798" s="46"/>
      <c r="I1798" s="46" t="s">
        <v>169</v>
      </c>
      <c r="J1798" s="46" t="s">
        <v>246</v>
      </c>
      <c r="K1798" s="46" t="s">
        <v>168</v>
      </c>
      <c r="L1798" s="46">
        <v>1</v>
      </c>
      <c r="M1798" s="46">
        <v>1</v>
      </c>
      <c r="N1798" s="46">
        <v>1</v>
      </c>
      <c r="O1798" s="46"/>
      <c r="P1798" s="46">
        <v>1</v>
      </c>
      <c r="Q1798" s="46"/>
      <c r="R1798" s="46"/>
      <c r="S1798" s="46"/>
      <c r="T1798" s="46"/>
      <c r="U1798" s="46"/>
      <c r="V1798" s="46"/>
      <c r="W1798" s="46"/>
      <c r="X1798" s="46"/>
      <c r="Y1798" s="46"/>
      <c r="Z1798" s="46" t="s">
        <v>4662</v>
      </c>
      <c r="AA1798" s="61">
        <f>IF(OR(G1798="ALK",G1798="PEM",G1798="SOEC",G1798="Other Electrolysis"),
AB1798*VLOOKUP(G1798,ElectrolysisConvF,3,FALSE),
"")</f>
        <v>1217.0236</v>
      </c>
      <c r="AB1798" s="62">
        <v>234043</v>
      </c>
      <c r="AC1798" s="63">
        <f t="shared" si="193"/>
        <v>182.46928451999997</v>
      </c>
      <c r="AD1798" s="62"/>
      <c r="AE1798" s="62">
        <f t="shared" si="189"/>
        <v>234043</v>
      </c>
      <c r="AF1798" s="64" t="s">
        <v>4645</v>
      </c>
      <c r="AG1798" s="49">
        <v>0.55000000000000004</v>
      </c>
    </row>
    <row r="1799" spans="1:33" customFormat="1" ht="35.1" customHeight="1" x14ac:dyDescent="0.3">
      <c r="A1799" s="46">
        <v>2351</v>
      </c>
      <c r="B1799" s="46" t="s">
        <v>4663</v>
      </c>
      <c r="C1799" s="46" t="s">
        <v>121</v>
      </c>
      <c r="D1799" s="60">
        <v>2024</v>
      </c>
      <c r="E1799" s="60"/>
      <c r="F1799" s="46" t="s">
        <v>225</v>
      </c>
      <c r="G1799" s="46" t="s">
        <v>1</v>
      </c>
      <c r="H1799" s="46"/>
      <c r="I1799" s="46" t="s">
        <v>169</v>
      </c>
      <c r="J1799" s="46" t="s">
        <v>244</v>
      </c>
      <c r="K1799" s="46" t="s">
        <v>68</v>
      </c>
      <c r="L1799" s="46"/>
      <c r="M1799" s="46"/>
      <c r="N1799" s="46"/>
      <c r="O1799" s="46"/>
      <c r="P1799" s="46"/>
      <c r="Q1799" s="46">
        <v>1</v>
      </c>
      <c r="R1799" s="46"/>
      <c r="S1799" s="46"/>
      <c r="T1799" s="46"/>
      <c r="U1799" s="46"/>
      <c r="V1799" s="46"/>
      <c r="W1799" s="46"/>
      <c r="X1799" s="46"/>
      <c r="Y1799" s="46"/>
      <c r="Z1799" s="46" t="s">
        <v>4664</v>
      </c>
      <c r="AA1799" s="61">
        <v>1.2</v>
      </c>
      <c r="AB1799" s="62">
        <f>IF(OR(G1799="ALK",G1799="PEM",G1799="SOEC",G1799="Other Electrolysis"),
AA1799/VLOOKUP(G1799,ElectrolysisConvF,3,FALSE),
AC1799*10^6/(H2dens*HoursInYear))</f>
        <v>230.76923076923077</v>
      </c>
      <c r="AC1799" s="63">
        <f t="shared" si="193"/>
        <v>0.17991692307692306</v>
      </c>
      <c r="AD1799" s="62"/>
      <c r="AE1799" s="62">
        <f t="shared" si="189"/>
        <v>230.76923076923077</v>
      </c>
      <c r="AF1799" s="64" t="s">
        <v>4645</v>
      </c>
      <c r="AG1799" s="49">
        <v>0.3</v>
      </c>
    </row>
    <row r="1800" spans="1:33" customFormat="1" ht="35.1" customHeight="1" x14ac:dyDescent="0.3">
      <c r="A1800" s="46">
        <v>2352</v>
      </c>
      <c r="B1800" s="46" t="s">
        <v>4665</v>
      </c>
      <c r="C1800" s="46" t="s">
        <v>121</v>
      </c>
      <c r="D1800" s="60">
        <v>2027</v>
      </c>
      <c r="E1800" s="60"/>
      <c r="F1800" s="46" t="s">
        <v>225</v>
      </c>
      <c r="G1800" s="46" t="s">
        <v>3</v>
      </c>
      <c r="H1800" s="46"/>
      <c r="I1800" s="46" t="s">
        <v>166</v>
      </c>
      <c r="J1800" s="46"/>
      <c r="K1800" s="46" t="s">
        <v>141</v>
      </c>
      <c r="L1800" s="46">
        <v>1</v>
      </c>
      <c r="M1800" s="46"/>
      <c r="N1800" s="46"/>
      <c r="O1800" s="46"/>
      <c r="P1800" s="46"/>
      <c r="Q1800" s="46"/>
      <c r="R1800" s="46"/>
      <c r="S1800" s="46"/>
      <c r="T1800" s="46"/>
      <c r="U1800" s="46"/>
      <c r="V1800" s="46"/>
      <c r="W1800" s="46"/>
      <c r="X1800" s="46"/>
      <c r="Y1800" s="46"/>
      <c r="Z1800" s="46" t="s">
        <v>3790</v>
      </c>
      <c r="AA1800" s="61">
        <v>1000</v>
      </c>
      <c r="AB1800" s="62">
        <f>IF(OR(G1800="ALK",G1800="PEM",G1800="SOEC",G1800="Other Electrolysis"),
AA1800/VLOOKUP(G1800,ElectrolysisConvF,3,FALSE),
AC1800*10^6/(H2dens*HoursInYear))</f>
        <v>217391.30434782608</v>
      </c>
      <c r="AC1800" s="63">
        <f t="shared" si="193"/>
        <v>169.48695652173913</v>
      </c>
      <c r="AD1800" s="62"/>
      <c r="AE1800" s="62">
        <f t="shared" si="189"/>
        <v>217391.30434782608</v>
      </c>
      <c r="AF1800" s="64" t="s">
        <v>4645</v>
      </c>
      <c r="AG1800" s="49">
        <v>0.56999999999999995</v>
      </c>
    </row>
    <row r="1801" spans="1:33" customFormat="1" ht="35.1" customHeight="1" x14ac:dyDescent="0.3">
      <c r="A1801" s="46">
        <v>2353</v>
      </c>
      <c r="B1801" s="46" t="s">
        <v>4666</v>
      </c>
      <c r="C1801" s="46" t="s">
        <v>121</v>
      </c>
      <c r="D1801" s="60">
        <v>2023</v>
      </c>
      <c r="E1801" s="60"/>
      <c r="F1801" s="46" t="s">
        <v>226</v>
      </c>
      <c r="G1801" s="46" t="s">
        <v>1</v>
      </c>
      <c r="H1801" s="46"/>
      <c r="I1801" s="46" t="s">
        <v>169</v>
      </c>
      <c r="J1801" s="46" t="s">
        <v>244</v>
      </c>
      <c r="K1801" s="46" t="s">
        <v>68</v>
      </c>
      <c r="L1801" s="46"/>
      <c r="M1801" s="46"/>
      <c r="N1801" s="46"/>
      <c r="O1801" s="46"/>
      <c r="P1801" s="46"/>
      <c r="Q1801" s="46">
        <v>1</v>
      </c>
      <c r="R1801" s="46"/>
      <c r="S1801" s="46"/>
      <c r="T1801" s="46"/>
      <c r="U1801" s="46"/>
      <c r="V1801" s="46"/>
      <c r="W1801" s="46"/>
      <c r="X1801" s="46"/>
      <c r="Y1801" s="46"/>
      <c r="Z1801" s="46" t="s">
        <v>4667</v>
      </c>
      <c r="AA1801" s="61">
        <v>0.16500000000000001</v>
      </c>
      <c r="AB1801" s="62">
        <f>IF(OR(G1801="ALK",G1801="PEM",G1801="SOEC",G1801="Other Electrolysis"),
AA1801/VLOOKUP(G1801,ElectrolysisConvF,3,FALSE),
AC1801*10^6/(H2dens*HoursInYear))</f>
        <v>31.730769230769234</v>
      </c>
      <c r="AC1801" s="63">
        <f t="shared" si="193"/>
        <v>2.4738576923076922E-2</v>
      </c>
      <c r="AD1801" s="62"/>
      <c r="AE1801" s="62">
        <f t="shared" si="189"/>
        <v>31.730769230769234</v>
      </c>
      <c r="AF1801" s="64" t="s">
        <v>4645</v>
      </c>
      <c r="AG1801" s="49">
        <v>0.3</v>
      </c>
    </row>
    <row r="1802" spans="1:33" customFormat="1" ht="35.1" customHeight="1" x14ac:dyDescent="0.3">
      <c r="A1802" s="46">
        <v>2354</v>
      </c>
      <c r="B1802" s="46" t="s">
        <v>4668</v>
      </c>
      <c r="C1802" s="46" t="s">
        <v>64</v>
      </c>
      <c r="D1802" s="60">
        <v>2024</v>
      </c>
      <c r="E1802" s="60"/>
      <c r="F1802" s="46" t="s">
        <v>591</v>
      </c>
      <c r="G1802" s="46" t="s">
        <v>159</v>
      </c>
      <c r="H1802" s="46" t="s">
        <v>592</v>
      </c>
      <c r="I1802" s="46" t="s">
        <v>169</v>
      </c>
      <c r="J1802" s="46" t="s">
        <v>244</v>
      </c>
      <c r="K1802" s="46" t="s">
        <v>68</v>
      </c>
      <c r="L1802" s="46"/>
      <c r="M1802" s="46"/>
      <c r="N1802" s="46"/>
      <c r="O1802" s="46"/>
      <c r="P1802" s="46">
        <v>1</v>
      </c>
      <c r="Q1802" s="46">
        <v>1</v>
      </c>
      <c r="R1802" s="46"/>
      <c r="S1802" s="46"/>
      <c r="T1802" s="46"/>
      <c r="U1802" s="46"/>
      <c r="V1802" s="46"/>
      <c r="W1802" s="46"/>
      <c r="X1802" s="46"/>
      <c r="Y1802" s="46"/>
      <c r="Z1802" s="46" t="s">
        <v>1850</v>
      </c>
      <c r="AA1802" s="61">
        <v>6</v>
      </c>
      <c r="AB1802" s="62">
        <f>IF(OR(G1802="ALK",G1802="PEM",G1802="SOEC",G1802="Other Electrolysis"),
AA1802/VLOOKUP(G1802,ElectrolysisConvF,3,FALSE),
AC1802*10^6/(H2dens*HoursInYear))</f>
        <v>1333.3333333333335</v>
      </c>
      <c r="AC1802" s="63">
        <f t="shared" si="193"/>
        <v>1.03952</v>
      </c>
      <c r="AD1802" s="62"/>
      <c r="AE1802" s="62">
        <f t="shared" si="189"/>
        <v>1333.3333333333335</v>
      </c>
      <c r="AF1802" s="64" t="s">
        <v>4635</v>
      </c>
      <c r="AG1802" s="49">
        <v>0.3</v>
      </c>
    </row>
    <row r="1803" spans="1:33" customFormat="1" ht="35.1" customHeight="1" x14ac:dyDescent="0.3">
      <c r="A1803" s="46">
        <v>2355</v>
      </c>
      <c r="B1803" s="46" t="s">
        <v>4669</v>
      </c>
      <c r="C1803" s="46" t="s">
        <v>64</v>
      </c>
      <c r="D1803" s="60">
        <v>2024</v>
      </c>
      <c r="E1803" s="60"/>
      <c r="F1803" s="46" t="s">
        <v>591</v>
      </c>
      <c r="G1803" s="46" t="s">
        <v>159</v>
      </c>
      <c r="H1803" s="46" t="s">
        <v>592</v>
      </c>
      <c r="I1803" s="46" t="s">
        <v>169</v>
      </c>
      <c r="J1803" s="46" t="s">
        <v>244</v>
      </c>
      <c r="K1803" s="46" t="s">
        <v>68</v>
      </c>
      <c r="L1803" s="46"/>
      <c r="M1803" s="46"/>
      <c r="N1803" s="46"/>
      <c r="O1803" s="46"/>
      <c r="P1803" s="46"/>
      <c r="Q1803" s="46">
        <v>1</v>
      </c>
      <c r="R1803" s="46"/>
      <c r="S1803" s="46"/>
      <c r="T1803" s="46"/>
      <c r="U1803" s="46"/>
      <c r="V1803" s="46"/>
      <c r="W1803" s="46"/>
      <c r="X1803" s="46"/>
      <c r="Y1803" s="46"/>
      <c r="Z1803" s="46" t="s">
        <v>4670</v>
      </c>
      <c r="AA1803" s="61">
        <f>IF(OR(G1803="ALK",G1803="PEM",G1803="SOEC",G1803="Other Electrolysis"),
AB1803*VLOOKUP(G1803,ElectrolysisConvF,3,FALSE),
"")</f>
        <v>0.92350315530244731</v>
      </c>
      <c r="AB1803" s="62">
        <f>AC1803/(H2dens*HoursInYear/10^6)</f>
        <v>205.22292340054386</v>
      </c>
      <c r="AC1803" s="76">
        <f>48/1000/H2ProjectDB4578610[[#This Row],[Column33]]</f>
        <v>0.16</v>
      </c>
      <c r="AD1803" s="62"/>
      <c r="AE1803" s="62">
        <f t="shared" si="189"/>
        <v>205.22292340054386</v>
      </c>
      <c r="AF1803" s="64" t="s">
        <v>4635</v>
      </c>
      <c r="AG1803" s="49">
        <v>0.3</v>
      </c>
    </row>
    <row r="1804" spans="1:33" customFormat="1" ht="35.1" customHeight="1" x14ac:dyDescent="0.3">
      <c r="A1804" s="46">
        <v>2356</v>
      </c>
      <c r="B1804" s="46" t="s">
        <v>4671</v>
      </c>
      <c r="C1804" s="46" t="s">
        <v>64</v>
      </c>
      <c r="D1804" s="60"/>
      <c r="E1804" s="60"/>
      <c r="F1804" s="46" t="s">
        <v>591</v>
      </c>
      <c r="G1804" s="46" t="s">
        <v>159</v>
      </c>
      <c r="H1804" s="46" t="s">
        <v>592</v>
      </c>
      <c r="I1804" s="46" t="s">
        <v>1317</v>
      </c>
      <c r="J1804" s="46" t="s">
        <v>244</v>
      </c>
      <c r="K1804" s="46" t="s">
        <v>68</v>
      </c>
      <c r="L1804" s="46"/>
      <c r="M1804" s="46"/>
      <c r="N1804" s="46"/>
      <c r="O1804" s="46"/>
      <c r="P1804" s="46"/>
      <c r="Q1804" s="46">
        <v>1</v>
      </c>
      <c r="R1804" s="46"/>
      <c r="S1804" s="46"/>
      <c r="T1804" s="46"/>
      <c r="U1804" s="46"/>
      <c r="V1804" s="46"/>
      <c r="W1804" s="46"/>
      <c r="X1804" s="46"/>
      <c r="Y1804" s="46"/>
      <c r="Z1804" s="46" t="s">
        <v>4672</v>
      </c>
      <c r="AA1804" s="61">
        <f>IF(OR(G1804="ALK",G1804="PEM",G1804="SOEC",G1804="Other Electrolysis"),
AB1804*VLOOKUP(G1804,ElectrolysisConvF,3,FALSE),
"")</f>
        <v>902.88924558587485</v>
      </c>
      <c r="AB1804" s="62">
        <f>AC1804/(H2dens*HoursInYear/10^6)</f>
        <v>200642.05457463887</v>
      </c>
      <c r="AC1804" s="62">
        <f>300/1000*365/H2ProjectDB4578610[[#This Row],[Column33]]</f>
        <v>156.42857142857144</v>
      </c>
      <c r="AD1804" s="62"/>
      <c r="AE1804" s="62">
        <f t="shared" si="189"/>
        <v>200642.05457463887</v>
      </c>
      <c r="AF1804" s="64" t="s">
        <v>4635</v>
      </c>
      <c r="AG1804" s="49">
        <v>0.7</v>
      </c>
    </row>
    <row r="1805" spans="1:33" customFormat="1" ht="35.1" customHeight="1" x14ac:dyDescent="0.3">
      <c r="A1805" s="46">
        <v>2357</v>
      </c>
      <c r="B1805" s="46" t="s">
        <v>4673</v>
      </c>
      <c r="C1805" s="46" t="s">
        <v>64</v>
      </c>
      <c r="D1805" s="60">
        <v>2023</v>
      </c>
      <c r="E1805" s="60"/>
      <c r="F1805" s="46" t="s">
        <v>675</v>
      </c>
      <c r="G1805" s="46" t="s">
        <v>159</v>
      </c>
      <c r="H1805" s="46" t="s">
        <v>592</v>
      </c>
      <c r="I1805" s="46" t="s">
        <v>1317</v>
      </c>
      <c r="J1805" s="46" t="s">
        <v>248</v>
      </c>
      <c r="K1805" s="46" t="s">
        <v>68</v>
      </c>
      <c r="L1805" s="46"/>
      <c r="M1805" s="46"/>
      <c r="N1805" s="46"/>
      <c r="O1805" s="46"/>
      <c r="P1805" s="46"/>
      <c r="Q1805" s="46">
        <v>1</v>
      </c>
      <c r="R1805" s="46">
        <v>1</v>
      </c>
      <c r="S1805" s="46"/>
      <c r="T1805" s="46"/>
      <c r="U1805" s="46"/>
      <c r="V1805" s="46"/>
      <c r="W1805" s="46"/>
      <c r="X1805" s="46"/>
      <c r="Y1805" s="46"/>
      <c r="Z1805" s="46" t="s">
        <v>4674</v>
      </c>
      <c r="AA1805" s="61">
        <f>25/1000</f>
        <v>2.5000000000000001E-2</v>
      </c>
      <c r="AB1805" s="62">
        <f>IF(OR(G1805="ALK",G1805="PEM",G1805="SOEC",G1805="Other Electrolysis"),
AA1805/VLOOKUP(G1805,ElectrolysisConvF,3,FALSE),
AC1805*10^6/(H2dens*HoursInYear))</f>
        <v>5.5555555555555562</v>
      </c>
      <c r="AC1805" s="63">
        <f>AB1805*H2dens*HoursInYear/10^6</f>
        <v>4.3313333333333337E-3</v>
      </c>
      <c r="AD1805" s="62"/>
      <c r="AE1805" s="62">
        <f t="shared" si="189"/>
        <v>5.5555555555555562</v>
      </c>
      <c r="AF1805" s="64" t="s">
        <v>4635</v>
      </c>
      <c r="AG1805" s="49">
        <v>0.7</v>
      </c>
    </row>
    <row r="1806" spans="1:33" customFormat="1" ht="35.1" customHeight="1" x14ac:dyDescent="0.3">
      <c r="A1806" s="46">
        <v>2358</v>
      </c>
      <c r="B1806" s="46" t="s">
        <v>4675</v>
      </c>
      <c r="C1806" s="46" t="s">
        <v>64</v>
      </c>
      <c r="D1806" s="60">
        <v>2027</v>
      </c>
      <c r="E1806" s="60"/>
      <c r="F1806" s="46" t="s">
        <v>591</v>
      </c>
      <c r="G1806" s="46" t="s">
        <v>159</v>
      </c>
      <c r="H1806" s="46" t="s">
        <v>592</v>
      </c>
      <c r="I1806" s="46" t="s">
        <v>169</v>
      </c>
      <c r="J1806" s="46" t="s">
        <v>245</v>
      </c>
      <c r="K1806" s="46" t="s">
        <v>141</v>
      </c>
      <c r="L1806" s="46"/>
      <c r="M1806" s="46">
        <v>1</v>
      </c>
      <c r="N1806" s="46"/>
      <c r="O1806" s="46"/>
      <c r="P1806" s="46">
        <v>1</v>
      </c>
      <c r="Q1806" s="46">
        <v>1</v>
      </c>
      <c r="R1806" s="46"/>
      <c r="S1806" s="46"/>
      <c r="T1806" s="46"/>
      <c r="U1806" s="46"/>
      <c r="V1806" s="46"/>
      <c r="W1806" s="46"/>
      <c r="X1806" s="46"/>
      <c r="Y1806" s="46"/>
      <c r="Z1806" s="46" t="s">
        <v>4676</v>
      </c>
      <c r="AA1806" s="62">
        <f>IF(OR(G1806="ALK",G1806="PEM",G1806="SOEC",G1806="Other Electrolysis"),
AB1806*VLOOKUP(G1806,ElectrolysisConvF,3,FALSE),
"")</f>
        <v>1948.7939858104237</v>
      </c>
      <c r="AB1806" s="62">
        <f>AC1806/(H2dens*HoursInYear/10^6)</f>
        <v>433065.33018009417</v>
      </c>
      <c r="AC1806" s="62">
        <f>(750*3/17/0.98/H2ProjectDB4578610[[#This Row],[Column33]])</f>
        <v>337.6350540216086</v>
      </c>
      <c r="AD1806" s="62"/>
      <c r="AE1806" s="62">
        <f t="shared" si="189"/>
        <v>433065.33018009417</v>
      </c>
      <c r="AF1806" s="64" t="s">
        <v>4635</v>
      </c>
      <c r="AG1806" s="49">
        <v>0.4</v>
      </c>
    </row>
    <row r="1807" spans="1:33" customFormat="1" ht="35.1" customHeight="1" x14ac:dyDescent="0.3">
      <c r="A1807" s="46">
        <v>2359</v>
      </c>
      <c r="B1807" s="46" t="s">
        <v>4677</v>
      </c>
      <c r="C1807" s="46" t="s">
        <v>64</v>
      </c>
      <c r="D1807" s="60">
        <v>2027</v>
      </c>
      <c r="E1807" s="60"/>
      <c r="F1807" s="46" t="s">
        <v>225</v>
      </c>
      <c r="G1807" s="46" t="s">
        <v>159</v>
      </c>
      <c r="H1807" s="46" t="s">
        <v>592</v>
      </c>
      <c r="I1807" s="46" t="s">
        <v>1317</v>
      </c>
      <c r="J1807" s="46" t="s">
        <v>248</v>
      </c>
      <c r="K1807" s="46" t="s">
        <v>141</v>
      </c>
      <c r="L1807" s="46"/>
      <c r="M1807" s="46">
        <v>1</v>
      </c>
      <c r="N1807" s="46"/>
      <c r="O1807" s="46"/>
      <c r="P1807" s="46">
        <v>1</v>
      </c>
      <c r="Q1807" s="46">
        <v>1</v>
      </c>
      <c r="R1807" s="46"/>
      <c r="S1807" s="46"/>
      <c r="T1807" s="46"/>
      <c r="U1807" s="46"/>
      <c r="V1807" s="46"/>
      <c r="W1807" s="46"/>
      <c r="X1807" s="46"/>
      <c r="Y1807" s="46"/>
      <c r="Z1807" s="46" t="s">
        <v>4678</v>
      </c>
      <c r="AA1807" s="62">
        <f>IF(OR(G1807="ALK",G1807="PEM",G1807="SOEC",G1807="Other Electrolysis"),
AB1807*VLOOKUP(G1807,ElectrolysisConvF,3,FALSE),
"")</f>
        <v>255.38481185477556</v>
      </c>
      <c r="AB1807" s="62">
        <f>AC1807/(H2dens*HoursInYear/10^6)</f>
        <v>56752.180412172354</v>
      </c>
      <c r="AC1807" s="62">
        <f>(172*3/17/0.98/H2ProjectDB4578610[[#This Row],[Column33]])</f>
        <v>44.246269936546049</v>
      </c>
      <c r="AD1807" s="62"/>
      <c r="AE1807" s="62">
        <f t="shared" si="189"/>
        <v>56752.180412172354</v>
      </c>
      <c r="AF1807" s="64" t="s">
        <v>4635</v>
      </c>
      <c r="AG1807" s="49">
        <v>0.7</v>
      </c>
    </row>
    <row r="1808" spans="1:33" customFormat="1" ht="35.1" customHeight="1" x14ac:dyDescent="0.3">
      <c r="A1808" s="46">
        <v>2360</v>
      </c>
      <c r="B1808" s="46" t="s">
        <v>4679</v>
      </c>
      <c r="C1808" s="46" t="s">
        <v>64</v>
      </c>
      <c r="D1808" s="60"/>
      <c r="E1808" s="60"/>
      <c r="F1808" s="46" t="s">
        <v>675</v>
      </c>
      <c r="G1808" s="46" t="s">
        <v>159</v>
      </c>
      <c r="H1808" s="46" t="s">
        <v>592</v>
      </c>
      <c r="I1808" s="46" t="s">
        <v>169</v>
      </c>
      <c r="J1808" s="46" t="s">
        <v>69</v>
      </c>
      <c r="K1808" s="46" t="s">
        <v>68</v>
      </c>
      <c r="L1808" s="46"/>
      <c r="M1808" s="46"/>
      <c r="N1808" s="46"/>
      <c r="O1808" s="46"/>
      <c r="P1808" s="46">
        <v>1</v>
      </c>
      <c r="Q1808" s="46"/>
      <c r="R1808" s="46"/>
      <c r="S1808" s="46"/>
      <c r="T1808" s="46"/>
      <c r="U1808" s="46"/>
      <c r="V1808" s="46"/>
      <c r="W1808" s="46"/>
      <c r="X1808" s="46"/>
      <c r="Y1808" s="46"/>
      <c r="Z1808" s="46" t="s">
        <v>981</v>
      </c>
      <c r="AA1808" s="61">
        <v>20</v>
      </c>
      <c r="AB1808" s="62">
        <f>IF(OR(G1808="ALK",G1808="PEM",G1808="SOEC",G1808="Other Electrolysis"),
AA1808/VLOOKUP(G1808,ElectrolysisConvF,3,FALSE),
AC1808*10^6/(H2dens*HoursInYear))</f>
        <v>4444.4444444444443</v>
      </c>
      <c r="AC1808" s="63">
        <f>AB1808*H2dens*HoursInYear/10^6</f>
        <v>3.4650666666666665</v>
      </c>
      <c r="AD1808" s="62"/>
      <c r="AE1808" s="62">
        <f t="shared" si="189"/>
        <v>4444.4444444444443</v>
      </c>
      <c r="AF1808" s="64" t="s">
        <v>4680</v>
      </c>
      <c r="AG1808" s="49">
        <v>0.5</v>
      </c>
    </row>
    <row r="1809" spans="1:33" customFormat="1" ht="35.1" customHeight="1" x14ac:dyDescent="0.3">
      <c r="A1809" s="46">
        <v>2361</v>
      </c>
      <c r="B1809" s="46" t="s">
        <v>4681</v>
      </c>
      <c r="C1809" s="46" t="s">
        <v>64</v>
      </c>
      <c r="D1809" s="60">
        <v>2024</v>
      </c>
      <c r="E1809" s="60"/>
      <c r="F1809" s="46" t="s">
        <v>225</v>
      </c>
      <c r="G1809" s="46" t="s">
        <v>159</v>
      </c>
      <c r="H1809" s="46" t="s">
        <v>592</v>
      </c>
      <c r="I1809" s="46" t="s">
        <v>169</v>
      </c>
      <c r="J1809" s="46" t="s">
        <v>69</v>
      </c>
      <c r="K1809" s="46" t="s">
        <v>68</v>
      </c>
      <c r="L1809" s="46"/>
      <c r="M1809" s="46"/>
      <c r="N1809" s="46"/>
      <c r="O1809" s="46"/>
      <c r="P1809" s="46"/>
      <c r="Q1809" s="46">
        <v>1</v>
      </c>
      <c r="R1809" s="46"/>
      <c r="S1809" s="46"/>
      <c r="T1809" s="46"/>
      <c r="U1809" s="46"/>
      <c r="V1809" s="46"/>
      <c r="W1809" s="46"/>
      <c r="X1809" s="46"/>
      <c r="Y1809" s="46"/>
      <c r="Z1809" s="46"/>
      <c r="AA1809" s="61">
        <f>IF(OR(G1809="ALK",G1809="PEM",G1809="SOEC",G1809="Other Electrolysis"),
AB1809*VLOOKUP(G1809,ElectrolysisConvF,3,FALSE),
"")</f>
        <v>0</v>
      </c>
      <c r="AB1809" s="62"/>
      <c r="AC1809" s="62"/>
      <c r="AD1809" s="62"/>
      <c r="AE1809" s="62">
        <f t="shared" si="189"/>
        <v>0</v>
      </c>
      <c r="AF1809" s="64" t="s">
        <v>4682</v>
      </c>
      <c r="AG1809" s="49">
        <v>0.5</v>
      </c>
    </row>
    <row r="1810" spans="1:33" customFormat="1" ht="35.1" customHeight="1" x14ac:dyDescent="0.3">
      <c r="A1810" s="46">
        <v>2362</v>
      </c>
      <c r="B1810" s="46" t="s">
        <v>4683</v>
      </c>
      <c r="C1810" s="46" t="s">
        <v>64</v>
      </c>
      <c r="D1810" s="60"/>
      <c r="E1810" s="60"/>
      <c r="F1810" s="46" t="s">
        <v>591</v>
      </c>
      <c r="G1810" s="46" t="s">
        <v>159</v>
      </c>
      <c r="H1810" s="46" t="s">
        <v>592</v>
      </c>
      <c r="I1810" s="46" t="s">
        <v>169</v>
      </c>
      <c r="J1810" s="46" t="s">
        <v>69</v>
      </c>
      <c r="K1810" s="46" t="s">
        <v>68</v>
      </c>
      <c r="L1810" s="46"/>
      <c r="M1810" s="46"/>
      <c r="N1810" s="46"/>
      <c r="O1810" s="46"/>
      <c r="P1810" s="46"/>
      <c r="Q1810" s="46"/>
      <c r="R1810" s="46"/>
      <c r="S1810" s="46"/>
      <c r="T1810" s="46"/>
      <c r="U1810" s="46"/>
      <c r="V1810" s="46"/>
      <c r="W1810" s="46"/>
      <c r="X1810" s="46"/>
      <c r="Y1810" s="46"/>
      <c r="Z1810" s="46"/>
      <c r="AA1810" s="61">
        <f>IF(OR(G1810="ALK",G1810="PEM",G1810="SOEC",G1810="Other Electrolysis"),
AB1810*VLOOKUP(G1810,ElectrolysisConvF,3,FALSE),
"")</f>
        <v>0</v>
      </c>
      <c r="AB1810" s="62"/>
      <c r="AC1810" s="62"/>
      <c r="AD1810" s="62"/>
      <c r="AE1810" s="62">
        <f t="shared" si="189"/>
        <v>0</v>
      </c>
      <c r="AF1810" s="64" t="s">
        <v>4684</v>
      </c>
      <c r="AG1810" s="49">
        <v>0.5</v>
      </c>
    </row>
    <row r="1811" spans="1:33" customFormat="1" ht="35.1" customHeight="1" x14ac:dyDescent="0.3">
      <c r="A1811" s="46">
        <v>2363</v>
      </c>
      <c r="B1811" s="46" t="s">
        <v>4685</v>
      </c>
      <c r="C1811" s="46" t="s">
        <v>64</v>
      </c>
      <c r="D1811" s="60">
        <v>2022</v>
      </c>
      <c r="E1811" s="60"/>
      <c r="F1811" s="46" t="s">
        <v>226</v>
      </c>
      <c r="G1811" s="46" t="s">
        <v>159</v>
      </c>
      <c r="H1811" s="46" t="s">
        <v>592</v>
      </c>
      <c r="I1811" s="46" t="s">
        <v>169</v>
      </c>
      <c r="J1811" s="46" t="s">
        <v>244</v>
      </c>
      <c r="K1811" s="46" t="s">
        <v>68</v>
      </c>
      <c r="L1811" s="46"/>
      <c r="M1811" s="46"/>
      <c r="N1811" s="46"/>
      <c r="O1811" s="46"/>
      <c r="P1811" s="46"/>
      <c r="Q1811" s="46"/>
      <c r="R1811" s="46"/>
      <c r="S1811" s="46"/>
      <c r="T1811" s="46"/>
      <c r="U1811" s="46"/>
      <c r="V1811" s="46"/>
      <c r="W1811" s="46"/>
      <c r="X1811" s="46"/>
      <c r="Y1811" s="46"/>
      <c r="Z1811" s="46" t="s">
        <v>953</v>
      </c>
      <c r="AA1811" s="61">
        <v>0.02</v>
      </c>
      <c r="AB1811" s="62">
        <f>IF(OR(G1811="ALK",G1811="PEM",G1811="SOEC",G1811="Other Electrolysis"),
AA1811/VLOOKUP(G1811,ElectrolysisConvF,3,FALSE),
AC1811*10^6/(H2dens*HoursInYear))</f>
        <v>4.4444444444444446</v>
      </c>
      <c r="AC1811" s="63">
        <f>AB1811*H2dens*HoursInYear/10^6</f>
        <v>3.4650666666666665E-3</v>
      </c>
      <c r="AD1811" s="62"/>
      <c r="AE1811" s="62">
        <f t="shared" si="189"/>
        <v>4.4444444444444446</v>
      </c>
      <c r="AF1811" s="64" t="s">
        <v>4686</v>
      </c>
      <c r="AG1811" s="49">
        <v>0.3</v>
      </c>
    </row>
    <row r="1812" spans="1:33" customFormat="1" ht="35.1" customHeight="1" x14ac:dyDescent="0.3">
      <c r="A1812" s="46">
        <v>2364</v>
      </c>
      <c r="B1812" s="46" t="s">
        <v>4687</v>
      </c>
      <c r="C1812" s="46" t="s">
        <v>64</v>
      </c>
      <c r="D1812" s="60">
        <v>2027</v>
      </c>
      <c r="E1812" s="60"/>
      <c r="F1812" s="46" t="s">
        <v>591</v>
      </c>
      <c r="G1812" s="46" t="s">
        <v>159</v>
      </c>
      <c r="H1812" s="46" t="s">
        <v>592</v>
      </c>
      <c r="I1812" s="46" t="s">
        <v>169</v>
      </c>
      <c r="J1812" s="46" t="s">
        <v>244</v>
      </c>
      <c r="K1812" s="46" t="s">
        <v>141</v>
      </c>
      <c r="L1812" s="46"/>
      <c r="M1812" s="46">
        <v>1</v>
      </c>
      <c r="N1812" s="46"/>
      <c r="O1812" s="46"/>
      <c r="P1812" s="46"/>
      <c r="Q1812" s="46"/>
      <c r="R1812" s="46"/>
      <c r="S1812" s="46"/>
      <c r="T1812" s="46"/>
      <c r="U1812" s="46"/>
      <c r="V1812" s="46"/>
      <c r="W1812" s="46"/>
      <c r="X1812" s="46"/>
      <c r="Y1812" s="46"/>
      <c r="Z1812" s="46" t="s">
        <v>4688</v>
      </c>
      <c r="AA1812" s="62">
        <f>IF(OR(G1812="ALK",G1812="PEM",G1812="SOEC",G1812="Other Electrolysis"),
AB1812*VLOOKUP(G1812,ElectrolysisConvF,3,FALSE),
"")</f>
        <v>1004.7115660178187</v>
      </c>
      <c r="AB1812" s="62">
        <f>AC1812/(H2dens*HoursInYear/10^6)</f>
        <v>223269.2368928486</v>
      </c>
      <c r="AC1812" s="62">
        <f>(290*3/17/0.98/H2ProjectDB4578610[[#This Row],[Column33]])</f>
        <v>174.06962785114047</v>
      </c>
      <c r="AD1812" s="62"/>
      <c r="AE1812" s="62">
        <f t="shared" si="189"/>
        <v>223269.2368928486</v>
      </c>
      <c r="AF1812" s="64" t="s">
        <v>4689</v>
      </c>
      <c r="AG1812" s="49">
        <v>0.3</v>
      </c>
    </row>
    <row r="1813" spans="1:33" customFormat="1" ht="35.1" customHeight="1" x14ac:dyDescent="0.3">
      <c r="A1813" s="46">
        <v>2365</v>
      </c>
      <c r="B1813" s="46" t="s">
        <v>4690</v>
      </c>
      <c r="C1813" s="46" t="s">
        <v>64</v>
      </c>
      <c r="D1813" s="60">
        <v>2027</v>
      </c>
      <c r="E1813" s="60"/>
      <c r="F1813" s="46" t="s">
        <v>225</v>
      </c>
      <c r="G1813" s="46" t="s">
        <v>159</v>
      </c>
      <c r="H1813" s="46" t="s">
        <v>592</v>
      </c>
      <c r="I1813" s="46" t="s">
        <v>169</v>
      </c>
      <c r="J1813" s="46" t="s">
        <v>245</v>
      </c>
      <c r="K1813" s="46" t="s">
        <v>141</v>
      </c>
      <c r="L1813" s="46"/>
      <c r="M1813" s="46">
        <v>1</v>
      </c>
      <c r="N1813" s="46"/>
      <c r="O1813" s="46"/>
      <c r="P1813" s="46"/>
      <c r="Q1813" s="46"/>
      <c r="R1813" s="46"/>
      <c r="S1813" s="46"/>
      <c r="T1813" s="46"/>
      <c r="U1813" s="46"/>
      <c r="V1813" s="46"/>
      <c r="W1813" s="46"/>
      <c r="X1813" s="46"/>
      <c r="Y1813" s="46"/>
      <c r="Z1813" s="46" t="s">
        <v>3802</v>
      </c>
      <c r="AA1813" s="62">
        <f>IF(OR(G1813="ALK",G1813="PEM",G1813="SOEC",G1813="Other Electrolysis"),
AB1813*VLOOKUP(G1813,ElectrolysisConvF,3,FALSE),
"")</f>
        <v>1299.1959905402823</v>
      </c>
      <c r="AB1813" s="62">
        <f>AC1813/(H2dens*HoursInYear/10^6)</f>
        <v>288710.22012006276</v>
      </c>
      <c r="AC1813" s="62">
        <f>(500*3/17/0.98/H2ProjectDB4578610[[#This Row],[Column33]])</f>
        <v>225.09003601440574</v>
      </c>
      <c r="AD1813" s="62"/>
      <c r="AE1813" s="62">
        <f t="shared" si="189"/>
        <v>288710.22012006276</v>
      </c>
      <c r="AF1813" s="64" t="s">
        <v>4635</v>
      </c>
      <c r="AG1813" s="49">
        <v>0.4</v>
      </c>
    </row>
    <row r="1814" spans="1:33" customFormat="1" ht="35.1" customHeight="1" x14ac:dyDescent="0.3">
      <c r="A1814" s="46">
        <v>2366</v>
      </c>
      <c r="B1814" s="46" t="s">
        <v>4691</v>
      </c>
      <c r="C1814" s="46" t="s">
        <v>36</v>
      </c>
      <c r="D1814" s="60">
        <v>2020</v>
      </c>
      <c r="E1814" s="60"/>
      <c r="F1814" s="46" t="s">
        <v>226</v>
      </c>
      <c r="G1814" s="46" t="s">
        <v>159</v>
      </c>
      <c r="H1814" s="46" t="s">
        <v>592</v>
      </c>
      <c r="I1814" s="46" t="s">
        <v>707</v>
      </c>
      <c r="J1814" s="46"/>
      <c r="K1814" s="46" t="s">
        <v>68</v>
      </c>
      <c r="L1814" s="46">
        <v>1</v>
      </c>
      <c r="M1814" s="46"/>
      <c r="N1814" s="46"/>
      <c r="O1814" s="46"/>
      <c r="P1814" s="46"/>
      <c r="Q1814" s="46"/>
      <c r="R1814" s="46"/>
      <c r="S1814" s="46"/>
      <c r="T1814" s="46"/>
      <c r="U1814" s="46"/>
      <c r="V1814" s="46"/>
      <c r="W1814" s="46"/>
      <c r="X1814" s="46"/>
      <c r="Y1814" s="46"/>
      <c r="Z1814" s="46" t="s">
        <v>1987</v>
      </c>
      <c r="AA1814" s="61">
        <v>0.7</v>
      </c>
      <c r="AB1814" s="62">
        <f t="shared" ref="AB1814:AB1819" si="194">IF(OR(G1814="ALK",G1814="PEM",G1814="SOEC",G1814="Other Electrolysis"),
AA1814/VLOOKUP(G1814,ElectrolysisConvF,3,FALSE),
AC1814*10^6/(H2dens*HoursInYear))</f>
        <v>155.55555555555557</v>
      </c>
      <c r="AC1814" s="63">
        <f t="shared" ref="AC1814:AC1821" si="195">AB1814*H2dens*HoursInYear/10^6</f>
        <v>0.12127733333333335</v>
      </c>
      <c r="AD1814" s="62"/>
      <c r="AE1814" s="62">
        <f t="shared" si="189"/>
        <v>155.55555555555557</v>
      </c>
      <c r="AF1814" s="64"/>
      <c r="AG1814" s="49">
        <v>0.56999999999999995</v>
      </c>
    </row>
    <row r="1815" spans="1:33" customFormat="1" ht="35.1" customHeight="1" x14ac:dyDescent="0.3">
      <c r="A1815" s="46">
        <v>2367</v>
      </c>
      <c r="B1815" s="46" t="s">
        <v>4692</v>
      </c>
      <c r="C1815" s="46" t="s">
        <v>311</v>
      </c>
      <c r="D1815" s="60">
        <v>2023</v>
      </c>
      <c r="E1815" s="60"/>
      <c r="F1815" s="46" t="s">
        <v>675</v>
      </c>
      <c r="G1815" s="46" t="s">
        <v>159</v>
      </c>
      <c r="H1815" s="46" t="s">
        <v>592</v>
      </c>
      <c r="I1815" s="46" t="s">
        <v>169</v>
      </c>
      <c r="J1815" s="46" t="s">
        <v>69</v>
      </c>
      <c r="K1815" s="46" t="s">
        <v>68</v>
      </c>
      <c r="L1815" s="46"/>
      <c r="M1815" s="46"/>
      <c r="N1815" s="46"/>
      <c r="O1815" s="46"/>
      <c r="P1815" s="46"/>
      <c r="Q1815" s="46"/>
      <c r="R1815" s="46">
        <v>1</v>
      </c>
      <c r="S1815" s="46"/>
      <c r="T1815" s="46"/>
      <c r="U1815" s="46"/>
      <c r="V1815" s="46"/>
      <c r="W1815" s="46"/>
      <c r="X1815" s="46"/>
      <c r="Y1815" s="46"/>
      <c r="Z1815" s="46" t="s">
        <v>1327</v>
      </c>
      <c r="AA1815" s="61">
        <v>1</v>
      </c>
      <c r="AB1815" s="62">
        <f t="shared" si="194"/>
        <v>222.22222222222223</v>
      </c>
      <c r="AC1815" s="63">
        <f t="shared" si="195"/>
        <v>0.17325333333333334</v>
      </c>
      <c r="AD1815" s="62"/>
      <c r="AE1815" s="62">
        <f t="shared" si="189"/>
        <v>222.22222222222223</v>
      </c>
      <c r="AF1815" s="64"/>
      <c r="AG1815" s="49">
        <v>0.5</v>
      </c>
    </row>
    <row r="1816" spans="1:33" customFormat="1" ht="35.1" customHeight="1" x14ac:dyDescent="0.3">
      <c r="A1816" s="46">
        <v>2368</v>
      </c>
      <c r="B1816" s="46" t="s">
        <v>4693</v>
      </c>
      <c r="C1816" s="46" t="s">
        <v>54</v>
      </c>
      <c r="D1816" s="60">
        <v>2018</v>
      </c>
      <c r="E1816" s="60"/>
      <c r="F1816" s="46" t="s">
        <v>226</v>
      </c>
      <c r="G1816" s="46" t="s">
        <v>159</v>
      </c>
      <c r="H1816" s="46" t="s">
        <v>592</v>
      </c>
      <c r="I1816" s="46" t="s">
        <v>157</v>
      </c>
      <c r="J1816" s="46"/>
      <c r="K1816" s="46" t="s">
        <v>68</v>
      </c>
      <c r="L1816" s="46"/>
      <c r="M1816" s="46"/>
      <c r="N1816" s="46"/>
      <c r="O1816" s="46"/>
      <c r="P1816" s="46"/>
      <c r="Q1816" s="46">
        <v>1</v>
      </c>
      <c r="R1816" s="46"/>
      <c r="S1816" s="46"/>
      <c r="T1816" s="46"/>
      <c r="U1816" s="46"/>
      <c r="V1816" s="46"/>
      <c r="W1816" s="46"/>
      <c r="X1816" s="46"/>
      <c r="Y1816" s="46"/>
      <c r="Z1816" s="46" t="s">
        <v>1987</v>
      </c>
      <c r="AA1816" s="61">
        <v>0.7</v>
      </c>
      <c r="AB1816" s="62">
        <f t="shared" si="194"/>
        <v>155.55555555555557</v>
      </c>
      <c r="AC1816" s="63">
        <f t="shared" si="195"/>
        <v>0.12127733333333335</v>
      </c>
      <c r="AD1816" s="62"/>
      <c r="AE1816" s="62">
        <f t="shared" si="189"/>
        <v>155.55555555555557</v>
      </c>
      <c r="AF1816" s="64"/>
      <c r="AG1816" s="49">
        <v>0.56999999999999995</v>
      </c>
    </row>
    <row r="1817" spans="1:33" customFormat="1" ht="35.1" customHeight="1" x14ac:dyDescent="0.3">
      <c r="A1817" s="46">
        <v>2370</v>
      </c>
      <c r="B1817" s="46" t="s">
        <v>4694</v>
      </c>
      <c r="C1817" s="46" t="s">
        <v>63</v>
      </c>
      <c r="D1817" s="60">
        <v>2023</v>
      </c>
      <c r="E1817" s="60"/>
      <c r="F1817" s="46" t="s">
        <v>675</v>
      </c>
      <c r="G1817" s="46" t="s">
        <v>159</v>
      </c>
      <c r="H1817" s="46" t="s">
        <v>592</v>
      </c>
      <c r="I1817" s="46" t="s">
        <v>157</v>
      </c>
      <c r="J1817" s="46"/>
      <c r="K1817" s="46" t="s">
        <v>68</v>
      </c>
      <c r="L1817" s="46"/>
      <c r="M1817" s="46"/>
      <c r="N1817" s="46"/>
      <c r="O1817" s="46"/>
      <c r="P1817" s="46"/>
      <c r="Q1817" s="46">
        <v>1</v>
      </c>
      <c r="R1817" s="46"/>
      <c r="S1817" s="46"/>
      <c r="T1817" s="46"/>
      <c r="U1817" s="46"/>
      <c r="V1817" s="46"/>
      <c r="W1817" s="46"/>
      <c r="X1817" s="46"/>
      <c r="Y1817" s="46"/>
      <c r="Z1817" s="46" t="s">
        <v>1251</v>
      </c>
      <c r="AA1817" s="61">
        <v>3</v>
      </c>
      <c r="AB1817" s="62">
        <f t="shared" si="194"/>
        <v>666.66666666666674</v>
      </c>
      <c r="AC1817" s="63">
        <f t="shared" si="195"/>
        <v>0.51976</v>
      </c>
      <c r="AD1817" s="62"/>
      <c r="AE1817" s="62">
        <f t="shared" si="189"/>
        <v>666.66666666666674</v>
      </c>
      <c r="AF1817" s="64" t="s">
        <v>4695</v>
      </c>
      <c r="AG1817" s="49">
        <v>0.56999999999999995</v>
      </c>
    </row>
    <row r="1818" spans="1:33" customFormat="1" ht="35.1" customHeight="1" x14ac:dyDescent="0.3">
      <c r="A1818" s="46">
        <v>2371</v>
      </c>
      <c r="B1818" s="46" t="s">
        <v>4696</v>
      </c>
      <c r="C1818" s="46" t="s">
        <v>59</v>
      </c>
      <c r="D1818" s="60">
        <v>2022</v>
      </c>
      <c r="E1818" s="60"/>
      <c r="F1818" s="46" t="s">
        <v>226</v>
      </c>
      <c r="G1818" s="46" t="s">
        <v>159</v>
      </c>
      <c r="H1818" s="46" t="s">
        <v>592</v>
      </c>
      <c r="I1818" s="46" t="s">
        <v>169</v>
      </c>
      <c r="J1818" s="46" t="s">
        <v>69</v>
      </c>
      <c r="K1818" s="46" t="s">
        <v>68</v>
      </c>
      <c r="L1818" s="46"/>
      <c r="M1818" s="46"/>
      <c r="N1818" s="46"/>
      <c r="O1818" s="46"/>
      <c r="P1818" s="46"/>
      <c r="Q1818" s="46">
        <v>1</v>
      </c>
      <c r="R1818" s="46"/>
      <c r="S1818" s="46"/>
      <c r="T1818" s="46"/>
      <c r="U1818" s="46"/>
      <c r="V1818" s="46"/>
      <c r="W1818" s="46"/>
      <c r="X1818" s="46"/>
      <c r="Y1818" s="46"/>
      <c r="Z1818" s="46" t="s">
        <v>714</v>
      </c>
      <c r="AA1818" s="61">
        <v>2</v>
      </c>
      <c r="AB1818" s="62">
        <f t="shared" si="194"/>
        <v>444.44444444444446</v>
      </c>
      <c r="AC1818" s="63">
        <f t="shared" si="195"/>
        <v>0.34650666666666669</v>
      </c>
      <c r="AD1818" s="62"/>
      <c r="AE1818" s="62">
        <f t="shared" si="189"/>
        <v>444.44444444444446</v>
      </c>
      <c r="AF1818" s="64" t="s">
        <v>4697</v>
      </c>
      <c r="AG1818" s="49">
        <v>0.5</v>
      </c>
    </row>
    <row r="1819" spans="1:33" customFormat="1" ht="35.1" customHeight="1" x14ac:dyDescent="0.3">
      <c r="A1819" s="46">
        <v>2372</v>
      </c>
      <c r="B1819" s="46" t="s">
        <v>4698</v>
      </c>
      <c r="C1819" s="46" t="s">
        <v>59</v>
      </c>
      <c r="D1819" s="60">
        <v>2023</v>
      </c>
      <c r="E1819" s="60"/>
      <c r="F1819" s="46" t="s">
        <v>675</v>
      </c>
      <c r="G1819" s="46" t="s">
        <v>159</v>
      </c>
      <c r="H1819" s="46" t="s">
        <v>592</v>
      </c>
      <c r="I1819" s="46" t="s">
        <v>166</v>
      </c>
      <c r="J1819" s="46"/>
      <c r="K1819" s="46" t="s">
        <v>68</v>
      </c>
      <c r="L1819" s="46"/>
      <c r="M1819" s="46"/>
      <c r="N1819" s="46"/>
      <c r="O1819" s="46"/>
      <c r="P1819" s="46">
        <v>1</v>
      </c>
      <c r="Q1819" s="46"/>
      <c r="R1819" s="46"/>
      <c r="S1819" s="46"/>
      <c r="T1819" s="46"/>
      <c r="U1819" s="46"/>
      <c r="V1819" s="46"/>
      <c r="W1819" s="46"/>
      <c r="X1819" s="46"/>
      <c r="Y1819" s="46"/>
      <c r="Z1819" s="46" t="s">
        <v>4699</v>
      </c>
      <c r="AA1819" s="61">
        <v>2.2999999999999998</v>
      </c>
      <c r="AB1819" s="62">
        <f t="shared" si="194"/>
        <v>511.11111111111109</v>
      </c>
      <c r="AC1819" s="63">
        <f t="shared" si="195"/>
        <v>0.39848266666666665</v>
      </c>
      <c r="AD1819" s="62"/>
      <c r="AE1819" s="62">
        <f t="shared" si="189"/>
        <v>511.11111111111109</v>
      </c>
      <c r="AF1819" s="64" t="s">
        <v>4700</v>
      </c>
      <c r="AG1819" s="49">
        <v>0.56999999999999995</v>
      </c>
    </row>
    <row r="1820" spans="1:33" customFormat="1" ht="35.1" customHeight="1" x14ac:dyDescent="0.3">
      <c r="A1820" s="46">
        <v>2373</v>
      </c>
      <c r="B1820" s="46" t="s">
        <v>4701</v>
      </c>
      <c r="C1820" s="46" t="s">
        <v>46</v>
      </c>
      <c r="D1820" s="60">
        <v>2023</v>
      </c>
      <c r="E1820" s="60"/>
      <c r="F1820" s="46" t="s">
        <v>675</v>
      </c>
      <c r="G1820" s="46" t="s">
        <v>159</v>
      </c>
      <c r="H1820" s="46" t="s">
        <v>592</v>
      </c>
      <c r="I1820" s="46" t="s">
        <v>169</v>
      </c>
      <c r="J1820" s="46" t="s">
        <v>245</v>
      </c>
      <c r="K1820" s="46" t="s">
        <v>68</v>
      </c>
      <c r="L1820" s="46"/>
      <c r="M1820" s="46"/>
      <c r="N1820" s="46"/>
      <c r="O1820" s="46"/>
      <c r="P1820" s="46">
        <v>1</v>
      </c>
      <c r="Q1820" s="46"/>
      <c r="R1820" s="46"/>
      <c r="S1820" s="46"/>
      <c r="T1820" s="46"/>
      <c r="U1820" s="46"/>
      <c r="V1820" s="46"/>
      <c r="W1820" s="46"/>
      <c r="X1820" s="46"/>
      <c r="Y1820" s="46"/>
      <c r="Z1820" s="46" t="s">
        <v>2286</v>
      </c>
      <c r="AA1820" s="61">
        <v>0.9</v>
      </c>
      <c r="AB1820" s="62">
        <f>AA1820/0.0045</f>
        <v>200.00000000000003</v>
      </c>
      <c r="AC1820" s="63">
        <f>AB1820*H2dens*HoursInYear/10^6</f>
        <v>0.15592800000000001</v>
      </c>
      <c r="AD1820" s="62"/>
      <c r="AE1820" s="62">
        <f t="shared" si="189"/>
        <v>200.00000000000003</v>
      </c>
      <c r="AF1820" s="64" t="s">
        <v>4702</v>
      </c>
      <c r="AG1820" s="49">
        <v>0.4</v>
      </c>
    </row>
    <row r="1821" spans="1:33" customFormat="1" ht="35.1" customHeight="1" x14ac:dyDescent="0.3">
      <c r="A1821" s="46">
        <v>2374</v>
      </c>
      <c r="B1821" s="46" t="s">
        <v>4703</v>
      </c>
      <c r="C1821" s="46" t="s">
        <v>121</v>
      </c>
      <c r="D1821" s="60">
        <v>2033</v>
      </c>
      <c r="E1821" s="60"/>
      <c r="F1821" s="46" t="s">
        <v>225</v>
      </c>
      <c r="G1821" s="46" t="s">
        <v>153</v>
      </c>
      <c r="H1821" s="46" t="s">
        <v>4704</v>
      </c>
      <c r="I1821" s="46"/>
      <c r="J1821" s="46"/>
      <c r="K1821" s="46" t="s">
        <v>68</v>
      </c>
      <c r="L1821" s="46"/>
      <c r="M1821" s="46"/>
      <c r="N1821" s="46"/>
      <c r="O1821" s="46"/>
      <c r="P1821" s="46"/>
      <c r="Q1821" s="46"/>
      <c r="R1821" s="46"/>
      <c r="S1821" s="46"/>
      <c r="T1821" s="46"/>
      <c r="U1821" s="46"/>
      <c r="V1821" s="46"/>
      <c r="W1821" s="46"/>
      <c r="X1821" s="46"/>
      <c r="Y1821" s="46"/>
      <c r="Z1821" s="46" t="s">
        <v>4705</v>
      </c>
      <c r="AA1821" s="61" t="str">
        <f>IF(OR(G1821="ALK",G1821="PEM",G1821="SOEC",G1821="Other Electrolysis"),
AB1821*VLOOKUP(G1821,ElectrolysisConvF,3,FALSE),
"")</f>
        <v/>
      </c>
      <c r="AB1821" s="62">
        <v>245293</v>
      </c>
      <c r="AC1821" s="63">
        <f t="shared" si="195"/>
        <v>191.24023451999997</v>
      </c>
      <c r="AD1821" s="62"/>
      <c r="AE1821" s="62">
        <f t="shared" si="189"/>
        <v>245293</v>
      </c>
      <c r="AF1821" s="64" t="s">
        <v>4645</v>
      </c>
      <c r="AG1821" s="49">
        <v>0.9</v>
      </c>
    </row>
    <row r="1822" spans="1:33" customFormat="1" ht="35.1" customHeight="1" x14ac:dyDescent="0.3">
      <c r="A1822" s="46">
        <v>2375</v>
      </c>
      <c r="B1822" s="46" t="s">
        <v>4706</v>
      </c>
      <c r="C1822" s="46" t="s">
        <v>121</v>
      </c>
      <c r="D1822" s="60">
        <v>2040</v>
      </c>
      <c r="E1822" s="60"/>
      <c r="F1822" s="46" t="s">
        <v>591</v>
      </c>
      <c r="G1822" s="46" t="s">
        <v>159</v>
      </c>
      <c r="H1822" s="46" t="s">
        <v>592</v>
      </c>
      <c r="I1822" s="46" t="s">
        <v>157</v>
      </c>
      <c r="J1822" s="46"/>
      <c r="K1822" s="46" t="s">
        <v>168</v>
      </c>
      <c r="L1822" s="46"/>
      <c r="M1822" s="46">
        <v>1</v>
      </c>
      <c r="N1822" s="46"/>
      <c r="O1822" s="46"/>
      <c r="P1822" s="46"/>
      <c r="Q1822" s="46"/>
      <c r="R1822" s="46"/>
      <c r="S1822" s="46"/>
      <c r="T1822" s="46"/>
      <c r="U1822" s="46"/>
      <c r="V1822" s="46"/>
      <c r="W1822" s="46"/>
      <c r="X1822" s="46"/>
      <c r="Y1822" s="46"/>
      <c r="Z1822" s="46" t="s">
        <v>4707</v>
      </c>
      <c r="AA1822" s="61">
        <v>3500</v>
      </c>
      <c r="AB1822" s="62">
        <f>IF(OR(G1822="ALK",G1822="PEM",G1822="SOEC",G1822="Other Electrolysis"),
AA1822/VLOOKUP(G1822,ElectrolysisConvF,3,FALSE),
AC1822*10^6/(H2dens*HoursInYear))</f>
        <v>777777.77777777787</v>
      </c>
      <c r="AC1822" s="63">
        <f>AB1822*H2dens*HoursInYear/10^6</f>
        <v>606.38666666666677</v>
      </c>
      <c r="AD1822" s="62"/>
      <c r="AE1822" s="62">
        <f t="shared" si="189"/>
        <v>777777.77777777787</v>
      </c>
      <c r="AF1822" s="64" t="s">
        <v>4645</v>
      </c>
      <c r="AG1822" s="49">
        <v>0.56999999999999995</v>
      </c>
    </row>
    <row r="1823" spans="1:33" customFormat="1" ht="35.1" customHeight="1" x14ac:dyDescent="0.3">
      <c r="A1823" s="46">
        <v>2376</v>
      </c>
      <c r="B1823" s="46" t="s">
        <v>4708</v>
      </c>
      <c r="C1823" s="46" t="s">
        <v>121</v>
      </c>
      <c r="D1823" s="60">
        <v>2027</v>
      </c>
      <c r="E1823" s="60"/>
      <c r="F1823" s="46" t="s">
        <v>591</v>
      </c>
      <c r="G1823" s="46" t="s">
        <v>159</v>
      </c>
      <c r="H1823" s="46" t="s">
        <v>592</v>
      </c>
      <c r="I1823" s="46" t="s">
        <v>157</v>
      </c>
      <c r="J1823" s="46"/>
      <c r="K1823" s="46" t="s">
        <v>68</v>
      </c>
      <c r="L1823" s="46"/>
      <c r="M1823" s="46"/>
      <c r="N1823" s="46"/>
      <c r="O1823" s="46"/>
      <c r="P1823" s="46"/>
      <c r="Q1823" s="46">
        <v>1</v>
      </c>
      <c r="R1823" s="46"/>
      <c r="S1823" s="46"/>
      <c r="T1823" s="46"/>
      <c r="U1823" s="46"/>
      <c r="V1823" s="46"/>
      <c r="W1823" s="46"/>
      <c r="X1823" s="46"/>
      <c r="Y1823" s="46"/>
      <c r="Z1823" s="46" t="s">
        <v>3091</v>
      </c>
      <c r="AA1823" s="61">
        <v>40</v>
      </c>
      <c r="AB1823" s="62">
        <f>IF(OR(G1823="ALK",G1823="PEM",G1823="SOEC",G1823="Other Electrolysis"),
AA1823/VLOOKUP(G1823,ElectrolysisConvF,3,FALSE),
AC1823*10^6/(H2dens*HoursInYear))</f>
        <v>8888.8888888888887</v>
      </c>
      <c r="AC1823" s="63">
        <f>AB1823*H2dens*HoursInYear/10^6</f>
        <v>6.930133333333333</v>
      </c>
      <c r="AD1823" s="62"/>
      <c r="AE1823" s="62">
        <f t="shared" si="189"/>
        <v>8888.8888888888887</v>
      </c>
      <c r="AF1823" s="64" t="s">
        <v>4645</v>
      </c>
      <c r="AG1823" s="49">
        <v>0.56999999999999995</v>
      </c>
    </row>
    <row r="1824" spans="1:33" customFormat="1" ht="35.1" customHeight="1" x14ac:dyDescent="0.3">
      <c r="A1824" s="46">
        <v>2377</v>
      </c>
      <c r="B1824" s="46" t="s">
        <v>4709</v>
      </c>
      <c r="C1824" s="46" t="s">
        <v>121</v>
      </c>
      <c r="D1824" s="60">
        <v>2026</v>
      </c>
      <c r="E1824" s="60"/>
      <c r="F1824" s="46" t="s">
        <v>591</v>
      </c>
      <c r="G1824" s="46" t="s">
        <v>153</v>
      </c>
      <c r="H1824" s="46" t="s">
        <v>4704</v>
      </c>
      <c r="I1824" s="46"/>
      <c r="J1824" s="46"/>
      <c r="K1824" s="46" t="s">
        <v>68</v>
      </c>
      <c r="L1824" s="46"/>
      <c r="M1824" s="46"/>
      <c r="N1824" s="46"/>
      <c r="O1824" s="46"/>
      <c r="P1824" s="46"/>
      <c r="Q1824" s="46">
        <v>1</v>
      </c>
      <c r="R1824" s="46"/>
      <c r="S1824" s="46"/>
      <c r="T1824" s="46"/>
      <c r="U1824" s="46"/>
      <c r="V1824" s="46"/>
      <c r="W1824" s="46"/>
      <c r="X1824" s="46"/>
      <c r="Y1824" s="46"/>
      <c r="Z1824" s="46" t="s">
        <v>4710</v>
      </c>
      <c r="AA1824" s="61" t="str">
        <f>IF(OR(G1824="ALK",G1824="PEM",G1824="SOEC",G1824="Other Electrolysis"),
AB1824*VLOOKUP(G1824,ElectrolysisConvF,3,FALSE),
"")</f>
        <v/>
      </c>
      <c r="AB1824" s="62">
        <v>7607</v>
      </c>
      <c r="AC1824" s="63">
        <f>AB1824*H2dens*HoursInYear/10^6</f>
        <v>5.9307214800000008</v>
      </c>
      <c r="AD1824" s="62"/>
      <c r="AE1824" s="62">
        <f t="shared" si="189"/>
        <v>7607</v>
      </c>
      <c r="AF1824" s="64" t="s">
        <v>4645</v>
      </c>
      <c r="AG1824" s="49">
        <v>0.9</v>
      </c>
    </row>
    <row r="1825" spans="1:33" customFormat="1" ht="35.1" customHeight="1" x14ac:dyDescent="0.3">
      <c r="A1825" s="46">
        <v>2378</v>
      </c>
      <c r="B1825" s="46" t="s">
        <v>4711</v>
      </c>
      <c r="C1825" s="46" t="s">
        <v>121</v>
      </c>
      <c r="D1825" s="60">
        <v>2040</v>
      </c>
      <c r="E1825" s="60"/>
      <c r="F1825" s="46" t="s">
        <v>591</v>
      </c>
      <c r="G1825" s="46" t="s">
        <v>159</v>
      </c>
      <c r="H1825" s="46" t="s">
        <v>592</v>
      </c>
      <c r="I1825" s="46" t="s">
        <v>157</v>
      </c>
      <c r="J1825" s="46"/>
      <c r="K1825" s="46" t="s">
        <v>168</v>
      </c>
      <c r="L1825" s="46"/>
      <c r="M1825" s="46"/>
      <c r="N1825" s="46"/>
      <c r="O1825" s="46"/>
      <c r="P1825" s="46"/>
      <c r="Q1825" s="46">
        <v>1</v>
      </c>
      <c r="R1825" s="46"/>
      <c r="S1825" s="46"/>
      <c r="T1825" s="46"/>
      <c r="U1825" s="46"/>
      <c r="V1825" s="46"/>
      <c r="W1825" s="46"/>
      <c r="X1825" s="46"/>
      <c r="Y1825" s="46"/>
      <c r="Z1825" s="46" t="s">
        <v>4712</v>
      </c>
      <c r="AA1825" s="61">
        <v>2300</v>
      </c>
      <c r="AB1825" s="62">
        <f t="shared" ref="AB1825:AB1848" si="196">IF(OR(G1825="ALK",G1825="PEM",G1825="SOEC",G1825="Other Electrolysis"),
AA1825/VLOOKUP(G1825,ElectrolysisConvF,3,FALSE),
AC1825*10^6/(H2dens*HoursInYear))</f>
        <v>511111.11111111112</v>
      </c>
      <c r="AC1825" s="63">
        <f>AB1825*H2dens*HoursInYear/10^6</f>
        <v>398.48266666666666</v>
      </c>
      <c r="AD1825" s="62"/>
      <c r="AE1825" s="62">
        <f t="shared" si="189"/>
        <v>511111.11111111112</v>
      </c>
      <c r="AF1825" s="64" t="s">
        <v>4645</v>
      </c>
      <c r="AG1825" s="49">
        <v>0.56999999999999995</v>
      </c>
    </row>
    <row r="1826" spans="1:33" customFormat="1" ht="35.1" customHeight="1" x14ac:dyDescent="0.3">
      <c r="A1826" s="46">
        <v>2379</v>
      </c>
      <c r="B1826" s="46" t="s">
        <v>4706</v>
      </c>
      <c r="C1826" s="46" t="s">
        <v>121</v>
      </c>
      <c r="D1826" s="60">
        <v>2030</v>
      </c>
      <c r="E1826" s="60"/>
      <c r="F1826" s="46" t="s">
        <v>591</v>
      </c>
      <c r="G1826" s="46" t="s">
        <v>1</v>
      </c>
      <c r="H1826" s="46"/>
      <c r="I1826" s="46" t="s">
        <v>166</v>
      </c>
      <c r="J1826" s="46"/>
      <c r="K1826" s="46" t="s">
        <v>141</v>
      </c>
      <c r="L1826" s="46"/>
      <c r="M1826" s="46">
        <v>1</v>
      </c>
      <c r="N1826" s="46"/>
      <c r="O1826" s="46"/>
      <c r="P1826" s="46">
        <v>1</v>
      </c>
      <c r="Q1826" s="46"/>
      <c r="R1826" s="46">
        <v>1</v>
      </c>
      <c r="S1826" s="46"/>
      <c r="T1826" s="46"/>
      <c r="U1826" s="46"/>
      <c r="V1826" s="46"/>
      <c r="W1826" s="46"/>
      <c r="X1826" s="46"/>
      <c r="Y1826" s="46"/>
      <c r="Z1826" s="46" t="s">
        <v>3103</v>
      </c>
      <c r="AA1826" s="61">
        <v>120</v>
      </c>
      <c r="AB1826" s="62">
        <f t="shared" si="196"/>
        <v>23076.923076923078</v>
      </c>
      <c r="AC1826" s="63">
        <f>AB1826*H2dens*HoursInYear/10^6</f>
        <v>17.991692307692308</v>
      </c>
      <c r="AD1826" s="62"/>
      <c r="AE1826" s="62">
        <f t="shared" si="189"/>
        <v>23076.923076923078</v>
      </c>
      <c r="AF1826" s="64" t="s">
        <v>4645</v>
      </c>
      <c r="AG1826" s="49">
        <v>0.56999999999999995</v>
      </c>
    </row>
    <row r="1827" spans="1:33" customFormat="1" ht="35.1" customHeight="1" x14ac:dyDescent="0.3">
      <c r="A1827" s="46">
        <v>2380</v>
      </c>
      <c r="B1827" s="46" t="s">
        <v>4713</v>
      </c>
      <c r="C1827" s="46" t="s">
        <v>34</v>
      </c>
      <c r="D1827" s="60">
        <v>2029</v>
      </c>
      <c r="E1827" s="60"/>
      <c r="F1827" s="46" t="s">
        <v>591</v>
      </c>
      <c r="G1827" s="46" t="s">
        <v>159</v>
      </c>
      <c r="H1827" s="46" t="s">
        <v>592</v>
      </c>
      <c r="I1827" s="46" t="s">
        <v>166</v>
      </c>
      <c r="J1827" s="46"/>
      <c r="K1827" s="46" t="s">
        <v>68</v>
      </c>
      <c r="L1827" s="46"/>
      <c r="M1827" s="46"/>
      <c r="N1827" s="46"/>
      <c r="O1827" s="46"/>
      <c r="P1827" s="46"/>
      <c r="Q1827" s="46">
        <v>1</v>
      </c>
      <c r="R1827" s="46"/>
      <c r="S1827" s="46"/>
      <c r="T1827" s="46"/>
      <c r="U1827" s="46"/>
      <c r="V1827" s="46"/>
      <c r="W1827" s="46"/>
      <c r="X1827" s="46"/>
      <c r="Y1827" s="46"/>
      <c r="Z1827" s="46" t="s">
        <v>1691</v>
      </c>
      <c r="AA1827" s="61">
        <f>200-100</f>
        <v>100</v>
      </c>
      <c r="AB1827" s="62">
        <f t="shared" si="196"/>
        <v>22222.222222222223</v>
      </c>
      <c r="AC1827" s="63">
        <f t="shared" ref="AC1827:AC1848" si="197">AB1827*H2dens*HoursInYear/10^6</f>
        <v>17.325333333333333</v>
      </c>
      <c r="AD1827" s="62"/>
      <c r="AE1827" s="62">
        <f t="shared" si="189"/>
        <v>22222.222222222223</v>
      </c>
      <c r="AF1827" s="64" t="s">
        <v>3281</v>
      </c>
      <c r="AG1827" s="49">
        <v>0.56999999999999995</v>
      </c>
    </row>
    <row r="1828" spans="1:33" customFormat="1" ht="35.1" customHeight="1" x14ac:dyDescent="0.3">
      <c r="A1828" s="46">
        <v>2381</v>
      </c>
      <c r="B1828" s="46" t="s">
        <v>4714</v>
      </c>
      <c r="C1828" s="46" t="s">
        <v>34</v>
      </c>
      <c r="D1828" s="60">
        <v>2027</v>
      </c>
      <c r="E1828" s="60"/>
      <c r="F1828" s="46" t="s">
        <v>225</v>
      </c>
      <c r="G1828" s="46" t="s">
        <v>159</v>
      </c>
      <c r="H1828" s="46" t="s">
        <v>592</v>
      </c>
      <c r="I1828" s="46" t="s">
        <v>157</v>
      </c>
      <c r="J1828" s="46"/>
      <c r="K1828" s="46" t="s">
        <v>68</v>
      </c>
      <c r="L1828" s="46">
        <v>1</v>
      </c>
      <c r="M1828" s="46"/>
      <c r="N1828" s="46"/>
      <c r="O1828" s="46">
        <v>1</v>
      </c>
      <c r="P1828" s="46">
        <v>1</v>
      </c>
      <c r="Q1828" s="46"/>
      <c r="R1828" s="46"/>
      <c r="S1828" s="46"/>
      <c r="T1828" s="46"/>
      <c r="U1828" s="46"/>
      <c r="V1828" s="46"/>
      <c r="W1828" s="46"/>
      <c r="X1828" s="46"/>
      <c r="Y1828" s="46"/>
      <c r="Z1828" s="46" t="s">
        <v>1691</v>
      </c>
      <c r="AA1828" s="61">
        <v>100</v>
      </c>
      <c r="AB1828" s="62">
        <f t="shared" si="196"/>
        <v>22222.222222222223</v>
      </c>
      <c r="AC1828" s="63">
        <f t="shared" si="197"/>
        <v>17.325333333333333</v>
      </c>
      <c r="AD1828" s="62"/>
      <c r="AE1828" s="62">
        <f t="shared" ref="AE1828:AE1891" si="198">IF(AND(G1828&lt;&gt;"NG w CCUS",G1828&lt;&gt;"Oil w CCUS",G1828&lt;&gt;"Coal w CCUS"),AB1828,AD1828*10^3/(HoursInYear*IF(G1828="NG w CCUS",0.9105,1.9075)))</f>
        <v>22222.222222222223</v>
      </c>
      <c r="AF1828" s="64" t="s">
        <v>3046</v>
      </c>
      <c r="AG1828" s="49">
        <v>0.56999999999999995</v>
      </c>
    </row>
    <row r="1829" spans="1:33" customFormat="1" ht="35.1" customHeight="1" x14ac:dyDescent="0.3">
      <c r="A1829" s="46">
        <v>2382</v>
      </c>
      <c r="B1829" s="46" t="s">
        <v>4715</v>
      </c>
      <c r="C1829" s="46" t="s">
        <v>34</v>
      </c>
      <c r="D1829" s="60">
        <v>2028</v>
      </c>
      <c r="E1829" s="60"/>
      <c r="F1829" s="46" t="s">
        <v>225</v>
      </c>
      <c r="G1829" s="46" t="s">
        <v>159</v>
      </c>
      <c r="H1829" s="46" t="s">
        <v>592</v>
      </c>
      <c r="I1829" s="46" t="s">
        <v>157</v>
      </c>
      <c r="J1829" s="46"/>
      <c r="K1829" s="46" t="s">
        <v>68</v>
      </c>
      <c r="L1829" s="46">
        <v>1</v>
      </c>
      <c r="M1829" s="46"/>
      <c r="N1829" s="46"/>
      <c r="O1829" s="46">
        <v>1</v>
      </c>
      <c r="P1829" s="46">
        <v>1</v>
      </c>
      <c r="Q1829" s="46"/>
      <c r="R1829" s="46"/>
      <c r="S1829" s="46"/>
      <c r="T1829" s="46"/>
      <c r="U1829" s="46"/>
      <c r="V1829" s="46"/>
      <c r="W1829" s="46"/>
      <c r="X1829" s="46"/>
      <c r="Y1829" s="46"/>
      <c r="Z1829" s="46" t="s">
        <v>1664</v>
      </c>
      <c r="AA1829" s="61">
        <v>100</v>
      </c>
      <c r="AB1829" s="62">
        <f t="shared" si="196"/>
        <v>22222.222222222223</v>
      </c>
      <c r="AC1829" s="63">
        <f t="shared" si="197"/>
        <v>17.325333333333333</v>
      </c>
      <c r="AD1829" s="62"/>
      <c r="AE1829" s="62">
        <f t="shared" si="198"/>
        <v>22222.222222222223</v>
      </c>
      <c r="AF1829" s="64" t="s">
        <v>3046</v>
      </c>
      <c r="AG1829" s="49">
        <v>0.56999999999999995</v>
      </c>
    </row>
    <row r="1830" spans="1:33" customFormat="1" ht="35.1" customHeight="1" x14ac:dyDescent="0.3">
      <c r="A1830" s="46">
        <v>2383</v>
      </c>
      <c r="B1830" s="46" t="s">
        <v>4716</v>
      </c>
      <c r="C1830" s="46" t="s">
        <v>34</v>
      </c>
      <c r="D1830" s="60">
        <v>2029</v>
      </c>
      <c r="E1830" s="60"/>
      <c r="F1830" s="46" t="s">
        <v>225</v>
      </c>
      <c r="G1830" s="46" t="s">
        <v>159</v>
      </c>
      <c r="H1830" s="46" t="s">
        <v>592</v>
      </c>
      <c r="I1830" s="46" t="s">
        <v>157</v>
      </c>
      <c r="J1830" s="46"/>
      <c r="K1830" s="46" t="s">
        <v>68</v>
      </c>
      <c r="L1830" s="46">
        <v>1</v>
      </c>
      <c r="M1830" s="46"/>
      <c r="N1830" s="46"/>
      <c r="O1830" s="46">
        <v>1</v>
      </c>
      <c r="P1830" s="46">
        <v>1</v>
      </c>
      <c r="Q1830" s="46"/>
      <c r="R1830" s="46"/>
      <c r="S1830" s="46"/>
      <c r="T1830" s="46"/>
      <c r="U1830" s="46"/>
      <c r="V1830" s="46"/>
      <c r="W1830" s="46"/>
      <c r="X1830" s="46"/>
      <c r="Y1830" s="46"/>
      <c r="Z1830" s="46" t="s">
        <v>2917</v>
      </c>
      <c r="AA1830" s="61">
        <v>100</v>
      </c>
      <c r="AB1830" s="62">
        <f t="shared" si="196"/>
        <v>22222.222222222223</v>
      </c>
      <c r="AC1830" s="63">
        <f t="shared" si="197"/>
        <v>17.325333333333333</v>
      </c>
      <c r="AD1830" s="62"/>
      <c r="AE1830" s="62">
        <f t="shared" si="198"/>
        <v>22222.222222222223</v>
      </c>
      <c r="AF1830" s="64" t="s">
        <v>3046</v>
      </c>
      <c r="AG1830" s="49">
        <v>0.56999999999999995</v>
      </c>
    </row>
    <row r="1831" spans="1:33" customFormat="1" ht="35.1" customHeight="1" x14ac:dyDescent="0.3">
      <c r="A1831" s="46">
        <v>2384</v>
      </c>
      <c r="B1831" s="46" t="s">
        <v>4717</v>
      </c>
      <c r="C1831" s="46" t="s">
        <v>34</v>
      </c>
      <c r="D1831" s="60">
        <v>2030</v>
      </c>
      <c r="E1831" s="60"/>
      <c r="F1831" s="46" t="s">
        <v>225</v>
      </c>
      <c r="G1831" s="46" t="s">
        <v>159</v>
      </c>
      <c r="H1831" s="46" t="s">
        <v>592</v>
      </c>
      <c r="I1831" s="46" t="s">
        <v>157</v>
      </c>
      <c r="J1831" s="46"/>
      <c r="K1831" s="46" t="s">
        <v>68</v>
      </c>
      <c r="L1831" s="46">
        <v>1</v>
      </c>
      <c r="M1831" s="46"/>
      <c r="N1831" s="46"/>
      <c r="O1831" s="46">
        <v>1</v>
      </c>
      <c r="P1831" s="46">
        <v>1</v>
      </c>
      <c r="Q1831" s="46"/>
      <c r="R1831" s="46"/>
      <c r="S1831" s="46"/>
      <c r="T1831" s="46"/>
      <c r="U1831" s="46"/>
      <c r="V1831" s="46"/>
      <c r="W1831" s="46"/>
      <c r="X1831" s="46"/>
      <c r="Y1831" s="46"/>
      <c r="Z1831" s="46" t="s">
        <v>1654</v>
      </c>
      <c r="AA1831" s="61">
        <v>100</v>
      </c>
      <c r="AB1831" s="62">
        <f t="shared" si="196"/>
        <v>22222.222222222223</v>
      </c>
      <c r="AC1831" s="63">
        <f t="shared" si="197"/>
        <v>17.325333333333333</v>
      </c>
      <c r="AD1831" s="62"/>
      <c r="AE1831" s="62">
        <f t="shared" si="198"/>
        <v>22222.222222222223</v>
      </c>
      <c r="AF1831" s="64" t="s">
        <v>3046</v>
      </c>
      <c r="AG1831" s="49">
        <v>0.56999999999999995</v>
      </c>
    </row>
    <row r="1832" spans="1:33" customFormat="1" ht="35.1" customHeight="1" x14ac:dyDescent="0.3">
      <c r="A1832" s="46">
        <v>2385</v>
      </c>
      <c r="B1832" s="46" t="s">
        <v>4718</v>
      </c>
      <c r="C1832" s="46" t="s">
        <v>34</v>
      </c>
      <c r="D1832" s="60">
        <v>2030</v>
      </c>
      <c r="E1832" s="60"/>
      <c r="F1832" s="46" t="s">
        <v>591</v>
      </c>
      <c r="G1832" s="46" t="s">
        <v>159</v>
      </c>
      <c r="H1832" s="46" t="s">
        <v>592</v>
      </c>
      <c r="I1832" s="46" t="s">
        <v>166</v>
      </c>
      <c r="J1832" s="46"/>
      <c r="K1832" s="46" t="s">
        <v>68</v>
      </c>
      <c r="L1832" s="46"/>
      <c r="M1832" s="46"/>
      <c r="N1832" s="46"/>
      <c r="O1832" s="46"/>
      <c r="P1832" s="46"/>
      <c r="Q1832" s="46"/>
      <c r="R1832" s="46"/>
      <c r="S1832" s="46"/>
      <c r="T1832" s="46"/>
      <c r="U1832" s="46"/>
      <c r="V1832" s="46"/>
      <c r="W1832" s="46"/>
      <c r="X1832" s="46"/>
      <c r="Y1832" s="46"/>
      <c r="Z1832" s="46" t="s">
        <v>1339</v>
      </c>
      <c r="AA1832" s="61">
        <v>20</v>
      </c>
      <c r="AB1832" s="62">
        <f t="shared" si="196"/>
        <v>4444.4444444444443</v>
      </c>
      <c r="AC1832" s="63">
        <f t="shared" si="197"/>
        <v>3.4650666666666665</v>
      </c>
      <c r="AD1832" s="62"/>
      <c r="AE1832" s="62">
        <f t="shared" si="198"/>
        <v>4444.4444444444443</v>
      </c>
      <c r="AF1832" s="64"/>
      <c r="AG1832" s="49">
        <v>0.56999999999999995</v>
      </c>
    </row>
    <row r="1833" spans="1:33" customFormat="1" ht="35.1" customHeight="1" x14ac:dyDescent="0.3">
      <c r="A1833" s="46">
        <v>2386</v>
      </c>
      <c r="B1833" s="46" t="s">
        <v>4719</v>
      </c>
      <c r="C1833" s="46" t="s">
        <v>34</v>
      </c>
      <c r="D1833" s="60">
        <v>2027</v>
      </c>
      <c r="E1833" s="60"/>
      <c r="F1833" s="46" t="s">
        <v>675</v>
      </c>
      <c r="G1833" s="46" t="s">
        <v>3</v>
      </c>
      <c r="H1833" s="46"/>
      <c r="I1833" s="46" t="s">
        <v>166</v>
      </c>
      <c r="J1833" s="46"/>
      <c r="K1833" s="46" t="s">
        <v>68</v>
      </c>
      <c r="L1833" s="46"/>
      <c r="M1833" s="46"/>
      <c r="N1833" s="46"/>
      <c r="O1833" s="46"/>
      <c r="P1833" s="46"/>
      <c r="Q1833" s="46">
        <v>1</v>
      </c>
      <c r="R1833" s="46"/>
      <c r="S1833" s="46"/>
      <c r="T1833" s="46"/>
      <c r="U1833" s="46"/>
      <c r="V1833" s="46"/>
      <c r="W1833" s="46"/>
      <c r="X1833" s="46"/>
      <c r="Y1833" s="46"/>
      <c r="Z1833" s="46" t="s">
        <v>714</v>
      </c>
      <c r="AA1833" s="61">
        <v>2</v>
      </c>
      <c r="AB1833" s="62">
        <f t="shared" si="196"/>
        <v>434.78260869565219</v>
      </c>
      <c r="AC1833" s="63">
        <f t="shared" si="197"/>
        <v>0.33897391304347824</v>
      </c>
      <c r="AD1833" s="62"/>
      <c r="AE1833" s="62">
        <f t="shared" si="198"/>
        <v>434.78260869565219</v>
      </c>
      <c r="AF1833" s="64" t="s">
        <v>4720</v>
      </c>
      <c r="AG1833" s="49">
        <v>0.56999999999999995</v>
      </c>
    </row>
    <row r="1834" spans="1:33" customFormat="1" ht="35.1" customHeight="1" x14ac:dyDescent="0.3">
      <c r="A1834" s="46">
        <v>2387</v>
      </c>
      <c r="B1834" s="46" t="s">
        <v>4721</v>
      </c>
      <c r="C1834" s="46" t="s">
        <v>34</v>
      </c>
      <c r="D1834" s="60">
        <v>2025</v>
      </c>
      <c r="E1834" s="60"/>
      <c r="F1834" s="46" t="s">
        <v>675</v>
      </c>
      <c r="G1834" s="46" t="s">
        <v>3</v>
      </c>
      <c r="H1834" s="46"/>
      <c r="I1834" s="46" t="s">
        <v>166</v>
      </c>
      <c r="J1834" s="46"/>
      <c r="K1834" s="46" t="s">
        <v>68</v>
      </c>
      <c r="L1834" s="46"/>
      <c r="M1834" s="46"/>
      <c r="N1834" s="46"/>
      <c r="O1834" s="46"/>
      <c r="P1834" s="46"/>
      <c r="Q1834" s="46">
        <v>1</v>
      </c>
      <c r="R1834" s="46"/>
      <c r="S1834" s="46"/>
      <c r="T1834" s="46"/>
      <c r="U1834" s="46"/>
      <c r="V1834" s="46"/>
      <c r="W1834" s="46"/>
      <c r="X1834" s="46"/>
      <c r="Y1834" s="46"/>
      <c r="Z1834" s="46" t="s">
        <v>1198</v>
      </c>
      <c r="AA1834" s="61">
        <v>1</v>
      </c>
      <c r="AB1834" s="62">
        <f t="shared" si="196"/>
        <v>217.39130434782609</v>
      </c>
      <c r="AC1834" s="63">
        <f t="shared" si="197"/>
        <v>0.16948695652173912</v>
      </c>
      <c r="AD1834" s="62"/>
      <c r="AE1834" s="62">
        <f t="shared" si="198"/>
        <v>217.39130434782609</v>
      </c>
      <c r="AF1834" s="64" t="s">
        <v>3050</v>
      </c>
      <c r="AG1834" s="49">
        <v>0.56999999999999995</v>
      </c>
    </row>
    <row r="1835" spans="1:33" customFormat="1" ht="35.1" customHeight="1" x14ac:dyDescent="0.3">
      <c r="A1835" s="46">
        <v>2388</v>
      </c>
      <c r="B1835" s="46" t="s">
        <v>4722</v>
      </c>
      <c r="C1835" s="46" t="s">
        <v>34</v>
      </c>
      <c r="D1835" s="60">
        <v>2029</v>
      </c>
      <c r="E1835" s="60"/>
      <c r="F1835" s="46" t="s">
        <v>591</v>
      </c>
      <c r="G1835" s="46" t="s">
        <v>159</v>
      </c>
      <c r="H1835" s="46" t="s">
        <v>592</v>
      </c>
      <c r="I1835" s="46" t="s">
        <v>157</v>
      </c>
      <c r="J1835" s="46"/>
      <c r="K1835" s="46" t="s">
        <v>68</v>
      </c>
      <c r="L1835" s="46"/>
      <c r="M1835" s="46"/>
      <c r="N1835" s="46"/>
      <c r="O1835" s="46"/>
      <c r="P1835" s="46">
        <v>1</v>
      </c>
      <c r="Q1835" s="46">
        <v>1</v>
      </c>
      <c r="R1835" s="46"/>
      <c r="S1835" s="46"/>
      <c r="T1835" s="46"/>
      <c r="U1835" s="46"/>
      <c r="V1835" s="46"/>
      <c r="W1835" s="46"/>
      <c r="X1835" s="46"/>
      <c r="Y1835" s="46"/>
      <c r="Z1835" s="46" t="s">
        <v>1691</v>
      </c>
      <c r="AA1835" s="61">
        <v>200</v>
      </c>
      <c r="AB1835" s="62">
        <f t="shared" si="196"/>
        <v>44444.444444444445</v>
      </c>
      <c r="AC1835" s="63">
        <f t="shared" si="197"/>
        <v>34.650666666666666</v>
      </c>
      <c r="AD1835" s="62"/>
      <c r="AE1835" s="62">
        <f t="shared" si="198"/>
        <v>44444.444444444445</v>
      </c>
      <c r="AF1835" s="64" t="s">
        <v>4723</v>
      </c>
      <c r="AG1835" s="49">
        <v>0.56999999999999995</v>
      </c>
    </row>
    <row r="1836" spans="1:33" customFormat="1" ht="35.1" customHeight="1" x14ac:dyDescent="0.3">
      <c r="A1836" s="46">
        <v>2389</v>
      </c>
      <c r="B1836" s="46" t="s">
        <v>4724</v>
      </c>
      <c r="C1836" s="46" t="s">
        <v>34</v>
      </c>
      <c r="D1836" s="60">
        <v>2026</v>
      </c>
      <c r="E1836" s="60"/>
      <c r="F1836" s="46" t="s">
        <v>591</v>
      </c>
      <c r="G1836" s="46" t="s">
        <v>159</v>
      </c>
      <c r="H1836" s="46" t="s">
        <v>592</v>
      </c>
      <c r="I1836" s="46" t="s">
        <v>157</v>
      </c>
      <c r="J1836" s="46"/>
      <c r="K1836" s="46" t="s">
        <v>68</v>
      </c>
      <c r="L1836" s="46"/>
      <c r="M1836" s="46"/>
      <c r="N1836" s="46"/>
      <c r="O1836" s="46"/>
      <c r="P1836" s="46">
        <v>1</v>
      </c>
      <c r="Q1836" s="46">
        <v>1</v>
      </c>
      <c r="R1836" s="46"/>
      <c r="S1836" s="46"/>
      <c r="T1836" s="46"/>
      <c r="U1836" s="46"/>
      <c r="V1836" s="46"/>
      <c r="W1836" s="46"/>
      <c r="X1836" s="46"/>
      <c r="Y1836" s="46"/>
      <c r="Z1836" s="46" t="s">
        <v>1168</v>
      </c>
      <c r="AA1836" s="61">
        <v>10</v>
      </c>
      <c r="AB1836" s="62">
        <f t="shared" si="196"/>
        <v>2222.2222222222222</v>
      </c>
      <c r="AC1836" s="63">
        <f t="shared" si="197"/>
        <v>1.7325333333333333</v>
      </c>
      <c r="AD1836" s="62"/>
      <c r="AE1836" s="62">
        <f t="shared" si="198"/>
        <v>2222.2222222222222</v>
      </c>
      <c r="AF1836" s="64" t="s">
        <v>4725</v>
      </c>
      <c r="AG1836" s="49">
        <v>0.56999999999999995</v>
      </c>
    </row>
    <row r="1837" spans="1:33" customFormat="1" ht="35.1" customHeight="1" x14ac:dyDescent="0.3">
      <c r="A1837" s="46">
        <v>2390</v>
      </c>
      <c r="B1837" s="46" t="s">
        <v>4726</v>
      </c>
      <c r="C1837" s="46" t="s">
        <v>34</v>
      </c>
      <c r="D1837" s="60">
        <v>2026</v>
      </c>
      <c r="E1837" s="60"/>
      <c r="F1837" s="46" t="s">
        <v>591</v>
      </c>
      <c r="G1837" s="46" t="s">
        <v>159</v>
      </c>
      <c r="H1837" s="46" t="s">
        <v>592</v>
      </c>
      <c r="I1837" s="46" t="s">
        <v>157</v>
      </c>
      <c r="J1837" s="46"/>
      <c r="K1837" s="46" t="s">
        <v>68</v>
      </c>
      <c r="L1837" s="46"/>
      <c r="M1837" s="46"/>
      <c r="N1837" s="46"/>
      <c r="O1837" s="46"/>
      <c r="P1837" s="46">
        <v>1</v>
      </c>
      <c r="Q1837" s="46">
        <v>1</v>
      </c>
      <c r="R1837" s="46"/>
      <c r="S1837" s="46"/>
      <c r="T1837" s="46"/>
      <c r="U1837" s="46"/>
      <c r="V1837" s="46"/>
      <c r="W1837" s="46"/>
      <c r="X1837" s="46"/>
      <c r="Y1837" s="46"/>
      <c r="Z1837" s="46" t="s">
        <v>1168</v>
      </c>
      <c r="AA1837" s="61">
        <v>10</v>
      </c>
      <c r="AB1837" s="62">
        <f t="shared" si="196"/>
        <v>2222.2222222222222</v>
      </c>
      <c r="AC1837" s="63">
        <f t="shared" si="197"/>
        <v>1.7325333333333333</v>
      </c>
      <c r="AD1837" s="62"/>
      <c r="AE1837" s="62">
        <f t="shared" si="198"/>
        <v>2222.2222222222222</v>
      </c>
      <c r="AF1837" s="64" t="s">
        <v>4727</v>
      </c>
      <c r="AG1837" s="49">
        <v>0.56999999999999995</v>
      </c>
    </row>
    <row r="1838" spans="1:33" customFormat="1" ht="35.1" customHeight="1" x14ac:dyDescent="0.3">
      <c r="A1838" s="46">
        <v>2391</v>
      </c>
      <c r="B1838" s="46" t="s">
        <v>4728</v>
      </c>
      <c r="C1838" s="46" t="s">
        <v>34</v>
      </c>
      <c r="D1838" s="60">
        <v>2025</v>
      </c>
      <c r="E1838" s="60"/>
      <c r="F1838" s="46" t="s">
        <v>225</v>
      </c>
      <c r="G1838" s="46" t="s">
        <v>159</v>
      </c>
      <c r="H1838" s="46" t="s">
        <v>592</v>
      </c>
      <c r="I1838" s="46" t="s">
        <v>166</v>
      </c>
      <c r="J1838" s="46"/>
      <c r="K1838" s="46" t="s">
        <v>68</v>
      </c>
      <c r="L1838" s="46"/>
      <c r="M1838" s="46"/>
      <c r="N1838" s="46"/>
      <c r="O1838" s="46"/>
      <c r="P1838" s="46"/>
      <c r="Q1838" s="46">
        <v>1</v>
      </c>
      <c r="R1838" s="46"/>
      <c r="S1838" s="46"/>
      <c r="T1838" s="46"/>
      <c r="U1838" s="46"/>
      <c r="V1838" s="46"/>
      <c r="W1838" s="46"/>
      <c r="X1838" s="46"/>
      <c r="Y1838" s="46"/>
      <c r="Z1838" s="46" t="s">
        <v>981</v>
      </c>
      <c r="AA1838" s="61">
        <v>20</v>
      </c>
      <c r="AB1838" s="62">
        <f t="shared" si="196"/>
        <v>4444.4444444444443</v>
      </c>
      <c r="AC1838" s="63">
        <f t="shared" si="197"/>
        <v>3.4650666666666665</v>
      </c>
      <c r="AD1838" s="62"/>
      <c r="AE1838" s="62">
        <f t="shared" si="198"/>
        <v>4444.4444444444443</v>
      </c>
      <c r="AF1838" s="64" t="s">
        <v>4729</v>
      </c>
      <c r="AG1838" s="49">
        <v>0.56999999999999995</v>
      </c>
    </row>
    <row r="1839" spans="1:33" customFormat="1" ht="35.1" customHeight="1" x14ac:dyDescent="0.3">
      <c r="A1839" s="46">
        <v>2392</v>
      </c>
      <c r="B1839" s="46" t="s">
        <v>4730</v>
      </c>
      <c r="C1839" s="46" t="s">
        <v>34</v>
      </c>
      <c r="D1839" s="60">
        <v>2025</v>
      </c>
      <c r="E1839" s="60"/>
      <c r="F1839" s="46" t="s">
        <v>591</v>
      </c>
      <c r="G1839" s="46" t="s">
        <v>159</v>
      </c>
      <c r="H1839" s="46" t="s">
        <v>592</v>
      </c>
      <c r="I1839" s="46" t="s">
        <v>1317</v>
      </c>
      <c r="J1839" s="46" t="s">
        <v>244</v>
      </c>
      <c r="K1839" s="46" t="s">
        <v>68</v>
      </c>
      <c r="L1839" s="46"/>
      <c r="M1839" s="46"/>
      <c r="N1839" s="46"/>
      <c r="O1839" s="46"/>
      <c r="P1839" s="46"/>
      <c r="Q1839" s="46">
        <v>1</v>
      </c>
      <c r="R1839" s="46"/>
      <c r="S1839" s="46">
        <v>1</v>
      </c>
      <c r="T1839" s="46"/>
      <c r="U1839" s="46">
        <v>1</v>
      </c>
      <c r="V1839" s="46"/>
      <c r="W1839" s="46"/>
      <c r="X1839" s="46"/>
      <c r="Y1839" s="46"/>
      <c r="Z1839" s="46" t="s">
        <v>1396</v>
      </c>
      <c r="AA1839" s="61">
        <v>5</v>
      </c>
      <c r="AB1839" s="62">
        <f t="shared" si="196"/>
        <v>1111.1111111111111</v>
      </c>
      <c r="AC1839" s="63">
        <f t="shared" si="197"/>
        <v>0.86626666666666663</v>
      </c>
      <c r="AD1839" s="62"/>
      <c r="AE1839" s="62">
        <f t="shared" si="198"/>
        <v>1111.1111111111111</v>
      </c>
      <c r="AF1839" s="64" t="s">
        <v>4731</v>
      </c>
      <c r="AG1839" s="49">
        <v>0.7</v>
      </c>
    </row>
    <row r="1840" spans="1:33" customFormat="1" ht="35.1" customHeight="1" x14ac:dyDescent="0.3">
      <c r="A1840" s="46">
        <v>2393</v>
      </c>
      <c r="B1840" s="46" t="s">
        <v>4732</v>
      </c>
      <c r="C1840" s="46" t="s">
        <v>34</v>
      </c>
      <c r="D1840" s="60">
        <v>2025</v>
      </c>
      <c r="E1840" s="60"/>
      <c r="F1840" s="46" t="s">
        <v>591</v>
      </c>
      <c r="G1840" s="46" t="s">
        <v>159</v>
      </c>
      <c r="H1840" s="46" t="s">
        <v>592</v>
      </c>
      <c r="I1840" s="46" t="s">
        <v>169</v>
      </c>
      <c r="J1840" s="46" t="s">
        <v>244</v>
      </c>
      <c r="K1840" s="46" t="s">
        <v>68</v>
      </c>
      <c r="L1840" s="46"/>
      <c r="M1840" s="46"/>
      <c r="N1840" s="46"/>
      <c r="O1840" s="46"/>
      <c r="P1840" s="46"/>
      <c r="Q1840" s="46">
        <v>1</v>
      </c>
      <c r="R1840" s="46"/>
      <c r="S1840" s="46">
        <v>1</v>
      </c>
      <c r="T1840" s="46"/>
      <c r="U1840" s="46">
        <v>1</v>
      </c>
      <c r="V1840" s="46"/>
      <c r="W1840" s="46"/>
      <c r="X1840" s="46"/>
      <c r="Y1840" s="46"/>
      <c r="Z1840" s="46" t="s">
        <v>1396</v>
      </c>
      <c r="AA1840" s="61">
        <v>5</v>
      </c>
      <c r="AB1840" s="62">
        <f t="shared" si="196"/>
        <v>1111.1111111111111</v>
      </c>
      <c r="AC1840" s="63">
        <f t="shared" si="197"/>
        <v>0.86626666666666663</v>
      </c>
      <c r="AD1840" s="62"/>
      <c r="AE1840" s="62">
        <f t="shared" si="198"/>
        <v>1111.1111111111111</v>
      </c>
      <c r="AF1840" s="64" t="s">
        <v>4733</v>
      </c>
      <c r="AG1840" s="49">
        <v>0.3</v>
      </c>
    </row>
    <row r="1841" spans="1:33" customFormat="1" ht="35.1" customHeight="1" x14ac:dyDescent="0.3">
      <c r="A1841" s="46">
        <v>2394</v>
      </c>
      <c r="B1841" s="46" t="s">
        <v>4734</v>
      </c>
      <c r="C1841" s="46" t="s">
        <v>34</v>
      </c>
      <c r="D1841" s="60">
        <v>2026</v>
      </c>
      <c r="E1841" s="60"/>
      <c r="F1841" s="46" t="s">
        <v>591</v>
      </c>
      <c r="G1841" s="46" t="s">
        <v>159</v>
      </c>
      <c r="H1841" s="46" t="s">
        <v>592</v>
      </c>
      <c r="I1841" s="46" t="s">
        <v>166</v>
      </c>
      <c r="J1841" s="46"/>
      <c r="K1841" s="46" t="s">
        <v>68</v>
      </c>
      <c r="L1841" s="46"/>
      <c r="M1841" s="46"/>
      <c r="N1841" s="46"/>
      <c r="O1841" s="46"/>
      <c r="P1841" s="46">
        <v>1</v>
      </c>
      <c r="Q1841" s="46">
        <v>1</v>
      </c>
      <c r="R1841" s="46"/>
      <c r="S1841" s="46"/>
      <c r="T1841" s="46"/>
      <c r="U1841" s="46"/>
      <c r="V1841" s="46"/>
      <c r="W1841" s="46"/>
      <c r="X1841" s="46"/>
      <c r="Y1841" s="46"/>
      <c r="Z1841" s="46" t="s">
        <v>2294</v>
      </c>
      <c r="AA1841" s="61">
        <v>9</v>
      </c>
      <c r="AB1841" s="62">
        <f t="shared" si="196"/>
        <v>2000.0000000000002</v>
      </c>
      <c r="AC1841" s="63">
        <f t="shared" si="197"/>
        <v>1.55928</v>
      </c>
      <c r="AD1841" s="62"/>
      <c r="AE1841" s="62">
        <f t="shared" si="198"/>
        <v>2000.0000000000002</v>
      </c>
      <c r="AF1841" s="64" t="s">
        <v>4735</v>
      </c>
      <c r="AG1841" s="49">
        <v>0.56999999999999995</v>
      </c>
    </row>
    <row r="1842" spans="1:33" customFormat="1" ht="35.1" customHeight="1" x14ac:dyDescent="0.3">
      <c r="A1842" s="46">
        <v>2395</v>
      </c>
      <c r="B1842" s="46" t="s">
        <v>4736</v>
      </c>
      <c r="C1842" s="46" t="s">
        <v>34</v>
      </c>
      <c r="D1842" s="60">
        <v>2028</v>
      </c>
      <c r="E1842" s="60"/>
      <c r="F1842" s="46" t="s">
        <v>591</v>
      </c>
      <c r="G1842" s="46" t="s">
        <v>159</v>
      </c>
      <c r="H1842" s="46" t="s">
        <v>592</v>
      </c>
      <c r="I1842" s="46" t="s">
        <v>166</v>
      </c>
      <c r="J1842" s="46"/>
      <c r="K1842" s="46" t="s">
        <v>68</v>
      </c>
      <c r="L1842" s="46"/>
      <c r="M1842" s="46"/>
      <c r="N1842" s="46"/>
      <c r="O1842" s="46"/>
      <c r="P1842" s="46"/>
      <c r="Q1842" s="46">
        <v>1</v>
      </c>
      <c r="R1842" s="46"/>
      <c r="S1842" s="46"/>
      <c r="T1842" s="46"/>
      <c r="U1842" s="46"/>
      <c r="V1842" s="46"/>
      <c r="W1842" s="46"/>
      <c r="X1842" s="46"/>
      <c r="Y1842" s="46"/>
      <c r="Z1842" s="46" t="s">
        <v>1691</v>
      </c>
      <c r="AA1842" s="61">
        <v>200</v>
      </c>
      <c r="AB1842" s="62">
        <f t="shared" si="196"/>
        <v>44444.444444444445</v>
      </c>
      <c r="AC1842" s="63">
        <f t="shared" si="197"/>
        <v>34.650666666666666</v>
      </c>
      <c r="AD1842" s="62"/>
      <c r="AE1842" s="62">
        <f t="shared" si="198"/>
        <v>44444.444444444445</v>
      </c>
      <c r="AF1842" s="64" t="s">
        <v>4737</v>
      </c>
      <c r="AG1842" s="49">
        <v>0.56999999999999995</v>
      </c>
    </row>
    <row r="1843" spans="1:33" customFormat="1" ht="35.1" customHeight="1" x14ac:dyDescent="0.3">
      <c r="A1843" s="46">
        <v>2396</v>
      </c>
      <c r="B1843" s="46" t="s">
        <v>4738</v>
      </c>
      <c r="C1843" s="46" t="s">
        <v>34</v>
      </c>
      <c r="D1843" s="60">
        <v>2030</v>
      </c>
      <c r="E1843" s="60"/>
      <c r="F1843" s="46" t="s">
        <v>591</v>
      </c>
      <c r="G1843" s="46" t="s">
        <v>159</v>
      </c>
      <c r="H1843" s="46" t="s">
        <v>592</v>
      </c>
      <c r="I1843" s="46" t="s">
        <v>166</v>
      </c>
      <c r="J1843" s="46"/>
      <c r="K1843" s="46" t="s">
        <v>68</v>
      </c>
      <c r="L1843" s="46"/>
      <c r="M1843" s="46"/>
      <c r="N1843" s="46"/>
      <c r="O1843" s="46"/>
      <c r="P1843" s="46"/>
      <c r="Q1843" s="46">
        <v>1</v>
      </c>
      <c r="R1843" s="46"/>
      <c r="S1843" s="46"/>
      <c r="T1843" s="46"/>
      <c r="U1843" s="46"/>
      <c r="V1843" s="46"/>
      <c r="W1843" s="46"/>
      <c r="X1843" s="46"/>
      <c r="Y1843" s="46"/>
      <c r="Z1843" s="46" t="s">
        <v>2917</v>
      </c>
      <c r="AA1843" s="61">
        <f>400-200</f>
        <v>200</v>
      </c>
      <c r="AB1843" s="62">
        <f t="shared" si="196"/>
        <v>44444.444444444445</v>
      </c>
      <c r="AC1843" s="63">
        <f t="shared" si="197"/>
        <v>34.650666666666666</v>
      </c>
      <c r="AD1843" s="62"/>
      <c r="AE1843" s="62">
        <f t="shared" si="198"/>
        <v>44444.444444444445</v>
      </c>
      <c r="AF1843" s="64" t="s">
        <v>4737</v>
      </c>
      <c r="AG1843" s="49">
        <v>0.56999999999999995</v>
      </c>
    </row>
    <row r="1844" spans="1:33" customFormat="1" ht="35.1" customHeight="1" x14ac:dyDescent="0.3">
      <c r="A1844" s="46">
        <v>2397</v>
      </c>
      <c r="B1844" s="46" t="s">
        <v>4739</v>
      </c>
      <c r="C1844" s="46" t="s">
        <v>34</v>
      </c>
      <c r="D1844" s="60">
        <v>2028</v>
      </c>
      <c r="E1844" s="60"/>
      <c r="F1844" s="46" t="s">
        <v>591</v>
      </c>
      <c r="G1844" s="46" t="s">
        <v>159</v>
      </c>
      <c r="H1844" s="46" t="s">
        <v>592</v>
      </c>
      <c r="I1844" s="46" t="s">
        <v>157</v>
      </c>
      <c r="J1844" s="46" t="s">
        <v>69</v>
      </c>
      <c r="K1844" s="46" t="s">
        <v>68</v>
      </c>
      <c r="L1844" s="46"/>
      <c r="M1844" s="46"/>
      <c r="N1844" s="46"/>
      <c r="O1844" s="46"/>
      <c r="P1844" s="46"/>
      <c r="Q1844" s="46"/>
      <c r="R1844" s="46"/>
      <c r="S1844" s="46"/>
      <c r="T1844" s="46"/>
      <c r="U1844" s="46"/>
      <c r="V1844" s="46"/>
      <c r="W1844" s="46"/>
      <c r="X1844" s="46"/>
      <c r="Y1844" s="46"/>
      <c r="Z1844" s="46" t="s">
        <v>1691</v>
      </c>
      <c r="AA1844" s="61">
        <v>200</v>
      </c>
      <c r="AB1844" s="62">
        <f t="shared" si="196"/>
        <v>44444.444444444445</v>
      </c>
      <c r="AC1844" s="63">
        <f t="shared" si="197"/>
        <v>34.650666666666666</v>
      </c>
      <c r="AD1844" s="62"/>
      <c r="AE1844" s="62">
        <f t="shared" si="198"/>
        <v>44444.444444444445</v>
      </c>
      <c r="AF1844" s="64" t="s">
        <v>4740</v>
      </c>
      <c r="AG1844" s="49">
        <v>0.56999999999999995</v>
      </c>
    </row>
    <row r="1845" spans="1:33" customFormat="1" ht="35.1" customHeight="1" x14ac:dyDescent="0.3">
      <c r="A1845" s="46">
        <v>2398</v>
      </c>
      <c r="B1845" s="46" t="s">
        <v>4741</v>
      </c>
      <c r="C1845" s="46" t="s">
        <v>34</v>
      </c>
      <c r="D1845" s="60">
        <v>2028</v>
      </c>
      <c r="E1845" s="60"/>
      <c r="F1845" s="46" t="s">
        <v>591</v>
      </c>
      <c r="G1845" s="46" t="s">
        <v>159</v>
      </c>
      <c r="H1845" s="46" t="s">
        <v>592</v>
      </c>
      <c r="I1845" s="46" t="s">
        <v>157</v>
      </c>
      <c r="J1845" s="46" t="s">
        <v>69</v>
      </c>
      <c r="K1845" s="46" t="s">
        <v>68</v>
      </c>
      <c r="L1845" s="46"/>
      <c r="M1845" s="46"/>
      <c r="N1845" s="46"/>
      <c r="O1845" s="46"/>
      <c r="P1845" s="46"/>
      <c r="Q1845" s="46"/>
      <c r="R1845" s="46"/>
      <c r="S1845" s="46"/>
      <c r="T1845" s="46"/>
      <c r="U1845" s="46"/>
      <c r="V1845" s="46"/>
      <c r="W1845" s="46"/>
      <c r="X1845" s="46"/>
      <c r="Y1845" s="46"/>
      <c r="Z1845" s="46" t="s">
        <v>2917</v>
      </c>
      <c r="AA1845" s="61">
        <f>400-200</f>
        <v>200</v>
      </c>
      <c r="AB1845" s="62">
        <f t="shared" si="196"/>
        <v>44444.444444444445</v>
      </c>
      <c r="AC1845" s="63">
        <f t="shared" si="197"/>
        <v>34.650666666666666</v>
      </c>
      <c r="AD1845" s="62"/>
      <c r="AE1845" s="62">
        <f t="shared" si="198"/>
        <v>44444.444444444445</v>
      </c>
      <c r="AF1845" s="64" t="s">
        <v>4740</v>
      </c>
      <c r="AG1845" s="49">
        <v>0.56999999999999995</v>
      </c>
    </row>
    <row r="1846" spans="1:33" customFormat="1" ht="35.1" customHeight="1" x14ac:dyDescent="0.3">
      <c r="A1846" s="46">
        <v>2399</v>
      </c>
      <c r="B1846" s="46" t="s">
        <v>4742</v>
      </c>
      <c r="C1846" s="46" t="s">
        <v>34</v>
      </c>
      <c r="D1846" s="60">
        <v>2030</v>
      </c>
      <c r="E1846" s="60"/>
      <c r="F1846" s="46" t="s">
        <v>591</v>
      </c>
      <c r="G1846" s="46" t="s">
        <v>1</v>
      </c>
      <c r="H1846" s="46"/>
      <c r="I1846" s="46" t="s">
        <v>169</v>
      </c>
      <c r="J1846" s="46" t="s">
        <v>244</v>
      </c>
      <c r="K1846" s="46" t="s">
        <v>68</v>
      </c>
      <c r="L1846" s="46"/>
      <c r="M1846" s="46"/>
      <c r="N1846" s="46"/>
      <c r="O1846" s="46"/>
      <c r="P1846" s="46"/>
      <c r="Q1846" s="46"/>
      <c r="R1846" s="46"/>
      <c r="S1846" s="46"/>
      <c r="T1846" s="46"/>
      <c r="U1846" s="46"/>
      <c r="V1846" s="46"/>
      <c r="W1846" s="46"/>
      <c r="X1846" s="46"/>
      <c r="Y1846" s="46"/>
      <c r="Z1846" s="46" t="s">
        <v>1168</v>
      </c>
      <c r="AA1846" s="61">
        <v>10</v>
      </c>
      <c r="AB1846" s="62">
        <f t="shared" si="196"/>
        <v>1923.0769230769231</v>
      </c>
      <c r="AC1846" s="63">
        <f t="shared" si="197"/>
        <v>1.4993076923076922</v>
      </c>
      <c r="AD1846" s="62"/>
      <c r="AE1846" s="62">
        <f t="shared" si="198"/>
        <v>1923.0769230769231</v>
      </c>
      <c r="AF1846" s="64" t="s">
        <v>4743</v>
      </c>
      <c r="AG1846" s="49">
        <v>0.3</v>
      </c>
    </row>
    <row r="1847" spans="1:33" customFormat="1" ht="35.1" customHeight="1" x14ac:dyDescent="0.3">
      <c r="A1847" s="46">
        <v>2400</v>
      </c>
      <c r="B1847" s="46" t="s">
        <v>4744</v>
      </c>
      <c r="C1847" s="46" t="s">
        <v>34</v>
      </c>
      <c r="D1847" s="60">
        <v>2025</v>
      </c>
      <c r="E1847" s="60"/>
      <c r="F1847" s="46" t="s">
        <v>591</v>
      </c>
      <c r="G1847" s="46" t="s">
        <v>159</v>
      </c>
      <c r="H1847" s="46" t="s">
        <v>592</v>
      </c>
      <c r="I1847" s="46" t="s">
        <v>169</v>
      </c>
      <c r="J1847" s="46" t="s">
        <v>244</v>
      </c>
      <c r="K1847" s="46" t="s">
        <v>68</v>
      </c>
      <c r="L1847" s="46"/>
      <c r="M1847" s="46"/>
      <c r="N1847" s="46"/>
      <c r="O1847" s="46"/>
      <c r="P1847" s="46"/>
      <c r="Q1847" s="46"/>
      <c r="R1847" s="46"/>
      <c r="S1847" s="46"/>
      <c r="T1847" s="46"/>
      <c r="U1847" s="46"/>
      <c r="V1847" s="46"/>
      <c r="W1847" s="46"/>
      <c r="X1847" s="46"/>
      <c r="Y1847" s="46"/>
      <c r="Z1847" s="46" t="s">
        <v>964</v>
      </c>
      <c r="AA1847" s="61">
        <v>30</v>
      </c>
      <c r="AB1847" s="62">
        <f t="shared" si="196"/>
        <v>6666.666666666667</v>
      </c>
      <c r="AC1847" s="63">
        <f t="shared" si="197"/>
        <v>5.1976000000000004</v>
      </c>
      <c r="AD1847" s="62"/>
      <c r="AE1847" s="62">
        <f t="shared" si="198"/>
        <v>6666.666666666667</v>
      </c>
      <c r="AF1847" s="64" t="s">
        <v>4745</v>
      </c>
      <c r="AG1847" s="49">
        <v>0.3</v>
      </c>
    </row>
    <row r="1848" spans="1:33" customFormat="1" ht="35.1" customHeight="1" x14ac:dyDescent="0.3">
      <c r="A1848" s="46">
        <v>2401</v>
      </c>
      <c r="B1848" s="46" t="s">
        <v>4746</v>
      </c>
      <c r="C1848" s="46" t="s">
        <v>34</v>
      </c>
      <c r="D1848" s="60">
        <v>2025</v>
      </c>
      <c r="E1848" s="60"/>
      <c r="F1848" s="46" t="s">
        <v>591</v>
      </c>
      <c r="G1848" s="46" t="s">
        <v>159</v>
      </c>
      <c r="H1848" s="46" t="s">
        <v>592</v>
      </c>
      <c r="I1848" s="46" t="s">
        <v>169</v>
      </c>
      <c r="J1848" s="46" t="s">
        <v>244</v>
      </c>
      <c r="K1848" s="46" t="s">
        <v>68</v>
      </c>
      <c r="L1848" s="46"/>
      <c r="M1848" s="46"/>
      <c r="N1848" s="46"/>
      <c r="O1848" s="46"/>
      <c r="P1848" s="46">
        <v>1</v>
      </c>
      <c r="Q1848" s="46">
        <v>1</v>
      </c>
      <c r="R1848" s="46"/>
      <c r="S1848" s="46"/>
      <c r="T1848" s="46"/>
      <c r="U1848" s="46"/>
      <c r="V1848" s="46"/>
      <c r="W1848" s="46"/>
      <c r="X1848" s="46"/>
      <c r="Y1848" s="46"/>
      <c r="Z1848" s="46" t="s">
        <v>1350</v>
      </c>
      <c r="AA1848" s="61">
        <v>60</v>
      </c>
      <c r="AB1848" s="62">
        <f t="shared" si="196"/>
        <v>13333.333333333334</v>
      </c>
      <c r="AC1848" s="63">
        <f t="shared" si="197"/>
        <v>10.395200000000001</v>
      </c>
      <c r="AD1848" s="62"/>
      <c r="AE1848" s="62">
        <f t="shared" si="198"/>
        <v>13333.333333333334</v>
      </c>
      <c r="AF1848" s="64" t="s">
        <v>4747</v>
      </c>
      <c r="AG1848" s="49">
        <v>0.3</v>
      </c>
    </row>
    <row r="1849" spans="1:33" customFormat="1" ht="35.1" customHeight="1" x14ac:dyDescent="0.3">
      <c r="A1849" s="46">
        <v>2402</v>
      </c>
      <c r="B1849" s="46" t="s">
        <v>4748</v>
      </c>
      <c r="C1849" s="46" t="s">
        <v>34</v>
      </c>
      <c r="D1849" s="60">
        <v>2023</v>
      </c>
      <c r="E1849" s="60"/>
      <c r="F1849" s="46" t="s">
        <v>675</v>
      </c>
      <c r="G1849" s="46" t="s">
        <v>163</v>
      </c>
      <c r="H1849" s="46" t="s">
        <v>1805</v>
      </c>
      <c r="I1849" s="46"/>
      <c r="J1849" s="46"/>
      <c r="K1849" s="46" t="s">
        <v>68</v>
      </c>
      <c r="L1849" s="46"/>
      <c r="M1849" s="46"/>
      <c r="N1849" s="46"/>
      <c r="O1849" s="46"/>
      <c r="P1849" s="46"/>
      <c r="Q1849" s="46"/>
      <c r="R1849" s="46"/>
      <c r="S1849" s="46"/>
      <c r="T1849" s="46"/>
      <c r="U1849" s="46"/>
      <c r="V1849" s="46"/>
      <c r="W1849" s="46"/>
      <c r="X1849" s="46"/>
      <c r="Y1849" s="46"/>
      <c r="Z1849" s="46" t="s">
        <v>4749</v>
      </c>
      <c r="AA1849" s="62"/>
      <c r="AB1849" s="62">
        <f>AC1849/(H2dens*HoursInYear/10^6)</f>
        <v>156.76751093097099</v>
      </c>
      <c r="AC1849" s="62">
        <f>110/1000/H2ProjectDB4578610[[#This Row],[Column33]]</f>
        <v>0.12222222222222222</v>
      </c>
      <c r="AD1849" s="62"/>
      <c r="AE1849" s="62">
        <f t="shared" si="198"/>
        <v>156.76751093097099</v>
      </c>
      <c r="AF1849" s="64" t="s">
        <v>4750</v>
      </c>
      <c r="AG1849" s="49">
        <v>0.9</v>
      </c>
    </row>
    <row r="1850" spans="1:33" customFormat="1" ht="35.1" customHeight="1" x14ac:dyDescent="0.3">
      <c r="A1850" s="46">
        <v>2403</v>
      </c>
      <c r="B1850" s="46" t="s">
        <v>4751</v>
      </c>
      <c r="C1850" s="46" t="s">
        <v>34</v>
      </c>
      <c r="D1850" s="60">
        <v>2024</v>
      </c>
      <c r="E1850" s="60"/>
      <c r="F1850" s="46" t="s">
        <v>225</v>
      </c>
      <c r="G1850" s="46" t="s">
        <v>159</v>
      </c>
      <c r="H1850" s="46" t="s">
        <v>592</v>
      </c>
      <c r="I1850" s="46" t="s">
        <v>166</v>
      </c>
      <c r="J1850" s="46"/>
      <c r="K1850" s="46" t="s">
        <v>68</v>
      </c>
      <c r="L1850" s="46"/>
      <c r="M1850" s="46"/>
      <c r="N1850" s="46"/>
      <c r="O1850" s="46"/>
      <c r="P1850" s="46"/>
      <c r="Q1850" s="46">
        <v>1</v>
      </c>
      <c r="R1850" s="46"/>
      <c r="S1850" s="46"/>
      <c r="T1850" s="46"/>
      <c r="U1850" s="46"/>
      <c r="V1850" s="46"/>
      <c r="W1850" s="46"/>
      <c r="X1850" s="46"/>
      <c r="Y1850" s="46"/>
      <c r="Z1850" s="46" t="s">
        <v>708</v>
      </c>
      <c r="AA1850" s="61">
        <v>1</v>
      </c>
      <c r="AB1850" s="62">
        <f>IF(OR(G1850="ALK",G1850="PEM",G1850="SOEC",G1850="Other Electrolysis"),
AA1850/VLOOKUP(G1850,ElectrolysisConvF,3,FALSE),
AC1850*10^6/(H2dens*HoursInYear))</f>
        <v>222.22222222222223</v>
      </c>
      <c r="AC1850" s="63">
        <f>AB1850*H2dens*HoursInYear/10^6</f>
        <v>0.17325333333333334</v>
      </c>
      <c r="AD1850" s="62"/>
      <c r="AE1850" s="62">
        <f t="shared" si="198"/>
        <v>222.22222222222223</v>
      </c>
      <c r="AF1850" s="64" t="s">
        <v>4752</v>
      </c>
      <c r="AG1850" s="49">
        <v>0.56999999999999995</v>
      </c>
    </row>
    <row r="1851" spans="1:33" customFormat="1" ht="35.1" customHeight="1" x14ac:dyDescent="0.3">
      <c r="A1851" s="46">
        <v>2404</v>
      </c>
      <c r="B1851" s="46" t="s">
        <v>4753</v>
      </c>
      <c r="C1851" s="46" t="s">
        <v>34</v>
      </c>
      <c r="D1851" s="60">
        <v>2024</v>
      </c>
      <c r="E1851" s="60"/>
      <c r="F1851" s="46" t="s">
        <v>225</v>
      </c>
      <c r="G1851" s="46" t="s">
        <v>159</v>
      </c>
      <c r="H1851" s="46" t="s">
        <v>592</v>
      </c>
      <c r="I1851" s="46" t="s">
        <v>166</v>
      </c>
      <c r="J1851" s="46"/>
      <c r="K1851" s="46" t="s">
        <v>68</v>
      </c>
      <c r="L1851" s="46"/>
      <c r="M1851" s="46"/>
      <c r="N1851" s="46"/>
      <c r="O1851" s="46"/>
      <c r="P1851" s="46"/>
      <c r="Q1851" s="46">
        <v>1</v>
      </c>
      <c r="R1851" s="46"/>
      <c r="S1851" s="46"/>
      <c r="T1851" s="46"/>
      <c r="U1851" s="46"/>
      <c r="V1851" s="46"/>
      <c r="W1851" s="46"/>
      <c r="X1851" s="46"/>
      <c r="Y1851" s="46"/>
      <c r="Z1851" s="46" t="s">
        <v>708</v>
      </c>
      <c r="AA1851" s="61">
        <v>1</v>
      </c>
      <c r="AB1851" s="62">
        <f>IF(OR(G1851="ALK",G1851="PEM",G1851="SOEC",G1851="Other Electrolysis"),
AA1851/VLOOKUP(G1851,ElectrolysisConvF,3,FALSE),
AC1851*10^6/(H2dens*HoursInYear))</f>
        <v>222.22222222222223</v>
      </c>
      <c r="AC1851" s="63">
        <f>AB1851*H2dens*HoursInYear/10^6</f>
        <v>0.17325333333333334</v>
      </c>
      <c r="AD1851" s="62"/>
      <c r="AE1851" s="62">
        <f t="shared" si="198"/>
        <v>222.22222222222223</v>
      </c>
      <c r="AF1851" s="64" t="s">
        <v>4752</v>
      </c>
      <c r="AG1851" s="49">
        <v>0.56999999999999995</v>
      </c>
    </row>
    <row r="1852" spans="1:33" customFormat="1" ht="35.1" customHeight="1" x14ac:dyDescent="0.3">
      <c r="A1852" s="46">
        <v>2405</v>
      </c>
      <c r="B1852" s="46" t="s">
        <v>4754</v>
      </c>
      <c r="C1852" s="46" t="s">
        <v>34</v>
      </c>
      <c r="D1852" s="60">
        <v>2024</v>
      </c>
      <c r="E1852" s="60"/>
      <c r="F1852" s="46" t="s">
        <v>225</v>
      </c>
      <c r="G1852" s="46" t="s">
        <v>159</v>
      </c>
      <c r="H1852" s="46" t="s">
        <v>592</v>
      </c>
      <c r="I1852" s="46" t="s">
        <v>166</v>
      </c>
      <c r="J1852" s="46"/>
      <c r="K1852" s="46" t="s">
        <v>68</v>
      </c>
      <c r="L1852" s="46"/>
      <c r="M1852" s="46"/>
      <c r="N1852" s="46"/>
      <c r="O1852" s="46"/>
      <c r="P1852" s="46"/>
      <c r="Q1852" s="46">
        <v>1</v>
      </c>
      <c r="R1852" s="46"/>
      <c r="S1852" s="46"/>
      <c r="T1852" s="46"/>
      <c r="U1852" s="46"/>
      <c r="V1852" s="46"/>
      <c r="W1852" s="46"/>
      <c r="X1852" s="46"/>
      <c r="Y1852" s="46"/>
      <c r="Z1852" s="46"/>
      <c r="AA1852" s="61">
        <f>IF(OR(G1852="ALK",G1852="PEM",G1852="SOEC",G1852="Other Electrolysis"),
AB1852*VLOOKUP(G1852,ElectrolysisConvF,3,FALSE),
"")</f>
        <v>0</v>
      </c>
      <c r="AB1852" s="62"/>
      <c r="AC1852" s="62"/>
      <c r="AD1852" s="62"/>
      <c r="AE1852" s="62">
        <f t="shared" si="198"/>
        <v>0</v>
      </c>
      <c r="AF1852" s="64" t="s">
        <v>4755</v>
      </c>
      <c r="AG1852" s="49">
        <v>0.56999999999999995</v>
      </c>
    </row>
    <row r="1853" spans="1:33" customFormat="1" ht="35.1" customHeight="1" x14ac:dyDescent="0.3">
      <c r="A1853" s="46">
        <v>2406</v>
      </c>
      <c r="B1853" s="46" t="s">
        <v>4756</v>
      </c>
      <c r="C1853" s="46" t="s">
        <v>34</v>
      </c>
      <c r="D1853" s="60">
        <v>2024</v>
      </c>
      <c r="E1853" s="60"/>
      <c r="F1853" s="46" t="s">
        <v>225</v>
      </c>
      <c r="G1853" s="46" t="s">
        <v>159</v>
      </c>
      <c r="H1853" s="46" t="s">
        <v>592</v>
      </c>
      <c r="I1853" s="46" t="s">
        <v>166</v>
      </c>
      <c r="J1853" s="46"/>
      <c r="K1853" s="46" t="s">
        <v>68</v>
      </c>
      <c r="L1853" s="46"/>
      <c r="M1853" s="46"/>
      <c r="N1853" s="46"/>
      <c r="O1853" s="46"/>
      <c r="P1853" s="46"/>
      <c r="Q1853" s="46">
        <v>1</v>
      </c>
      <c r="R1853" s="46"/>
      <c r="S1853" s="46"/>
      <c r="T1853" s="46"/>
      <c r="U1853" s="46"/>
      <c r="V1853" s="46"/>
      <c r="W1853" s="46"/>
      <c r="X1853" s="46"/>
      <c r="Y1853" s="46"/>
      <c r="Z1853" s="46"/>
      <c r="AA1853" s="61">
        <f>IF(OR(G1853="ALK",G1853="PEM",G1853="SOEC",G1853="Other Electrolysis"),
AB1853*VLOOKUP(G1853,ElectrolysisConvF,3,FALSE),
"")</f>
        <v>0</v>
      </c>
      <c r="AB1853" s="62"/>
      <c r="AC1853" s="62"/>
      <c r="AD1853" s="62"/>
      <c r="AE1853" s="62">
        <f t="shared" si="198"/>
        <v>0</v>
      </c>
      <c r="AF1853" s="64" t="s">
        <v>4755</v>
      </c>
      <c r="AG1853" s="49">
        <v>0.56999999999999995</v>
      </c>
    </row>
    <row r="1854" spans="1:33" customFormat="1" ht="35.1" customHeight="1" x14ac:dyDescent="0.3">
      <c r="A1854" s="46">
        <v>2407</v>
      </c>
      <c r="B1854" s="46" t="s">
        <v>4757</v>
      </c>
      <c r="C1854" s="46" t="s">
        <v>34</v>
      </c>
      <c r="D1854" s="60">
        <v>2028</v>
      </c>
      <c r="E1854" s="60"/>
      <c r="F1854" s="46" t="s">
        <v>591</v>
      </c>
      <c r="G1854" s="46" t="s">
        <v>159</v>
      </c>
      <c r="H1854" s="46" t="s">
        <v>592</v>
      </c>
      <c r="I1854" s="46" t="s">
        <v>157</v>
      </c>
      <c r="J1854" s="46" t="s">
        <v>69</v>
      </c>
      <c r="K1854" s="46" t="s">
        <v>140</v>
      </c>
      <c r="L1854" s="46"/>
      <c r="M1854" s="46"/>
      <c r="N1854" s="46">
        <v>1</v>
      </c>
      <c r="O1854" s="46"/>
      <c r="P1854" s="46">
        <v>1</v>
      </c>
      <c r="Q1854" s="46">
        <v>1</v>
      </c>
      <c r="R1854" s="46"/>
      <c r="S1854" s="46"/>
      <c r="T1854" s="46"/>
      <c r="U1854" s="46"/>
      <c r="V1854" s="46"/>
      <c r="W1854" s="46"/>
      <c r="X1854" s="46"/>
      <c r="Y1854" s="46"/>
      <c r="Z1854" s="46" t="s">
        <v>4758</v>
      </c>
      <c r="AA1854" s="61">
        <v>210</v>
      </c>
      <c r="AB1854" s="62">
        <f>IF(OR(G1854="ALK",G1854="PEM",G1854="SOEC",G1854="Other Electrolysis"),
AA1854/VLOOKUP(G1854,ElectrolysisConvF,3,FALSE),
AC1854*10^6/(H2dens*HoursInYear))</f>
        <v>46666.666666666672</v>
      </c>
      <c r="AC1854" s="63">
        <f>AB1854*H2dens*HoursInYear/10^6</f>
        <v>36.383200000000009</v>
      </c>
      <c r="AD1854" s="62"/>
      <c r="AE1854" s="62">
        <f t="shared" si="198"/>
        <v>46666.666666666672</v>
      </c>
      <c r="AF1854" s="64" t="s">
        <v>4759</v>
      </c>
      <c r="AG1854" s="49">
        <v>0.56999999999999995</v>
      </c>
    </row>
    <row r="1855" spans="1:33" customFormat="1" ht="35.1" customHeight="1" x14ac:dyDescent="0.3">
      <c r="A1855" s="46">
        <v>2408</v>
      </c>
      <c r="B1855" s="46" t="s">
        <v>4760</v>
      </c>
      <c r="C1855" s="46" t="s">
        <v>34</v>
      </c>
      <c r="D1855" s="60">
        <v>2027</v>
      </c>
      <c r="E1855" s="60"/>
      <c r="F1855" s="46" t="s">
        <v>591</v>
      </c>
      <c r="G1855" s="46" t="s">
        <v>159</v>
      </c>
      <c r="H1855" s="46" t="s">
        <v>592</v>
      </c>
      <c r="I1855" s="46" t="s">
        <v>157</v>
      </c>
      <c r="J1855" s="46" t="s">
        <v>69</v>
      </c>
      <c r="K1855" s="46" t="s">
        <v>68</v>
      </c>
      <c r="L1855" s="46"/>
      <c r="M1855" s="46"/>
      <c r="N1855" s="46"/>
      <c r="O1855" s="46"/>
      <c r="P1855" s="46"/>
      <c r="Q1855" s="46">
        <v>1</v>
      </c>
      <c r="R1855" s="46"/>
      <c r="S1855" s="46"/>
      <c r="T1855" s="46"/>
      <c r="U1855" s="46"/>
      <c r="V1855" s="46"/>
      <c r="W1855" s="46"/>
      <c r="X1855" s="46"/>
      <c r="Y1855" s="46"/>
      <c r="Z1855" s="46" t="s">
        <v>3956</v>
      </c>
      <c r="AA1855" s="62">
        <f>IF(OR(G1855="ALK",G1855="PEM",G1855="SOEC",G1855="Other Electrolysis"),
AB1855*VLOOKUP(G1855,ElectrolysisConvF,3,FALSE),
"")</f>
        <v>30.378393266527873</v>
      </c>
      <c r="AB1855" s="62">
        <f>AC1855/(H2dens*HoursInYear/10^6)</f>
        <v>6750.7540592284167</v>
      </c>
      <c r="AC1855" s="62">
        <f>(3000/1000/H2ProjectDB4578610[[#This Row],[Column33]])</f>
        <v>5.2631578947368425</v>
      </c>
      <c r="AD1855" s="62"/>
      <c r="AE1855" s="62">
        <f t="shared" si="198"/>
        <v>6750.7540592284167</v>
      </c>
      <c r="AF1855" s="64" t="s">
        <v>4761</v>
      </c>
      <c r="AG1855" s="49">
        <v>0.56999999999999995</v>
      </c>
    </row>
    <row r="1856" spans="1:33" customFormat="1" ht="35.1" customHeight="1" x14ac:dyDescent="0.3">
      <c r="A1856" s="46">
        <v>2409</v>
      </c>
      <c r="B1856" s="46" t="s">
        <v>4762</v>
      </c>
      <c r="C1856" s="46" t="s">
        <v>34</v>
      </c>
      <c r="D1856" s="60">
        <v>2028</v>
      </c>
      <c r="E1856" s="60"/>
      <c r="F1856" s="46" t="s">
        <v>591</v>
      </c>
      <c r="G1856" s="46" t="s">
        <v>159</v>
      </c>
      <c r="H1856" s="46" t="s">
        <v>592</v>
      </c>
      <c r="I1856" s="46" t="s">
        <v>157</v>
      </c>
      <c r="J1856" s="46" t="s">
        <v>69</v>
      </c>
      <c r="K1856" s="46" t="s">
        <v>68</v>
      </c>
      <c r="L1856" s="46"/>
      <c r="M1856" s="46"/>
      <c r="N1856" s="46"/>
      <c r="O1856" s="46"/>
      <c r="P1856" s="46"/>
      <c r="Q1856" s="46">
        <v>1</v>
      </c>
      <c r="R1856" s="46"/>
      <c r="S1856" s="46"/>
      <c r="T1856" s="46"/>
      <c r="U1856" s="46"/>
      <c r="V1856" s="46"/>
      <c r="W1856" s="46">
        <v>1</v>
      </c>
      <c r="X1856" s="46"/>
      <c r="Y1856" s="46"/>
      <c r="Z1856" s="46" t="s">
        <v>4053</v>
      </c>
      <c r="AA1856" s="61">
        <v>250</v>
      </c>
      <c r="AB1856" s="62">
        <f>IF(OR(G1856="ALK",G1856="PEM",G1856="SOEC",G1856="Other Electrolysis"),
AA1856/VLOOKUP(G1856,ElectrolysisConvF,3,FALSE),
AC1856*10^6/(H2dens*HoursInYear))</f>
        <v>55555.555555555562</v>
      </c>
      <c r="AC1856" s="63">
        <f>AB1856*H2dens*HoursInYear/10^6</f>
        <v>43.313333333333333</v>
      </c>
      <c r="AD1856" s="62"/>
      <c r="AE1856" s="62">
        <f t="shared" si="198"/>
        <v>55555.555555555562</v>
      </c>
      <c r="AF1856" s="64" t="s">
        <v>4763</v>
      </c>
      <c r="AG1856" s="49">
        <v>0.56999999999999995</v>
      </c>
    </row>
    <row r="1857" spans="1:33" customFormat="1" ht="35.1" customHeight="1" x14ac:dyDescent="0.3">
      <c r="A1857" s="46">
        <v>2410</v>
      </c>
      <c r="B1857" s="46" t="s">
        <v>4764</v>
      </c>
      <c r="C1857" s="46" t="s">
        <v>40</v>
      </c>
      <c r="D1857" s="60">
        <v>2022</v>
      </c>
      <c r="E1857" s="60"/>
      <c r="F1857" s="46" t="s">
        <v>285</v>
      </c>
      <c r="G1857" s="46" t="s">
        <v>1</v>
      </c>
      <c r="H1857" s="46"/>
      <c r="I1857" s="46" t="s">
        <v>169</v>
      </c>
      <c r="J1857" s="46" t="s">
        <v>69</v>
      </c>
      <c r="K1857" s="46" t="s">
        <v>68</v>
      </c>
      <c r="L1857" s="46"/>
      <c r="M1857" s="46"/>
      <c r="N1857" s="46"/>
      <c r="O1857" s="46"/>
      <c r="P1857" s="46"/>
      <c r="Q1857" s="46"/>
      <c r="R1857" s="46"/>
      <c r="S1857" s="46"/>
      <c r="T1857" s="46"/>
      <c r="U1857" s="46"/>
      <c r="V1857" s="46"/>
      <c r="W1857" s="46"/>
      <c r="X1857" s="46"/>
      <c r="Y1857" s="46"/>
      <c r="Z1857" s="46" t="s">
        <v>1327</v>
      </c>
      <c r="AA1857" s="61">
        <v>1</v>
      </c>
      <c r="AB1857" s="62">
        <f>IF(OR(G1857="ALK",G1857="PEM",G1857="SOEC",G1857="Other Electrolysis"),
AA1857/VLOOKUP(G1857,ElectrolysisConvF,3,FALSE),
AC1857*10^6/(H2dens*HoursInYear))</f>
        <v>192.30769230769232</v>
      </c>
      <c r="AC1857" s="63">
        <f>AB1857*H2dens*HoursInYear/10^6</f>
        <v>0.14993076923076926</v>
      </c>
      <c r="AD1857" s="62"/>
      <c r="AE1857" s="62">
        <f t="shared" si="198"/>
        <v>192.30769230769232</v>
      </c>
      <c r="AF1857" s="64" t="s">
        <v>4765</v>
      </c>
      <c r="AG1857" s="49">
        <v>0.5</v>
      </c>
    </row>
    <row r="1858" spans="1:33" customFormat="1" ht="35.1" customHeight="1" x14ac:dyDescent="0.3">
      <c r="A1858" s="46">
        <v>2411</v>
      </c>
      <c r="B1858" s="46" t="s">
        <v>4766</v>
      </c>
      <c r="C1858" s="46" t="s">
        <v>40</v>
      </c>
      <c r="D1858" s="60">
        <v>2021</v>
      </c>
      <c r="E1858" s="60"/>
      <c r="F1858" s="46" t="s">
        <v>285</v>
      </c>
      <c r="G1858" s="46" t="s">
        <v>1</v>
      </c>
      <c r="H1858" s="46"/>
      <c r="I1858" s="46" t="s">
        <v>169</v>
      </c>
      <c r="J1858" s="46" t="s">
        <v>69</v>
      </c>
      <c r="K1858" s="46" t="s">
        <v>68</v>
      </c>
      <c r="L1858" s="46"/>
      <c r="M1858" s="46"/>
      <c r="N1858" s="46"/>
      <c r="O1858" s="46"/>
      <c r="P1858" s="46"/>
      <c r="Q1858" s="46"/>
      <c r="R1858" s="46"/>
      <c r="S1858" s="46">
        <v>1</v>
      </c>
      <c r="T1858" s="46"/>
      <c r="U1858" s="46"/>
      <c r="V1858" s="46"/>
      <c r="W1858" s="46"/>
      <c r="X1858" s="46"/>
      <c r="Y1858" s="46"/>
      <c r="Z1858" s="46"/>
      <c r="AA1858" s="61"/>
      <c r="AB1858" s="62"/>
      <c r="AC1858" s="62"/>
      <c r="AD1858" s="62"/>
      <c r="AE1858" s="62">
        <f t="shared" si="198"/>
        <v>0</v>
      </c>
      <c r="AF1858" s="64" t="s">
        <v>4767</v>
      </c>
      <c r="AG1858" s="49">
        <v>0.5</v>
      </c>
    </row>
    <row r="1859" spans="1:33" customFormat="1" ht="35.1" customHeight="1" x14ac:dyDescent="0.3">
      <c r="A1859" s="46">
        <v>2412</v>
      </c>
      <c r="B1859" s="46" t="s">
        <v>4768</v>
      </c>
      <c r="C1859" s="46" t="s">
        <v>40</v>
      </c>
      <c r="D1859" s="60">
        <v>2020</v>
      </c>
      <c r="E1859" s="60"/>
      <c r="F1859" s="46" t="s">
        <v>285</v>
      </c>
      <c r="G1859" s="46" t="s">
        <v>2</v>
      </c>
      <c r="H1859" s="46"/>
      <c r="I1859" s="46" t="s">
        <v>288</v>
      </c>
      <c r="J1859" s="46" t="str">
        <f>IF(I1859&lt;&gt;"Dedicated renewable","N/A",)</f>
        <v>N/A</v>
      </c>
      <c r="K1859" s="46" t="s">
        <v>68</v>
      </c>
      <c r="L1859" s="46"/>
      <c r="M1859" s="46"/>
      <c r="N1859" s="46"/>
      <c r="O1859" s="46"/>
      <c r="P1859" s="46"/>
      <c r="Q1859" s="46">
        <v>1</v>
      </c>
      <c r="R1859" s="46"/>
      <c r="S1859" s="46"/>
      <c r="T1859" s="46"/>
      <c r="U1859" s="46"/>
      <c r="V1859" s="46"/>
      <c r="W1859" s="46"/>
      <c r="X1859" s="46"/>
      <c r="Y1859" s="46"/>
      <c r="Z1859" s="46" t="s">
        <v>1192</v>
      </c>
      <c r="AA1859" s="61">
        <v>0.25</v>
      </c>
      <c r="AB1859" s="62">
        <f t="shared" ref="AB1859:AB1864" si="199">IF(OR(G1859="ALK",G1859="PEM",G1859="SOEC",G1859="Other Electrolysis"),
AA1859/VLOOKUP(G1859,ElectrolysisConvF,3,FALSE),
AC1859*10^6/(H2dens*HoursInYear))</f>
        <v>65.78947368421052</v>
      </c>
      <c r="AC1859" s="63">
        <f t="shared" ref="AC1859:AC1864" si="200">AB1859*H2dens*HoursInYear/10^6</f>
        <v>5.1292105263157896E-2</v>
      </c>
      <c r="AD1859" s="62"/>
      <c r="AE1859" s="62">
        <f t="shared" si="198"/>
        <v>65.78947368421052</v>
      </c>
      <c r="AF1859" s="64" t="s">
        <v>4769</v>
      </c>
      <c r="AG1859" s="49">
        <v>0.8</v>
      </c>
    </row>
    <row r="1860" spans="1:33" customFormat="1" ht="35.1" customHeight="1" x14ac:dyDescent="0.3">
      <c r="A1860" s="46">
        <v>2413</v>
      </c>
      <c r="B1860" s="46" t="s">
        <v>4770</v>
      </c>
      <c r="C1860" s="46" t="s">
        <v>44</v>
      </c>
      <c r="D1860" s="60">
        <v>2024</v>
      </c>
      <c r="E1860" s="60"/>
      <c r="F1860" s="46" t="s">
        <v>225</v>
      </c>
      <c r="G1860" s="46" t="s">
        <v>159</v>
      </c>
      <c r="H1860" s="46" t="s">
        <v>592</v>
      </c>
      <c r="I1860" s="46" t="s">
        <v>166</v>
      </c>
      <c r="J1860" s="46"/>
      <c r="K1860" s="46" t="s">
        <v>68</v>
      </c>
      <c r="L1860" s="46"/>
      <c r="M1860" s="46"/>
      <c r="N1860" s="46"/>
      <c r="O1860" s="46"/>
      <c r="P1860" s="46"/>
      <c r="Q1860" s="46">
        <v>1</v>
      </c>
      <c r="R1860" s="46"/>
      <c r="S1860" s="46"/>
      <c r="T1860" s="46"/>
      <c r="U1860" s="46"/>
      <c r="V1860" s="46"/>
      <c r="W1860" s="46"/>
      <c r="X1860" s="46"/>
      <c r="Y1860" s="46"/>
      <c r="Z1860" s="46" t="s">
        <v>1850</v>
      </c>
      <c r="AA1860" s="61">
        <v>6</v>
      </c>
      <c r="AB1860" s="62">
        <f t="shared" si="199"/>
        <v>1333.3333333333335</v>
      </c>
      <c r="AC1860" s="63">
        <f t="shared" si="200"/>
        <v>1.03952</v>
      </c>
      <c r="AD1860" s="62"/>
      <c r="AE1860" s="62">
        <f t="shared" si="198"/>
        <v>1333.3333333333335</v>
      </c>
      <c r="AF1860" s="64" t="s">
        <v>4771</v>
      </c>
      <c r="AG1860" s="49">
        <v>0.56999999999999995</v>
      </c>
    </row>
    <row r="1861" spans="1:33" customFormat="1" ht="35.1" customHeight="1" x14ac:dyDescent="0.3">
      <c r="A1861" s="46">
        <v>2414</v>
      </c>
      <c r="B1861" s="46" t="s">
        <v>4772</v>
      </c>
      <c r="C1861" s="46" t="s">
        <v>44</v>
      </c>
      <c r="D1861" s="60">
        <v>2025</v>
      </c>
      <c r="E1861" s="60"/>
      <c r="F1861" s="46" t="s">
        <v>225</v>
      </c>
      <c r="G1861" s="46" t="s">
        <v>159</v>
      </c>
      <c r="H1861" s="46" t="s">
        <v>592</v>
      </c>
      <c r="I1861" s="46" t="s">
        <v>157</v>
      </c>
      <c r="J1861" s="46" t="s">
        <v>247</v>
      </c>
      <c r="K1861" s="46" t="s">
        <v>68</v>
      </c>
      <c r="L1861" s="46"/>
      <c r="M1861" s="46"/>
      <c r="N1861" s="46"/>
      <c r="O1861" s="46"/>
      <c r="P1861" s="46"/>
      <c r="Q1861" s="46">
        <v>1</v>
      </c>
      <c r="R1861" s="46"/>
      <c r="S1861" s="46"/>
      <c r="T1861" s="46"/>
      <c r="U1861" s="46">
        <v>1</v>
      </c>
      <c r="V1861" s="46"/>
      <c r="W1861" s="46"/>
      <c r="X1861" s="46"/>
      <c r="Y1861" s="46"/>
      <c r="Z1861" s="46" t="s">
        <v>748</v>
      </c>
      <c r="AA1861" s="61">
        <f>4-1</f>
        <v>3</v>
      </c>
      <c r="AB1861" s="62">
        <f t="shared" si="199"/>
        <v>666.66666666666674</v>
      </c>
      <c r="AC1861" s="63">
        <f t="shared" si="200"/>
        <v>0.51976</v>
      </c>
      <c r="AD1861" s="62"/>
      <c r="AE1861" s="62">
        <f t="shared" si="198"/>
        <v>666.66666666666674</v>
      </c>
      <c r="AF1861" s="64" t="s">
        <v>4773</v>
      </c>
      <c r="AG1861" s="49">
        <v>0.56999999999999995</v>
      </c>
    </row>
    <row r="1862" spans="1:33" customFormat="1" ht="35.1" customHeight="1" x14ac:dyDescent="0.3">
      <c r="A1862" s="46">
        <v>2415</v>
      </c>
      <c r="B1862" s="46" t="s">
        <v>4774</v>
      </c>
      <c r="C1862" s="46" t="s">
        <v>44</v>
      </c>
      <c r="D1862" s="60">
        <v>2025</v>
      </c>
      <c r="E1862" s="60"/>
      <c r="F1862" s="46" t="s">
        <v>591</v>
      </c>
      <c r="G1862" s="46" t="s">
        <v>159</v>
      </c>
      <c r="H1862" s="46" t="s">
        <v>592</v>
      </c>
      <c r="I1862" s="46" t="s">
        <v>166</v>
      </c>
      <c r="J1862" s="46"/>
      <c r="K1862" s="46" t="s">
        <v>68</v>
      </c>
      <c r="L1862" s="46"/>
      <c r="M1862" s="46"/>
      <c r="N1862" s="46"/>
      <c r="O1862" s="46"/>
      <c r="P1862" s="46">
        <v>1</v>
      </c>
      <c r="Q1862" s="46"/>
      <c r="R1862" s="46"/>
      <c r="S1862" s="46"/>
      <c r="T1862" s="46"/>
      <c r="U1862" s="46"/>
      <c r="V1862" s="46"/>
      <c r="W1862" s="46"/>
      <c r="X1862" s="46"/>
      <c r="Y1862" s="46"/>
      <c r="Z1862" s="46" t="s">
        <v>748</v>
      </c>
      <c r="AA1862" s="61">
        <v>4</v>
      </c>
      <c r="AB1862" s="62">
        <f t="shared" si="199"/>
        <v>888.88888888888891</v>
      </c>
      <c r="AC1862" s="63">
        <f t="shared" si="200"/>
        <v>0.69301333333333337</v>
      </c>
      <c r="AD1862" s="62"/>
      <c r="AE1862" s="62">
        <f t="shared" si="198"/>
        <v>888.88888888888891</v>
      </c>
      <c r="AF1862" s="64" t="s">
        <v>4775</v>
      </c>
      <c r="AG1862" s="49">
        <v>0.56999999999999995</v>
      </c>
    </row>
    <row r="1863" spans="1:33" customFormat="1" ht="35.1" customHeight="1" x14ac:dyDescent="0.3">
      <c r="A1863" s="46">
        <v>2416</v>
      </c>
      <c r="B1863" s="46" t="s">
        <v>4776</v>
      </c>
      <c r="C1863" s="46" t="s">
        <v>44</v>
      </c>
      <c r="D1863" s="60">
        <v>2023</v>
      </c>
      <c r="E1863" s="60"/>
      <c r="F1863" s="46" t="s">
        <v>225</v>
      </c>
      <c r="G1863" s="46" t="s">
        <v>159</v>
      </c>
      <c r="H1863" s="46" t="s">
        <v>592</v>
      </c>
      <c r="I1863" s="46" t="s">
        <v>166</v>
      </c>
      <c r="J1863" s="46"/>
      <c r="K1863" s="46" t="s">
        <v>68</v>
      </c>
      <c r="L1863" s="46"/>
      <c r="M1863" s="46"/>
      <c r="N1863" s="46"/>
      <c r="O1863" s="46"/>
      <c r="P1863" s="46"/>
      <c r="Q1863" s="46"/>
      <c r="R1863" s="46">
        <v>1</v>
      </c>
      <c r="S1863" s="46"/>
      <c r="T1863" s="46"/>
      <c r="U1863" s="46"/>
      <c r="V1863" s="46"/>
      <c r="W1863" s="46"/>
      <c r="X1863" s="46"/>
      <c r="Y1863" s="46"/>
      <c r="Z1863" s="46" t="s">
        <v>4777</v>
      </c>
      <c r="AA1863" s="61">
        <v>3</v>
      </c>
      <c r="AB1863" s="62">
        <f t="shared" si="199"/>
        <v>666.66666666666674</v>
      </c>
      <c r="AC1863" s="63">
        <f t="shared" si="200"/>
        <v>0.51976</v>
      </c>
      <c r="AD1863" s="62"/>
      <c r="AE1863" s="62">
        <f t="shared" si="198"/>
        <v>666.66666666666674</v>
      </c>
      <c r="AF1863" s="64" t="s">
        <v>4778</v>
      </c>
      <c r="AG1863" s="49">
        <v>0.56999999999999995</v>
      </c>
    </row>
    <row r="1864" spans="1:33" customFormat="1" ht="35.1" customHeight="1" x14ac:dyDescent="0.3">
      <c r="A1864" s="46">
        <v>2417</v>
      </c>
      <c r="B1864" s="46" t="s">
        <v>4779</v>
      </c>
      <c r="C1864" s="46" t="s">
        <v>44</v>
      </c>
      <c r="D1864" s="60">
        <v>2025</v>
      </c>
      <c r="E1864" s="60"/>
      <c r="F1864" s="46" t="s">
        <v>591</v>
      </c>
      <c r="G1864" s="46" t="s">
        <v>1</v>
      </c>
      <c r="H1864" s="46"/>
      <c r="I1864" s="46" t="s">
        <v>157</v>
      </c>
      <c r="J1864" s="46" t="s">
        <v>247</v>
      </c>
      <c r="K1864" s="46" t="s">
        <v>68</v>
      </c>
      <c r="L1864" s="46"/>
      <c r="M1864" s="46"/>
      <c r="N1864" s="46"/>
      <c r="O1864" s="46"/>
      <c r="P1864" s="46"/>
      <c r="Q1864" s="46">
        <v>1</v>
      </c>
      <c r="R1864" s="46"/>
      <c r="S1864" s="46"/>
      <c r="T1864" s="46"/>
      <c r="U1864" s="46">
        <v>1</v>
      </c>
      <c r="V1864" s="46"/>
      <c r="W1864" s="46"/>
      <c r="X1864" s="46"/>
      <c r="Y1864" s="46"/>
      <c r="Z1864" s="46" t="s">
        <v>708</v>
      </c>
      <c r="AA1864" s="61">
        <v>1</v>
      </c>
      <c r="AB1864" s="62">
        <f t="shared" si="199"/>
        <v>192.30769230769232</v>
      </c>
      <c r="AC1864" s="63">
        <f t="shared" si="200"/>
        <v>0.14993076923076926</v>
      </c>
      <c r="AD1864" s="62"/>
      <c r="AE1864" s="62">
        <f t="shared" si="198"/>
        <v>192.30769230769232</v>
      </c>
      <c r="AF1864" s="64" t="s">
        <v>4773</v>
      </c>
      <c r="AG1864" s="49">
        <v>0.56999999999999995</v>
      </c>
    </row>
    <row r="1865" spans="1:33" customFormat="1" ht="35.1" customHeight="1" x14ac:dyDescent="0.3">
      <c r="A1865" s="46">
        <v>2418</v>
      </c>
      <c r="B1865" s="46" t="s">
        <v>4780</v>
      </c>
      <c r="C1865" s="46" t="s">
        <v>44</v>
      </c>
      <c r="D1865" s="60">
        <v>2023</v>
      </c>
      <c r="E1865" s="60"/>
      <c r="F1865" s="46" t="s">
        <v>226</v>
      </c>
      <c r="G1865" s="46" t="s">
        <v>1</v>
      </c>
      <c r="H1865" s="46"/>
      <c r="I1865" s="46" t="s">
        <v>169</v>
      </c>
      <c r="J1865" s="46" t="s">
        <v>248</v>
      </c>
      <c r="K1865" s="46" t="s">
        <v>72</v>
      </c>
      <c r="L1865" s="46"/>
      <c r="M1865" s="46"/>
      <c r="N1865" s="46"/>
      <c r="O1865" s="46"/>
      <c r="P1865" s="46"/>
      <c r="Q1865" s="46"/>
      <c r="R1865" s="46"/>
      <c r="S1865" s="46"/>
      <c r="T1865" s="46"/>
      <c r="U1865" s="46"/>
      <c r="V1865" s="46"/>
      <c r="W1865" s="46"/>
      <c r="X1865" s="46">
        <v>1</v>
      </c>
      <c r="Y1865" s="46"/>
      <c r="Z1865" s="46" t="s">
        <v>4781</v>
      </c>
      <c r="AA1865" s="62">
        <f>IF(OR(G1865="ALK",G1865="PEM",G1865="SOEC",G1865="Other Electrolysis"),
AB1865*VLOOKUP(G1865,ElectrolysisConvF,3,FALSE),
"")</f>
        <v>2.0009235031553025</v>
      </c>
      <c r="AB1865" s="62">
        <f>AC1865/(H2dens*HoursInYear/10^6)</f>
        <v>384.79298137601972</v>
      </c>
      <c r="AC1865" s="76">
        <f>300/1000</f>
        <v>0.3</v>
      </c>
      <c r="AD1865" s="62"/>
      <c r="AE1865" s="62">
        <f t="shared" si="198"/>
        <v>384.79298137601972</v>
      </c>
      <c r="AF1865" s="64" t="s">
        <v>4782</v>
      </c>
      <c r="AG1865" s="49">
        <v>0.5</v>
      </c>
    </row>
    <row r="1866" spans="1:33" customFormat="1" ht="35.1" customHeight="1" x14ac:dyDescent="0.3">
      <c r="A1866" s="46">
        <v>2419</v>
      </c>
      <c r="B1866" s="46" t="s">
        <v>4783</v>
      </c>
      <c r="C1866" s="46" t="s">
        <v>44</v>
      </c>
      <c r="D1866" s="60">
        <v>2024</v>
      </c>
      <c r="E1866" s="60"/>
      <c r="F1866" s="46" t="s">
        <v>591</v>
      </c>
      <c r="G1866" s="46" t="s">
        <v>2</v>
      </c>
      <c r="H1866" s="46"/>
      <c r="I1866" s="46" t="s">
        <v>166</v>
      </c>
      <c r="J1866" s="46"/>
      <c r="K1866" s="46" t="s">
        <v>68</v>
      </c>
      <c r="L1866" s="46"/>
      <c r="M1866" s="46"/>
      <c r="N1866" s="46"/>
      <c r="O1866" s="46"/>
      <c r="P1866" s="46"/>
      <c r="Q1866" s="46">
        <v>1</v>
      </c>
      <c r="R1866" s="46"/>
      <c r="S1866" s="46"/>
      <c r="T1866" s="46"/>
      <c r="U1866" s="46"/>
      <c r="V1866" s="46"/>
      <c r="W1866" s="46"/>
      <c r="X1866" s="46"/>
      <c r="Y1866" s="46"/>
      <c r="Z1866" s="46" t="s">
        <v>708</v>
      </c>
      <c r="AA1866" s="61">
        <v>1</v>
      </c>
      <c r="AB1866" s="62">
        <f>IF(OR(G1866="ALK",G1866="PEM",G1866="SOEC",G1866="Other Electrolysis"),
AA1866/VLOOKUP(G1866,ElectrolysisConvF,3,FALSE),
AC1866*10^6/(H2dens*HoursInYear))</f>
        <v>263.15789473684208</v>
      </c>
      <c r="AC1866" s="63">
        <f>AB1866*H2dens*HoursInYear/10^6</f>
        <v>0.20516842105263158</v>
      </c>
      <c r="AD1866" s="62"/>
      <c r="AE1866" s="62">
        <f t="shared" si="198"/>
        <v>263.15789473684208</v>
      </c>
      <c r="AF1866" s="64" t="s">
        <v>4784</v>
      </c>
      <c r="AG1866" s="49">
        <v>0.56999999999999995</v>
      </c>
    </row>
    <row r="1867" spans="1:33" customFormat="1" ht="35.1" customHeight="1" x14ac:dyDescent="0.3">
      <c r="A1867" s="46">
        <v>2420</v>
      </c>
      <c r="B1867" s="46" t="s">
        <v>4785</v>
      </c>
      <c r="C1867" s="46" t="s">
        <v>44</v>
      </c>
      <c r="D1867" s="60">
        <v>2017</v>
      </c>
      <c r="E1867" s="60"/>
      <c r="F1867" s="46" t="s">
        <v>226</v>
      </c>
      <c r="G1867" s="46" t="s">
        <v>3</v>
      </c>
      <c r="H1867" s="46"/>
      <c r="I1867" s="46" t="s">
        <v>169</v>
      </c>
      <c r="J1867" s="46" t="s">
        <v>244</v>
      </c>
      <c r="K1867" s="46" t="s">
        <v>68</v>
      </c>
      <c r="L1867" s="46"/>
      <c r="M1867" s="46"/>
      <c r="N1867" s="46"/>
      <c r="O1867" s="46"/>
      <c r="P1867" s="46"/>
      <c r="Q1867" s="46">
        <v>1</v>
      </c>
      <c r="R1867" s="46"/>
      <c r="S1867" s="46"/>
      <c r="T1867" s="46"/>
      <c r="U1867" s="46"/>
      <c r="V1867" s="46"/>
      <c r="W1867" s="46"/>
      <c r="X1867" s="46"/>
      <c r="Y1867" s="46"/>
      <c r="Z1867" s="46" t="s">
        <v>2217</v>
      </c>
      <c r="AA1867" s="61">
        <v>0.35</v>
      </c>
      <c r="AB1867" s="62">
        <f>IF(OR(G1867="ALK",G1867="PEM",G1867="SOEC",G1867="Other Electrolysis"),
AA1867/VLOOKUP(G1867,ElectrolysisConvF,3,FALSE),
AC1867*10^6/(H2dens*HoursInYear))</f>
        <v>76.086956521739125</v>
      </c>
      <c r="AC1867" s="63">
        <f>AB1867*H2dens*HoursInYear/10^6</f>
        <v>5.9320434782608698E-2</v>
      </c>
      <c r="AD1867" s="62"/>
      <c r="AE1867" s="62">
        <f t="shared" si="198"/>
        <v>76.086956521739125</v>
      </c>
      <c r="AF1867" s="64" t="s">
        <v>4786</v>
      </c>
      <c r="AG1867" s="49">
        <v>0.3</v>
      </c>
    </row>
    <row r="1868" spans="1:33" customFormat="1" ht="35.1" customHeight="1" x14ac:dyDescent="0.3">
      <c r="A1868" s="46">
        <v>2421</v>
      </c>
      <c r="B1868" s="46" t="s">
        <v>4787</v>
      </c>
      <c r="C1868" s="46" t="s">
        <v>44</v>
      </c>
      <c r="D1868" s="60">
        <v>2020</v>
      </c>
      <c r="E1868" s="60"/>
      <c r="F1868" s="46" t="s">
        <v>226</v>
      </c>
      <c r="G1868" s="46" t="s">
        <v>2</v>
      </c>
      <c r="H1868" s="46"/>
      <c r="I1868" s="46" t="s">
        <v>1317</v>
      </c>
      <c r="J1868" s="46" t="s">
        <v>247</v>
      </c>
      <c r="K1868" s="46" t="s">
        <v>68</v>
      </c>
      <c r="L1868" s="46"/>
      <c r="M1868" s="46"/>
      <c r="N1868" s="46"/>
      <c r="O1868" s="46"/>
      <c r="P1868" s="46"/>
      <c r="Q1868" s="46"/>
      <c r="R1868" s="46">
        <v>1</v>
      </c>
      <c r="S1868" s="46"/>
      <c r="T1868" s="46"/>
      <c r="U1868" s="46"/>
      <c r="V1868" s="46"/>
      <c r="W1868" s="46"/>
      <c r="X1868" s="46"/>
      <c r="Y1868" s="46"/>
      <c r="Z1868" s="46" t="s">
        <v>788</v>
      </c>
      <c r="AA1868" s="61">
        <v>0.15</v>
      </c>
      <c r="AB1868" s="62">
        <f>IF(OR(G1868="ALK",G1868="PEM",G1868="SOEC",G1868="Other Electrolysis"),
AA1868/VLOOKUP(G1868,ElectrolysisConvF,3,FALSE),
AC1868*10^6/(H2dens*HoursInYear))</f>
        <v>39.473684210526315</v>
      </c>
      <c r="AC1868" s="63">
        <f>AB1868*H2dens*HoursInYear/10^6</f>
        <v>3.0775263157894736E-2</v>
      </c>
      <c r="AD1868" s="62"/>
      <c r="AE1868" s="62">
        <f t="shared" si="198"/>
        <v>39.473684210526315</v>
      </c>
      <c r="AF1868" s="64" t="s">
        <v>4788</v>
      </c>
      <c r="AG1868" s="49">
        <v>0.7</v>
      </c>
    </row>
    <row r="1869" spans="1:33" customFormat="1" ht="35.1" customHeight="1" x14ac:dyDescent="0.3">
      <c r="A1869" s="46">
        <v>2422</v>
      </c>
      <c r="B1869" s="46" t="s">
        <v>4789</v>
      </c>
      <c r="C1869" s="46" t="s">
        <v>60</v>
      </c>
      <c r="D1869" s="60"/>
      <c r="E1869" s="60"/>
      <c r="F1869" s="46" t="s">
        <v>591</v>
      </c>
      <c r="G1869" s="46" t="s">
        <v>159</v>
      </c>
      <c r="H1869" s="46"/>
      <c r="I1869" s="46" t="s">
        <v>1317</v>
      </c>
      <c r="J1869" s="46" t="s">
        <v>69</v>
      </c>
      <c r="K1869" s="46" t="s">
        <v>68</v>
      </c>
      <c r="L1869" s="46"/>
      <c r="M1869" s="46"/>
      <c r="N1869" s="46"/>
      <c r="O1869" s="46"/>
      <c r="P1869" s="46">
        <v>1</v>
      </c>
      <c r="Q1869" s="46"/>
      <c r="R1869" s="46"/>
      <c r="S1869" s="46"/>
      <c r="T1869" s="46"/>
      <c r="U1869" s="46"/>
      <c r="V1869" s="46"/>
      <c r="W1869" s="46"/>
      <c r="X1869" s="46"/>
      <c r="Y1869" s="46"/>
      <c r="Z1869" s="46"/>
      <c r="AA1869" s="61">
        <f>IF(OR(G1869="ALK",G1869="PEM",G1869="SOEC",G1869="Other Electrolysis"),
AB1869*VLOOKUP(G1869,ElectrolysisConvF,3,FALSE),
"")</f>
        <v>0</v>
      </c>
      <c r="AB1869" s="62"/>
      <c r="AC1869" s="62"/>
      <c r="AD1869" s="62"/>
      <c r="AE1869" s="62">
        <f t="shared" si="198"/>
        <v>0</v>
      </c>
      <c r="AF1869" s="64" t="s">
        <v>4790</v>
      </c>
      <c r="AG1869" s="49">
        <v>0.7</v>
      </c>
    </row>
    <row r="1870" spans="1:33" customFormat="1" ht="35.1" customHeight="1" x14ac:dyDescent="0.3">
      <c r="A1870" s="46">
        <v>2423</v>
      </c>
      <c r="B1870" s="46" t="s">
        <v>4791</v>
      </c>
      <c r="C1870" s="46" t="s">
        <v>60</v>
      </c>
      <c r="D1870" s="60">
        <v>2030</v>
      </c>
      <c r="E1870" s="60"/>
      <c r="F1870" s="46" t="s">
        <v>591</v>
      </c>
      <c r="G1870" s="46" t="s">
        <v>1</v>
      </c>
      <c r="H1870" s="46"/>
      <c r="I1870" s="46" t="s">
        <v>1317</v>
      </c>
      <c r="J1870" s="46" t="s">
        <v>69</v>
      </c>
      <c r="K1870" s="46" t="s">
        <v>68</v>
      </c>
      <c r="L1870" s="46"/>
      <c r="M1870" s="46"/>
      <c r="N1870" s="46"/>
      <c r="O1870" s="46"/>
      <c r="P1870" s="46">
        <v>1</v>
      </c>
      <c r="Q1870" s="46"/>
      <c r="R1870" s="46"/>
      <c r="S1870" s="46"/>
      <c r="T1870" s="46"/>
      <c r="U1870" s="46"/>
      <c r="V1870" s="46"/>
      <c r="W1870" s="46"/>
      <c r="X1870" s="46"/>
      <c r="Y1870" s="46"/>
      <c r="Z1870" s="46" t="s">
        <v>1228</v>
      </c>
      <c r="AA1870" s="61">
        <v>24</v>
      </c>
      <c r="AB1870" s="62">
        <f>IF(OR(G1870="ALK",G1870="PEM",G1870="SOEC",G1870="Other Electrolysis"),
AA1870/VLOOKUP(G1870,ElectrolysisConvF,3,FALSE),
AC1870*10^6/(H2dens*HoursInYear))</f>
        <v>4615.3846153846152</v>
      </c>
      <c r="AC1870" s="63">
        <f>AB1870*H2dens*HoursInYear/10^6</f>
        <v>3.5983384615384608</v>
      </c>
      <c r="AD1870" s="62"/>
      <c r="AE1870" s="62">
        <f t="shared" si="198"/>
        <v>4615.3846153846152</v>
      </c>
      <c r="AF1870" s="97"/>
      <c r="AG1870" s="49">
        <v>0.7</v>
      </c>
    </row>
    <row r="1871" spans="1:33" customFormat="1" ht="35.1" customHeight="1" x14ac:dyDescent="0.3">
      <c r="A1871" s="46">
        <v>2424</v>
      </c>
      <c r="B1871" s="46" t="s">
        <v>4792</v>
      </c>
      <c r="C1871" s="46" t="s">
        <v>60</v>
      </c>
      <c r="D1871" s="60">
        <v>2024</v>
      </c>
      <c r="E1871" s="60"/>
      <c r="F1871" s="46" t="s">
        <v>225</v>
      </c>
      <c r="G1871" s="46" t="s">
        <v>3</v>
      </c>
      <c r="H1871" s="46"/>
      <c r="I1871" s="46" t="s">
        <v>169</v>
      </c>
      <c r="J1871" s="46" t="s">
        <v>244</v>
      </c>
      <c r="K1871" s="46" t="s">
        <v>68</v>
      </c>
      <c r="L1871" s="46"/>
      <c r="M1871" s="46"/>
      <c r="N1871" s="46"/>
      <c r="O1871" s="46"/>
      <c r="P1871" s="46">
        <v>1</v>
      </c>
      <c r="Q1871" s="46"/>
      <c r="R1871" s="46"/>
      <c r="S1871" s="46"/>
      <c r="T1871" s="46"/>
      <c r="U1871" s="46"/>
      <c r="V1871" s="46"/>
      <c r="W1871" s="46"/>
      <c r="X1871" s="46"/>
      <c r="Y1871" s="46"/>
      <c r="Z1871" s="46" t="s">
        <v>4793</v>
      </c>
      <c r="AA1871" s="76">
        <f>IF(OR(G1871="ALK",G1871="PEM",G1871="SOEC",G1871="Other Electrolysis"),
AB1871*VLOOKUP(G1871,ElectrolysisConvF,3,FALSE),
"")</f>
        <v>0.21240572571956287</v>
      </c>
      <c r="AB1871" s="62">
        <f>AC1871/(H2dens*HoursInYear/10^6)</f>
        <v>46.175157765122364</v>
      </c>
      <c r="AC1871" s="73">
        <f>36/1000</f>
        <v>3.5999999999999997E-2</v>
      </c>
      <c r="AD1871" s="62"/>
      <c r="AE1871" s="62">
        <f t="shared" si="198"/>
        <v>46.175157765122364</v>
      </c>
      <c r="AF1871" s="64" t="s">
        <v>4794</v>
      </c>
      <c r="AG1871" s="49">
        <v>0.3</v>
      </c>
    </row>
    <row r="1872" spans="1:33" customFormat="1" ht="35.1" customHeight="1" x14ac:dyDescent="0.3">
      <c r="A1872" s="46">
        <v>2425</v>
      </c>
      <c r="B1872" s="46" t="s">
        <v>4795</v>
      </c>
      <c r="C1872" s="46" t="s">
        <v>60</v>
      </c>
      <c r="D1872" s="60">
        <v>2010</v>
      </c>
      <c r="E1872" s="60"/>
      <c r="F1872" s="46" t="s">
        <v>226</v>
      </c>
      <c r="G1872" s="46" t="s">
        <v>159</v>
      </c>
      <c r="H1872" s="46" t="s">
        <v>592</v>
      </c>
      <c r="I1872" s="46" t="s">
        <v>169</v>
      </c>
      <c r="J1872" s="46" t="s">
        <v>69</v>
      </c>
      <c r="K1872" s="46" t="s">
        <v>68</v>
      </c>
      <c r="L1872" s="46"/>
      <c r="M1872" s="46"/>
      <c r="N1872" s="46"/>
      <c r="O1872" s="46"/>
      <c r="P1872" s="46">
        <v>1</v>
      </c>
      <c r="Q1872" s="46"/>
      <c r="R1872" s="46"/>
      <c r="S1872" s="46"/>
      <c r="T1872" s="46"/>
      <c r="U1872" s="46"/>
      <c r="V1872" s="46"/>
      <c r="W1872" s="46"/>
      <c r="X1872" s="46"/>
      <c r="Y1872" s="46"/>
      <c r="Z1872" s="46" t="s">
        <v>4796</v>
      </c>
      <c r="AA1872" s="76">
        <f>IF(OR(G1872="ALK",G1872="PEM",G1872="SOEC",G1872="Other Electrolysis"),
AB1872*VLOOKUP(G1872,ElectrolysisConvF,3,FALSE),
"")</f>
        <v>0.1442973680160074</v>
      </c>
      <c r="AB1872" s="62">
        <f>AC1872/(H2dens*HoursInYear/10^6)</f>
        <v>32.066081781334979</v>
      </c>
      <c r="AC1872" s="73">
        <f>25/1000</f>
        <v>2.5000000000000001E-2</v>
      </c>
      <c r="AD1872" s="62"/>
      <c r="AE1872" s="62">
        <f t="shared" si="198"/>
        <v>32.066081781334979</v>
      </c>
      <c r="AF1872" s="64" t="s">
        <v>4797</v>
      </c>
      <c r="AG1872" s="49">
        <v>0.5</v>
      </c>
    </row>
    <row r="1873" spans="1:33" customFormat="1" ht="35.1" customHeight="1" x14ac:dyDescent="0.3">
      <c r="A1873" s="46">
        <v>2426</v>
      </c>
      <c r="B1873" s="46" t="s">
        <v>4798</v>
      </c>
      <c r="C1873" s="46" t="s">
        <v>36</v>
      </c>
      <c r="D1873" s="60">
        <v>2025</v>
      </c>
      <c r="E1873" s="60"/>
      <c r="F1873" s="46" t="s">
        <v>225</v>
      </c>
      <c r="G1873" s="46" t="s">
        <v>3</v>
      </c>
      <c r="H1873" s="46"/>
      <c r="I1873" s="46" t="s">
        <v>169</v>
      </c>
      <c r="J1873" s="46" t="s">
        <v>248</v>
      </c>
      <c r="K1873" s="46" t="s">
        <v>168</v>
      </c>
      <c r="L1873" s="46"/>
      <c r="M1873" s="46"/>
      <c r="N1873" s="46"/>
      <c r="O1873" s="46"/>
      <c r="P1873" s="46">
        <v>1</v>
      </c>
      <c r="Q1873" s="46"/>
      <c r="R1873" s="46"/>
      <c r="S1873" s="46"/>
      <c r="T1873" s="46"/>
      <c r="U1873" s="46"/>
      <c r="V1873" s="46"/>
      <c r="W1873" s="46"/>
      <c r="X1873" s="46">
        <v>1</v>
      </c>
      <c r="Y1873" s="46">
        <v>1</v>
      </c>
      <c r="Z1873" s="46" t="s">
        <v>1691</v>
      </c>
      <c r="AA1873" s="61">
        <v>200</v>
      </c>
      <c r="AB1873" s="62">
        <f t="shared" ref="AB1873:AB1893" si="201">IF(OR(G1873="ALK",G1873="PEM",G1873="SOEC",G1873="Other Electrolysis"),
AA1873/VLOOKUP(G1873,ElectrolysisConvF,3,FALSE),
AC1873*10^6/(H2dens*HoursInYear))</f>
        <v>43478.260869565216</v>
      </c>
      <c r="AC1873" s="63">
        <f t="shared" ref="AC1873:AC1893" si="202">AB1873*H2dens*HoursInYear/10^6</f>
        <v>33.897391304347821</v>
      </c>
      <c r="AD1873" s="62"/>
      <c r="AE1873" s="62">
        <f t="shared" si="198"/>
        <v>43478.260869565216</v>
      </c>
      <c r="AF1873" s="64" t="s">
        <v>4799</v>
      </c>
      <c r="AG1873" s="49">
        <v>0.5</v>
      </c>
    </row>
    <row r="1874" spans="1:33" customFormat="1" ht="35.1" customHeight="1" x14ac:dyDescent="0.3">
      <c r="A1874" s="46">
        <v>2427</v>
      </c>
      <c r="B1874" s="46" t="s">
        <v>4800</v>
      </c>
      <c r="C1874" s="46" t="s">
        <v>36</v>
      </c>
      <c r="D1874" s="60">
        <v>2026</v>
      </c>
      <c r="E1874" s="60"/>
      <c r="F1874" s="46" t="s">
        <v>225</v>
      </c>
      <c r="G1874" s="46" t="s">
        <v>159</v>
      </c>
      <c r="H1874" s="46" t="s">
        <v>592</v>
      </c>
      <c r="I1874" s="46" t="s">
        <v>166</v>
      </c>
      <c r="J1874" s="46"/>
      <c r="K1874" s="46" t="s">
        <v>68</v>
      </c>
      <c r="L1874" s="46"/>
      <c r="M1874" s="46"/>
      <c r="N1874" s="46"/>
      <c r="O1874" s="46"/>
      <c r="P1874" s="46">
        <v>1</v>
      </c>
      <c r="Q1874" s="46">
        <v>1</v>
      </c>
      <c r="R1874" s="46"/>
      <c r="S1874" s="46"/>
      <c r="T1874" s="46"/>
      <c r="U1874" s="46"/>
      <c r="V1874" s="46"/>
      <c r="W1874" s="46"/>
      <c r="X1874" s="46"/>
      <c r="Y1874" s="46"/>
      <c r="Z1874" s="46" t="s">
        <v>1257</v>
      </c>
      <c r="AA1874" s="61">
        <v>100</v>
      </c>
      <c r="AB1874" s="62">
        <f t="shared" si="201"/>
        <v>22222.222222222223</v>
      </c>
      <c r="AC1874" s="63">
        <f t="shared" si="202"/>
        <v>17.325333333333333</v>
      </c>
      <c r="AD1874" s="62"/>
      <c r="AE1874" s="62">
        <f t="shared" si="198"/>
        <v>22222.222222222223</v>
      </c>
      <c r="AF1874" s="64" t="s">
        <v>4801</v>
      </c>
      <c r="AG1874" s="49">
        <v>0.56999999999999995</v>
      </c>
    </row>
    <row r="1875" spans="1:33" customFormat="1" ht="35.1" customHeight="1" x14ac:dyDescent="0.3">
      <c r="A1875" s="46">
        <v>2428</v>
      </c>
      <c r="B1875" s="46" t="s">
        <v>4802</v>
      </c>
      <c r="C1875" s="46" t="s">
        <v>36</v>
      </c>
      <c r="D1875" s="60">
        <v>2026</v>
      </c>
      <c r="E1875" s="60"/>
      <c r="F1875" s="46" t="s">
        <v>225</v>
      </c>
      <c r="G1875" s="46" t="s">
        <v>159</v>
      </c>
      <c r="H1875" s="46" t="s">
        <v>592</v>
      </c>
      <c r="I1875" s="46" t="s">
        <v>166</v>
      </c>
      <c r="J1875" s="46"/>
      <c r="K1875" s="46" t="s">
        <v>140</v>
      </c>
      <c r="L1875" s="46"/>
      <c r="M1875" s="46"/>
      <c r="N1875" s="46">
        <v>1</v>
      </c>
      <c r="O1875" s="46"/>
      <c r="P1875" s="46"/>
      <c r="Q1875" s="46">
        <v>1</v>
      </c>
      <c r="R1875" s="46"/>
      <c r="S1875" s="46"/>
      <c r="T1875" s="46"/>
      <c r="U1875" s="46"/>
      <c r="V1875" s="46"/>
      <c r="W1875" s="46"/>
      <c r="X1875" s="46"/>
      <c r="Y1875" s="46"/>
      <c r="Z1875" s="82" t="s">
        <v>4803</v>
      </c>
      <c r="AA1875" s="61">
        <v>17</v>
      </c>
      <c r="AB1875" s="62">
        <f t="shared" si="201"/>
        <v>3777.7777777777783</v>
      </c>
      <c r="AC1875" s="63">
        <f t="shared" si="202"/>
        <v>2.9453066666666663</v>
      </c>
      <c r="AD1875" s="62"/>
      <c r="AE1875" s="62">
        <f t="shared" si="198"/>
        <v>3777.7777777777783</v>
      </c>
      <c r="AF1875" s="64" t="s">
        <v>4804</v>
      </c>
      <c r="AG1875" s="49">
        <v>0.56999999999999995</v>
      </c>
    </row>
    <row r="1876" spans="1:33" customFormat="1" ht="35.1" customHeight="1" x14ac:dyDescent="0.3">
      <c r="A1876" s="46">
        <v>2429</v>
      </c>
      <c r="B1876" s="46" t="s">
        <v>4805</v>
      </c>
      <c r="C1876" s="46" t="s">
        <v>36</v>
      </c>
      <c r="D1876" s="60">
        <v>2026</v>
      </c>
      <c r="E1876" s="60"/>
      <c r="F1876" s="46" t="s">
        <v>225</v>
      </c>
      <c r="G1876" s="46" t="s">
        <v>159</v>
      </c>
      <c r="H1876" s="46" t="s">
        <v>592</v>
      </c>
      <c r="I1876" s="46" t="s">
        <v>166</v>
      </c>
      <c r="J1876" s="46"/>
      <c r="K1876" s="46" t="s">
        <v>72</v>
      </c>
      <c r="L1876" s="46"/>
      <c r="M1876" s="46"/>
      <c r="N1876" s="46"/>
      <c r="O1876" s="46"/>
      <c r="P1876" s="46">
        <v>1</v>
      </c>
      <c r="Q1876" s="46">
        <v>1</v>
      </c>
      <c r="R1876" s="46"/>
      <c r="S1876" s="46"/>
      <c r="T1876" s="46"/>
      <c r="U1876" s="46"/>
      <c r="V1876" s="46"/>
      <c r="W1876" s="46"/>
      <c r="X1876" s="46"/>
      <c r="Y1876" s="46"/>
      <c r="Z1876" s="82" t="s">
        <v>4806</v>
      </c>
      <c r="AA1876" s="61">
        <v>40</v>
      </c>
      <c r="AB1876" s="62">
        <f t="shared" si="201"/>
        <v>8888.8888888888887</v>
      </c>
      <c r="AC1876" s="63">
        <f t="shared" si="202"/>
        <v>6.930133333333333</v>
      </c>
      <c r="AD1876" s="62"/>
      <c r="AE1876" s="62">
        <f t="shared" si="198"/>
        <v>8888.8888888888887</v>
      </c>
      <c r="AF1876" s="64" t="s">
        <v>4807</v>
      </c>
      <c r="AG1876" s="49">
        <v>0.56999999999999995</v>
      </c>
    </row>
    <row r="1877" spans="1:33" customFormat="1" ht="35.1" customHeight="1" x14ac:dyDescent="0.3">
      <c r="A1877" s="46">
        <v>2430</v>
      </c>
      <c r="B1877" s="46" t="s">
        <v>4808</v>
      </c>
      <c r="C1877" s="46" t="s">
        <v>36</v>
      </c>
      <c r="D1877" s="60">
        <v>2026</v>
      </c>
      <c r="E1877" s="60"/>
      <c r="F1877" s="46" t="s">
        <v>225</v>
      </c>
      <c r="G1877" s="46" t="s">
        <v>159</v>
      </c>
      <c r="H1877" s="46" t="s">
        <v>592</v>
      </c>
      <c r="I1877" s="46" t="s">
        <v>166</v>
      </c>
      <c r="J1877" s="46"/>
      <c r="K1877" s="46" t="s">
        <v>72</v>
      </c>
      <c r="L1877" s="46"/>
      <c r="M1877" s="46"/>
      <c r="N1877" s="46"/>
      <c r="O1877" s="46"/>
      <c r="P1877" s="46">
        <v>1</v>
      </c>
      <c r="Q1877" s="46">
        <v>1</v>
      </c>
      <c r="R1877" s="46"/>
      <c r="S1877" s="46"/>
      <c r="T1877" s="46"/>
      <c r="U1877" s="46"/>
      <c r="V1877" s="46"/>
      <c r="W1877" s="46"/>
      <c r="X1877" s="46"/>
      <c r="Y1877" s="46"/>
      <c r="Z1877" s="82" t="s">
        <v>914</v>
      </c>
      <c r="AA1877" s="61">
        <v>120</v>
      </c>
      <c r="AB1877" s="62">
        <f t="shared" si="201"/>
        <v>26666.666666666668</v>
      </c>
      <c r="AC1877" s="63">
        <f t="shared" si="202"/>
        <v>20.790400000000002</v>
      </c>
      <c r="AD1877" s="62"/>
      <c r="AE1877" s="62">
        <f t="shared" si="198"/>
        <v>26666.666666666668</v>
      </c>
      <c r="AF1877" s="64" t="s">
        <v>4809</v>
      </c>
      <c r="AG1877" s="49">
        <v>0.56999999999999995</v>
      </c>
    </row>
    <row r="1878" spans="1:33" customFormat="1" ht="35.1" customHeight="1" x14ac:dyDescent="0.3">
      <c r="A1878" s="46">
        <v>2431</v>
      </c>
      <c r="B1878" s="46" t="s">
        <v>4810</v>
      </c>
      <c r="C1878" s="46" t="s">
        <v>36</v>
      </c>
      <c r="D1878" s="60">
        <v>2025</v>
      </c>
      <c r="E1878" s="60"/>
      <c r="F1878" s="46" t="s">
        <v>225</v>
      </c>
      <c r="G1878" s="46" t="s">
        <v>159</v>
      </c>
      <c r="H1878" s="46" t="s">
        <v>592</v>
      </c>
      <c r="I1878" s="46" t="s">
        <v>166</v>
      </c>
      <c r="J1878" s="46"/>
      <c r="K1878" s="46" t="s">
        <v>68</v>
      </c>
      <c r="L1878" s="46"/>
      <c r="M1878" s="46"/>
      <c r="N1878" s="46"/>
      <c r="O1878" s="46"/>
      <c r="P1878" s="46">
        <v>1</v>
      </c>
      <c r="Q1878" s="46">
        <v>1</v>
      </c>
      <c r="R1878" s="46"/>
      <c r="S1878" s="46"/>
      <c r="T1878" s="46"/>
      <c r="U1878" s="46"/>
      <c r="V1878" s="46"/>
      <c r="W1878" s="46"/>
      <c r="X1878" s="46"/>
      <c r="Y1878" s="46"/>
      <c r="Z1878" s="82" t="s">
        <v>1350</v>
      </c>
      <c r="AA1878" s="61">
        <v>60</v>
      </c>
      <c r="AB1878" s="62">
        <f t="shared" si="201"/>
        <v>13333.333333333334</v>
      </c>
      <c r="AC1878" s="63">
        <f t="shared" si="202"/>
        <v>10.395200000000001</v>
      </c>
      <c r="AD1878" s="62"/>
      <c r="AE1878" s="62">
        <f t="shared" si="198"/>
        <v>13333.333333333334</v>
      </c>
      <c r="AF1878" s="64" t="s">
        <v>4811</v>
      </c>
      <c r="AG1878" s="49">
        <v>0.56999999999999995</v>
      </c>
    </row>
    <row r="1879" spans="1:33" customFormat="1" ht="35.1" customHeight="1" x14ac:dyDescent="0.3">
      <c r="A1879" s="46">
        <v>2432</v>
      </c>
      <c r="B1879" s="46" t="s">
        <v>4812</v>
      </c>
      <c r="C1879" s="46" t="s">
        <v>36</v>
      </c>
      <c r="D1879" s="60">
        <v>2026</v>
      </c>
      <c r="E1879" s="60"/>
      <c r="F1879" s="46" t="s">
        <v>225</v>
      </c>
      <c r="G1879" s="46" t="s">
        <v>159</v>
      </c>
      <c r="H1879" s="46" t="s">
        <v>592</v>
      </c>
      <c r="I1879" s="46" t="s">
        <v>169</v>
      </c>
      <c r="J1879" s="46" t="s">
        <v>69</v>
      </c>
      <c r="K1879" s="46" t="s">
        <v>68</v>
      </c>
      <c r="L1879" s="46"/>
      <c r="M1879" s="46"/>
      <c r="N1879" s="46"/>
      <c r="O1879" s="46"/>
      <c r="P1879" s="46">
        <v>1</v>
      </c>
      <c r="Q1879" s="46">
        <v>1</v>
      </c>
      <c r="R1879" s="46"/>
      <c r="S1879" s="46"/>
      <c r="T1879" s="46"/>
      <c r="U1879" s="46"/>
      <c r="V1879" s="46"/>
      <c r="W1879" s="46"/>
      <c r="X1879" s="46"/>
      <c r="Y1879" s="46"/>
      <c r="Z1879" s="46" t="s">
        <v>1339</v>
      </c>
      <c r="AA1879" s="61">
        <v>40</v>
      </c>
      <c r="AB1879" s="62">
        <f t="shared" si="201"/>
        <v>8888.8888888888887</v>
      </c>
      <c r="AC1879" s="63">
        <f t="shared" si="202"/>
        <v>6.930133333333333</v>
      </c>
      <c r="AD1879" s="62"/>
      <c r="AE1879" s="62">
        <f t="shared" si="198"/>
        <v>8888.8888888888887</v>
      </c>
      <c r="AF1879" s="64" t="s">
        <v>4813</v>
      </c>
      <c r="AG1879" s="49">
        <v>0.5</v>
      </c>
    </row>
    <row r="1880" spans="1:33" customFormat="1" ht="35.1" customHeight="1" x14ac:dyDescent="0.3">
      <c r="A1880" s="46">
        <v>2433</v>
      </c>
      <c r="B1880" s="46" t="s">
        <v>4814</v>
      </c>
      <c r="C1880" s="46" t="s">
        <v>36</v>
      </c>
      <c r="D1880" s="60">
        <v>2026</v>
      </c>
      <c r="E1880" s="60"/>
      <c r="F1880" s="46" t="s">
        <v>225</v>
      </c>
      <c r="G1880" s="46" t="s">
        <v>159</v>
      </c>
      <c r="H1880" s="46" t="s">
        <v>592</v>
      </c>
      <c r="I1880" s="46" t="s">
        <v>166</v>
      </c>
      <c r="J1880" s="46"/>
      <c r="K1880" s="46" t="s">
        <v>68</v>
      </c>
      <c r="L1880" s="46"/>
      <c r="M1880" s="46"/>
      <c r="N1880" s="46"/>
      <c r="O1880" s="46"/>
      <c r="P1880" s="46">
        <v>1</v>
      </c>
      <c r="Q1880" s="46">
        <v>1</v>
      </c>
      <c r="R1880" s="46"/>
      <c r="S1880" s="46"/>
      <c r="T1880" s="46"/>
      <c r="U1880" s="46"/>
      <c r="V1880" s="46"/>
      <c r="W1880" s="46"/>
      <c r="X1880" s="46"/>
      <c r="Y1880" s="46"/>
      <c r="Z1880" s="46" t="s">
        <v>1339</v>
      </c>
      <c r="AA1880" s="61">
        <v>40</v>
      </c>
      <c r="AB1880" s="62">
        <f t="shared" si="201"/>
        <v>8888.8888888888887</v>
      </c>
      <c r="AC1880" s="63">
        <f t="shared" si="202"/>
        <v>6.930133333333333</v>
      </c>
      <c r="AD1880" s="62"/>
      <c r="AE1880" s="62">
        <f t="shared" si="198"/>
        <v>8888.8888888888887</v>
      </c>
      <c r="AF1880" s="64" t="s">
        <v>4815</v>
      </c>
      <c r="AG1880" s="49">
        <v>0.56999999999999995</v>
      </c>
    </row>
    <row r="1881" spans="1:33" customFormat="1" ht="35.1" customHeight="1" x14ac:dyDescent="0.3">
      <c r="A1881" s="46">
        <v>2434</v>
      </c>
      <c r="B1881" s="46" t="s">
        <v>4816</v>
      </c>
      <c r="C1881" s="46" t="s">
        <v>36</v>
      </c>
      <c r="D1881" s="60">
        <v>2026</v>
      </c>
      <c r="E1881" s="60"/>
      <c r="F1881" s="46" t="s">
        <v>225</v>
      </c>
      <c r="G1881" s="46" t="s">
        <v>159</v>
      </c>
      <c r="H1881" s="46" t="s">
        <v>592</v>
      </c>
      <c r="I1881" s="46" t="s">
        <v>166</v>
      </c>
      <c r="J1881" s="46"/>
      <c r="K1881" s="46" t="s">
        <v>68</v>
      </c>
      <c r="L1881" s="46"/>
      <c r="M1881" s="46"/>
      <c r="N1881" s="46"/>
      <c r="O1881" s="46"/>
      <c r="P1881" s="46">
        <v>1</v>
      </c>
      <c r="Q1881" s="46">
        <v>1</v>
      </c>
      <c r="R1881" s="46"/>
      <c r="S1881" s="46"/>
      <c r="T1881" s="46"/>
      <c r="U1881" s="46"/>
      <c r="V1881" s="46"/>
      <c r="W1881" s="46"/>
      <c r="X1881" s="46"/>
      <c r="Y1881" s="46"/>
      <c r="Z1881" s="46" t="s">
        <v>981</v>
      </c>
      <c r="AA1881" s="61">
        <v>20</v>
      </c>
      <c r="AB1881" s="62">
        <f t="shared" si="201"/>
        <v>4444.4444444444443</v>
      </c>
      <c r="AC1881" s="63">
        <f t="shared" si="202"/>
        <v>3.4650666666666665</v>
      </c>
      <c r="AD1881" s="62"/>
      <c r="AE1881" s="62">
        <f t="shared" si="198"/>
        <v>4444.4444444444443</v>
      </c>
      <c r="AF1881" s="64" t="s">
        <v>4817</v>
      </c>
      <c r="AG1881" s="49">
        <v>0.56999999999999995</v>
      </c>
    </row>
    <row r="1882" spans="1:33" customFormat="1" ht="35.1" customHeight="1" x14ac:dyDescent="0.3">
      <c r="A1882" s="46">
        <v>2435</v>
      </c>
      <c r="B1882" s="46" t="s">
        <v>4818</v>
      </c>
      <c r="C1882" s="46" t="s">
        <v>36</v>
      </c>
      <c r="D1882" s="60">
        <v>2025</v>
      </c>
      <c r="E1882" s="60"/>
      <c r="F1882" s="46" t="s">
        <v>225</v>
      </c>
      <c r="G1882" s="46" t="s">
        <v>159</v>
      </c>
      <c r="H1882" s="46" t="s">
        <v>592</v>
      </c>
      <c r="I1882" s="46" t="s">
        <v>166</v>
      </c>
      <c r="J1882" s="46"/>
      <c r="K1882" s="46" t="s">
        <v>68</v>
      </c>
      <c r="L1882" s="46"/>
      <c r="M1882" s="46"/>
      <c r="N1882" s="46"/>
      <c r="O1882" s="46"/>
      <c r="P1882" s="46"/>
      <c r="Q1882" s="46">
        <v>1</v>
      </c>
      <c r="R1882" s="46"/>
      <c r="S1882" s="46"/>
      <c r="T1882" s="46"/>
      <c r="U1882" s="46"/>
      <c r="V1882" s="46"/>
      <c r="W1882" s="46">
        <v>1</v>
      </c>
      <c r="X1882" s="46"/>
      <c r="Y1882" s="46"/>
      <c r="Z1882" s="46" t="s">
        <v>981</v>
      </c>
      <c r="AA1882" s="61">
        <v>20</v>
      </c>
      <c r="AB1882" s="62">
        <f t="shared" si="201"/>
        <v>4444.4444444444443</v>
      </c>
      <c r="AC1882" s="63">
        <f t="shared" si="202"/>
        <v>3.4650666666666665</v>
      </c>
      <c r="AD1882" s="62"/>
      <c r="AE1882" s="62">
        <f t="shared" si="198"/>
        <v>4444.4444444444443</v>
      </c>
      <c r="AF1882" s="64" t="s">
        <v>4819</v>
      </c>
      <c r="AG1882" s="49">
        <v>0.56999999999999995</v>
      </c>
    </row>
    <row r="1883" spans="1:33" customFormat="1" ht="35.1" customHeight="1" x14ac:dyDescent="0.3">
      <c r="A1883" s="46">
        <v>2436</v>
      </c>
      <c r="B1883" s="46" t="s">
        <v>4820</v>
      </c>
      <c r="C1883" s="46" t="s">
        <v>36</v>
      </c>
      <c r="D1883" s="60">
        <v>2023</v>
      </c>
      <c r="E1883" s="60"/>
      <c r="F1883" s="46" t="s">
        <v>225</v>
      </c>
      <c r="G1883" s="46" t="s">
        <v>159</v>
      </c>
      <c r="H1883" s="46" t="s">
        <v>592</v>
      </c>
      <c r="I1883" s="46" t="s">
        <v>169</v>
      </c>
      <c r="J1883" s="46" t="s">
        <v>69</v>
      </c>
      <c r="K1883" s="46" t="s">
        <v>68</v>
      </c>
      <c r="L1883" s="46"/>
      <c r="M1883" s="46"/>
      <c r="N1883" s="46"/>
      <c r="O1883" s="46"/>
      <c r="P1883" s="46"/>
      <c r="Q1883" s="46"/>
      <c r="R1883" s="46">
        <v>1</v>
      </c>
      <c r="S1883" s="46"/>
      <c r="T1883" s="46"/>
      <c r="U1883" s="46"/>
      <c r="V1883" s="46"/>
      <c r="W1883" s="46"/>
      <c r="X1883" s="46"/>
      <c r="Y1883" s="46"/>
      <c r="Z1883" s="46" t="s">
        <v>4821</v>
      </c>
      <c r="AA1883" s="61">
        <v>4.3</v>
      </c>
      <c r="AB1883" s="62">
        <f t="shared" si="201"/>
        <v>955.55555555555554</v>
      </c>
      <c r="AC1883" s="63">
        <f t="shared" si="202"/>
        <v>0.74498933333333328</v>
      </c>
      <c r="AD1883" s="62"/>
      <c r="AE1883" s="62">
        <f t="shared" si="198"/>
        <v>955.55555555555554</v>
      </c>
      <c r="AF1883" s="64" t="s">
        <v>4811</v>
      </c>
      <c r="AG1883" s="49">
        <v>0.5</v>
      </c>
    </row>
    <row r="1884" spans="1:33" customFormat="1" ht="35.1" customHeight="1" x14ac:dyDescent="0.3">
      <c r="A1884" s="46">
        <v>2437</v>
      </c>
      <c r="B1884" s="46" t="s">
        <v>4822</v>
      </c>
      <c r="C1884" s="46" t="s">
        <v>36</v>
      </c>
      <c r="D1884" s="60">
        <v>2025</v>
      </c>
      <c r="E1884" s="60"/>
      <c r="F1884" s="46" t="s">
        <v>225</v>
      </c>
      <c r="G1884" s="46" t="s">
        <v>159</v>
      </c>
      <c r="H1884" s="46" t="s">
        <v>592</v>
      </c>
      <c r="I1884" s="46" t="s">
        <v>166</v>
      </c>
      <c r="J1884" s="46"/>
      <c r="K1884" s="46" t="s">
        <v>68</v>
      </c>
      <c r="L1884" s="46"/>
      <c r="M1884" s="46"/>
      <c r="N1884" s="46"/>
      <c r="O1884" s="46"/>
      <c r="P1884" s="46"/>
      <c r="Q1884" s="46">
        <v>1</v>
      </c>
      <c r="R1884" s="46"/>
      <c r="S1884" s="46"/>
      <c r="T1884" s="46"/>
      <c r="U1884" s="46"/>
      <c r="V1884" s="46"/>
      <c r="W1884" s="46"/>
      <c r="X1884" s="46"/>
      <c r="Y1884" s="46"/>
      <c r="Z1884" s="46" t="s">
        <v>676</v>
      </c>
      <c r="AA1884" s="61">
        <v>2.5</v>
      </c>
      <c r="AB1884" s="62">
        <f t="shared" si="201"/>
        <v>555.55555555555554</v>
      </c>
      <c r="AC1884" s="63">
        <f t="shared" si="202"/>
        <v>0.43313333333333331</v>
      </c>
      <c r="AD1884" s="62"/>
      <c r="AE1884" s="62">
        <f t="shared" si="198"/>
        <v>555.55555555555554</v>
      </c>
      <c r="AF1884" s="64" t="s">
        <v>4823</v>
      </c>
      <c r="AG1884" s="49">
        <v>0.56999999999999995</v>
      </c>
    </row>
    <row r="1885" spans="1:33" customFormat="1" ht="35.1" customHeight="1" x14ac:dyDescent="0.3">
      <c r="A1885" s="46">
        <v>2438</v>
      </c>
      <c r="B1885" s="46" t="s">
        <v>4824</v>
      </c>
      <c r="C1885" s="46" t="s">
        <v>36</v>
      </c>
      <c r="D1885" s="60">
        <v>2024</v>
      </c>
      <c r="E1885" s="60"/>
      <c r="F1885" s="46" t="s">
        <v>225</v>
      </c>
      <c r="G1885" s="46" t="s">
        <v>159</v>
      </c>
      <c r="H1885" s="46" t="s">
        <v>592</v>
      </c>
      <c r="I1885" s="46" t="s">
        <v>166</v>
      </c>
      <c r="J1885" s="46"/>
      <c r="K1885" s="46" t="s">
        <v>68</v>
      </c>
      <c r="L1885" s="46"/>
      <c r="M1885" s="46"/>
      <c r="N1885" s="46"/>
      <c r="O1885" s="46"/>
      <c r="P1885" s="46">
        <v>1</v>
      </c>
      <c r="Q1885" s="46">
        <v>1</v>
      </c>
      <c r="R1885" s="46"/>
      <c r="S1885" s="46"/>
      <c r="T1885" s="46"/>
      <c r="U1885" s="46"/>
      <c r="V1885" s="46"/>
      <c r="W1885" s="46"/>
      <c r="X1885" s="46"/>
      <c r="Y1885" s="46"/>
      <c r="Z1885" s="46" t="s">
        <v>1198</v>
      </c>
      <c r="AA1885" s="61">
        <v>2</v>
      </c>
      <c r="AB1885" s="62">
        <f t="shared" si="201"/>
        <v>444.44444444444446</v>
      </c>
      <c r="AC1885" s="63">
        <f t="shared" si="202"/>
        <v>0.34650666666666669</v>
      </c>
      <c r="AD1885" s="62"/>
      <c r="AE1885" s="62">
        <f t="shared" si="198"/>
        <v>444.44444444444446</v>
      </c>
      <c r="AF1885" s="64" t="s">
        <v>4819</v>
      </c>
      <c r="AG1885" s="49">
        <v>0.56999999999999995</v>
      </c>
    </row>
    <row r="1886" spans="1:33" customFormat="1" ht="35.1" customHeight="1" x14ac:dyDescent="0.3">
      <c r="A1886" s="46">
        <v>2439</v>
      </c>
      <c r="B1886" s="46" t="s">
        <v>4825</v>
      </c>
      <c r="C1886" s="46" t="s">
        <v>112</v>
      </c>
      <c r="D1886" s="60">
        <v>2030</v>
      </c>
      <c r="E1886" s="60"/>
      <c r="F1886" s="46" t="s">
        <v>591</v>
      </c>
      <c r="G1886" s="46" t="s">
        <v>159</v>
      </c>
      <c r="H1886" s="46" t="s">
        <v>592</v>
      </c>
      <c r="I1886" s="46" t="s">
        <v>166</v>
      </c>
      <c r="J1886" s="46"/>
      <c r="K1886" s="46" t="s">
        <v>68</v>
      </c>
      <c r="L1886" s="46"/>
      <c r="M1886" s="46"/>
      <c r="N1886" s="46"/>
      <c r="O1886" s="46"/>
      <c r="P1886" s="46"/>
      <c r="Q1886" s="46"/>
      <c r="R1886" s="46">
        <v>1</v>
      </c>
      <c r="S1886" s="46"/>
      <c r="T1886" s="46"/>
      <c r="U1886" s="46"/>
      <c r="V1886" s="46"/>
      <c r="W1886" s="46"/>
      <c r="X1886" s="46"/>
      <c r="Y1886" s="46"/>
      <c r="Z1886" s="46" t="s">
        <v>1177</v>
      </c>
      <c r="AA1886" s="61">
        <v>100</v>
      </c>
      <c r="AB1886" s="62">
        <f t="shared" si="201"/>
        <v>22222.222222222223</v>
      </c>
      <c r="AC1886" s="63">
        <f t="shared" si="202"/>
        <v>17.325333333333333</v>
      </c>
      <c r="AD1886" s="62"/>
      <c r="AE1886" s="62">
        <f t="shared" si="198"/>
        <v>22222.222222222223</v>
      </c>
      <c r="AF1886" s="64" t="s">
        <v>4826</v>
      </c>
      <c r="AG1886" s="49">
        <v>0.56999999999999995</v>
      </c>
    </row>
    <row r="1887" spans="1:33" customFormat="1" ht="35.1" customHeight="1" x14ac:dyDescent="0.3">
      <c r="A1887" s="46">
        <v>2440</v>
      </c>
      <c r="B1887" s="46" t="s">
        <v>4827</v>
      </c>
      <c r="C1887" s="46" t="s">
        <v>112</v>
      </c>
      <c r="D1887" s="60">
        <v>2025</v>
      </c>
      <c r="E1887" s="60"/>
      <c r="F1887" s="46" t="s">
        <v>225</v>
      </c>
      <c r="G1887" s="46" t="s">
        <v>3</v>
      </c>
      <c r="H1887" s="46"/>
      <c r="I1887" s="46" t="s">
        <v>166</v>
      </c>
      <c r="J1887" s="46"/>
      <c r="K1887" s="46" t="s">
        <v>68</v>
      </c>
      <c r="L1887" s="46"/>
      <c r="M1887" s="46"/>
      <c r="N1887" s="46"/>
      <c r="O1887" s="46"/>
      <c r="P1887" s="46"/>
      <c r="Q1887" s="46"/>
      <c r="R1887" s="46"/>
      <c r="S1887" s="46"/>
      <c r="T1887" s="46"/>
      <c r="U1887" s="46"/>
      <c r="V1887" s="46"/>
      <c r="W1887" s="46"/>
      <c r="X1887" s="46"/>
      <c r="Y1887" s="46"/>
      <c r="Z1887" s="46" t="s">
        <v>1001</v>
      </c>
      <c r="AA1887" s="61">
        <v>5</v>
      </c>
      <c r="AB1887" s="62">
        <f t="shared" si="201"/>
        <v>1086.9565217391305</v>
      </c>
      <c r="AC1887" s="63">
        <f t="shared" si="202"/>
        <v>0.84743478260869565</v>
      </c>
      <c r="AD1887" s="62"/>
      <c r="AE1887" s="62">
        <f t="shared" si="198"/>
        <v>1086.9565217391305</v>
      </c>
      <c r="AF1887" s="64" t="s">
        <v>4828</v>
      </c>
      <c r="AG1887" s="49">
        <v>0.56999999999999995</v>
      </c>
    </row>
    <row r="1888" spans="1:33" customFormat="1" ht="35.1" customHeight="1" x14ac:dyDescent="0.3">
      <c r="A1888" s="46">
        <v>2442</v>
      </c>
      <c r="B1888" s="46" t="s">
        <v>4829</v>
      </c>
      <c r="C1888" s="46" t="s">
        <v>318</v>
      </c>
      <c r="D1888" s="60">
        <v>2024</v>
      </c>
      <c r="E1888" s="60"/>
      <c r="F1888" s="46" t="s">
        <v>675</v>
      </c>
      <c r="G1888" s="46" t="s">
        <v>1</v>
      </c>
      <c r="H1888" s="46"/>
      <c r="I1888" s="46" t="s">
        <v>169</v>
      </c>
      <c r="J1888" s="46" t="s">
        <v>244</v>
      </c>
      <c r="K1888" s="46" t="s">
        <v>68</v>
      </c>
      <c r="L1888" s="46"/>
      <c r="M1888" s="46"/>
      <c r="N1888" s="46"/>
      <c r="O1888" s="46"/>
      <c r="P1888" s="46"/>
      <c r="Q1888" s="46">
        <v>1</v>
      </c>
      <c r="R1888" s="46">
        <v>1</v>
      </c>
      <c r="S1888" s="46"/>
      <c r="T1888" s="46"/>
      <c r="U1888" s="46"/>
      <c r="V1888" s="46"/>
      <c r="W1888" s="46"/>
      <c r="X1888" s="46"/>
      <c r="Y1888" s="46"/>
      <c r="Z1888" s="46" t="s">
        <v>748</v>
      </c>
      <c r="AA1888" s="61">
        <v>4</v>
      </c>
      <c r="AB1888" s="62">
        <f t="shared" si="201"/>
        <v>769.23076923076928</v>
      </c>
      <c r="AC1888" s="63">
        <f t="shared" si="202"/>
        <v>0.59972307692307703</v>
      </c>
      <c r="AD1888" s="62"/>
      <c r="AE1888" s="62">
        <f t="shared" si="198"/>
        <v>769.23076923076928</v>
      </c>
      <c r="AF1888" s="64" t="s">
        <v>4830</v>
      </c>
      <c r="AG1888" s="49">
        <v>0.3</v>
      </c>
    </row>
    <row r="1889" spans="1:33" customFormat="1" ht="35.1" customHeight="1" x14ac:dyDescent="0.3">
      <c r="A1889" s="46">
        <v>2443</v>
      </c>
      <c r="B1889" s="46" t="s">
        <v>4831</v>
      </c>
      <c r="C1889" s="46" t="s">
        <v>318</v>
      </c>
      <c r="D1889" s="60">
        <v>2025</v>
      </c>
      <c r="E1889" s="60"/>
      <c r="F1889" s="46" t="s">
        <v>225</v>
      </c>
      <c r="G1889" s="46" t="s">
        <v>1</v>
      </c>
      <c r="H1889" s="46"/>
      <c r="I1889" s="46" t="s">
        <v>166</v>
      </c>
      <c r="J1889" s="46"/>
      <c r="K1889" s="46" t="s">
        <v>68</v>
      </c>
      <c r="L1889" s="46"/>
      <c r="M1889" s="46"/>
      <c r="N1889" s="46"/>
      <c r="O1889" s="46"/>
      <c r="P1889" s="46">
        <v>1</v>
      </c>
      <c r="Q1889" s="46"/>
      <c r="R1889" s="46"/>
      <c r="S1889" s="46"/>
      <c r="T1889" s="46"/>
      <c r="U1889" s="46"/>
      <c r="V1889" s="46"/>
      <c r="W1889" s="46"/>
      <c r="X1889" s="46">
        <v>1</v>
      </c>
      <c r="Y1889" s="46"/>
      <c r="Z1889" s="46" t="s">
        <v>4832</v>
      </c>
      <c r="AA1889" s="61">
        <v>6.6</v>
      </c>
      <c r="AB1889" s="62">
        <f t="shared" si="201"/>
        <v>1269.2307692307693</v>
      </c>
      <c r="AC1889" s="63">
        <f t="shared" si="202"/>
        <v>0.98954307692307697</v>
      </c>
      <c r="AD1889" s="62"/>
      <c r="AE1889" s="62">
        <f t="shared" si="198"/>
        <v>1269.2307692307693</v>
      </c>
      <c r="AF1889" s="64" t="s">
        <v>4833</v>
      </c>
      <c r="AG1889" s="49">
        <v>0.56999999999999995</v>
      </c>
    </row>
    <row r="1890" spans="1:33" customFormat="1" ht="35.1" customHeight="1" x14ac:dyDescent="0.3">
      <c r="A1890" s="46">
        <v>2444</v>
      </c>
      <c r="B1890" s="46" t="s">
        <v>4834</v>
      </c>
      <c r="C1890" s="46" t="s">
        <v>318</v>
      </c>
      <c r="D1890" s="60"/>
      <c r="E1890" s="60"/>
      <c r="F1890" s="46" t="s">
        <v>591</v>
      </c>
      <c r="G1890" s="46" t="s">
        <v>159</v>
      </c>
      <c r="H1890" s="46" t="s">
        <v>592</v>
      </c>
      <c r="I1890" s="46" t="s">
        <v>157</v>
      </c>
      <c r="J1890" s="46" t="s">
        <v>248</v>
      </c>
      <c r="K1890" s="46" t="s">
        <v>68</v>
      </c>
      <c r="L1890" s="46"/>
      <c r="M1890" s="46"/>
      <c r="N1890" s="46"/>
      <c r="O1890" s="46"/>
      <c r="P1890" s="46">
        <v>1</v>
      </c>
      <c r="Q1890" s="46"/>
      <c r="R1890" s="46"/>
      <c r="S1890" s="46"/>
      <c r="T1890" s="46"/>
      <c r="U1890" s="46"/>
      <c r="V1890" s="46"/>
      <c r="W1890" s="46"/>
      <c r="X1890" s="46"/>
      <c r="Y1890" s="46"/>
      <c r="Z1890" s="46" t="s">
        <v>3279</v>
      </c>
      <c r="AA1890" s="61">
        <v>400</v>
      </c>
      <c r="AB1890" s="62">
        <f t="shared" si="201"/>
        <v>88888.888888888891</v>
      </c>
      <c r="AC1890" s="63">
        <f t="shared" si="202"/>
        <v>69.301333333333332</v>
      </c>
      <c r="AD1890" s="62"/>
      <c r="AE1890" s="62">
        <f t="shared" si="198"/>
        <v>88888.888888888891</v>
      </c>
      <c r="AF1890" s="64" t="s">
        <v>4835</v>
      </c>
      <c r="AG1890" s="49">
        <v>0.56999999999999995</v>
      </c>
    </row>
    <row r="1891" spans="1:33" customFormat="1" ht="35.1" customHeight="1" x14ac:dyDescent="0.3">
      <c r="A1891" s="46">
        <v>2445</v>
      </c>
      <c r="B1891" s="46" t="s">
        <v>4836</v>
      </c>
      <c r="C1891" s="46" t="s">
        <v>43</v>
      </c>
      <c r="D1891" s="60">
        <v>2023</v>
      </c>
      <c r="E1891" s="60"/>
      <c r="F1891" s="46" t="s">
        <v>675</v>
      </c>
      <c r="G1891" s="46" t="s">
        <v>1</v>
      </c>
      <c r="H1891" s="46"/>
      <c r="I1891" s="46" t="s">
        <v>1317</v>
      </c>
      <c r="J1891" s="46" t="s">
        <v>69</v>
      </c>
      <c r="K1891" s="46" t="s">
        <v>68</v>
      </c>
      <c r="L1891" s="46"/>
      <c r="M1891" s="46"/>
      <c r="N1891" s="46"/>
      <c r="O1891" s="46"/>
      <c r="P1891" s="46"/>
      <c r="Q1891" s="46"/>
      <c r="R1891" s="46">
        <v>1</v>
      </c>
      <c r="S1891" s="46"/>
      <c r="T1891" s="46"/>
      <c r="U1891" s="46"/>
      <c r="V1891" s="46"/>
      <c r="W1891" s="46"/>
      <c r="X1891" s="46"/>
      <c r="Y1891" s="46"/>
      <c r="Z1891" s="46" t="s">
        <v>4837</v>
      </c>
      <c r="AA1891" s="61">
        <v>0.34</v>
      </c>
      <c r="AB1891" s="62">
        <f t="shared" si="201"/>
        <v>65.384615384615387</v>
      </c>
      <c r="AC1891" s="63">
        <f t="shared" si="202"/>
        <v>5.097646153846154E-2</v>
      </c>
      <c r="AD1891" s="62"/>
      <c r="AE1891" s="62">
        <f t="shared" si="198"/>
        <v>65.384615384615387</v>
      </c>
      <c r="AF1891" s="64" t="s">
        <v>4838</v>
      </c>
      <c r="AG1891" s="49">
        <v>0.7</v>
      </c>
    </row>
    <row r="1892" spans="1:33" customFormat="1" ht="35.1" customHeight="1" x14ac:dyDescent="0.3">
      <c r="A1892" s="46">
        <v>2446</v>
      </c>
      <c r="B1892" s="75" t="s">
        <v>4839</v>
      </c>
      <c r="C1892" s="46" t="s">
        <v>43</v>
      </c>
      <c r="D1892" s="60">
        <v>2023</v>
      </c>
      <c r="E1892" s="60"/>
      <c r="F1892" s="46" t="s">
        <v>675</v>
      </c>
      <c r="G1892" s="46" t="s">
        <v>1</v>
      </c>
      <c r="H1892" s="46"/>
      <c r="I1892" s="46" t="s">
        <v>169</v>
      </c>
      <c r="J1892" s="46" t="s">
        <v>244</v>
      </c>
      <c r="K1892" s="46" t="s">
        <v>68</v>
      </c>
      <c r="L1892" s="46"/>
      <c r="M1892" s="46"/>
      <c r="N1892" s="46"/>
      <c r="O1892" s="46"/>
      <c r="P1892" s="46"/>
      <c r="Q1892" s="46"/>
      <c r="R1892" s="46">
        <v>1</v>
      </c>
      <c r="S1892" s="46"/>
      <c r="T1892" s="46"/>
      <c r="U1892" s="46"/>
      <c r="V1892" s="46"/>
      <c r="W1892" s="46"/>
      <c r="X1892" s="46"/>
      <c r="Y1892" s="46"/>
      <c r="Z1892" s="46" t="s">
        <v>708</v>
      </c>
      <c r="AA1892" s="61">
        <v>1</v>
      </c>
      <c r="AB1892" s="62">
        <f t="shared" si="201"/>
        <v>192.30769230769232</v>
      </c>
      <c r="AC1892" s="63">
        <f t="shared" si="202"/>
        <v>0.14993076923076926</v>
      </c>
      <c r="AD1892" s="62"/>
      <c r="AE1892" s="62">
        <f t="shared" ref="AE1892:AE1955" si="203">IF(AND(G1892&lt;&gt;"NG w CCUS",G1892&lt;&gt;"Oil w CCUS",G1892&lt;&gt;"Coal w CCUS"),AB1892,AD1892*10^3/(HoursInYear*IF(G1892="NG w CCUS",0.9105,1.9075)))</f>
        <v>192.30769230769232</v>
      </c>
      <c r="AF1892" s="64" t="s">
        <v>4838</v>
      </c>
      <c r="AG1892" s="49">
        <v>0.3</v>
      </c>
    </row>
    <row r="1893" spans="1:33" customFormat="1" ht="35.1" customHeight="1" x14ac:dyDescent="0.3">
      <c r="A1893" s="46">
        <v>2447</v>
      </c>
      <c r="B1893" s="46" t="s">
        <v>4840</v>
      </c>
      <c r="C1893" s="46" t="s">
        <v>203</v>
      </c>
      <c r="D1893" s="60">
        <v>2027</v>
      </c>
      <c r="E1893" s="60"/>
      <c r="F1893" s="46" t="s">
        <v>225</v>
      </c>
      <c r="G1893" s="46" t="s">
        <v>159</v>
      </c>
      <c r="H1893" s="46" t="s">
        <v>592</v>
      </c>
      <c r="I1893" s="46" t="s">
        <v>166</v>
      </c>
      <c r="J1893" s="46"/>
      <c r="K1893" s="46" t="s">
        <v>68</v>
      </c>
      <c r="L1893" s="46"/>
      <c r="M1893" s="46"/>
      <c r="N1893" s="46"/>
      <c r="O1893" s="46"/>
      <c r="P1893" s="46"/>
      <c r="Q1893" s="46"/>
      <c r="R1893" s="46"/>
      <c r="S1893" s="46"/>
      <c r="T1893" s="46"/>
      <c r="U1893" s="46"/>
      <c r="V1893" s="46"/>
      <c r="W1893" s="46"/>
      <c r="X1893" s="46"/>
      <c r="Y1893" s="46"/>
      <c r="Z1893" s="46" t="s">
        <v>1843</v>
      </c>
      <c r="AA1893" s="61">
        <v>600</v>
      </c>
      <c r="AB1893" s="62">
        <f t="shared" si="201"/>
        <v>133333.33333333334</v>
      </c>
      <c r="AC1893" s="63">
        <f t="shared" si="202"/>
        <v>103.952</v>
      </c>
      <c r="AD1893" s="62"/>
      <c r="AE1893" s="62">
        <f t="shared" si="203"/>
        <v>133333.33333333334</v>
      </c>
      <c r="AF1893" s="64" t="s">
        <v>4841</v>
      </c>
      <c r="AG1893" s="49">
        <v>0.56999999999999995</v>
      </c>
    </row>
    <row r="1894" spans="1:33" customFormat="1" ht="35.1" customHeight="1" x14ac:dyDescent="0.3">
      <c r="A1894" s="46">
        <v>2448</v>
      </c>
      <c r="B1894" s="46" t="s">
        <v>4842</v>
      </c>
      <c r="C1894" s="46" t="s">
        <v>40</v>
      </c>
      <c r="D1894" s="60"/>
      <c r="E1894" s="60"/>
      <c r="F1894" s="46" t="s">
        <v>225</v>
      </c>
      <c r="G1894" s="46" t="s">
        <v>164</v>
      </c>
      <c r="H1894" s="46"/>
      <c r="I1894" s="46"/>
      <c r="J1894" s="46"/>
      <c r="K1894" s="46" t="s">
        <v>68</v>
      </c>
      <c r="L1894" s="46"/>
      <c r="M1894" s="46"/>
      <c r="N1894" s="46"/>
      <c r="O1894" s="46"/>
      <c r="P1894" s="46"/>
      <c r="Q1894" s="46"/>
      <c r="R1894" s="46"/>
      <c r="S1894" s="46"/>
      <c r="T1894" s="46"/>
      <c r="U1894" s="46"/>
      <c r="V1894" s="46"/>
      <c r="W1894" s="46"/>
      <c r="X1894" s="46"/>
      <c r="Y1894" s="46"/>
      <c r="Z1894" s="46" t="s">
        <v>4843</v>
      </c>
      <c r="AA1894" s="61" t="str">
        <f>IF(OR(G1894="ALK",G1894="PEM",G1894="SOEC",G1894="Other Electrolysis"),
AB1894*VLOOKUP(G1894,ElectrolysisConvF,3,FALSE),
"")</f>
        <v/>
      </c>
      <c r="AB1894" s="62">
        <f>AC1894/(H2dens*HoursInYear/10^6)</f>
        <v>26935.50869632138</v>
      </c>
      <c r="AC1894" s="62">
        <v>21</v>
      </c>
      <c r="AD1894" s="62">
        <v>450000</v>
      </c>
      <c r="AE1894" s="62">
        <f t="shared" si="203"/>
        <v>26935.50869632138</v>
      </c>
      <c r="AF1894" s="64" t="s">
        <v>4844</v>
      </c>
      <c r="AG1894" s="49">
        <v>0.9</v>
      </c>
    </row>
    <row r="1895" spans="1:33" customFormat="1" ht="35.1" customHeight="1" x14ac:dyDescent="0.3">
      <c r="A1895" s="46">
        <v>2449</v>
      </c>
      <c r="B1895" s="46" t="s">
        <v>4845</v>
      </c>
      <c r="C1895" s="46" t="s">
        <v>40</v>
      </c>
      <c r="D1895" s="60">
        <v>2026</v>
      </c>
      <c r="E1895" s="60"/>
      <c r="F1895" s="46" t="s">
        <v>225</v>
      </c>
      <c r="G1895" s="46" t="s">
        <v>164</v>
      </c>
      <c r="H1895" s="46"/>
      <c r="I1895" s="46"/>
      <c r="J1895" s="46"/>
      <c r="K1895" s="46" t="s">
        <v>68</v>
      </c>
      <c r="L1895" s="46"/>
      <c r="M1895" s="46"/>
      <c r="N1895" s="46"/>
      <c r="O1895" s="46"/>
      <c r="P1895" s="46"/>
      <c r="Q1895" s="46"/>
      <c r="R1895" s="46"/>
      <c r="S1895" s="46"/>
      <c r="T1895" s="46"/>
      <c r="U1895" s="46"/>
      <c r="V1895" s="46"/>
      <c r="W1895" s="46"/>
      <c r="X1895" s="46"/>
      <c r="Y1895" s="46"/>
      <c r="Z1895" s="46"/>
      <c r="AA1895" s="61" t="str">
        <f>IF(OR(G1895="ALK",G1895="PEM",G1895="SOEC",G1895="Other Electrolysis"),
AB1895*VLOOKUP(G1895,ElectrolysisConvF,3,FALSE),
"")</f>
        <v/>
      </c>
      <c r="AB1895" s="62"/>
      <c r="AC1895" s="62"/>
      <c r="AD1895" s="62"/>
      <c r="AE1895" s="62">
        <f t="shared" si="203"/>
        <v>0</v>
      </c>
      <c r="AF1895" s="64" t="s">
        <v>4846</v>
      </c>
      <c r="AG1895" s="49">
        <v>0.9</v>
      </c>
    </row>
    <row r="1896" spans="1:33" customFormat="1" ht="35.1" customHeight="1" x14ac:dyDescent="0.3">
      <c r="A1896" s="46">
        <v>2450</v>
      </c>
      <c r="B1896" s="46" t="s">
        <v>4791</v>
      </c>
      <c r="C1896" s="46" t="s">
        <v>60</v>
      </c>
      <c r="D1896" s="60">
        <v>2030</v>
      </c>
      <c r="E1896" s="60"/>
      <c r="F1896" s="46" t="s">
        <v>591</v>
      </c>
      <c r="G1896" s="46" t="s">
        <v>1</v>
      </c>
      <c r="H1896" s="46"/>
      <c r="I1896" s="46" t="s">
        <v>1317</v>
      </c>
      <c r="J1896" s="46" t="s">
        <v>69</v>
      </c>
      <c r="K1896" s="46" t="s">
        <v>68</v>
      </c>
      <c r="L1896" s="46"/>
      <c r="M1896" s="46"/>
      <c r="N1896" s="46"/>
      <c r="O1896" s="46"/>
      <c r="P1896" s="46">
        <v>1</v>
      </c>
      <c r="Q1896" s="46"/>
      <c r="R1896" s="46"/>
      <c r="S1896" s="46"/>
      <c r="T1896" s="46"/>
      <c r="U1896" s="46"/>
      <c r="V1896" s="46"/>
      <c r="W1896" s="46"/>
      <c r="X1896" s="46"/>
      <c r="Y1896" s="46"/>
      <c r="Z1896" s="46" t="s">
        <v>1228</v>
      </c>
      <c r="AA1896" s="61">
        <v>24</v>
      </c>
      <c r="AB1896" s="62">
        <f>IF(OR(G1896="ALK",G1896="PEM",G1896="SOEC",G1896="Other Electrolysis"),
AA1896/VLOOKUP(G1896,ElectrolysisConvF,3,FALSE),
AC1896*10^6/(H2dens*HoursInYear))</f>
        <v>4615.3846153846152</v>
      </c>
      <c r="AC1896" s="63">
        <f>AB1896*H2dens*HoursInYear/10^6</f>
        <v>3.5983384615384608</v>
      </c>
      <c r="AD1896" s="62"/>
      <c r="AE1896" s="62">
        <f t="shared" si="203"/>
        <v>4615.3846153846152</v>
      </c>
      <c r="AF1896" s="64" t="s">
        <v>4847</v>
      </c>
      <c r="AG1896" s="49">
        <v>0.7</v>
      </c>
    </row>
    <row r="1897" spans="1:33" customFormat="1" ht="35.1" customHeight="1" x14ac:dyDescent="0.3">
      <c r="A1897" s="46">
        <v>2451</v>
      </c>
      <c r="B1897" s="46" t="s">
        <v>4691</v>
      </c>
      <c r="C1897" s="46" t="s">
        <v>36</v>
      </c>
      <c r="D1897" s="60">
        <v>2020</v>
      </c>
      <c r="E1897" s="60"/>
      <c r="F1897" s="46" t="s">
        <v>226</v>
      </c>
      <c r="G1897" s="46" t="s">
        <v>159</v>
      </c>
      <c r="H1897" s="46" t="s">
        <v>592</v>
      </c>
      <c r="I1897" s="46" t="s">
        <v>166</v>
      </c>
      <c r="J1897" s="46"/>
      <c r="K1897" s="46" t="s">
        <v>68</v>
      </c>
      <c r="L1897" s="46"/>
      <c r="M1897" s="46"/>
      <c r="N1897" s="46"/>
      <c r="O1897" s="46"/>
      <c r="P1897" s="46">
        <v>1</v>
      </c>
      <c r="Q1897" s="46"/>
      <c r="R1897" s="46"/>
      <c r="S1897" s="46"/>
      <c r="T1897" s="46"/>
      <c r="U1897" s="46"/>
      <c r="V1897" s="46"/>
      <c r="W1897" s="46"/>
      <c r="X1897" s="46"/>
      <c r="Y1897" s="46"/>
      <c r="Z1897" s="46" t="s">
        <v>1987</v>
      </c>
      <c r="AA1897" s="61">
        <v>0.7</v>
      </c>
      <c r="AB1897" s="62">
        <f>IF(OR(G1897="ALK",G1897="PEM",G1897="SOEC",G1897="Other Electrolysis"),
AA1897/VLOOKUP(G1897,ElectrolysisConvF,3,FALSE),
AC1897*10^6/(H2dens*HoursInYear))</f>
        <v>155.55555555555557</v>
      </c>
      <c r="AC1897" s="63">
        <f>AB1897*H2dens*HoursInYear/10^6</f>
        <v>0.12127733333333335</v>
      </c>
      <c r="AD1897" s="62"/>
      <c r="AE1897" s="62">
        <f t="shared" si="203"/>
        <v>155.55555555555557</v>
      </c>
      <c r="AF1897" s="64" t="s">
        <v>4847</v>
      </c>
      <c r="AG1897" s="49">
        <v>0.56999999999999995</v>
      </c>
    </row>
    <row r="1898" spans="1:33" customFormat="1" ht="35.1" customHeight="1" x14ac:dyDescent="0.3">
      <c r="A1898" s="46">
        <v>2452</v>
      </c>
      <c r="B1898" s="46" t="s">
        <v>4848</v>
      </c>
      <c r="C1898" s="46" t="s">
        <v>36</v>
      </c>
      <c r="D1898" s="60">
        <v>2023</v>
      </c>
      <c r="E1898" s="60"/>
      <c r="F1898" s="46" t="s">
        <v>225</v>
      </c>
      <c r="G1898" s="46" t="s">
        <v>159</v>
      </c>
      <c r="H1898" s="46" t="s">
        <v>592</v>
      </c>
      <c r="I1898" s="46" t="s">
        <v>166</v>
      </c>
      <c r="J1898" s="46"/>
      <c r="K1898" s="46" t="s">
        <v>68</v>
      </c>
      <c r="L1898" s="46"/>
      <c r="M1898" s="46"/>
      <c r="N1898" s="46"/>
      <c r="O1898" s="46"/>
      <c r="P1898" s="46">
        <v>1</v>
      </c>
      <c r="Q1898" s="46"/>
      <c r="R1898" s="46"/>
      <c r="S1898" s="46"/>
      <c r="T1898" s="46"/>
      <c r="U1898" s="46"/>
      <c r="V1898" s="46"/>
      <c r="W1898" s="46"/>
      <c r="X1898" s="46"/>
      <c r="Y1898" s="46"/>
      <c r="Z1898" s="46" t="s">
        <v>4849</v>
      </c>
      <c r="AA1898" s="61">
        <v>0.125</v>
      </c>
      <c r="AB1898" s="62">
        <f>IF(OR(G1898="ALK",G1898="PEM",G1898="SOEC",G1898="Other Electrolysis"),
AA1898/VLOOKUP(G1898,ElectrolysisConvF,3,FALSE),
AC1898*10^6/(H2dens*HoursInYear))</f>
        <v>27.777777777777779</v>
      </c>
      <c r="AC1898" s="63">
        <f>AB1898*H2dens*HoursInYear/10^6</f>
        <v>2.1656666666666668E-2</v>
      </c>
      <c r="AD1898" s="62"/>
      <c r="AE1898" s="62">
        <f t="shared" si="203"/>
        <v>27.777777777777779</v>
      </c>
      <c r="AF1898" s="64" t="s">
        <v>4847</v>
      </c>
      <c r="AG1898" s="49">
        <v>0.56999999999999995</v>
      </c>
    </row>
    <row r="1899" spans="1:33" customFormat="1" ht="35.1" customHeight="1" x14ac:dyDescent="0.3">
      <c r="A1899" s="46">
        <v>2453</v>
      </c>
      <c r="B1899" s="46" t="s">
        <v>4850</v>
      </c>
      <c r="C1899" s="46" t="s">
        <v>43</v>
      </c>
      <c r="D1899" s="60">
        <v>2027</v>
      </c>
      <c r="E1899" s="60"/>
      <c r="F1899" s="46" t="s">
        <v>591</v>
      </c>
      <c r="G1899" s="46" t="s">
        <v>159</v>
      </c>
      <c r="H1899" s="46" t="s">
        <v>592</v>
      </c>
      <c r="I1899" s="46" t="s">
        <v>169</v>
      </c>
      <c r="J1899" s="46" t="s">
        <v>69</v>
      </c>
      <c r="K1899" s="46" t="s">
        <v>141</v>
      </c>
      <c r="L1899" s="46"/>
      <c r="M1899" s="46">
        <v>1</v>
      </c>
      <c r="N1899" s="46"/>
      <c r="O1899" s="46"/>
      <c r="P1899" s="46"/>
      <c r="Q1899" s="46"/>
      <c r="R1899" s="46"/>
      <c r="S1899" s="46"/>
      <c r="T1899" s="46"/>
      <c r="U1899" s="46"/>
      <c r="V1899" s="46"/>
      <c r="W1899" s="46"/>
      <c r="X1899" s="46"/>
      <c r="Y1899" s="46"/>
      <c r="Z1899" s="46" t="s">
        <v>3587</v>
      </c>
      <c r="AA1899" s="62">
        <f t="shared" ref="AA1899:AA1941" si="204">IF(OR(G1899="ALK",G1899="PEM",G1899="SOEC",G1899="Other Electrolysis"),
AB1899*VLOOKUP(G1899,ElectrolysisConvF,3,FALSE),
"")</f>
        <v>2308.7578882561183</v>
      </c>
      <c r="AB1899" s="62">
        <f t="shared" ref="AB1899:AB1938" si="205">AC1899/(H2dens*HoursInYear/10^6)</f>
        <v>513057.30850135966</v>
      </c>
      <c r="AC1899" s="62">
        <f>(200/H2ProjectDB4578610[[#This Row],[Column33]])</f>
        <v>400</v>
      </c>
      <c r="AD1899" s="62"/>
      <c r="AE1899" s="62">
        <f t="shared" si="203"/>
        <v>513057.30850135966</v>
      </c>
      <c r="AF1899" s="64" t="s">
        <v>4851</v>
      </c>
      <c r="AG1899" s="49">
        <v>0.5</v>
      </c>
    </row>
    <row r="1900" spans="1:33" customFormat="1" ht="35.1" customHeight="1" x14ac:dyDescent="0.3">
      <c r="A1900" s="46">
        <v>2454</v>
      </c>
      <c r="B1900" s="46" t="s">
        <v>4852</v>
      </c>
      <c r="C1900" s="46" t="s">
        <v>43</v>
      </c>
      <c r="D1900" s="60">
        <v>2030</v>
      </c>
      <c r="E1900" s="60"/>
      <c r="F1900" s="46" t="s">
        <v>591</v>
      </c>
      <c r="G1900" s="46" t="s">
        <v>159</v>
      </c>
      <c r="H1900" s="46" t="s">
        <v>592</v>
      </c>
      <c r="I1900" s="46" t="s">
        <v>169</v>
      </c>
      <c r="J1900" s="46" t="s">
        <v>69</v>
      </c>
      <c r="K1900" s="46" t="s">
        <v>68</v>
      </c>
      <c r="L1900" s="46"/>
      <c r="M1900" s="46"/>
      <c r="N1900" s="46"/>
      <c r="O1900" s="46"/>
      <c r="P1900" s="46">
        <v>1</v>
      </c>
      <c r="Q1900" s="46"/>
      <c r="R1900" s="46"/>
      <c r="S1900" s="46"/>
      <c r="T1900" s="46"/>
      <c r="U1900" s="46"/>
      <c r="V1900" s="46"/>
      <c r="W1900" s="46"/>
      <c r="X1900" s="46"/>
      <c r="Y1900" s="46"/>
      <c r="Z1900" s="46" t="s">
        <v>3191</v>
      </c>
      <c r="AA1900" s="62">
        <f t="shared" si="204"/>
        <v>11543.789441280591</v>
      </c>
      <c r="AB1900" s="62">
        <f t="shared" si="205"/>
        <v>2565286.5425067982</v>
      </c>
      <c r="AC1900" s="62">
        <f>(1000/H2ProjectDB4578610[[#This Row],[Column33]])</f>
        <v>2000</v>
      </c>
      <c r="AD1900" s="62"/>
      <c r="AE1900" s="62">
        <f t="shared" si="203"/>
        <v>2565286.5425067982</v>
      </c>
      <c r="AF1900" s="64" t="s">
        <v>4851</v>
      </c>
      <c r="AG1900" s="49">
        <v>0.5</v>
      </c>
    </row>
    <row r="1901" spans="1:33" customFormat="1" ht="35.1" customHeight="1" x14ac:dyDescent="0.3">
      <c r="A1901" s="46">
        <v>2455</v>
      </c>
      <c r="B1901" s="46" t="s">
        <v>4853</v>
      </c>
      <c r="C1901" s="46" t="s">
        <v>43</v>
      </c>
      <c r="D1901" s="60">
        <v>2025</v>
      </c>
      <c r="E1901" s="60"/>
      <c r="F1901" s="46" t="s">
        <v>225</v>
      </c>
      <c r="G1901" s="46" t="s">
        <v>163</v>
      </c>
      <c r="H1901" s="46" t="s">
        <v>2289</v>
      </c>
      <c r="I1901" s="46"/>
      <c r="J1901" s="46"/>
      <c r="K1901" s="46" t="s">
        <v>68</v>
      </c>
      <c r="L1901" s="46"/>
      <c r="M1901" s="46"/>
      <c r="N1901" s="46"/>
      <c r="O1901" s="46"/>
      <c r="P1901" s="46">
        <v>1</v>
      </c>
      <c r="Q1901" s="46"/>
      <c r="R1901" s="46"/>
      <c r="S1901" s="46"/>
      <c r="T1901" s="46"/>
      <c r="U1901" s="46"/>
      <c r="V1901" s="46"/>
      <c r="W1901" s="46"/>
      <c r="X1901" s="46"/>
      <c r="Y1901" s="46"/>
      <c r="Z1901" s="46" t="s">
        <v>4854</v>
      </c>
      <c r="AA1901" s="61" t="str">
        <f t="shared" si="204"/>
        <v/>
      </c>
      <c r="AB1901" s="62">
        <f t="shared" si="205"/>
        <v>520.18310445276745</v>
      </c>
      <c r="AC1901" s="76">
        <f>(365/1000/H2ProjectDB4578610[[#This Row],[Column33]])</f>
        <v>0.40555555555555556</v>
      </c>
      <c r="AD1901" s="62"/>
      <c r="AE1901" s="62">
        <f t="shared" si="203"/>
        <v>520.18310445276745</v>
      </c>
      <c r="AF1901" s="64" t="s">
        <v>4851</v>
      </c>
      <c r="AG1901" s="49">
        <v>0.9</v>
      </c>
    </row>
    <row r="1902" spans="1:33" customFormat="1" ht="35.1" customHeight="1" x14ac:dyDescent="0.3">
      <c r="A1902" s="46">
        <v>2456</v>
      </c>
      <c r="B1902" s="46" t="s">
        <v>4855</v>
      </c>
      <c r="C1902" s="46" t="s">
        <v>43</v>
      </c>
      <c r="D1902" s="60">
        <v>2027</v>
      </c>
      <c r="E1902" s="60"/>
      <c r="F1902" s="46" t="s">
        <v>225</v>
      </c>
      <c r="G1902" s="46" t="s">
        <v>159</v>
      </c>
      <c r="H1902" s="46" t="s">
        <v>592</v>
      </c>
      <c r="I1902" s="46" t="s">
        <v>169</v>
      </c>
      <c r="J1902" s="46" t="s">
        <v>69</v>
      </c>
      <c r="K1902" s="46" t="s">
        <v>68</v>
      </c>
      <c r="L1902" s="46"/>
      <c r="M1902" s="46"/>
      <c r="N1902" s="46"/>
      <c r="O1902" s="46"/>
      <c r="P1902" s="46"/>
      <c r="Q1902" s="46">
        <v>1</v>
      </c>
      <c r="R1902" s="46"/>
      <c r="S1902" s="46"/>
      <c r="T1902" s="46"/>
      <c r="U1902" s="46"/>
      <c r="V1902" s="46"/>
      <c r="W1902" s="46"/>
      <c r="X1902" s="46"/>
      <c r="Y1902" s="46"/>
      <c r="Z1902" s="46" t="s">
        <v>4856</v>
      </c>
      <c r="AA1902" s="62">
        <f t="shared" si="204"/>
        <v>1.0955056179775282</v>
      </c>
      <c r="AB1902" s="62">
        <f t="shared" si="205"/>
        <v>243.44569288389516</v>
      </c>
      <c r="AC1902" s="76">
        <f>(94.9/1000/H2ProjectDB4578610[[#This Row],[Column33]])</f>
        <v>0.18980000000000002</v>
      </c>
      <c r="AD1902" s="62"/>
      <c r="AE1902" s="62">
        <f t="shared" si="203"/>
        <v>243.44569288389516</v>
      </c>
      <c r="AF1902" s="64" t="s">
        <v>4851</v>
      </c>
      <c r="AG1902" s="49">
        <v>0.5</v>
      </c>
    </row>
    <row r="1903" spans="1:33" customFormat="1" ht="35.1" customHeight="1" x14ac:dyDescent="0.3">
      <c r="A1903" s="46">
        <v>2457</v>
      </c>
      <c r="B1903" s="46" t="s">
        <v>4857</v>
      </c>
      <c r="C1903" s="46" t="s">
        <v>43</v>
      </c>
      <c r="D1903" s="60">
        <v>2027</v>
      </c>
      <c r="E1903" s="60"/>
      <c r="F1903" s="46" t="s">
        <v>225</v>
      </c>
      <c r="G1903" s="46" t="s">
        <v>159</v>
      </c>
      <c r="H1903" s="46" t="s">
        <v>592</v>
      </c>
      <c r="I1903" s="46" t="s">
        <v>169</v>
      </c>
      <c r="J1903" s="46" t="s">
        <v>69</v>
      </c>
      <c r="K1903" s="46" t="s">
        <v>68</v>
      </c>
      <c r="L1903" s="46"/>
      <c r="M1903" s="46"/>
      <c r="N1903" s="46"/>
      <c r="O1903" s="46"/>
      <c r="P1903" s="46">
        <v>1</v>
      </c>
      <c r="Q1903" s="46"/>
      <c r="R1903" s="46"/>
      <c r="S1903" s="46"/>
      <c r="T1903" s="46"/>
      <c r="U1903" s="46"/>
      <c r="V1903" s="46"/>
      <c r="W1903" s="46"/>
      <c r="X1903" s="46"/>
      <c r="Y1903" s="46"/>
      <c r="Z1903" s="46" t="s">
        <v>4858</v>
      </c>
      <c r="AA1903" s="62">
        <f t="shared" si="204"/>
        <v>57.718947206402959</v>
      </c>
      <c r="AB1903" s="62">
        <f t="shared" si="205"/>
        <v>12826.432712533991</v>
      </c>
      <c r="AC1903" s="62">
        <f>(5/H2ProjectDB4578610[[#This Row],[Column33]])</f>
        <v>10</v>
      </c>
      <c r="AD1903" s="62"/>
      <c r="AE1903" s="62">
        <f t="shared" si="203"/>
        <v>12826.432712533991</v>
      </c>
      <c r="AF1903" s="64" t="s">
        <v>4851</v>
      </c>
      <c r="AG1903" s="49">
        <v>0.5</v>
      </c>
    </row>
    <row r="1904" spans="1:33" customFormat="1" ht="35.1" customHeight="1" x14ac:dyDescent="0.3">
      <c r="A1904" s="46">
        <v>2458</v>
      </c>
      <c r="B1904" s="46" t="s">
        <v>4859</v>
      </c>
      <c r="C1904" s="46" t="s">
        <v>43</v>
      </c>
      <c r="D1904" s="60">
        <v>2025</v>
      </c>
      <c r="E1904" s="60"/>
      <c r="F1904" s="46" t="s">
        <v>225</v>
      </c>
      <c r="G1904" s="46" t="s">
        <v>159</v>
      </c>
      <c r="H1904" s="46" t="s">
        <v>592</v>
      </c>
      <c r="I1904" s="46" t="s">
        <v>169</v>
      </c>
      <c r="J1904" s="46" t="s">
        <v>69</v>
      </c>
      <c r="K1904" s="46" t="s">
        <v>68</v>
      </c>
      <c r="L1904" s="46"/>
      <c r="M1904" s="46"/>
      <c r="N1904" s="46"/>
      <c r="O1904" s="46"/>
      <c r="P1904" s="46">
        <v>1</v>
      </c>
      <c r="Q1904" s="46"/>
      <c r="R1904" s="46"/>
      <c r="S1904" s="46"/>
      <c r="T1904" s="46"/>
      <c r="U1904" s="46"/>
      <c r="V1904" s="46"/>
      <c r="W1904" s="46"/>
      <c r="X1904" s="46"/>
      <c r="Y1904" s="46"/>
      <c r="Z1904" s="46" t="s">
        <v>4860</v>
      </c>
      <c r="AA1904" s="62">
        <f t="shared" si="204"/>
        <v>37.314953055256268</v>
      </c>
      <c r="AB1904" s="62">
        <f t="shared" si="205"/>
        <v>8292.2117900569483</v>
      </c>
      <c r="AC1904" s="76">
        <f>(3232.47/1000/H2ProjectDB4578610[[#This Row],[Column33]])</f>
        <v>6.4649399999999995</v>
      </c>
      <c r="AD1904" s="62"/>
      <c r="AE1904" s="62">
        <f t="shared" si="203"/>
        <v>8292.2117900569483</v>
      </c>
      <c r="AF1904" s="64" t="s">
        <v>4851</v>
      </c>
      <c r="AG1904" s="49">
        <v>0.5</v>
      </c>
    </row>
    <row r="1905" spans="1:33" customFormat="1" ht="35.1" customHeight="1" x14ac:dyDescent="0.3">
      <c r="A1905" s="46">
        <v>2459</v>
      </c>
      <c r="B1905" s="46" t="s">
        <v>4861</v>
      </c>
      <c r="C1905" s="46" t="s">
        <v>43</v>
      </c>
      <c r="D1905" s="60">
        <v>2026</v>
      </c>
      <c r="E1905" s="60"/>
      <c r="F1905" s="46" t="s">
        <v>225</v>
      </c>
      <c r="G1905" s="46" t="s">
        <v>159</v>
      </c>
      <c r="H1905" s="46" t="s">
        <v>592</v>
      </c>
      <c r="I1905" s="46" t="s">
        <v>169</v>
      </c>
      <c r="J1905" s="46" t="s">
        <v>69</v>
      </c>
      <c r="K1905" s="46" t="s">
        <v>68</v>
      </c>
      <c r="L1905" s="46"/>
      <c r="M1905" s="46"/>
      <c r="N1905" s="46"/>
      <c r="O1905" s="46"/>
      <c r="P1905" s="46"/>
      <c r="Q1905" s="46">
        <v>1</v>
      </c>
      <c r="R1905" s="46"/>
      <c r="S1905" s="46"/>
      <c r="T1905" s="46"/>
      <c r="U1905" s="46"/>
      <c r="V1905" s="46"/>
      <c r="W1905" s="46"/>
      <c r="X1905" s="46"/>
      <c r="Y1905" s="46"/>
      <c r="Z1905" s="46" t="s">
        <v>4862</v>
      </c>
      <c r="AA1905" s="62">
        <f t="shared" si="204"/>
        <v>8.4269662921348312E-2</v>
      </c>
      <c r="AB1905" s="62">
        <f t="shared" si="205"/>
        <v>18.726591760299627</v>
      </c>
      <c r="AC1905" s="76">
        <f>(7.3/1000/H2ProjectDB4578610[[#This Row],[Column33]])</f>
        <v>1.46E-2</v>
      </c>
      <c r="AD1905" s="62"/>
      <c r="AE1905" s="62">
        <f t="shared" si="203"/>
        <v>18.726591760299627</v>
      </c>
      <c r="AF1905" s="64" t="s">
        <v>4851</v>
      </c>
      <c r="AG1905" s="49">
        <v>0.5</v>
      </c>
    </row>
    <row r="1906" spans="1:33" customFormat="1" ht="35.1" customHeight="1" x14ac:dyDescent="0.3">
      <c r="A1906" s="46">
        <v>2460</v>
      </c>
      <c r="B1906" s="46" t="s">
        <v>4863</v>
      </c>
      <c r="C1906" s="46" t="s">
        <v>43</v>
      </c>
      <c r="D1906" s="60">
        <v>2026</v>
      </c>
      <c r="E1906" s="60"/>
      <c r="F1906" s="46" t="s">
        <v>591</v>
      </c>
      <c r="G1906" s="46" t="s">
        <v>159</v>
      </c>
      <c r="H1906" s="46" t="s">
        <v>592</v>
      </c>
      <c r="I1906" s="46" t="s">
        <v>169</v>
      </c>
      <c r="J1906" s="46" t="s">
        <v>69</v>
      </c>
      <c r="K1906" s="46" t="s">
        <v>68</v>
      </c>
      <c r="L1906" s="46"/>
      <c r="M1906" s="46"/>
      <c r="N1906" s="46"/>
      <c r="O1906" s="46"/>
      <c r="P1906" s="46">
        <v>1</v>
      </c>
      <c r="Q1906" s="46">
        <v>1</v>
      </c>
      <c r="R1906" s="46">
        <v>1</v>
      </c>
      <c r="S1906" s="46">
        <v>1</v>
      </c>
      <c r="T1906" s="46">
        <v>1</v>
      </c>
      <c r="U1906" s="46"/>
      <c r="V1906" s="46"/>
      <c r="W1906" s="46"/>
      <c r="X1906" s="46"/>
      <c r="Y1906" s="46"/>
      <c r="Z1906" s="46" t="s">
        <v>4864</v>
      </c>
      <c r="AA1906" s="62">
        <f t="shared" si="204"/>
        <v>1492.6119747575806</v>
      </c>
      <c r="AB1906" s="62">
        <f t="shared" si="205"/>
        <v>331691.54994612903</v>
      </c>
      <c r="AC1906" s="62">
        <f>(129.3/H2ProjectDB4578610[[#This Row],[Column33]])</f>
        <v>258.60000000000002</v>
      </c>
      <c r="AD1906" s="62"/>
      <c r="AE1906" s="62">
        <f t="shared" si="203"/>
        <v>331691.54994612903</v>
      </c>
      <c r="AF1906" s="64" t="s">
        <v>4851</v>
      </c>
      <c r="AG1906" s="49">
        <v>0.5</v>
      </c>
    </row>
    <row r="1907" spans="1:33" customFormat="1" ht="35.1" customHeight="1" x14ac:dyDescent="0.3">
      <c r="A1907" s="46">
        <v>2461</v>
      </c>
      <c r="B1907" s="46" t="s">
        <v>4865</v>
      </c>
      <c r="C1907" s="46" t="s">
        <v>43</v>
      </c>
      <c r="D1907" s="60">
        <v>2026</v>
      </c>
      <c r="E1907" s="60"/>
      <c r="F1907" s="46" t="s">
        <v>591</v>
      </c>
      <c r="G1907" s="46" t="s">
        <v>159</v>
      </c>
      <c r="H1907" s="46" t="s">
        <v>592</v>
      </c>
      <c r="I1907" s="46" t="s">
        <v>169</v>
      </c>
      <c r="J1907" s="46" t="s">
        <v>69</v>
      </c>
      <c r="K1907" s="46" t="s">
        <v>141</v>
      </c>
      <c r="L1907" s="46"/>
      <c r="M1907" s="46">
        <v>1</v>
      </c>
      <c r="N1907" s="46"/>
      <c r="O1907" s="46"/>
      <c r="P1907" s="46"/>
      <c r="Q1907" s="46"/>
      <c r="R1907" s="46"/>
      <c r="S1907" s="46"/>
      <c r="T1907" s="46"/>
      <c r="U1907" s="46"/>
      <c r="V1907" s="46"/>
      <c r="W1907" s="46"/>
      <c r="X1907" s="46"/>
      <c r="Y1907" s="46"/>
      <c r="Z1907" s="46" t="s">
        <v>4866</v>
      </c>
      <c r="AA1907" s="62">
        <f t="shared" si="204"/>
        <v>2077.8820994305065</v>
      </c>
      <c r="AB1907" s="62">
        <f t="shared" si="205"/>
        <v>461751.57765122369</v>
      </c>
      <c r="AC1907" s="62">
        <f>(180/H2ProjectDB4578610[[#This Row],[Column33]])</f>
        <v>360</v>
      </c>
      <c r="AD1907" s="62"/>
      <c r="AE1907" s="62">
        <f t="shared" si="203"/>
        <v>461751.57765122369</v>
      </c>
      <c r="AF1907" s="64" t="s">
        <v>4851</v>
      </c>
      <c r="AG1907" s="49">
        <v>0.5</v>
      </c>
    </row>
    <row r="1908" spans="1:33" customFormat="1" ht="35.1" customHeight="1" x14ac:dyDescent="0.3">
      <c r="A1908" s="46">
        <v>2462</v>
      </c>
      <c r="B1908" s="46" t="s">
        <v>1117</v>
      </c>
      <c r="C1908" s="46" t="s">
        <v>43</v>
      </c>
      <c r="D1908" s="60">
        <v>2015</v>
      </c>
      <c r="E1908" s="60"/>
      <c r="F1908" s="46" t="s">
        <v>226</v>
      </c>
      <c r="G1908" s="46" t="s">
        <v>159</v>
      </c>
      <c r="H1908" s="46" t="s">
        <v>592</v>
      </c>
      <c r="I1908" s="46" t="s">
        <v>169</v>
      </c>
      <c r="J1908" s="46" t="s">
        <v>69</v>
      </c>
      <c r="K1908" s="46" t="s">
        <v>68</v>
      </c>
      <c r="L1908" s="46"/>
      <c r="M1908" s="46"/>
      <c r="N1908" s="46"/>
      <c r="O1908" s="46"/>
      <c r="P1908" s="46">
        <v>1</v>
      </c>
      <c r="Q1908" s="46">
        <v>1</v>
      </c>
      <c r="R1908" s="46">
        <v>1</v>
      </c>
      <c r="S1908" s="46">
        <v>1</v>
      </c>
      <c r="T1908" s="46">
        <v>1</v>
      </c>
      <c r="U1908" s="46"/>
      <c r="V1908" s="46"/>
      <c r="W1908" s="46"/>
      <c r="X1908" s="46"/>
      <c r="Y1908" s="46"/>
      <c r="Z1908" s="46" t="s">
        <v>4867</v>
      </c>
      <c r="AA1908" s="62">
        <f t="shared" si="204"/>
        <v>0.22394951516084344</v>
      </c>
      <c r="AB1908" s="62">
        <f t="shared" si="205"/>
        <v>49.76655892463188</v>
      </c>
      <c r="AC1908" s="76">
        <f>(19.4/1000/H2ProjectDB4578610[[#This Row],[Column33]])</f>
        <v>3.8799999999999994E-2</v>
      </c>
      <c r="AD1908" s="62"/>
      <c r="AE1908" s="62">
        <f t="shared" si="203"/>
        <v>49.76655892463188</v>
      </c>
      <c r="AF1908" s="64" t="s">
        <v>4851</v>
      </c>
      <c r="AG1908" s="49">
        <v>0.5</v>
      </c>
    </row>
    <row r="1909" spans="1:33" customFormat="1" ht="35.1" customHeight="1" x14ac:dyDescent="0.3">
      <c r="A1909" s="46">
        <v>2463</v>
      </c>
      <c r="B1909" s="46" t="s">
        <v>4868</v>
      </c>
      <c r="C1909" s="46" t="s">
        <v>43</v>
      </c>
      <c r="D1909" s="60">
        <v>2027</v>
      </c>
      <c r="E1909" s="60"/>
      <c r="F1909" s="46" t="s">
        <v>591</v>
      </c>
      <c r="G1909" s="46" t="s">
        <v>159</v>
      </c>
      <c r="H1909" s="46" t="s">
        <v>592</v>
      </c>
      <c r="I1909" s="46" t="s">
        <v>169</v>
      </c>
      <c r="J1909" s="46" t="s">
        <v>69</v>
      </c>
      <c r="K1909" s="46" t="s">
        <v>141</v>
      </c>
      <c r="L1909" s="46"/>
      <c r="M1909" s="46">
        <v>1</v>
      </c>
      <c r="N1909" s="46"/>
      <c r="O1909" s="46"/>
      <c r="P1909" s="46"/>
      <c r="Q1909" s="46"/>
      <c r="R1909" s="46"/>
      <c r="S1909" s="46"/>
      <c r="T1909" s="46"/>
      <c r="U1909" s="46"/>
      <c r="V1909" s="46"/>
      <c r="W1909" s="46"/>
      <c r="X1909" s="46"/>
      <c r="Y1909" s="46"/>
      <c r="Z1909" s="46" t="s">
        <v>4869</v>
      </c>
      <c r="AA1909" s="62">
        <f t="shared" si="204"/>
        <v>3463.1368323841771</v>
      </c>
      <c r="AB1909" s="62">
        <f t="shared" si="205"/>
        <v>769585.96275203943</v>
      </c>
      <c r="AC1909" s="62">
        <f>(300/H2ProjectDB4578610[[#This Row],[Column33]])</f>
        <v>600</v>
      </c>
      <c r="AD1909" s="62"/>
      <c r="AE1909" s="62">
        <f t="shared" si="203"/>
        <v>769585.96275203943</v>
      </c>
      <c r="AF1909" s="64" t="s">
        <v>4851</v>
      </c>
      <c r="AG1909" s="49">
        <v>0.5</v>
      </c>
    </row>
    <row r="1910" spans="1:33" customFormat="1" ht="35.1" customHeight="1" x14ac:dyDescent="0.3">
      <c r="A1910" s="46">
        <v>2464</v>
      </c>
      <c r="B1910" s="46" t="s">
        <v>4870</v>
      </c>
      <c r="C1910" s="46" t="s">
        <v>43</v>
      </c>
      <c r="D1910" s="60">
        <v>2023</v>
      </c>
      <c r="E1910" s="60"/>
      <c r="F1910" s="46" t="s">
        <v>225</v>
      </c>
      <c r="G1910" s="46" t="s">
        <v>159</v>
      </c>
      <c r="H1910" s="46" t="s">
        <v>592</v>
      </c>
      <c r="I1910" s="46" t="s">
        <v>169</v>
      </c>
      <c r="J1910" s="46" t="s">
        <v>69</v>
      </c>
      <c r="K1910" s="46" t="s">
        <v>68</v>
      </c>
      <c r="L1910" s="46">
        <v>1</v>
      </c>
      <c r="M1910" s="46"/>
      <c r="N1910" s="46"/>
      <c r="O1910" s="46"/>
      <c r="P1910" s="46">
        <v>1</v>
      </c>
      <c r="Q1910" s="46"/>
      <c r="R1910" s="46"/>
      <c r="S1910" s="46"/>
      <c r="T1910" s="46"/>
      <c r="U1910" s="46"/>
      <c r="V1910" s="46"/>
      <c r="W1910" s="46"/>
      <c r="X1910" s="46"/>
      <c r="Y1910" s="46"/>
      <c r="Z1910" s="46" t="s">
        <v>4871</v>
      </c>
      <c r="AA1910" s="62">
        <f t="shared" si="204"/>
        <v>4.2712020932738186</v>
      </c>
      <c r="AB1910" s="62">
        <f t="shared" si="205"/>
        <v>949.15602072751528</v>
      </c>
      <c r="AC1910" s="76">
        <f>(370/1000/H2ProjectDB4578610[[#This Row],[Column33]])</f>
        <v>0.74</v>
      </c>
      <c r="AD1910" s="62"/>
      <c r="AE1910" s="62">
        <f t="shared" si="203"/>
        <v>949.15602072751528</v>
      </c>
      <c r="AF1910" s="64" t="s">
        <v>4851</v>
      </c>
      <c r="AG1910" s="49">
        <v>0.5</v>
      </c>
    </row>
    <row r="1911" spans="1:33" customFormat="1" ht="35.1" customHeight="1" x14ac:dyDescent="0.3">
      <c r="A1911" s="46">
        <v>2465</v>
      </c>
      <c r="B1911" s="46" t="s">
        <v>4872</v>
      </c>
      <c r="C1911" s="46" t="s">
        <v>43</v>
      </c>
      <c r="D1911" s="60">
        <v>2026</v>
      </c>
      <c r="E1911" s="60"/>
      <c r="F1911" s="46" t="s">
        <v>225</v>
      </c>
      <c r="G1911" s="46" t="s">
        <v>163</v>
      </c>
      <c r="H1911" s="46" t="s">
        <v>2289</v>
      </c>
      <c r="I1911" s="46"/>
      <c r="J1911" s="46"/>
      <c r="K1911" s="46" t="s">
        <v>68</v>
      </c>
      <c r="L1911" s="46"/>
      <c r="M1911" s="46"/>
      <c r="N1911" s="46"/>
      <c r="O1911" s="46"/>
      <c r="P1911" s="46">
        <v>1</v>
      </c>
      <c r="Q1911" s="46">
        <v>1</v>
      </c>
      <c r="R1911" s="46">
        <v>1</v>
      </c>
      <c r="S1911" s="46">
        <v>1</v>
      </c>
      <c r="T1911" s="46">
        <v>1</v>
      </c>
      <c r="U1911" s="46"/>
      <c r="V1911" s="46"/>
      <c r="W1911" s="46"/>
      <c r="X1911" s="46"/>
      <c r="Y1911" s="46"/>
      <c r="Z1911" s="46" t="s">
        <v>4873</v>
      </c>
      <c r="AA1911" s="61" t="str">
        <f t="shared" si="204"/>
        <v/>
      </c>
      <c r="AB1911" s="62">
        <f t="shared" si="205"/>
        <v>74906.367041198508</v>
      </c>
      <c r="AC1911" s="62">
        <f>(52.56/H2ProjectDB4578610[[#This Row],[Column33]])</f>
        <v>58.4</v>
      </c>
      <c r="AD1911" s="62"/>
      <c r="AE1911" s="62">
        <f t="shared" si="203"/>
        <v>74906.367041198508</v>
      </c>
      <c r="AF1911" s="64" t="s">
        <v>4851</v>
      </c>
      <c r="AG1911" s="49">
        <v>0.9</v>
      </c>
    </row>
    <row r="1912" spans="1:33" customFormat="1" ht="35.1" customHeight="1" x14ac:dyDescent="0.3">
      <c r="A1912" s="46">
        <v>2466</v>
      </c>
      <c r="B1912" s="46" t="s">
        <v>4874</v>
      </c>
      <c r="C1912" s="46" t="s">
        <v>43</v>
      </c>
      <c r="D1912" s="60">
        <v>2024</v>
      </c>
      <c r="E1912" s="60"/>
      <c r="F1912" s="46" t="s">
        <v>591</v>
      </c>
      <c r="G1912" s="46" t="s">
        <v>3</v>
      </c>
      <c r="H1912" s="46"/>
      <c r="I1912" s="46" t="s">
        <v>169</v>
      </c>
      <c r="J1912" s="46" t="s">
        <v>69</v>
      </c>
      <c r="K1912" s="46" t="s">
        <v>68</v>
      </c>
      <c r="L1912" s="46"/>
      <c r="M1912" s="46"/>
      <c r="N1912" s="46"/>
      <c r="O1912" s="46"/>
      <c r="P1912" s="46">
        <v>1</v>
      </c>
      <c r="Q1912" s="46"/>
      <c r="R1912" s="46"/>
      <c r="S1912" s="46"/>
      <c r="T1912" s="46"/>
      <c r="U1912" s="46"/>
      <c r="V1912" s="46"/>
      <c r="W1912" s="46"/>
      <c r="X1912" s="46"/>
      <c r="Y1912" s="46"/>
      <c r="Z1912" s="46" t="s">
        <v>4875</v>
      </c>
      <c r="AA1912" s="62">
        <f t="shared" si="204"/>
        <v>1475.0397619414089</v>
      </c>
      <c r="AB1912" s="62">
        <f t="shared" si="205"/>
        <v>320660.81781334977</v>
      </c>
      <c r="AC1912" s="62">
        <f>(125/H2ProjectDB4578610[[#This Row],[Column33]])</f>
        <v>250</v>
      </c>
      <c r="AD1912" s="62"/>
      <c r="AE1912" s="62">
        <f t="shared" si="203"/>
        <v>320660.81781334977</v>
      </c>
      <c r="AF1912" s="64" t="s">
        <v>4851</v>
      </c>
      <c r="AG1912" s="49">
        <v>0.5</v>
      </c>
    </row>
    <row r="1913" spans="1:33" customFormat="1" ht="35.1" customHeight="1" x14ac:dyDescent="0.3">
      <c r="A1913" s="46">
        <v>2467</v>
      </c>
      <c r="B1913" s="46" t="s">
        <v>4876</v>
      </c>
      <c r="C1913" s="46" t="s">
        <v>43</v>
      </c>
      <c r="D1913" s="60">
        <v>2022</v>
      </c>
      <c r="E1913" s="60"/>
      <c r="F1913" s="46" t="s">
        <v>226</v>
      </c>
      <c r="G1913" s="46" t="s">
        <v>159</v>
      </c>
      <c r="H1913" s="46" t="s">
        <v>592</v>
      </c>
      <c r="I1913" s="46" t="s">
        <v>169</v>
      </c>
      <c r="J1913" s="46" t="s">
        <v>69</v>
      </c>
      <c r="K1913" s="46" t="s">
        <v>68</v>
      </c>
      <c r="L1913" s="46"/>
      <c r="M1913" s="46"/>
      <c r="N1913" s="46"/>
      <c r="O1913" s="46"/>
      <c r="P1913" s="46"/>
      <c r="Q1913" s="46"/>
      <c r="R1913" s="46"/>
      <c r="S1913" s="46">
        <v>1</v>
      </c>
      <c r="T1913" s="46"/>
      <c r="U1913" s="46"/>
      <c r="V1913" s="46"/>
      <c r="W1913" s="46"/>
      <c r="X1913" s="46"/>
      <c r="Y1913" s="46"/>
      <c r="Z1913" s="46" t="s">
        <v>4877</v>
      </c>
      <c r="AA1913" s="62">
        <f t="shared" si="204"/>
        <v>0.86578420809604428</v>
      </c>
      <c r="AB1913" s="62">
        <f t="shared" si="205"/>
        <v>192.39649068800986</v>
      </c>
      <c r="AC1913" s="76">
        <f>(75/1000/H2ProjectDB4578610[[#This Row],[Column33]])</f>
        <v>0.15</v>
      </c>
      <c r="AD1913" s="62"/>
      <c r="AE1913" s="62">
        <f t="shared" si="203"/>
        <v>192.39649068800986</v>
      </c>
      <c r="AF1913" s="64" t="s">
        <v>4851</v>
      </c>
      <c r="AG1913" s="49">
        <v>0.5</v>
      </c>
    </row>
    <row r="1914" spans="1:33" customFormat="1" ht="35.1" customHeight="1" x14ac:dyDescent="0.3">
      <c r="A1914" s="46">
        <v>2468</v>
      </c>
      <c r="B1914" s="46" t="s">
        <v>4878</v>
      </c>
      <c r="C1914" s="46" t="s">
        <v>43</v>
      </c>
      <c r="D1914" s="60">
        <v>2026</v>
      </c>
      <c r="E1914" s="60"/>
      <c r="F1914" s="46" t="s">
        <v>225</v>
      </c>
      <c r="G1914" s="46" t="s">
        <v>159</v>
      </c>
      <c r="H1914" s="46" t="s">
        <v>592</v>
      </c>
      <c r="I1914" s="46" t="s">
        <v>169</v>
      </c>
      <c r="J1914" s="46" t="s">
        <v>69</v>
      </c>
      <c r="K1914" s="46" t="s">
        <v>68</v>
      </c>
      <c r="L1914" s="46"/>
      <c r="M1914" s="46"/>
      <c r="N1914" s="46"/>
      <c r="O1914" s="46"/>
      <c r="P1914" s="46">
        <v>1</v>
      </c>
      <c r="Q1914" s="46">
        <v>1</v>
      </c>
      <c r="R1914" s="46">
        <v>1</v>
      </c>
      <c r="S1914" s="46">
        <v>1</v>
      </c>
      <c r="T1914" s="46">
        <v>1</v>
      </c>
      <c r="U1914" s="46"/>
      <c r="V1914" s="46"/>
      <c r="W1914" s="46"/>
      <c r="X1914" s="46"/>
      <c r="Y1914" s="46"/>
      <c r="Z1914" s="46" t="s">
        <v>4879</v>
      </c>
      <c r="AA1914" s="62">
        <f t="shared" si="204"/>
        <v>4.2134831460674156E-2</v>
      </c>
      <c r="AB1914" s="62">
        <f t="shared" si="205"/>
        <v>9.3632958801498134</v>
      </c>
      <c r="AC1914" s="76">
        <f>(3.65/1000/H2ProjectDB4578610[[#This Row],[Column33]])</f>
        <v>7.3000000000000001E-3</v>
      </c>
      <c r="AD1914" s="62"/>
      <c r="AE1914" s="62">
        <f t="shared" si="203"/>
        <v>9.3632958801498134</v>
      </c>
      <c r="AF1914" s="64" t="s">
        <v>4851</v>
      </c>
      <c r="AG1914" s="49">
        <v>0.5</v>
      </c>
    </row>
    <row r="1915" spans="1:33" customFormat="1" ht="35.1" customHeight="1" x14ac:dyDescent="0.3">
      <c r="A1915" s="46">
        <v>2469</v>
      </c>
      <c r="B1915" s="46" t="s">
        <v>4880</v>
      </c>
      <c r="C1915" s="46" t="s">
        <v>43</v>
      </c>
      <c r="D1915" s="60">
        <v>2027</v>
      </c>
      <c r="E1915" s="60"/>
      <c r="F1915" s="46" t="s">
        <v>225</v>
      </c>
      <c r="G1915" s="46" t="s">
        <v>159</v>
      </c>
      <c r="H1915" s="46" t="s">
        <v>592</v>
      </c>
      <c r="I1915" s="46" t="s">
        <v>169</v>
      </c>
      <c r="J1915" s="46" t="s">
        <v>69</v>
      </c>
      <c r="K1915" s="46" t="s">
        <v>141</v>
      </c>
      <c r="L1915" s="46"/>
      <c r="M1915" s="46">
        <v>1</v>
      </c>
      <c r="N1915" s="46"/>
      <c r="O1915" s="46"/>
      <c r="P1915" s="46"/>
      <c r="Q1915" s="46"/>
      <c r="R1915" s="46"/>
      <c r="S1915" s="46"/>
      <c r="T1915" s="46"/>
      <c r="U1915" s="46"/>
      <c r="V1915" s="46"/>
      <c r="W1915" s="46"/>
      <c r="X1915" s="46"/>
      <c r="Y1915" s="46"/>
      <c r="Z1915" s="46" t="s">
        <v>4881</v>
      </c>
      <c r="AA1915" s="62">
        <f t="shared" si="204"/>
        <v>43.86639987686624</v>
      </c>
      <c r="AB1915" s="62">
        <f t="shared" si="205"/>
        <v>9748.0888615258318</v>
      </c>
      <c r="AC1915" s="62">
        <f>(3.8/H2ProjectDB4578610[[#This Row],[Column33]])</f>
        <v>7.6</v>
      </c>
      <c r="AD1915" s="62"/>
      <c r="AE1915" s="62">
        <f t="shared" si="203"/>
        <v>9748.0888615258318</v>
      </c>
      <c r="AF1915" s="64" t="s">
        <v>4851</v>
      </c>
      <c r="AG1915" s="49">
        <v>0.5</v>
      </c>
    </row>
    <row r="1916" spans="1:33" customFormat="1" ht="35.1" customHeight="1" x14ac:dyDescent="0.3">
      <c r="A1916" s="46">
        <v>2470</v>
      </c>
      <c r="B1916" s="46" t="s">
        <v>4882</v>
      </c>
      <c r="C1916" s="46" t="s">
        <v>43</v>
      </c>
      <c r="D1916" s="60">
        <v>2027</v>
      </c>
      <c r="E1916" s="60"/>
      <c r="F1916" s="46" t="s">
        <v>591</v>
      </c>
      <c r="G1916" s="46" t="s">
        <v>159</v>
      </c>
      <c r="H1916" s="46" t="s">
        <v>592</v>
      </c>
      <c r="I1916" s="46" t="s">
        <v>169</v>
      </c>
      <c r="J1916" s="46" t="s">
        <v>69</v>
      </c>
      <c r="K1916" s="46" t="s">
        <v>141</v>
      </c>
      <c r="L1916" s="46"/>
      <c r="M1916" s="46">
        <v>1</v>
      </c>
      <c r="N1916" s="46"/>
      <c r="O1916" s="46"/>
      <c r="P1916" s="46"/>
      <c r="Q1916" s="46"/>
      <c r="R1916" s="46"/>
      <c r="S1916" s="46"/>
      <c r="T1916" s="46"/>
      <c r="U1916" s="46"/>
      <c r="V1916" s="46"/>
      <c r="W1916" s="46"/>
      <c r="X1916" s="46"/>
      <c r="Y1916" s="46"/>
      <c r="Z1916" s="46" t="s">
        <v>3587</v>
      </c>
      <c r="AA1916" s="62">
        <f t="shared" si="204"/>
        <v>2308.7578882561183</v>
      </c>
      <c r="AB1916" s="62">
        <f t="shared" si="205"/>
        <v>513057.30850135966</v>
      </c>
      <c r="AC1916" s="62">
        <f>(200/H2ProjectDB4578610[[#This Row],[Column33]])</f>
        <v>400</v>
      </c>
      <c r="AD1916" s="62"/>
      <c r="AE1916" s="62">
        <f t="shared" si="203"/>
        <v>513057.30850135966</v>
      </c>
      <c r="AF1916" s="64" t="s">
        <v>4851</v>
      </c>
      <c r="AG1916" s="49">
        <v>0.5</v>
      </c>
    </row>
    <row r="1917" spans="1:33" customFormat="1" ht="35.1" customHeight="1" x14ac:dyDescent="0.3">
      <c r="A1917" s="46">
        <v>2471</v>
      </c>
      <c r="B1917" s="46" t="s">
        <v>4883</v>
      </c>
      <c r="C1917" s="46" t="s">
        <v>43</v>
      </c>
      <c r="D1917" s="60">
        <v>2027</v>
      </c>
      <c r="E1917" s="60"/>
      <c r="F1917" s="46" t="s">
        <v>225</v>
      </c>
      <c r="G1917" s="46" t="s">
        <v>159</v>
      </c>
      <c r="H1917" s="46" t="s">
        <v>592</v>
      </c>
      <c r="I1917" s="46" t="s">
        <v>169</v>
      </c>
      <c r="J1917" s="46" t="s">
        <v>69</v>
      </c>
      <c r="K1917" s="46" t="s">
        <v>68</v>
      </c>
      <c r="L1917" s="46"/>
      <c r="M1917" s="46"/>
      <c r="N1917" s="46"/>
      <c r="O1917" s="46"/>
      <c r="P1917" s="46">
        <v>1</v>
      </c>
      <c r="Q1917" s="46">
        <v>1</v>
      </c>
      <c r="R1917" s="46"/>
      <c r="S1917" s="46"/>
      <c r="T1917" s="46"/>
      <c r="U1917" s="46"/>
      <c r="V1917" s="46"/>
      <c r="W1917" s="46"/>
      <c r="X1917" s="46"/>
      <c r="Y1917" s="46"/>
      <c r="Z1917" s="46" t="s">
        <v>4884</v>
      </c>
      <c r="AA1917" s="62">
        <f t="shared" si="204"/>
        <v>8.4269662921348312E-3</v>
      </c>
      <c r="AB1917" s="62">
        <f t="shared" si="205"/>
        <v>1.8726591760299625</v>
      </c>
      <c r="AC1917" s="76">
        <f>(0.73/1000/H2ProjectDB4578610[[#This Row],[Column33]])</f>
        <v>1.4599999999999999E-3</v>
      </c>
      <c r="AD1917" s="62"/>
      <c r="AE1917" s="62">
        <f t="shared" si="203"/>
        <v>1.8726591760299625</v>
      </c>
      <c r="AF1917" s="64" t="s">
        <v>4851</v>
      </c>
      <c r="AG1917" s="49">
        <v>0.5</v>
      </c>
    </row>
    <row r="1918" spans="1:33" customFormat="1" ht="35.1" customHeight="1" x14ac:dyDescent="0.3">
      <c r="A1918" s="46">
        <v>2472</v>
      </c>
      <c r="B1918" s="46" t="s">
        <v>4885</v>
      </c>
      <c r="C1918" s="46" t="s">
        <v>43</v>
      </c>
      <c r="D1918" s="60">
        <v>2025</v>
      </c>
      <c r="E1918" s="60"/>
      <c r="F1918" s="46" t="s">
        <v>591</v>
      </c>
      <c r="G1918" s="46" t="s">
        <v>159</v>
      </c>
      <c r="H1918" s="46" t="s">
        <v>592</v>
      </c>
      <c r="I1918" s="46" t="s">
        <v>157</v>
      </c>
      <c r="J1918" s="46" t="s">
        <v>69</v>
      </c>
      <c r="K1918" s="46" t="s">
        <v>68</v>
      </c>
      <c r="L1918" s="46"/>
      <c r="M1918" s="46"/>
      <c r="N1918" s="46"/>
      <c r="O1918" s="46"/>
      <c r="P1918" s="46">
        <v>1</v>
      </c>
      <c r="Q1918" s="46">
        <v>1</v>
      </c>
      <c r="R1918" s="46">
        <v>1</v>
      </c>
      <c r="S1918" s="46">
        <v>1</v>
      </c>
      <c r="T1918" s="46">
        <v>1</v>
      </c>
      <c r="U1918" s="46"/>
      <c r="V1918" s="46"/>
      <c r="W1918" s="46"/>
      <c r="X1918" s="46"/>
      <c r="Y1918" s="46"/>
      <c r="Z1918" s="46" t="s">
        <v>4886</v>
      </c>
      <c r="AA1918" s="62">
        <f t="shared" si="204"/>
        <v>221.76227084565343</v>
      </c>
      <c r="AB1918" s="62">
        <f t="shared" si="205"/>
        <v>49280.504632367432</v>
      </c>
      <c r="AC1918" s="62">
        <f>(21.9/H2ProjectDB4578610[[#This Row],[Column33]])</f>
        <v>38.421052631578945</v>
      </c>
      <c r="AD1918" s="62"/>
      <c r="AE1918" s="62">
        <f t="shared" si="203"/>
        <v>49280.504632367432</v>
      </c>
      <c r="AF1918" s="64" t="s">
        <v>4851</v>
      </c>
      <c r="AG1918" s="49">
        <v>0.56999999999999995</v>
      </c>
    </row>
    <row r="1919" spans="1:33" customFormat="1" ht="35.1" customHeight="1" x14ac:dyDescent="0.3">
      <c r="A1919" s="46">
        <v>2473</v>
      </c>
      <c r="B1919" s="46" t="s">
        <v>4887</v>
      </c>
      <c r="C1919" s="46" t="s">
        <v>43</v>
      </c>
      <c r="D1919" s="60">
        <v>2027</v>
      </c>
      <c r="E1919" s="60"/>
      <c r="F1919" s="46" t="s">
        <v>225</v>
      </c>
      <c r="G1919" s="46" t="s">
        <v>159</v>
      </c>
      <c r="H1919" s="46" t="s">
        <v>592</v>
      </c>
      <c r="I1919" s="46" t="s">
        <v>169</v>
      </c>
      <c r="J1919" s="46" t="s">
        <v>69</v>
      </c>
      <c r="K1919" s="46" t="s">
        <v>68</v>
      </c>
      <c r="L1919" s="46"/>
      <c r="M1919" s="46"/>
      <c r="N1919" s="46"/>
      <c r="O1919" s="46"/>
      <c r="P1919" s="46">
        <v>1</v>
      </c>
      <c r="Q1919" s="46">
        <v>1</v>
      </c>
      <c r="R1919" s="46">
        <v>1</v>
      </c>
      <c r="S1919" s="46">
        <v>1</v>
      </c>
      <c r="T1919" s="46">
        <v>1</v>
      </c>
      <c r="U1919" s="46"/>
      <c r="V1919" s="46"/>
      <c r="W1919" s="46"/>
      <c r="X1919" s="46"/>
      <c r="Y1919" s="46"/>
      <c r="Z1919" s="46" t="s">
        <v>4858</v>
      </c>
      <c r="AA1919" s="62">
        <f t="shared" si="204"/>
        <v>57.718947206402959</v>
      </c>
      <c r="AB1919" s="62">
        <f t="shared" si="205"/>
        <v>12826.432712533991</v>
      </c>
      <c r="AC1919" s="62">
        <f>(5/H2ProjectDB4578610[[#This Row],[Column33]])</f>
        <v>10</v>
      </c>
      <c r="AD1919" s="62"/>
      <c r="AE1919" s="62">
        <f t="shared" si="203"/>
        <v>12826.432712533991</v>
      </c>
      <c r="AF1919" s="64" t="s">
        <v>4851</v>
      </c>
      <c r="AG1919" s="49">
        <v>0.5</v>
      </c>
    </row>
    <row r="1920" spans="1:33" customFormat="1" ht="35.1" customHeight="1" x14ac:dyDescent="0.3">
      <c r="A1920" s="46">
        <v>2474</v>
      </c>
      <c r="B1920" s="46" t="s">
        <v>4888</v>
      </c>
      <c r="C1920" s="46" t="s">
        <v>43</v>
      </c>
      <c r="D1920" s="60">
        <v>2025</v>
      </c>
      <c r="E1920" s="60"/>
      <c r="F1920" s="46" t="s">
        <v>225</v>
      </c>
      <c r="G1920" s="46" t="s">
        <v>1</v>
      </c>
      <c r="H1920" s="46"/>
      <c r="I1920" s="46" t="s">
        <v>169</v>
      </c>
      <c r="J1920" s="46" t="s">
        <v>69</v>
      </c>
      <c r="K1920" s="46" t="s">
        <v>68</v>
      </c>
      <c r="L1920" s="46"/>
      <c r="M1920" s="46"/>
      <c r="N1920" s="46"/>
      <c r="O1920" s="46"/>
      <c r="P1920" s="46">
        <v>1</v>
      </c>
      <c r="Q1920" s="46"/>
      <c r="R1920" s="46"/>
      <c r="S1920" s="46"/>
      <c r="T1920" s="46"/>
      <c r="U1920" s="46"/>
      <c r="V1920" s="46"/>
      <c r="W1920" s="46"/>
      <c r="X1920" s="46"/>
      <c r="Y1920" s="46"/>
      <c r="Z1920" s="46" t="s">
        <v>4889</v>
      </c>
      <c r="AA1920" s="62">
        <f t="shared" si="204"/>
        <v>0.38951310861423222</v>
      </c>
      <c r="AB1920" s="62">
        <f t="shared" si="205"/>
        <v>74.906367041198507</v>
      </c>
      <c r="AC1920" s="76">
        <f>(29.2/1000/H2ProjectDB4578610[[#This Row],[Column33]])</f>
        <v>5.8400000000000001E-2</v>
      </c>
      <c r="AD1920" s="62"/>
      <c r="AE1920" s="62">
        <f t="shared" si="203"/>
        <v>74.906367041198507</v>
      </c>
      <c r="AF1920" s="64" t="s">
        <v>4851</v>
      </c>
      <c r="AG1920" s="49">
        <v>0.5</v>
      </c>
    </row>
    <row r="1921" spans="1:33" customFormat="1" ht="35.1" customHeight="1" x14ac:dyDescent="0.3">
      <c r="A1921" s="46">
        <v>2475</v>
      </c>
      <c r="B1921" s="46" t="s">
        <v>4890</v>
      </c>
      <c r="C1921" s="46" t="s">
        <v>43</v>
      </c>
      <c r="D1921" s="60">
        <v>2040</v>
      </c>
      <c r="E1921" s="60"/>
      <c r="F1921" s="46" t="s">
        <v>225</v>
      </c>
      <c r="G1921" s="46" t="s">
        <v>159</v>
      </c>
      <c r="H1921" s="46" t="s">
        <v>592</v>
      </c>
      <c r="I1921" s="46" t="s">
        <v>169</v>
      </c>
      <c r="J1921" s="46" t="s">
        <v>69</v>
      </c>
      <c r="K1921" s="46" t="s">
        <v>68</v>
      </c>
      <c r="L1921" s="46"/>
      <c r="M1921" s="46"/>
      <c r="N1921" s="46"/>
      <c r="O1921" s="46"/>
      <c r="P1921" s="46">
        <v>1</v>
      </c>
      <c r="Q1921" s="46">
        <v>1</v>
      </c>
      <c r="R1921" s="46">
        <v>1</v>
      </c>
      <c r="S1921" s="46">
        <v>1</v>
      </c>
      <c r="T1921" s="46">
        <v>1</v>
      </c>
      <c r="U1921" s="46"/>
      <c r="V1921" s="46"/>
      <c r="W1921" s="46"/>
      <c r="X1921" s="46"/>
      <c r="Y1921" s="46"/>
      <c r="Z1921" s="46" t="s">
        <v>4891</v>
      </c>
      <c r="AA1921" s="62">
        <f t="shared" si="204"/>
        <v>0.18966446052024011</v>
      </c>
      <c r="AB1921" s="62">
        <f t="shared" si="205"/>
        <v>42.147657893386693</v>
      </c>
      <c r="AC1921" s="76">
        <f>(16.43/1000/H2ProjectDB4578610[[#This Row],[Column33]])</f>
        <v>3.286E-2</v>
      </c>
      <c r="AD1921" s="62"/>
      <c r="AE1921" s="62">
        <f t="shared" si="203"/>
        <v>42.147657893386693</v>
      </c>
      <c r="AF1921" s="64" t="s">
        <v>4851</v>
      </c>
      <c r="AG1921" s="49">
        <v>0.5</v>
      </c>
    </row>
    <row r="1922" spans="1:33" customFormat="1" ht="35.1" customHeight="1" x14ac:dyDescent="0.3">
      <c r="A1922" s="46">
        <v>2476</v>
      </c>
      <c r="B1922" s="46" t="s">
        <v>4892</v>
      </c>
      <c r="C1922" s="46" t="s">
        <v>43</v>
      </c>
      <c r="D1922" s="60">
        <v>2027</v>
      </c>
      <c r="E1922" s="60"/>
      <c r="F1922" s="46" t="s">
        <v>225</v>
      </c>
      <c r="G1922" s="46" t="s">
        <v>159</v>
      </c>
      <c r="H1922" s="46" t="s">
        <v>592</v>
      </c>
      <c r="I1922" s="46" t="s">
        <v>169</v>
      </c>
      <c r="J1922" s="46" t="s">
        <v>69</v>
      </c>
      <c r="K1922" s="46" t="s">
        <v>68</v>
      </c>
      <c r="L1922" s="46"/>
      <c r="M1922" s="46"/>
      <c r="N1922" s="46"/>
      <c r="O1922" s="46"/>
      <c r="P1922" s="46"/>
      <c r="Q1922" s="46"/>
      <c r="R1922" s="46"/>
      <c r="S1922" s="46"/>
      <c r="T1922" s="46"/>
      <c r="U1922" s="46"/>
      <c r="V1922" s="46"/>
      <c r="W1922" s="46"/>
      <c r="X1922" s="46"/>
      <c r="Y1922" s="46"/>
      <c r="Z1922" s="46" t="s">
        <v>4893</v>
      </c>
      <c r="AA1922" s="62">
        <f t="shared" si="204"/>
        <v>0.73903340003078333</v>
      </c>
      <c r="AB1922" s="62">
        <f t="shared" si="205"/>
        <v>164.2296444512852</v>
      </c>
      <c r="AC1922" s="76">
        <f>(64.02/1000/H2ProjectDB4578610[[#This Row],[Column33]])</f>
        <v>0.12803999999999999</v>
      </c>
      <c r="AD1922" s="62"/>
      <c r="AE1922" s="62">
        <f t="shared" si="203"/>
        <v>164.2296444512852</v>
      </c>
      <c r="AF1922" s="64" t="s">
        <v>4851</v>
      </c>
      <c r="AG1922" s="49">
        <v>0.5</v>
      </c>
    </row>
    <row r="1923" spans="1:33" customFormat="1" ht="35.1" customHeight="1" x14ac:dyDescent="0.3">
      <c r="A1923" s="46">
        <v>2477</v>
      </c>
      <c r="B1923" s="46" t="s">
        <v>4894</v>
      </c>
      <c r="C1923" s="46" t="s">
        <v>43</v>
      </c>
      <c r="D1923" s="60">
        <v>2025</v>
      </c>
      <c r="E1923" s="60"/>
      <c r="F1923" s="46" t="s">
        <v>591</v>
      </c>
      <c r="G1923" s="46" t="s">
        <v>159</v>
      </c>
      <c r="H1923" s="46" t="s">
        <v>592</v>
      </c>
      <c r="I1923" s="46" t="s">
        <v>169</v>
      </c>
      <c r="J1923" s="46" t="s">
        <v>69</v>
      </c>
      <c r="K1923" s="46" t="s">
        <v>68</v>
      </c>
      <c r="L1923" s="46"/>
      <c r="M1923" s="46"/>
      <c r="N1923" s="46"/>
      <c r="O1923" s="46"/>
      <c r="P1923" s="46"/>
      <c r="Q1923" s="46"/>
      <c r="R1923" s="46"/>
      <c r="S1923" s="46">
        <v>1</v>
      </c>
      <c r="T1923" s="46"/>
      <c r="U1923" s="46"/>
      <c r="V1923" s="46"/>
      <c r="W1923" s="46"/>
      <c r="X1923" s="46"/>
      <c r="Y1923" s="46"/>
      <c r="Z1923" s="46" t="s">
        <v>3124</v>
      </c>
      <c r="AA1923" s="62">
        <f t="shared" si="204"/>
        <v>577.18947206402959</v>
      </c>
      <c r="AB1923" s="62">
        <f t="shared" si="205"/>
        <v>128264.32712533991</v>
      </c>
      <c r="AC1923" s="62">
        <f>(50/H2ProjectDB4578610[[#This Row],[Column33]])</f>
        <v>100</v>
      </c>
      <c r="AD1923" s="62"/>
      <c r="AE1923" s="62">
        <f t="shared" si="203"/>
        <v>128264.32712533991</v>
      </c>
      <c r="AF1923" s="64" t="s">
        <v>4851</v>
      </c>
      <c r="AG1923" s="49">
        <v>0.5</v>
      </c>
    </row>
    <row r="1924" spans="1:33" customFormat="1" ht="35.1" customHeight="1" x14ac:dyDescent="0.3">
      <c r="A1924" s="46">
        <v>2478</v>
      </c>
      <c r="B1924" s="46" t="s">
        <v>4895</v>
      </c>
      <c r="C1924" s="46" t="s">
        <v>43</v>
      </c>
      <c r="D1924" s="60">
        <v>2026</v>
      </c>
      <c r="E1924" s="60"/>
      <c r="F1924" s="46" t="s">
        <v>225</v>
      </c>
      <c r="G1924" s="46" t="s">
        <v>163</v>
      </c>
      <c r="H1924" s="46" t="s">
        <v>2289</v>
      </c>
      <c r="I1924" s="46"/>
      <c r="J1924" s="46"/>
      <c r="K1924" s="46" t="s">
        <v>68</v>
      </c>
      <c r="L1924" s="46"/>
      <c r="M1924" s="46"/>
      <c r="N1924" s="46"/>
      <c r="O1924" s="46"/>
      <c r="P1924" s="46"/>
      <c r="Q1924" s="46"/>
      <c r="R1924" s="46"/>
      <c r="S1924" s="46"/>
      <c r="T1924" s="46"/>
      <c r="U1924" s="46"/>
      <c r="V1924" s="46"/>
      <c r="W1924" s="46"/>
      <c r="X1924" s="46"/>
      <c r="Y1924" s="46"/>
      <c r="Z1924" s="46" t="s">
        <v>4896</v>
      </c>
      <c r="AA1924" s="61" t="str">
        <f t="shared" si="204"/>
        <v/>
      </c>
      <c r="AB1924" s="62">
        <f t="shared" si="205"/>
        <v>1151.6996448503296</v>
      </c>
      <c r="AC1924" s="76">
        <f>(808.12/1000/H2ProjectDB4578610[[#This Row],[Column33]])</f>
        <v>0.89791111111111099</v>
      </c>
      <c r="AD1924" s="62"/>
      <c r="AE1924" s="62">
        <f t="shared" si="203"/>
        <v>1151.6996448503296</v>
      </c>
      <c r="AF1924" s="64" t="s">
        <v>4851</v>
      </c>
      <c r="AG1924" s="49">
        <v>0.9</v>
      </c>
    </row>
    <row r="1925" spans="1:33" customFormat="1" ht="35.1" customHeight="1" x14ac:dyDescent="0.3">
      <c r="A1925" s="46">
        <v>2479</v>
      </c>
      <c r="B1925" s="46" t="s">
        <v>4897</v>
      </c>
      <c r="C1925" s="46" t="s">
        <v>43</v>
      </c>
      <c r="D1925" s="60">
        <v>2032</v>
      </c>
      <c r="E1925" s="60"/>
      <c r="F1925" s="46" t="s">
        <v>225</v>
      </c>
      <c r="G1925" s="46" t="s">
        <v>159</v>
      </c>
      <c r="H1925" s="46" t="s">
        <v>592</v>
      </c>
      <c r="I1925" s="46" t="s">
        <v>169</v>
      </c>
      <c r="J1925" s="46" t="s">
        <v>69</v>
      </c>
      <c r="K1925" s="46" t="s">
        <v>168</v>
      </c>
      <c r="L1925" s="46"/>
      <c r="M1925" s="46"/>
      <c r="N1925" s="46"/>
      <c r="O1925" s="46"/>
      <c r="P1925" s="46">
        <v>1</v>
      </c>
      <c r="Q1925" s="46"/>
      <c r="R1925" s="46"/>
      <c r="S1925" s="46"/>
      <c r="T1925" s="46"/>
      <c r="U1925" s="46"/>
      <c r="V1925" s="46"/>
      <c r="W1925" s="46"/>
      <c r="X1925" s="46"/>
      <c r="Y1925" s="46"/>
      <c r="Z1925" s="46" t="s">
        <v>4858</v>
      </c>
      <c r="AA1925" s="62">
        <f t="shared" si="204"/>
        <v>57.718947206402959</v>
      </c>
      <c r="AB1925" s="62">
        <f t="shared" si="205"/>
        <v>12826.432712533991</v>
      </c>
      <c r="AC1925" s="62">
        <f>(5/H2ProjectDB4578610[[#This Row],[Column33]])</f>
        <v>10</v>
      </c>
      <c r="AD1925" s="62"/>
      <c r="AE1925" s="62">
        <f t="shared" si="203"/>
        <v>12826.432712533991</v>
      </c>
      <c r="AF1925" s="64" t="s">
        <v>4851</v>
      </c>
      <c r="AG1925" s="49">
        <v>0.5</v>
      </c>
    </row>
    <row r="1926" spans="1:33" customFormat="1" ht="35.1" customHeight="1" x14ac:dyDescent="0.3">
      <c r="A1926" s="46">
        <v>2480</v>
      </c>
      <c r="B1926" s="46" t="s">
        <v>4898</v>
      </c>
      <c r="C1926" s="46" t="s">
        <v>43</v>
      </c>
      <c r="D1926" s="60">
        <v>2030</v>
      </c>
      <c r="E1926" s="60"/>
      <c r="F1926" s="46" t="s">
        <v>591</v>
      </c>
      <c r="G1926" s="46" t="s">
        <v>1</v>
      </c>
      <c r="H1926" s="46"/>
      <c r="I1926" s="46" t="s">
        <v>169</v>
      </c>
      <c r="J1926" s="46" t="s">
        <v>69</v>
      </c>
      <c r="K1926" s="46" t="s">
        <v>68</v>
      </c>
      <c r="L1926" s="46"/>
      <c r="M1926" s="46"/>
      <c r="N1926" s="46"/>
      <c r="O1926" s="46"/>
      <c r="P1926" s="46"/>
      <c r="Q1926" s="46"/>
      <c r="R1926" s="46">
        <v>1</v>
      </c>
      <c r="S1926" s="46"/>
      <c r="T1926" s="46"/>
      <c r="U1926" s="46"/>
      <c r="V1926" s="46"/>
      <c r="W1926" s="46"/>
      <c r="X1926" s="46"/>
      <c r="Y1926" s="46"/>
      <c r="Z1926" s="46" t="s">
        <v>4899</v>
      </c>
      <c r="AA1926" s="62">
        <f t="shared" si="204"/>
        <v>7303.3707865168544</v>
      </c>
      <c r="AB1926" s="62">
        <f t="shared" si="205"/>
        <v>1404494.3820224721</v>
      </c>
      <c r="AC1926" s="62">
        <f>(547.5/H2ProjectDB4578610[[#This Row],[Column33]])</f>
        <v>1095</v>
      </c>
      <c r="AD1926" s="62"/>
      <c r="AE1926" s="62">
        <f t="shared" si="203"/>
        <v>1404494.3820224721</v>
      </c>
      <c r="AF1926" s="64" t="s">
        <v>4851</v>
      </c>
      <c r="AG1926" s="49">
        <v>0.5</v>
      </c>
    </row>
    <row r="1927" spans="1:33" customFormat="1" ht="35.1" customHeight="1" x14ac:dyDescent="0.3">
      <c r="A1927" s="46">
        <v>2481</v>
      </c>
      <c r="B1927" s="46" t="s">
        <v>4900</v>
      </c>
      <c r="C1927" s="46" t="s">
        <v>43</v>
      </c>
      <c r="D1927" s="60">
        <v>2027</v>
      </c>
      <c r="E1927" s="60"/>
      <c r="F1927" s="46" t="s">
        <v>225</v>
      </c>
      <c r="G1927" s="46" t="s">
        <v>159</v>
      </c>
      <c r="H1927" s="46" t="s">
        <v>592</v>
      </c>
      <c r="I1927" s="46" t="s">
        <v>169</v>
      </c>
      <c r="J1927" s="46" t="s">
        <v>69</v>
      </c>
      <c r="K1927" s="46" t="s">
        <v>68</v>
      </c>
      <c r="L1927" s="46">
        <v>1</v>
      </c>
      <c r="M1927" s="46"/>
      <c r="N1927" s="46"/>
      <c r="O1927" s="46"/>
      <c r="P1927" s="46">
        <v>1</v>
      </c>
      <c r="Q1927" s="46"/>
      <c r="R1927" s="46"/>
      <c r="S1927" s="46"/>
      <c r="T1927" s="46"/>
      <c r="U1927" s="46"/>
      <c r="V1927" s="46"/>
      <c r="W1927" s="46"/>
      <c r="X1927" s="46"/>
      <c r="Y1927" s="46"/>
      <c r="Z1927" s="46" t="s">
        <v>4901</v>
      </c>
      <c r="AA1927" s="62">
        <f t="shared" si="204"/>
        <v>0.60027705094659078</v>
      </c>
      <c r="AB1927" s="62">
        <f t="shared" si="205"/>
        <v>133.39490021035351</v>
      </c>
      <c r="AC1927" s="76">
        <f>(52/1000/H2ProjectDB4578610[[#This Row],[Column33]])</f>
        <v>0.104</v>
      </c>
      <c r="AD1927" s="62"/>
      <c r="AE1927" s="62">
        <f t="shared" si="203"/>
        <v>133.39490021035351</v>
      </c>
      <c r="AF1927" s="64" t="s">
        <v>4851</v>
      </c>
      <c r="AG1927" s="49">
        <v>0.5</v>
      </c>
    </row>
    <row r="1928" spans="1:33" customFormat="1" ht="35.1" customHeight="1" x14ac:dyDescent="0.3">
      <c r="A1928" s="46">
        <v>2482</v>
      </c>
      <c r="B1928" s="46" t="s">
        <v>4902</v>
      </c>
      <c r="C1928" s="46" t="s">
        <v>43</v>
      </c>
      <c r="D1928" s="60">
        <v>2030</v>
      </c>
      <c r="E1928" s="60"/>
      <c r="F1928" s="46" t="s">
        <v>225</v>
      </c>
      <c r="G1928" s="46" t="s">
        <v>159</v>
      </c>
      <c r="H1928" s="46" t="s">
        <v>592</v>
      </c>
      <c r="I1928" s="46" t="s">
        <v>169</v>
      </c>
      <c r="J1928" s="46" t="s">
        <v>69</v>
      </c>
      <c r="K1928" s="46" t="s">
        <v>141</v>
      </c>
      <c r="L1928" s="46"/>
      <c r="M1928" s="46">
        <v>1</v>
      </c>
      <c r="N1928" s="46"/>
      <c r="O1928" s="46"/>
      <c r="P1928" s="46"/>
      <c r="Q1928" s="46"/>
      <c r="R1928" s="46"/>
      <c r="S1928" s="46"/>
      <c r="T1928" s="46"/>
      <c r="U1928" s="46"/>
      <c r="V1928" s="46"/>
      <c r="W1928" s="46"/>
      <c r="X1928" s="46"/>
      <c r="Y1928" s="46"/>
      <c r="Z1928" s="46" t="s">
        <v>4903</v>
      </c>
      <c r="AA1928" s="62">
        <f t="shared" si="204"/>
        <v>0.53886409111897793</v>
      </c>
      <c r="AB1928" s="62">
        <f t="shared" si="205"/>
        <v>119.74757580421733</v>
      </c>
      <c r="AC1928" s="76">
        <f>(46.68/1000/H2ProjectDB4578610[[#This Row],[Column33]])</f>
        <v>9.3359999999999999E-2</v>
      </c>
      <c r="AD1928" s="62"/>
      <c r="AE1928" s="62">
        <f t="shared" si="203"/>
        <v>119.74757580421733</v>
      </c>
      <c r="AF1928" s="64" t="s">
        <v>4851</v>
      </c>
      <c r="AG1928" s="49">
        <v>0.5</v>
      </c>
    </row>
    <row r="1929" spans="1:33" customFormat="1" ht="35.1" customHeight="1" x14ac:dyDescent="0.3">
      <c r="A1929" s="46">
        <v>2483</v>
      </c>
      <c r="B1929" s="46" t="s">
        <v>4904</v>
      </c>
      <c r="C1929" s="46" t="s">
        <v>43</v>
      </c>
      <c r="D1929" s="60">
        <v>2030</v>
      </c>
      <c r="E1929" s="60"/>
      <c r="F1929" s="46" t="s">
        <v>225</v>
      </c>
      <c r="G1929" s="46" t="s">
        <v>159</v>
      </c>
      <c r="H1929" s="46" t="s">
        <v>592</v>
      </c>
      <c r="I1929" s="46" t="s">
        <v>169</v>
      </c>
      <c r="J1929" s="46" t="s">
        <v>69</v>
      </c>
      <c r="K1929" s="46" t="s">
        <v>141</v>
      </c>
      <c r="L1929" s="46"/>
      <c r="M1929" s="46">
        <v>1</v>
      </c>
      <c r="N1929" s="46"/>
      <c r="O1929" s="46"/>
      <c r="P1929" s="46"/>
      <c r="Q1929" s="46"/>
      <c r="R1929" s="46"/>
      <c r="S1929" s="46"/>
      <c r="T1929" s="46"/>
      <c r="U1929" s="46"/>
      <c r="V1929" s="46"/>
      <c r="W1929" s="46"/>
      <c r="X1929" s="46"/>
      <c r="Y1929" s="46"/>
      <c r="Z1929" s="46" t="s">
        <v>4905</v>
      </c>
      <c r="AA1929" s="62">
        <f t="shared" si="204"/>
        <v>30.337078651685392</v>
      </c>
      <c r="AB1929" s="62">
        <f t="shared" si="205"/>
        <v>6741.5730337078658</v>
      </c>
      <c r="AC1929" s="76">
        <f>(2628/1000/H2ProjectDB4578610[[#This Row],[Column33]])</f>
        <v>5.2560000000000002</v>
      </c>
      <c r="AD1929" s="62"/>
      <c r="AE1929" s="62">
        <f t="shared" si="203"/>
        <v>6741.5730337078658</v>
      </c>
      <c r="AF1929" s="64" t="s">
        <v>4851</v>
      </c>
      <c r="AG1929" s="49">
        <v>0.5</v>
      </c>
    </row>
    <row r="1930" spans="1:33" customFormat="1" ht="35.1" customHeight="1" x14ac:dyDescent="0.3">
      <c r="A1930" s="46">
        <v>2484</v>
      </c>
      <c r="B1930" s="46" t="s">
        <v>4906</v>
      </c>
      <c r="C1930" s="46" t="s">
        <v>43</v>
      </c>
      <c r="D1930" s="60">
        <v>2024</v>
      </c>
      <c r="E1930" s="60"/>
      <c r="F1930" s="46" t="s">
        <v>675</v>
      </c>
      <c r="G1930" s="46" t="s">
        <v>163</v>
      </c>
      <c r="H1930" s="46" t="s">
        <v>2289</v>
      </c>
      <c r="I1930" s="46"/>
      <c r="J1930" s="46"/>
      <c r="K1930" s="46" t="s">
        <v>68</v>
      </c>
      <c r="L1930" s="46"/>
      <c r="M1930" s="46"/>
      <c r="N1930" s="46"/>
      <c r="O1930" s="46"/>
      <c r="P1930" s="46"/>
      <c r="Q1930" s="46"/>
      <c r="R1930" s="46"/>
      <c r="S1930" s="46"/>
      <c r="T1930" s="46"/>
      <c r="U1930" s="46"/>
      <c r="V1930" s="46"/>
      <c r="W1930" s="46"/>
      <c r="X1930" s="46"/>
      <c r="Y1930" s="46"/>
      <c r="Z1930" s="46" t="s">
        <v>4907</v>
      </c>
      <c r="AA1930" s="61" t="str">
        <f t="shared" si="204"/>
        <v/>
      </c>
      <c r="AB1930" s="62">
        <f t="shared" si="205"/>
        <v>2850.3183805631093</v>
      </c>
      <c r="AC1930" s="62">
        <f>(2/H2ProjectDB4578610[[#This Row],[Column33]])</f>
        <v>2.2222222222222223</v>
      </c>
      <c r="AD1930" s="62"/>
      <c r="AE1930" s="62">
        <f t="shared" si="203"/>
        <v>2850.3183805631093</v>
      </c>
      <c r="AF1930" s="64" t="s">
        <v>4851</v>
      </c>
      <c r="AG1930" s="49">
        <v>0.9</v>
      </c>
    </row>
    <row r="1931" spans="1:33" customFormat="1" ht="35.1" customHeight="1" x14ac:dyDescent="0.3">
      <c r="A1931" s="46">
        <v>2485</v>
      </c>
      <c r="B1931" s="46" t="s">
        <v>4908</v>
      </c>
      <c r="C1931" s="46" t="s">
        <v>43</v>
      </c>
      <c r="D1931" s="60">
        <v>2027</v>
      </c>
      <c r="E1931" s="60"/>
      <c r="F1931" s="46" t="s">
        <v>225</v>
      </c>
      <c r="G1931" s="46" t="s">
        <v>159</v>
      </c>
      <c r="H1931" s="46" t="s">
        <v>592</v>
      </c>
      <c r="I1931" s="46" t="s">
        <v>169</v>
      </c>
      <c r="J1931" s="46" t="s">
        <v>69</v>
      </c>
      <c r="K1931" s="46" t="s">
        <v>141</v>
      </c>
      <c r="L1931" s="46"/>
      <c r="M1931" s="46">
        <v>1</v>
      </c>
      <c r="N1931" s="46"/>
      <c r="O1931" s="46"/>
      <c r="P1931" s="46"/>
      <c r="Q1931" s="46"/>
      <c r="R1931" s="46"/>
      <c r="S1931" s="46"/>
      <c r="T1931" s="46"/>
      <c r="U1931" s="46"/>
      <c r="V1931" s="46"/>
      <c r="W1931" s="46"/>
      <c r="X1931" s="46"/>
      <c r="Y1931" s="46"/>
      <c r="Z1931" s="46" t="s">
        <v>4909</v>
      </c>
      <c r="AA1931" s="62">
        <f t="shared" si="204"/>
        <v>0.11543789441280591</v>
      </c>
      <c r="AB1931" s="62">
        <f t="shared" si="205"/>
        <v>25.652865425067983</v>
      </c>
      <c r="AC1931" s="76">
        <f>(10/1000/H2ProjectDB4578610[[#This Row],[Column33]])</f>
        <v>0.02</v>
      </c>
      <c r="AD1931" s="62"/>
      <c r="AE1931" s="62">
        <f t="shared" si="203"/>
        <v>25.652865425067983</v>
      </c>
      <c r="AF1931" s="64" t="s">
        <v>4851</v>
      </c>
      <c r="AG1931" s="49">
        <v>0.5</v>
      </c>
    </row>
    <row r="1932" spans="1:33" customFormat="1" ht="35.1" customHeight="1" x14ac:dyDescent="0.3">
      <c r="A1932" s="46">
        <v>2486</v>
      </c>
      <c r="B1932" s="46" t="s">
        <v>4910</v>
      </c>
      <c r="C1932" s="46" t="s">
        <v>43</v>
      </c>
      <c r="D1932" s="60">
        <v>2030</v>
      </c>
      <c r="E1932" s="60"/>
      <c r="F1932" s="46" t="s">
        <v>225</v>
      </c>
      <c r="G1932" s="46" t="s">
        <v>159</v>
      </c>
      <c r="H1932" s="46" t="s">
        <v>592</v>
      </c>
      <c r="I1932" s="46" t="s">
        <v>157</v>
      </c>
      <c r="J1932" s="46" t="s">
        <v>69</v>
      </c>
      <c r="K1932" s="46" t="s">
        <v>68</v>
      </c>
      <c r="L1932" s="46"/>
      <c r="M1932" s="46"/>
      <c r="N1932" s="46"/>
      <c r="O1932" s="46"/>
      <c r="P1932" s="46">
        <v>1</v>
      </c>
      <c r="Q1932" s="46">
        <v>1</v>
      </c>
      <c r="R1932" s="46"/>
      <c r="S1932" s="46"/>
      <c r="T1932" s="46"/>
      <c r="U1932" s="46"/>
      <c r="V1932" s="46"/>
      <c r="W1932" s="46"/>
      <c r="X1932" s="46"/>
      <c r="Y1932" s="46"/>
      <c r="Z1932" s="46" t="s">
        <v>4911</v>
      </c>
      <c r="AA1932" s="62">
        <f t="shared" si="204"/>
        <v>36.960378474275579</v>
      </c>
      <c r="AB1932" s="62">
        <f t="shared" si="205"/>
        <v>8213.4174387279072</v>
      </c>
      <c r="AC1932" s="76">
        <f>(3650/1000/H2ProjectDB4578610[[#This Row],[Column33]])</f>
        <v>6.4035087719298254</v>
      </c>
      <c r="AD1932" s="62"/>
      <c r="AE1932" s="62">
        <f t="shared" si="203"/>
        <v>8213.4174387279072</v>
      </c>
      <c r="AF1932" s="64" t="s">
        <v>4851</v>
      </c>
      <c r="AG1932" s="49">
        <v>0.56999999999999995</v>
      </c>
    </row>
    <row r="1933" spans="1:33" customFormat="1" ht="35.1" customHeight="1" x14ac:dyDescent="0.3">
      <c r="A1933" s="46">
        <v>2487</v>
      </c>
      <c r="B1933" s="46" t="s">
        <v>4912</v>
      </c>
      <c r="C1933" s="46" t="s">
        <v>43</v>
      </c>
      <c r="D1933" s="60">
        <v>2027</v>
      </c>
      <c r="E1933" s="60"/>
      <c r="F1933" s="46" t="s">
        <v>225</v>
      </c>
      <c r="G1933" s="46" t="s">
        <v>159</v>
      </c>
      <c r="H1933" s="46" t="s">
        <v>592</v>
      </c>
      <c r="I1933" s="46" t="s">
        <v>169</v>
      </c>
      <c r="J1933" s="46" t="s">
        <v>69</v>
      </c>
      <c r="K1933" s="46" t="s">
        <v>141</v>
      </c>
      <c r="L1933" s="46"/>
      <c r="M1933" s="46">
        <v>1</v>
      </c>
      <c r="N1933" s="46"/>
      <c r="O1933" s="46"/>
      <c r="P1933" s="46"/>
      <c r="Q1933" s="46"/>
      <c r="R1933" s="46"/>
      <c r="S1933" s="46"/>
      <c r="T1933" s="46"/>
      <c r="U1933" s="46"/>
      <c r="V1933" s="46"/>
      <c r="W1933" s="46"/>
      <c r="X1933" s="46"/>
      <c r="Y1933" s="46"/>
      <c r="Z1933" s="46" t="s">
        <v>4854</v>
      </c>
      <c r="AA1933" s="62">
        <f t="shared" si="204"/>
        <v>4.2134831460674151</v>
      </c>
      <c r="AB1933" s="62">
        <f t="shared" si="205"/>
        <v>936.32958801498125</v>
      </c>
      <c r="AC1933" s="76">
        <f>(365/1000/H2ProjectDB4578610[[#This Row],[Column33]])</f>
        <v>0.73</v>
      </c>
      <c r="AD1933" s="62"/>
      <c r="AE1933" s="62">
        <f t="shared" si="203"/>
        <v>936.32958801498125</v>
      </c>
      <c r="AF1933" s="64" t="s">
        <v>4851</v>
      </c>
      <c r="AG1933" s="49">
        <v>0.5</v>
      </c>
    </row>
    <row r="1934" spans="1:33" customFormat="1" ht="35.1" customHeight="1" x14ac:dyDescent="0.3">
      <c r="A1934" s="46">
        <v>2488</v>
      </c>
      <c r="B1934" s="46" t="s">
        <v>4913</v>
      </c>
      <c r="C1934" s="46" t="s">
        <v>43</v>
      </c>
      <c r="D1934" s="60">
        <v>2025</v>
      </c>
      <c r="E1934" s="60"/>
      <c r="F1934" s="46" t="s">
        <v>225</v>
      </c>
      <c r="G1934" s="46" t="s">
        <v>2</v>
      </c>
      <c r="H1934" s="46"/>
      <c r="I1934" s="46" t="s">
        <v>169</v>
      </c>
      <c r="J1934" s="46" t="s">
        <v>69</v>
      </c>
      <c r="K1934" s="46" t="s">
        <v>68</v>
      </c>
      <c r="L1934" s="46"/>
      <c r="M1934" s="46"/>
      <c r="N1934" s="46"/>
      <c r="O1934" s="46"/>
      <c r="P1934" s="46">
        <v>1</v>
      </c>
      <c r="Q1934" s="46"/>
      <c r="R1934" s="46"/>
      <c r="S1934" s="46"/>
      <c r="T1934" s="46"/>
      <c r="U1934" s="46"/>
      <c r="V1934" s="46"/>
      <c r="W1934" s="46"/>
      <c r="X1934" s="46"/>
      <c r="Y1934" s="46"/>
      <c r="Z1934" s="46" t="s">
        <v>4914</v>
      </c>
      <c r="AA1934" s="62">
        <f t="shared" si="204"/>
        <v>8.2858755322969581E-3</v>
      </c>
      <c r="AB1934" s="62">
        <f t="shared" si="205"/>
        <v>2.1804935611307785</v>
      </c>
      <c r="AC1934" s="76">
        <f>(0.85/1000/H2ProjectDB4578610[[#This Row],[Column33]])</f>
        <v>1.6999999999999999E-3</v>
      </c>
      <c r="AD1934" s="62"/>
      <c r="AE1934" s="62">
        <f t="shared" si="203"/>
        <v>2.1804935611307785</v>
      </c>
      <c r="AF1934" s="64" t="s">
        <v>4851</v>
      </c>
      <c r="AG1934" s="49">
        <v>0.5</v>
      </c>
    </row>
    <row r="1935" spans="1:33" customFormat="1" ht="35.1" customHeight="1" x14ac:dyDescent="0.3">
      <c r="A1935" s="46">
        <v>2489</v>
      </c>
      <c r="B1935" s="46" t="s">
        <v>4915</v>
      </c>
      <c r="C1935" s="46" t="s">
        <v>43</v>
      </c>
      <c r="D1935" s="60">
        <v>2026</v>
      </c>
      <c r="E1935" s="60"/>
      <c r="F1935" s="46" t="s">
        <v>225</v>
      </c>
      <c r="G1935" s="46" t="s">
        <v>163</v>
      </c>
      <c r="H1935" s="46" t="s">
        <v>2289</v>
      </c>
      <c r="I1935" s="46"/>
      <c r="J1935" s="46"/>
      <c r="K1935" s="46" t="s">
        <v>68</v>
      </c>
      <c r="L1935" s="46"/>
      <c r="M1935" s="46"/>
      <c r="N1935" s="46"/>
      <c r="O1935" s="46"/>
      <c r="P1935" s="46"/>
      <c r="Q1935" s="46"/>
      <c r="R1935" s="46"/>
      <c r="S1935" s="46"/>
      <c r="T1935" s="46"/>
      <c r="U1935" s="46"/>
      <c r="V1935" s="46"/>
      <c r="W1935" s="46"/>
      <c r="X1935" s="46"/>
      <c r="Y1935" s="46"/>
      <c r="Z1935" s="46" t="s">
        <v>4916</v>
      </c>
      <c r="AA1935" s="61" t="str">
        <f t="shared" si="204"/>
        <v/>
      </c>
      <c r="AB1935" s="62">
        <f t="shared" si="205"/>
        <v>52.01831044527674</v>
      </c>
      <c r="AC1935" s="76">
        <f>(36.5/1000/H2ProjectDB4578610[[#This Row],[Column33]])</f>
        <v>4.0555555555555553E-2</v>
      </c>
      <c r="AD1935" s="62"/>
      <c r="AE1935" s="62">
        <f t="shared" si="203"/>
        <v>52.01831044527674</v>
      </c>
      <c r="AF1935" s="64" t="s">
        <v>4851</v>
      </c>
      <c r="AG1935" s="49">
        <v>0.9</v>
      </c>
    </row>
    <row r="1936" spans="1:33" customFormat="1" ht="35.1" customHeight="1" x14ac:dyDescent="0.3">
      <c r="A1936" s="46">
        <v>2490</v>
      </c>
      <c r="B1936" s="46" t="s">
        <v>4917</v>
      </c>
      <c r="C1936" s="46" t="s">
        <v>43</v>
      </c>
      <c r="D1936" s="60">
        <v>2025</v>
      </c>
      <c r="E1936" s="60"/>
      <c r="F1936" s="46" t="s">
        <v>225</v>
      </c>
      <c r="G1936" s="46" t="s">
        <v>159</v>
      </c>
      <c r="H1936" s="46" t="s">
        <v>592</v>
      </c>
      <c r="I1936" s="46" t="s">
        <v>157</v>
      </c>
      <c r="J1936" s="46" t="s">
        <v>69</v>
      </c>
      <c r="K1936" s="46" t="s">
        <v>68</v>
      </c>
      <c r="L1936" s="46"/>
      <c r="M1936" s="46"/>
      <c r="N1936" s="46"/>
      <c r="O1936" s="46"/>
      <c r="P1936" s="46">
        <v>1</v>
      </c>
      <c r="Q1936" s="46">
        <v>1</v>
      </c>
      <c r="R1936" s="46"/>
      <c r="S1936" s="46"/>
      <c r="T1936" s="46"/>
      <c r="U1936" s="46"/>
      <c r="V1936" s="46"/>
      <c r="W1936" s="46"/>
      <c r="X1936" s="46"/>
      <c r="Y1936" s="46"/>
      <c r="Z1936" s="46" t="s">
        <v>4918</v>
      </c>
      <c r="AA1936" s="62">
        <f t="shared" si="204"/>
        <v>15.887899678394078</v>
      </c>
      <c r="AB1936" s="62">
        <f t="shared" si="205"/>
        <v>3530.6443729764619</v>
      </c>
      <c r="AC1936" s="76">
        <f>(1569/1000/H2ProjectDB4578610[[#This Row],[Column33]])</f>
        <v>2.7526315789473688</v>
      </c>
      <c r="AD1936" s="62"/>
      <c r="AE1936" s="62">
        <f t="shared" si="203"/>
        <v>3530.6443729764619</v>
      </c>
      <c r="AF1936" s="64" t="s">
        <v>4851</v>
      </c>
      <c r="AG1936" s="49">
        <v>0.56999999999999995</v>
      </c>
    </row>
    <row r="1937" spans="1:33" customFormat="1" ht="35.1" customHeight="1" x14ac:dyDescent="0.3">
      <c r="A1937" s="46">
        <v>2491</v>
      </c>
      <c r="B1937" s="46" t="s">
        <v>4919</v>
      </c>
      <c r="C1937" s="46" t="s">
        <v>43</v>
      </c>
      <c r="D1937" s="60">
        <v>2024</v>
      </c>
      <c r="E1937" s="60"/>
      <c r="F1937" s="46" t="s">
        <v>225</v>
      </c>
      <c r="G1937" s="46" t="s">
        <v>159</v>
      </c>
      <c r="H1937" s="46" t="s">
        <v>592</v>
      </c>
      <c r="I1937" s="46" t="s">
        <v>169</v>
      </c>
      <c r="J1937" s="46" t="s">
        <v>69</v>
      </c>
      <c r="K1937" s="46" t="s">
        <v>68</v>
      </c>
      <c r="L1937" s="46"/>
      <c r="M1937" s="46"/>
      <c r="N1937" s="46"/>
      <c r="O1937" s="46"/>
      <c r="P1937" s="46"/>
      <c r="Q1937" s="46"/>
      <c r="R1937" s="46"/>
      <c r="S1937" s="46"/>
      <c r="T1937" s="46"/>
      <c r="U1937" s="46"/>
      <c r="V1937" s="46"/>
      <c r="W1937" s="46"/>
      <c r="X1937" s="46"/>
      <c r="Y1937" s="46"/>
      <c r="Z1937" s="46" t="s">
        <v>4920</v>
      </c>
      <c r="AA1937" s="62">
        <f t="shared" si="204"/>
        <v>8.3115283977220251</v>
      </c>
      <c r="AB1937" s="62">
        <f t="shared" si="205"/>
        <v>1847.0063106048947</v>
      </c>
      <c r="AC1937" s="76">
        <f>(720/1000/H2ProjectDB4578610[[#This Row],[Column33]])</f>
        <v>1.44</v>
      </c>
      <c r="AD1937" s="62"/>
      <c r="AE1937" s="62">
        <f t="shared" si="203"/>
        <v>1847.0063106048947</v>
      </c>
      <c r="AF1937" s="64" t="s">
        <v>4851</v>
      </c>
      <c r="AG1937" s="49">
        <v>0.5</v>
      </c>
    </row>
    <row r="1938" spans="1:33" customFormat="1" ht="35.1" customHeight="1" x14ac:dyDescent="0.3">
      <c r="A1938" s="46">
        <v>2492</v>
      </c>
      <c r="B1938" s="46" t="s">
        <v>4921</v>
      </c>
      <c r="C1938" s="46" t="s">
        <v>43</v>
      </c>
      <c r="D1938" s="60">
        <v>2027</v>
      </c>
      <c r="E1938" s="60"/>
      <c r="F1938" s="46" t="s">
        <v>225</v>
      </c>
      <c r="G1938" s="46" t="s">
        <v>159</v>
      </c>
      <c r="H1938" s="46" t="s">
        <v>592</v>
      </c>
      <c r="I1938" s="46" t="s">
        <v>169</v>
      </c>
      <c r="J1938" s="46" t="s">
        <v>69</v>
      </c>
      <c r="K1938" s="46" t="s">
        <v>68</v>
      </c>
      <c r="L1938" s="46"/>
      <c r="M1938" s="46"/>
      <c r="N1938" s="46"/>
      <c r="O1938" s="46"/>
      <c r="P1938" s="46"/>
      <c r="Q1938" s="46"/>
      <c r="R1938" s="46"/>
      <c r="S1938" s="46"/>
      <c r="T1938" s="46"/>
      <c r="U1938" s="46"/>
      <c r="V1938" s="46"/>
      <c r="W1938" s="46"/>
      <c r="X1938" s="46"/>
      <c r="Y1938" s="46"/>
      <c r="Z1938" s="46" t="s">
        <v>4922</v>
      </c>
      <c r="AA1938" s="62">
        <f t="shared" si="204"/>
        <v>46.175157765122364</v>
      </c>
      <c r="AB1938" s="62">
        <f t="shared" si="205"/>
        <v>10261.146170027192</v>
      </c>
      <c r="AC1938" s="62">
        <f>(4/H2ProjectDB4578610[[#This Row],[Column33]])</f>
        <v>8</v>
      </c>
      <c r="AD1938" s="62"/>
      <c r="AE1938" s="62">
        <f t="shared" si="203"/>
        <v>10261.146170027192</v>
      </c>
      <c r="AF1938" s="64" t="s">
        <v>4851</v>
      </c>
      <c r="AG1938" s="49">
        <v>0.5</v>
      </c>
    </row>
    <row r="1939" spans="1:33" customFormat="1" ht="35.1" customHeight="1" x14ac:dyDescent="0.3">
      <c r="A1939" s="46">
        <v>2493</v>
      </c>
      <c r="B1939" s="46" t="s">
        <v>4923</v>
      </c>
      <c r="C1939" s="46" t="s">
        <v>90</v>
      </c>
      <c r="D1939" s="60">
        <v>2024</v>
      </c>
      <c r="E1939" s="60"/>
      <c r="F1939" s="46" t="s">
        <v>285</v>
      </c>
      <c r="G1939" s="46" t="s">
        <v>163</v>
      </c>
      <c r="H1939" s="46" t="s">
        <v>4924</v>
      </c>
      <c r="I1939" s="46"/>
      <c r="J1939" s="46"/>
      <c r="K1939" s="46" t="s">
        <v>68</v>
      </c>
      <c r="L1939" s="46"/>
      <c r="M1939" s="46"/>
      <c r="N1939" s="46"/>
      <c r="O1939" s="46"/>
      <c r="P1939" s="46"/>
      <c r="Q1939" s="46"/>
      <c r="R1939" s="46"/>
      <c r="S1939" s="46"/>
      <c r="T1939" s="46"/>
      <c r="U1939" s="46"/>
      <c r="V1939" s="46"/>
      <c r="W1939" s="46"/>
      <c r="X1939" s="46"/>
      <c r="Y1939" s="46"/>
      <c r="Z1939" s="46" t="s">
        <v>4925</v>
      </c>
      <c r="AA1939" s="61" t="str">
        <f t="shared" si="204"/>
        <v/>
      </c>
      <c r="AB1939" s="62">
        <f>AC1939/(0.089*24*365/10^6)</f>
        <v>50.561797752808992</v>
      </c>
      <c r="AC1939" s="62">
        <f>4.5/10^6*HoursInYear</f>
        <v>3.9420000000000004E-2</v>
      </c>
      <c r="AD1939" s="62"/>
      <c r="AE1939" s="62">
        <f t="shared" si="203"/>
        <v>50.561797752808992</v>
      </c>
      <c r="AF1939" s="64" t="s">
        <v>4926</v>
      </c>
      <c r="AG1939" s="49">
        <v>0.9</v>
      </c>
    </row>
    <row r="1940" spans="1:33" customFormat="1" ht="35.1" customHeight="1" x14ac:dyDescent="0.3">
      <c r="A1940" s="46">
        <v>2494</v>
      </c>
      <c r="B1940" s="46" t="s">
        <v>4927</v>
      </c>
      <c r="C1940" s="46" t="s">
        <v>90</v>
      </c>
      <c r="D1940" s="60">
        <v>2024</v>
      </c>
      <c r="E1940" s="60"/>
      <c r="F1940" s="46" t="s">
        <v>285</v>
      </c>
      <c r="G1940" s="46" t="s">
        <v>163</v>
      </c>
      <c r="H1940" s="46" t="s">
        <v>4924</v>
      </c>
      <c r="I1940" s="46"/>
      <c r="J1940" s="46"/>
      <c r="K1940" s="46" t="s">
        <v>68</v>
      </c>
      <c r="L1940" s="46"/>
      <c r="M1940" s="46"/>
      <c r="N1940" s="46"/>
      <c r="O1940" s="46"/>
      <c r="P1940" s="46"/>
      <c r="Q1940" s="46"/>
      <c r="R1940" s="46"/>
      <c r="S1940" s="46"/>
      <c r="T1940" s="46"/>
      <c r="U1940" s="46"/>
      <c r="V1940" s="46"/>
      <c r="W1940" s="46"/>
      <c r="X1940" s="46"/>
      <c r="Y1940" s="46"/>
      <c r="Z1940" s="46" t="s">
        <v>4928</v>
      </c>
      <c r="AA1940" s="61" t="str">
        <f t="shared" si="204"/>
        <v/>
      </c>
      <c r="AB1940" s="62">
        <f>AC1940/(0.089*24*365/10^6)</f>
        <v>460.67415730337075</v>
      </c>
      <c r="AC1940" s="62">
        <f>41/10^6*HoursInYear</f>
        <v>0.35915999999999998</v>
      </c>
      <c r="AD1940" s="62"/>
      <c r="AE1940" s="62">
        <f t="shared" si="203"/>
        <v>460.67415730337075</v>
      </c>
      <c r="AF1940" s="64" t="s">
        <v>4926</v>
      </c>
      <c r="AG1940" s="49">
        <v>0.9</v>
      </c>
    </row>
    <row r="1941" spans="1:33" customFormat="1" ht="35.1" customHeight="1" x14ac:dyDescent="0.3">
      <c r="A1941" s="46">
        <v>2495</v>
      </c>
      <c r="B1941" s="46" t="s">
        <v>4929</v>
      </c>
      <c r="C1941" s="46" t="s">
        <v>90</v>
      </c>
      <c r="D1941" s="60">
        <v>2026</v>
      </c>
      <c r="E1941" s="60"/>
      <c r="F1941" s="46" t="s">
        <v>591</v>
      </c>
      <c r="G1941" s="46" t="s">
        <v>159</v>
      </c>
      <c r="H1941" s="46" t="s">
        <v>592</v>
      </c>
      <c r="I1941" s="46" t="s">
        <v>169</v>
      </c>
      <c r="J1941" s="46" t="s">
        <v>248</v>
      </c>
      <c r="K1941" s="46" t="s">
        <v>141</v>
      </c>
      <c r="L1941" s="46"/>
      <c r="M1941" s="46">
        <v>1</v>
      </c>
      <c r="N1941" s="46"/>
      <c r="O1941" s="46"/>
      <c r="P1941" s="46"/>
      <c r="Q1941" s="46"/>
      <c r="R1941" s="46"/>
      <c r="S1941" s="46"/>
      <c r="T1941" s="46"/>
      <c r="U1941" s="46"/>
      <c r="V1941" s="46"/>
      <c r="W1941" s="46"/>
      <c r="X1941" s="46"/>
      <c r="Y1941" s="46"/>
      <c r="Z1941" s="46" t="s">
        <v>4930</v>
      </c>
      <c r="AA1941" s="61">
        <f t="shared" si="204"/>
        <v>300.13852547329537</v>
      </c>
      <c r="AB1941" s="62">
        <f>AC1941/(H2dens*HoursInYear/10^6)</f>
        <v>66697.450105176758</v>
      </c>
      <c r="AC1941" s="62">
        <v>52</v>
      </c>
      <c r="AD1941" s="62"/>
      <c r="AE1941" s="62">
        <f t="shared" si="203"/>
        <v>66697.450105176758</v>
      </c>
      <c r="AF1941" s="64" t="s">
        <v>4931</v>
      </c>
      <c r="AG1941" s="49">
        <v>0.5</v>
      </c>
    </row>
    <row r="1942" spans="1:33" customFormat="1" ht="35.1" customHeight="1" x14ac:dyDescent="0.3">
      <c r="A1942" s="46">
        <v>2496</v>
      </c>
      <c r="B1942" s="46" t="s">
        <v>4932</v>
      </c>
      <c r="C1942" s="46" t="s">
        <v>40</v>
      </c>
      <c r="D1942" s="60">
        <v>2030</v>
      </c>
      <c r="E1942" s="60"/>
      <c r="F1942" s="46" t="s">
        <v>225</v>
      </c>
      <c r="G1942" s="46" t="s">
        <v>159</v>
      </c>
      <c r="H1942" s="46" t="s">
        <v>592</v>
      </c>
      <c r="I1942" s="46" t="s">
        <v>1317</v>
      </c>
      <c r="J1942" s="46" t="str">
        <f>IF(I1942&lt;&gt;"Dedicated renewable","N/A",)</f>
        <v>N/A</v>
      </c>
      <c r="K1942" s="46" t="s">
        <v>168</v>
      </c>
      <c r="L1942" s="46"/>
      <c r="M1942" s="46">
        <v>1</v>
      </c>
      <c r="N1942" s="46"/>
      <c r="O1942" s="46"/>
      <c r="P1942" s="46">
        <v>1</v>
      </c>
      <c r="Q1942" s="46">
        <v>1</v>
      </c>
      <c r="R1942" s="46">
        <v>1</v>
      </c>
      <c r="S1942" s="46"/>
      <c r="T1942" s="46"/>
      <c r="U1942" s="46"/>
      <c r="V1942" s="46"/>
      <c r="W1942" s="46"/>
      <c r="X1942" s="46"/>
      <c r="Y1942" s="46"/>
      <c r="Z1942" s="46" t="s">
        <v>4612</v>
      </c>
      <c r="AA1942" s="61">
        <v>1200</v>
      </c>
      <c r="AB1942" s="62">
        <f>IF(OR(G1942="ALK",G1942="PEM",G1942="SOEC",G1942="Other Electrolysis"),
AA1942/VLOOKUP(G1942,ElectrolysisConvF,3,FALSE),
AC1942*10^6/(H2dens*HoursInYear))</f>
        <v>266666.66666666669</v>
      </c>
      <c r="AC1942" s="63">
        <f>AB1942*H2dens*HoursInYear/10^6</f>
        <v>207.904</v>
      </c>
      <c r="AD1942" s="62"/>
      <c r="AE1942" s="62">
        <f t="shared" si="203"/>
        <v>266666.66666666669</v>
      </c>
      <c r="AF1942" s="64" t="s">
        <v>4933</v>
      </c>
      <c r="AG1942" s="49">
        <v>0.7</v>
      </c>
    </row>
    <row r="1943" spans="1:33" customFormat="1" ht="35.1" customHeight="1" x14ac:dyDescent="0.3">
      <c r="A1943" s="46">
        <v>2497</v>
      </c>
      <c r="B1943" s="46" t="s">
        <v>4934</v>
      </c>
      <c r="C1943" s="46" t="s">
        <v>40</v>
      </c>
      <c r="D1943" s="60"/>
      <c r="E1943" s="60"/>
      <c r="F1943" s="46" t="s">
        <v>591</v>
      </c>
      <c r="G1943" s="46" t="s">
        <v>159</v>
      </c>
      <c r="H1943" s="46" t="s">
        <v>592</v>
      </c>
      <c r="I1943" s="46" t="s">
        <v>169</v>
      </c>
      <c r="J1943" s="46" t="s">
        <v>248</v>
      </c>
      <c r="K1943" s="46" t="s">
        <v>141</v>
      </c>
      <c r="L1943" s="46"/>
      <c r="M1943" s="46">
        <v>1</v>
      </c>
      <c r="N1943" s="46"/>
      <c r="O1943" s="46"/>
      <c r="P1943" s="46"/>
      <c r="Q1943" s="46"/>
      <c r="R1943" s="46"/>
      <c r="S1943" s="46"/>
      <c r="T1943" s="46"/>
      <c r="U1943" s="46"/>
      <c r="V1943" s="46"/>
      <c r="W1943" s="46"/>
      <c r="X1943" s="46"/>
      <c r="Y1943" s="46"/>
      <c r="Z1943" s="46" t="s">
        <v>672</v>
      </c>
      <c r="AA1943" s="61">
        <v>1000</v>
      </c>
      <c r="AB1943" s="62">
        <f>IF(OR(G1943="ALK",G1943="PEM",G1943="SOEC",G1943="Other Electrolysis"),
AA1943/VLOOKUP(G1943,ElectrolysisConvF,3,FALSE),
AC1943*10^6/(H2dens*HoursInYear))</f>
        <v>222222.22222222225</v>
      </c>
      <c r="AC1943" s="63">
        <f>AB1943*H2dens*HoursInYear/10^6</f>
        <v>173.25333333333333</v>
      </c>
      <c r="AD1943" s="62"/>
      <c r="AE1943" s="62">
        <f t="shared" si="203"/>
        <v>222222.22222222225</v>
      </c>
      <c r="AF1943" s="64" t="s">
        <v>4935</v>
      </c>
      <c r="AG1943" s="49">
        <v>0.5</v>
      </c>
    </row>
    <row r="1944" spans="1:33" customFormat="1" ht="35.1" customHeight="1" x14ac:dyDescent="0.3">
      <c r="A1944" s="46">
        <v>2498</v>
      </c>
      <c r="B1944" s="46" t="s">
        <v>4936</v>
      </c>
      <c r="C1944" s="46" t="s">
        <v>203</v>
      </c>
      <c r="D1944" s="60">
        <v>2028</v>
      </c>
      <c r="E1944" s="60"/>
      <c r="F1944" s="46" t="s">
        <v>225</v>
      </c>
      <c r="G1944" s="46" t="s">
        <v>159</v>
      </c>
      <c r="H1944" s="46" t="s">
        <v>592</v>
      </c>
      <c r="I1944" s="46" t="s">
        <v>169</v>
      </c>
      <c r="J1944" s="46" t="s">
        <v>69</v>
      </c>
      <c r="K1944" s="46" t="s">
        <v>68</v>
      </c>
      <c r="L1944" s="46"/>
      <c r="M1944" s="46"/>
      <c r="N1944" s="46"/>
      <c r="O1944" s="46"/>
      <c r="P1944" s="46"/>
      <c r="Q1944" s="46"/>
      <c r="R1944" s="46"/>
      <c r="S1944" s="46">
        <v>1</v>
      </c>
      <c r="T1944" s="46"/>
      <c r="U1944" s="46"/>
      <c r="V1944" s="46"/>
      <c r="W1944" s="46"/>
      <c r="X1944" s="46"/>
      <c r="Y1944" s="46"/>
      <c r="Z1944" s="46" t="s">
        <v>2033</v>
      </c>
      <c r="AA1944" s="61">
        <v>70</v>
      </c>
      <c r="AB1944" s="62">
        <f>IF(OR(G1944="ALK",G1944="PEM",G1944="SOEC",G1944="Other Electrolysis"),
AA1944/VLOOKUP(G1944,ElectrolysisConvF,3,FALSE),
AC1944*10^6/(H2dens*HoursInYear))</f>
        <v>15555.555555555557</v>
      </c>
      <c r="AC1944" s="63">
        <f>AB1944*H2dens*HoursInYear/10^6</f>
        <v>12.127733333333333</v>
      </c>
      <c r="AD1944" s="62"/>
      <c r="AE1944" s="62">
        <f t="shared" si="203"/>
        <v>15555.555555555557</v>
      </c>
      <c r="AF1944" s="64" t="s">
        <v>4937</v>
      </c>
      <c r="AG1944" s="49">
        <v>0.5</v>
      </c>
    </row>
    <row r="1945" spans="1:33" customFormat="1" ht="35.1" customHeight="1" x14ac:dyDescent="0.3">
      <c r="A1945" s="46">
        <v>2499</v>
      </c>
      <c r="B1945" s="46" t="s">
        <v>4938</v>
      </c>
      <c r="C1945" s="46" t="s">
        <v>203</v>
      </c>
      <c r="D1945" s="60">
        <v>2027</v>
      </c>
      <c r="E1945" s="60"/>
      <c r="F1945" s="46" t="s">
        <v>225</v>
      </c>
      <c r="G1945" s="46" t="s">
        <v>159</v>
      </c>
      <c r="H1945" s="46" t="s">
        <v>592</v>
      </c>
      <c r="I1945" s="46" t="s">
        <v>169</v>
      </c>
      <c r="J1945" s="46" t="s">
        <v>69</v>
      </c>
      <c r="K1945" s="46" t="s">
        <v>167</v>
      </c>
      <c r="L1945" s="46"/>
      <c r="M1945" s="46"/>
      <c r="N1945" s="46"/>
      <c r="O1945" s="46"/>
      <c r="P1945" s="46"/>
      <c r="Q1945" s="46"/>
      <c r="R1945" s="46"/>
      <c r="S1945" s="46"/>
      <c r="T1945" s="46"/>
      <c r="U1945" s="46"/>
      <c r="V1945" s="46"/>
      <c r="W1945" s="46">
        <v>1</v>
      </c>
      <c r="X1945" s="46"/>
      <c r="Y1945" s="46"/>
      <c r="Z1945" s="46" t="s">
        <v>1330</v>
      </c>
      <c r="AA1945" s="61">
        <v>130</v>
      </c>
      <c r="AB1945" s="62">
        <f>IF(OR(G1945="ALK",G1945="PEM",G1945="SOEC",G1945="Other Electrolysis"),
AA1945/VLOOKUP(G1945,ElectrolysisConvF,3,FALSE),
AC1945*10^6/(H2dens*HoursInYear))</f>
        <v>28888.888888888891</v>
      </c>
      <c r="AC1945" s="63">
        <f>AB1945*H2dens*HoursInYear/10^6</f>
        <v>22.522933333333334</v>
      </c>
      <c r="AD1945" s="62"/>
      <c r="AE1945" s="62">
        <f t="shared" si="203"/>
        <v>28888.888888888891</v>
      </c>
      <c r="AF1945" s="64" t="s">
        <v>4939</v>
      </c>
      <c r="AG1945" s="49">
        <v>0.5</v>
      </c>
    </row>
    <row r="1946" spans="1:33" customFormat="1" ht="35.1" customHeight="1" x14ac:dyDescent="0.3">
      <c r="A1946" s="46">
        <v>2500</v>
      </c>
      <c r="B1946" s="46" t="s">
        <v>4940</v>
      </c>
      <c r="C1946" s="46" t="s">
        <v>41</v>
      </c>
      <c r="D1946" s="60"/>
      <c r="E1946" s="60"/>
      <c r="F1946" s="46" t="s">
        <v>225</v>
      </c>
      <c r="G1946" s="46" t="s">
        <v>3</v>
      </c>
      <c r="H1946" s="46"/>
      <c r="I1946" s="46" t="s">
        <v>169</v>
      </c>
      <c r="J1946" s="46" t="s">
        <v>248</v>
      </c>
      <c r="K1946" s="46" t="s">
        <v>68</v>
      </c>
      <c r="L1946" s="46"/>
      <c r="M1946" s="46"/>
      <c r="N1946" s="46"/>
      <c r="O1946" s="46"/>
      <c r="P1946" s="46"/>
      <c r="Q1946" s="46"/>
      <c r="R1946" s="46"/>
      <c r="S1946" s="46"/>
      <c r="T1946" s="46"/>
      <c r="U1946" s="46"/>
      <c r="V1946" s="46"/>
      <c r="W1946" s="46"/>
      <c r="X1946" s="46"/>
      <c r="Y1946" s="46"/>
      <c r="Z1946" s="46" t="s">
        <v>4302</v>
      </c>
      <c r="AA1946" s="61">
        <v>270</v>
      </c>
      <c r="AB1946" s="62">
        <f>IF(OR(G1946="ALK",G1946="PEM",G1946="SOEC",G1946="Other Electrolysis"),
AA1946/VLOOKUP(G1946,ElectrolysisConvF,3,FALSE),
AC1946*10^6/(H2dens*HoursInYear))</f>
        <v>58695.652173913048</v>
      </c>
      <c r="AC1946" s="63">
        <f>AB1946*H2dens*HoursInYear/10^6</f>
        <v>45.761478260869559</v>
      </c>
      <c r="AD1946" s="62"/>
      <c r="AE1946" s="62">
        <f t="shared" si="203"/>
        <v>58695.652173913048</v>
      </c>
      <c r="AF1946" s="64" t="s">
        <v>4941</v>
      </c>
      <c r="AG1946" s="49">
        <v>0.5</v>
      </c>
    </row>
    <row r="1947" spans="1:33" customFormat="1" ht="35.1" customHeight="1" x14ac:dyDescent="0.3">
      <c r="A1947" s="46">
        <v>2501</v>
      </c>
      <c r="B1947" s="46" t="s">
        <v>4942</v>
      </c>
      <c r="C1947" s="46" t="s">
        <v>36</v>
      </c>
      <c r="D1947" s="60">
        <v>2029</v>
      </c>
      <c r="E1947" s="60"/>
      <c r="F1947" s="46" t="s">
        <v>225</v>
      </c>
      <c r="G1947" s="46" t="s">
        <v>159</v>
      </c>
      <c r="H1947" s="46" t="s">
        <v>592</v>
      </c>
      <c r="I1947" s="46" t="s">
        <v>166</v>
      </c>
      <c r="J1947" s="46"/>
      <c r="K1947" s="46" t="s">
        <v>140</v>
      </c>
      <c r="L1947" s="46"/>
      <c r="M1947" s="46"/>
      <c r="N1947" s="46">
        <v>1</v>
      </c>
      <c r="O1947" s="46"/>
      <c r="P1947" s="46"/>
      <c r="Q1947" s="46"/>
      <c r="R1947" s="46"/>
      <c r="S1947" s="46"/>
      <c r="T1947" s="46"/>
      <c r="U1947" s="46"/>
      <c r="V1947" s="46"/>
      <c r="W1947" s="46"/>
      <c r="X1947" s="46"/>
      <c r="Y1947" s="46"/>
      <c r="Z1947" s="46" t="s">
        <v>4943</v>
      </c>
      <c r="AA1947" s="61">
        <f>IF(OR(G1947="ALK",G1947="PEM",G1947="SOEC",G1947="Other Electrolysis"),
AB1947*VLOOKUP(G1947,ElectrolysisConvF,3,FALSE),
"")</f>
        <v>441.7277204863783</v>
      </c>
      <c r="AB1947" s="62">
        <f>AC1947/(0.089*24*365/10^6)</f>
        <v>98161.715663639625</v>
      </c>
      <c r="AC1947" s="62">
        <f>400*0.191327</f>
        <v>76.530799999999999</v>
      </c>
      <c r="AD1947" s="62"/>
      <c r="AE1947" s="62">
        <f t="shared" si="203"/>
        <v>98161.715663639625</v>
      </c>
      <c r="AF1947" s="64" t="s">
        <v>4944</v>
      </c>
      <c r="AG1947" s="49">
        <v>0.56999999999999995</v>
      </c>
    </row>
    <row r="1948" spans="1:33" customFormat="1" ht="35.1" customHeight="1" x14ac:dyDescent="0.3">
      <c r="A1948" s="46">
        <v>2502</v>
      </c>
      <c r="B1948" s="46" t="s">
        <v>4945</v>
      </c>
      <c r="C1948" s="46" t="s">
        <v>40</v>
      </c>
      <c r="D1948" s="60">
        <v>2027</v>
      </c>
      <c r="E1948" s="60"/>
      <c r="F1948" s="46" t="s">
        <v>591</v>
      </c>
      <c r="G1948" s="46" t="s">
        <v>159</v>
      </c>
      <c r="H1948" s="46" t="s">
        <v>592</v>
      </c>
      <c r="I1948" s="46" t="s">
        <v>166</v>
      </c>
      <c r="J1948" s="46"/>
      <c r="K1948" s="46" t="s">
        <v>141</v>
      </c>
      <c r="L1948" s="46"/>
      <c r="M1948" s="46">
        <v>1</v>
      </c>
      <c r="N1948" s="46"/>
      <c r="O1948" s="46"/>
      <c r="P1948" s="46"/>
      <c r="Q1948" s="46"/>
      <c r="R1948" s="46"/>
      <c r="S1948" s="46"/>
      <c r="T1948" s="46"/>
      <c r="U1948" s="46"/>
      <c r="V1948" s="46"/>
      <c r="W1948" s="46"/>
      <c r="X1948" s="46"/>
      <c r="Y1948" s="46"/>
      <c r="Z1948" s="46" t="s">
        <v>4946</v>
      </c>
      <c r="AA1948" s="62">
        <f>IF(OR(G1948="ALK",G1948="PEM",G1948="SOEC",G1948="Other Electrolysis"),
AB1948*VLOOKUP(G1948,ElectrolysisConvF,3,FALSE),
"")</f>
        <v>2188.1195630152129</v>
      </c>
      <c r="AB1948" s="62">
        <f>AC1948/(H2dens*HoursInYear/10^6)</f>
        <v>486248.79178115848</v>
      </c>
      <c r="AC1948" s="62">
        <f>(1200*3/17/0.98/H2ProjectDB4578610[[#This Row],[Column33]])</f>
        <v>379.09900802426239</v>
      </c>
      <c r="AD1948" s="62"/>
      <c r="AE1948" s="62">
        <f t="shared" si="203"/>
        <v>486248.79178115848</v>
      </c>
      <c r="AF1948" s="64" t="s">
        <v>4947</v>
      </c>
      <c r="AG1948" s="49">
        <v>0.56999999999999995</v>
      </c>
    </row>
    <row r="1949" spans="1:33" customFormat="1" ht="35.1" customHeight="1" x14ac:dyDescent="0.3">
      <c r="A1949" s="46">
        <v>2503</v>
      </c>
      <c r="B1949" s="46" t="s">
        <v>4948</v>
      </c>
      <c r="C1949" s="46" t="s">
        <v>59</v>
      </c>
      <c r="D1949" s="60">
        <v>2023</v>
      </c>
      <c r="E1949" s="60"/>
      <c r="F1949" s="46" t="s">
        <v>226</v>
      </c>
      <c r="G1949" s="46" t="s">
        <v>3</v>
      </c>
      <c r="H1949" s="46"/>
      <c r="I1949" s="46" t="s">
        <v>169</v>
      </c>
      <c r="J1949" s="46" t="s">
        <v>244</v>
      </c>
      <c r="K1949" s="46" t="s">
        <v>72</v>
      </c>
      <c r="L1949" s="46"/>
      <c r="M1949" s="46"/>
      <c r="N1949" s="46"/>
      <c r="O1949" s="46"/>
      <c r="P1949" s="46"/>
      <c r="Q1949" s="46"/>
      <c r="R1949" s="46"/>
      <c r="S1949" s="46"/>
      <c r="T1949" s="46"/>
      <c r="U1949" s="46"/>
      <c r="V1949" s="46"/>
      <c r="W1949" s="46"/>
      <c r="X1949" s="46">
        <v>1</v>
      </c>
      <c r="Y1949" s="46"/>
      <c r="Z1949" s="46" t="s">
        <v>1624</v>
      </c>
      <c r="AA1949" s="61">
        <v>0.5</v>
      </c>
      <c r="AB1949" s="62">
        <f>IF(OR(G1949="ALK",G1949="PEM",G1949="SOEC",G1949="Other Electrolysis"),
AA1949/VLOOKUP(G1949,ElectrolysisConvF,3,FALSE),
AC1949*10^6/(H2dens*HoursInYear))</f>
        <v>108.69565217391305</v>
      </c>
      <c r="AC1949" s="63">
        <f>AB1949*H2dens*HoursInYear/10^6</f>
        <v>8.4743478260869559E-2</v>
      </c>
      <c r="AD1949" s="62"/>
      <c r="AE1949" s="62">
        <f t="shared" si="203"/>
        <v>108.69565217391305</v>
      </c>
      <c r="AF1949" s="64" t="s">
        <v>4949</v>
      </c>
      <c r="AG1949" s="49">
        <v>0.3</v>
      </c>
    </row>
    <row r="1950" spans="1:33" customFormat="1" ht="35.1" customHeight="1" x14ac:dyDescent="0.3">
      <c r="A1950" s="46">
        <v>2504</v>
      </c>
      <c r="B1950" s="46" t="s">
        <v>4950</v>
      </c>
      <c r="C1950" s="46" t="s">
        <v>63</v>
      </c>
      <c r="D1950" s="60">
        <v>2030</v>
      </c>
      <c r="E1950" s="60"/>
      <c r="F1950" s="46" t="s">
        <v>591</v>
      </c>
      <c r="G1950" s="46" t="s">
        <v>4951</v>
      </c>
      <c r="H1950" s="46"/>
      <c r="I1950" s="46" t="s">
        <v>166</v>
      </c>
      <c r="J1950" s="46"/>
      <c r="K1950" s="46" t="s">
        <v>68</v>
      </c>
      <c r="L1950" s="46"/>
      <c r="M1950" s="46"/>
      <c r="N1950" s="46"/>
      <c r="O1950" s="46">
        <v>1</v>
      </c>
      <c r="P1950" s="46"/>
      <c r="Q1950" s="46"/>
      <c r="R1950" s="46"/>
      <c r="S1950" s="46"/>
      <c r="T1950" s="46"/>
      <c r="U1950" s="46"/>
      <c r="V1950" s="46"/>
      <c r="W1950" s="46"/>
      <c r="X1950" s="46"/>
      <c r="Y1950" s="46"/>
      <c r="Z1950" s="46" t="s">
        <v>4952</v>
      </c>
      <c r="AA1950" s="63">
        <v>500</v>
      </c>
      <c r="AB1950" s="62">
        <f>IF(OR(G1950="ALK",G1950="PEM",G1950="SOEC",G1950="Other Electrolysis"),
AA1950/VLOOKUP(G1950,ElectrolysisConvF,3,FALSE),
AC1950*10^6/(H2dens*HoursInYear))</f>
        <v>111111.11111111112</v>
      </c>
      <c r="AC1950" s="63">
        <f>AB1950*H2dens*HoursInYear/10^6</f>
        <v>86.626666666666665</v>
      </c>
      <c r="AD1950" s="62"/>
      <c r="AE1950" s="62">
        <f t="shared" si="203"/>
        <v>111111.11111111112</v>
      </c>
      <c r="AF1950" s="64" t="s">
        <v>4953</v>
      </c>
      <c r="AG1950" s="49">
        <v>0.56999999999999995</v>
      </c>
    </row>
    <row r="1951" spans="1:33" customFormat="1" ht="35.1" customHeight="1" x14ac:dyDescent="0.3">
      <c r="A1951" s="46">
        <v>2505</v>
      </c>
      <c r="B1951" s="46" t="s">
        <v>2008</v>
      </c>
      <c r="C1951" s="46" t="s">
        <v>63</v>
      </c>
      <c r="D1951" s="60">
        <v>2030</v>
      </c>
      <c r="E1951" s="60"/>
      <c r="F1951" s="46" t="s">
        <v>591</v>
      </c>
      <c r="G1951" s="46" t="s">
        <v>159</v>
      </c>
      <c r="H1951" s="46" t="s">
        <v>592</v>
      </c>
      <c r="I1951" s="46" t="s">
        <v>169</v>
      </c>
      <c r="J1951" s="46" t="s">
        <v>247</v>
      </c>
      <c r="K1951" s="46" t="s">
        <v>68</v>
      </c>
      <c r="L1951" s="46"/>
      <c r="M1951" s="46"/>
      <c r="N1951" s="46"/>
      <c r="O1951" s="46">
        <v>1</v>
      </c>
      <c r="P1951" s="46"/>
      <c r="Q1951" s="46"/>
      <c r="R1951" s="46"/>
      <c r="S1951" s="46"/>
      <c r="T1951" s="46"/>
      <c r="U1951" s="46"/>
      <c r="V1951" s="46"/>
      <c r="W1951" s="46"/>
      <c r="X1951" s="46"/>
      <c r="Y1951" s="46"/>
      <c r="Z1951" s="46" t="s">
        <v>4954</v>
      </c>
      <c r="AA1951" s="61">
        <v>800</v>
      </c>
      <c r="AB1951" s="62">
        <f>IF(OR(G1951="ALK",G1951="PEM",G1951="SOEC",G1951="Other Electrolysis"),
AA1951/VLOOKUP(G1951,ElectrolysisConvF,3,FALSE),
AC1951*10^6/(H2dens*HoursInYear))</f>
        <v>177777.77777777778</v>
      </c>
      <c r="AC1951" s="63">
        <f>AB1951*H2dens*HoursInYear/10^6</f>
        <v>138.60266666666666</v>
      </c>
      <c r="AD1951" s="62"/>
      <c r="AE1951" s="62">
        <f t="shared" si="203"/>
        <v>177777.77777777778</v>
      </c>
      <c r="AF1951" s="64" t="s">
        <v>4955</v>
      </c>
      <c r="AG1951" s="49">
        <v>0.8</v>
      </c>
    </row>
    <row r="1952" spans="1:33" customFormat="1" ht="35.1" customHeight="1" x14ac:dyDescent="0.3">
      <c r="A1952" s="46">
        <v>2506</v>
      </c>
      <c r="B1952" s="46" t="s">
        <v>4956</v>
      </c>
      <c r="C1952" s="46" t="s">
        <v>39</v>
      </c>
      <c r="D1952" s="60">
        <v>2028</v>
      </c>
      <c r="E1952" s="60"/>
      <c r="F1952" s="46" t="s">
        <v>225</v>
      </c>
      <c r="G1952" s="46" t="s">
        <v>159</v>
      </c>
      <c r="H1952" s="46" t="s">
        <v>592</v>
      </c>
      <c r="I1952" s="46" t="s">
        <v>169</v>
      </c>
      <c r="J1952" s="46" t="s">
        <v>248</v>
      </c>
      <c r="K1952" s="46" t="s">
        <v>141</v>
      </c>
      <c r="L1952" s="46"/>
      <c r="M1952" s="46">
        <v>1</v>
      </c>
      <c r="N1952" s="46"/>
      <c r="O1952" s="46"/>
      <c r="P1952" s="46"/>
      <c r="Q1952" s="46"/>
      <c r="R1952" s="46"/>
      <c r="S1952" s="46"/>
      <c r="T1952" s="46"/>
      <c r="U1952" s="46">
        <v>1</v>
      </c>
      <c r="V1952" s="46"/>
      <c r="W1952" s="46"/>
      <c r="X1952" s="46"/>
      <c r="Y1952" s="46"/>
      <c r="Z1952" s="46" t="s">
        <v>4957</v>
      </c>
      <c r="AA1952" s="61">
        <f>IF(OR(G1952="ALK",G1952="PEM",G1952="SOEC",G1952="Other Electrolysis"),
AB1952*VLOOKUP(G1952,ElectrolysisConvF,3,FALSE),
"")</f>
        <v>259.83919810805651</v>
      </c>
      <c r="AB1952" s="62">
        <f>AC1952/(H2dens*HoursInYear/10^6)</f>
        <v>57742.044024012561</v>
      </c>
      <c r="AC1952" s="62">
        <f>250*3/17/0.98</f>
        <v>45.018007202881151</v>
      </c>
      <c r="AD1952" s="62"/>
      <c r="AE1952" s="62">
        <f t="shared" si="203"/>
        <v>57742.044024012561</v>
      </c>
      <c r="AF1952" s="64" t="s">
        <v>4958</v>
      </c>
      <c r="AG1952" s="49">
        <v>0.5</v>
      </c>
    </row>
    <row r="1953" spans="1:33" customFormat="1" ht="35.1" customHeight="1" x14ac:dyDescent="0.3">
      <c r="A1953" s="46">
        <v>2507</v>
      </c>
      <c r="B1953" s="46" t="s">
        <v>4959</v>
      </c>
      <c r="C1953" s="46" t="s">
        <v>39</v>
      </c>
      <c r="D1953" s="60">
        <v>2028</v>
      </c>
      <c r="E1953" s="60"/>
      <c r="F1953" s="46" t="s">
        <v>591</v>
      </c>
      <c r="G1953" s="46" t="s">
        <v>159</v>
      </c>
      <c r="H1953" s="46" t="s">
        <v>592</v>
      </c>
      <c r="I1953" s="46" t="s">
        <v>169</v>
      </c>
      <c r="J1953" s="46" t="s">
        <v>69</v>
      </c>
      <c r="K1953" s="46" t="s">
        <v>141</v>
      </c>
      <c r="L1953" s="46"/>
      <c r="M1953" s="46">
        <v>1</v>
      </c>
      <c r="N1953" s="46"/>
      <c r="O1953" s="46"/>
      <c r="P1953" s="46"/>
      <c r="Q1953" s="46"/>
      <c r="R1953" s="46"/>
      <c r="S1953" s="46"/>
      <c r="T1953" s="46"/>
      <c r="U1953" s="46"/>
      <c r="V1953" s="46"/>
      <c r="W1953" s="46"/>
      <c r="X1953" s="46"/>
      <c r="Y1953" s="46"/>
      <c r="Z1953" s="46" t="s">
        <v>4044</v>
      </c>
      <c r="AA1953" s="61">
        <v>5000</v>
      </c>
      <c r="AB1953" s="62">
        <f>IF(OR(G1953="ALK",G1953="PEM",G1953="SOEC",G1953="Other Electrolysis"),
AA1953/VLOOKUP(G1953,ElectrolysisConvF,3,FALSE),
AC1953*10^6/(H2dens*HoursInYear))</f>
        <v>1111111.1111111112</v>
      </c>
      <c r="AC1953" s="63">
        <f>AB1953*H2dens*HoursInYear/10^6</f>
        <v>866.26666666666665</v>
      </c>
      <c r="AD1953" s="62"/>
      <c r="AE1953" s="62">
        <f t="shared" si="203"/>
        <v>1111111.1111111112</v>
      </c>
      <c r="AF1953" s="64" t="s">
        <v>4960</v>
      </c>
      <c r="AG1953" s="49">
        <v>0.5</v>
      </c>
    </row>
    <row r="1954" spans="1:33" customFormat="1" ht="35.1" customHeight="1" x14ac:dyDescent="0.3">
      <c r="A1954" s="46">
        <v>2508</v>
      </c>
      <c r="B1954" s="46" t="s">
        <v>4961</v>
      </c>
      <c r="C1954" s="46" t="s">
        <v>105</v>
      </c>
      <c r="D1954" s="60"/>
      <c r="E1954" s="60"/>
      <c r="F1954" s="46" t="s">
        <v>591</v>
      </c>
      <c r="G1954" s="46" t="s">
        <v>159</v>
      </c>
      <c r="H1954" s="46" t="s">
        <v>592</v>
      </c>
      <c r="I1954" s="46" t="s">
        <v>157</v>
      </c>
      <c r="J1954" s="46" t="s">
        <v>69</v>
      </c>
      <c r="K1954" s="46" t="s">
        <v>68</v>
      </c>
      <c r="L1954" s="46"/>
      <c r="M1954" s="46"/>
      <c r="N1954" s="46"/>
      <c r="O1954" s="46"/>
      <c r="P1954" s="46"/>
      <c r="Q1954" s="46"/>
      <c r="R1954" s="46"/>
      <c r="S1954" s="46"/>
      <c r="T1954" s="46"/>
      <c r="U1954" s="46"/>
      <c r="V1954" s="46"/>
      <c r="W1954" s="46"/>
      <c r="X1954" s="46"/>
      <c r="Y1954" s="46"/>
      <c r="Z1954" s="46"/>
      <c r="AA1954" s="61">
        <f>IF(OR(G1954="ALK",G1954="PEM",G1954="SOEC",G1954="Other Electrolysis"),
AB1954*VLOOKUP(G1954,ElectrolysisConvF,3,FALSE),
"")</f>
        <v>0</v>
      </c>
      <c r="AB1954" s="62"/>
      <c r="AC1954" s="62"/>
      <c r="AD1954" s="62"/>
      <c r="AE1954" s="62">
        <f t="shared" si="203"/>
        <v>0</v>
      </c>
      <c r="AF1954" s="64" t="s">
        <v>4962</v>
      </c>
      <c r="AG1954" s="49">
        <v>0.56999999999999995</v>
      </c>
    </row>
    <row r="1955" spans="1:33" customFormat="1" ht="35.1" customHeight="1" x14ac:dyDescent="0.3">
      <c r="A1955" s="46">
        <v>2509</v>
      </c>
      <c r="B1955" s="46" t="s">
        <v>4963</v>
      </c>
      <c r="C1955" s="46" t="s">
        <v>74</v>
      </c>
      <c r="D1955" s="60"/>
      <c r="E1955" s="60"/>
      <c r="F1955" s="46" t="s">
        <v>591</v>
      </c>
      <c r="G1955" s="46" t="s">
        <v>159</v>
      </c>
      <c r="H1955" s="46" t="s">
        <v>592</v>
      </c>
      <c r="I1955" s="46" t="s">
        <v>169</v>
      </c>
      <c r="J1955" s="46" t="s">
        <v>69</v>
      </c>
      <c r="K1955" s="46" t="s">
        <v>68</v>
      </c>
      <c r="L1955" s="46"/>
      <c r="M1955" s="46"/>
      <c r="N1955" s="46"/>
      <c r="O1955" s="46"/>
      <c r="P1955" s="46"/>
      <c r="Q1955" s="46"/>
      <c r="R1955" s="46"/>
      <c r="S1955" s="46"/>
      <c r="T1955" s="46"/>
      <c r="U1955" s="46"/>
      <c r="V1955" s="46"/>
      <c r="W1955" s="46"/>
      <c r="X1955" s="46"/>
      <c r="Y1955" s="46"/>
      <c r="Z1955" s="46" t="s">
        <v>3587</v>
      </c>
      <c r="AA1955" s="61">
        <f>IF(OR(G1955="ALK",G1955="PEM",G1955="SOEC",G1955="Other Electrolysis"),
AB1955*VLOOKUP(G1955,ElectrolysisConvF,3,FALSE),
"")</f>
        <v>1154.3789441280592</v>
      </c>
      <c r="AB1955" s="62">
        <f>AC1955/(H2dens*HoursInYear/10^6)</f>
        <v>256528.65425067983</v>
      </c>
      <c r="AC1955" s="62">
        <v>200</v>
      </c>
      <c r="AD1955" s="62"/>
      <c r="AE1955" s="62">
        <f t="shared" si="203"/>
        <v>256528.65425067983</v>
      </c>
      <c r="AF1955" s="64" t="s">
        <v>4964</v>
      </c>
      <c r="AG1955" s="49">
        <v>0.5</v>
      </c>
    </row>
    <row r="1956" spans="1:33" customFormat="1" ht="35.1" customHeight="1" x14ac:dyDescent="0.3">
      <c r="A1956" s="46">
        <v>2510</v>
      </c>
      <c r="B1956" s="46" t="s">
        <v>4965</v>
      </c>
      <c r="C1956" s="46" t="s">
        <v>533</v>
      </c>
      <c r="D1956" s="60"/>
      <c r="E1956" s="60"/>
      <c r="F1956" s="46" t="s">
        <v>591</v>
      </c>
      <c r="G1956" s="46" t="s">
        <v>159</v>
      </c>
      <c r="H1956" s="46" t="s">
        <v>592</v>
      </c>
      <c r="I1956" s="46" t="s">
        <v>169</v>
      </c>
      <c r="J1956" s="46" t="s">
        <v>69</v>
      </c>
      <c r="K1956" s="46" t="s">
        <v>141</v>
      </c>
      <c r="L1956" s="46"/>
      <c r="M1956" s="46">
        <v>1</v>
      </c>
      <c r="N1956" s="46"/>
      <c r="O1956" s="46"/>
      <c r="P1956" s="46"/>
      <c r="Q1956" s="46"/>
      <c r="R1956" s="46"/>
      <c r="S1956" s="46"/>
      <c r="T1956" s="46"/>
      <c r="U1956" s="46"/>
      <c r="V1956" s="46"/>
      <c r="W1956" s="46"/>
      <c r="X1956" s="46"/>
      <c r="Y1956" s="46"/>
      <c r="Z1956" s="46" t="s">
        <v>4966</v>
      </c>
      <c r="AA1956" s="61">
        <v>1000</v>
      </c>
      <c r="AB1956" s="62">
        <f t="shared" ref="AB1956:AB1962" si="206">IF(OR(G1956="ALK",G1956="PEM",G1956="SOEC",G1956="Other Electrolysis"),
AA1956/VLOOKUP(G1956,ElectrolysisConvF,3,FALSE),
AC1956*10^6/(H2dens*HoursInYear))</f>
        <v>222222.22222222225</v>
      </c>
      <c r="AC1956" s="62">
        <f t="shared" ref="AC1956:AC1962" si="207">AB1956*H2dens*HoursInYear/10^6</f>
        <v>173.25333333333333</v>
      </c>
      <c r="AD1956" s="62"/>
      <c r="AE1956" s="62">
        <f t="shared" ref="AE1956:AE1996" si="208">IF(AND(G1956&lt;&gt;"NG w CCUS",G1956&lt;&gt;"Oil w CCUS",G1956&lt;&gt;"Coal w CCUS"),AB1956,AD1956*10^3/(HoursInYear*IF(G1956="NG w CCUS",0.9105,1.9075)))</f>
        <v>222222.22222222225</v>
      </c>
      <c r="AF1956" s="64" t="s">
        <v>4967</v>
      </c>
      <c r="AG1956" s="49">
        <v>0.5</v>
      </c>
    </row>
    <row r="1957" spans="1:33" customFormat="1" ht="35.1" customHeight="1" x14ac:dyDescent="0.3">
      <c r="A1957" s="46">
        <v>2511</v>
      </c>
      <c r="B1957" s="46" t="s">
        <v>4968</v>
      </c>
      <c r="C1957" s="46" t="s">
        <v>497</v>
      </c>
      <c r="D1957" s="60"/>
      <c r="E1957" s="60"/>
      <c r="F1957" s="46" t="s">
        <v>591</v>
      </c>
      <c r="G1957" s="46" t="s">
        <v>159</v>
      </c>
      <c r="H1957" s="46" t="s">
        <v>592</v>
      </c>
      <c r="I1957" s="46" t="s">
        <v>169</v>
      </c>
      <c r="J1957" s="46" t="s">
        <v>69</v>
      </c>
      <c r="K1957" s="46" t="s">
        <v>68</v>
      </c>
      <c r="L1957" s="46"/>
      <c r="M1957" s="46"/>
      <c r="N1957" s="46"/>
      <c r="O1957" s="46"/>
      <c r="P1957" s="46"/>
      <c r="Q1957" s="46"/>
      <c r="R1957" s="46"/>
      <c r="S1957" s="46"/>
      <c r="T1957" s="46"/>
      <c r="U1957" s="46"/>
      <c r="V1957" s="46"/>
      <c r="W1957" s="46"/>
      <c r="X1957" s="46"/>
      <c r="Y1957" s="46"/>
      <c r="Z1957" s="46" t="s">
        <v>2826</v>
      </c>
      <c r="AA1957" s="61">
        <v>1000</v>
      </c>
      <c r="AB1957" s="62">
        <f t="shared" si="206"/>
        <v>222222.22222222225</v>
      </c>
      <c r="AC1957" s="62">
        <f t="shared" si="207"/>
        <v>173.25333333333333</v>
      </c>
      <c r="AD1957" s="62"/>
      <c r="AE1957" s="62">
        <f t="shared" si="208"/>
        <v>222222.22222222225</v>
      </c>
      <c r="AF1957" s="64" t="s">
        <v>4967</v>
      </c>
      <c r="AG1957" s="49">
        <v>0.5</v>
      </c>
    </row>
    <row r="1958" spans="1:33" customFormat="1" ht="35.1" customHeight="1" x14ac:dyDescent="0.3">
      <c r="A1958" s="46">
        <v>2512</v>
      </c>
      <c r="B1958" s="46" t="s">
        <v>4969</v>
      </c>
      <c r="C1958" s="46" t="s">
        <v>34</v>
      </c>
      <c r="D1958" s="60">
        <v>2028</v>
      </c>
      <c r="E1958" s="60"/>
      <c r="F1958" s="46" t="s">
        <v>225</v>
      </c>
      <c r="G1958" s="46" t="s">
        <v>159</v>
      </c>
      <c r="H1958" s="46" t="s">
        <v>592</v>
      </c>
      <c r="I1958" s="46" t="s">
        <v>157</v>
      </c>
      <c r="J1958" s="46" t="s">
        <v>69</v>
      </c>
      <c r="K1958" s="46" t="s">
        <v>167</v>
      </c>
      <c r="L1958" s="46"/>
      <c r="M1958" s="46"/>
      <c r="N1958" s="46"/>
      <c r="O1958" s="46"/>
      <c r="P1958" s="46"/>
      <c r="Q1958" s="46">
        <v>1</v>
      </c>
      <c r="R1958" s="46"/>
      <c r="S1958" s="46"/>
      <c r="T1958" s="46"/>
      <c r="U1958" s="46"/>
      <c r="V1958" s="46"/>
      <c r="W1958" s="46">
        <v>1</v>
      </c>
      <c r="X1958" s="46"/>
      <c r="Y1958" s="46"/>
      <c r="Z1958" s="46" t="s">
        <v>4970</v>
      </c>
      <c r="AA1958" s="61">
        <v>250</v>
      </c>
      <c r="AB1958" s="62">
        <f t="shared" si="206"/>
        <v>55555.555555555562</v>
      </c>
      <c r="AC1958" s="63">
        <f t="shared" si="207"/>
        <v>43.313333333333333</v>
      </c>
      <c r="AD1958" s="62"/>
      <c r="AE1958" s="62">
        <f t="shared" si="208"/>
        <v>55555.555555555562</v>
      </c>
      <c r="AF1958" s="64" t="s">
        <v>4971</v>
      </c>
      <c r="AG1958" s="49">
        <v>0.56999999999999995</v>
      </c>
    </row>
    <row r="1959" spans="1:33" customFormat="1" ht="35.1" customHeight="1" x14ac:dyDescent="0.3">
      <c r="A1959" s="46">
        <v>2513</v>
      </c>
      <c r="B1959" s="46" t="s">
        <v>4972</v>
      </c>
      <c r="C1959" s="46" t="s">
        <v>75</v>
      </c>
      <c r="D1959" s="60"/>
      <c r="E1959" s="60"/>
      <c r="F1959" s="46" t="s">
        <v>591</v>
      </c>
      <c r="G1959" s="46" t="s">
        <v>159</v>
      </c>
      <c r="H1959" s="46" t="s">
        <v>592</v>
      </c>
      <c r="I1959" s="46" t="s">
        <v>169</v>
      </c>
      <c r="J1959" s="46" t="s">
        <v>69</v>
      </c>
      <c r="K1959" s="46" t="s">
        <v>167</v>
      </c>
      <c r="L1959" s="46"/>
      <c r="M1959" s="46"/>
      <c r="N1959" s="46"/>
      <c r="O1959" s="46"/>
      <c r="P1959" s="46"/>
      <c r="Q1959" s="46">
        <v>1</v>
      </c>
      <c r="R1959" s="46"/>
      <c r="S1959" s="46"/>
      <c r="T1959" s="46"/>
      <c r="U1959" s="46"/>
      <c r="V1959" s="46"/>
      <c r="W1959" s="46">
        <v>1</v>
      </c>
      <c r="X1959" s="46"/>
      <c r="Y1959" s="46"/>
      <c r="Z1959" s="46" t="s">
        <v>4973</v>
      </c>
      <c r="AA1959" s="61">
        <v>1000</v>
      </c>
      <c r="AB1959" s="62">
        <f t="shared" si="206"/>
        <v>222222.22222222225</v>
      </c>
      <c r="AC1959" s="63">
        <f t="shared" si="207"/>
        <v>173.25333333333333</v>
      </c>
      <c r="AD1959" s="62"/>
      <c r="AE1959" s="62">
        <f t="shared" si="208"/>
        <v>222222.22222222225</v>
      </c>
      <c r="AF1959" s="64" t="s">
        <v>4974</v>
      </c>
      <c r="AG1959" s="49">
        <v>0.5</v>
      </c>
    </row>
    <row r="1960" spans="1:33" customFormat="1" ht="35.1" customHeight="1" x14ac:dyDescent="0.3">
      <c r="A1960" s="46">
        <v>2514</v>
      </c>
      <c r="B1960" s="46" t="s">
        <v>4975</v>
      </c>
      <c r="C1960" s="46" t="s">
        <v>203</v>
      </c>
      <c r="D1960" s="60">
        <v>2026</v>
      </c>
      <c r="E1960" s="60"/>
      <c r="F1960" s="46" t="s">
        <v>225</v>
      </c>
      <c r="G1960" s="46" t="s">
        <v>159</v>
      </c>
      <c r="H1960" s="46" t="s">
        <v>592</v>
      </c>
      <c r="I1960" s="46" t="s">
        <v>157</v>
      </c>
      <c r="J1960" s="46" t="s">
        <v>69</v>
      </c>
      <c r="K1960" s="46" t="s">
        <v>68</v>
      </c>
      <c r="L1960" s="46"/>
      <c r="M1960" s="46"/>
      <c r="N1960" s="46"/>
      <c r="O1960" s="46"/>
      <c r="P1960" s="46"/>
      <c r="Q1960" s="46"/>
      <c r="R1960" s="46"/>
      <c r="S1960" s="46"/>
      <c r="T1960" s="46"/>
      <c r="U1960" s="46"/>
      <c r="V1960" s="46"/>
      <c r="W1960" s="46"/>
      <c r="X1960" s="46"/>
      <c r="Y1960" s="46"/>
      <c r="Z1960" s="46" t="s">
        <v>2242</v>
      </c>
      <c r="AA1960" s="61">
        <v>90</v>
      </c>
      <c r="AB1960" s="62">
        <f t="shared" si="206"/>
        <v>20000</v>
      </c>
      <c r="AC1960" s="63">
        <f t="shared" si="207"/>
        <v>15.5928</v>
      </c>
      <c r="AD1960" s="62"/>
      <c r="AE1960" s="62">
        <f t="shared" si="208"/>
        <v>20000</v>
      </c>
      <c r="AF1960" s="64" t="s">
        <v>4976</v>
      </c>
      <c r="AG1960" s="49">
        <v>0.56999999999999995</v>
      </c>
    </row>
    <row r="1961" spans="1:33" customFormat="1" ht="35.1" customHeight="1" x14ac:dyDescent="0.3">
      <c r="A1961" s="46">
        <v>2515</v>
      </c>
      <c r="B1961" s="46" t="s">
        <v>4977</v>
      </c>
      <c r="C1961" s="46" t="s">
        <v>39</v>
      </c>
      <c r="D1961" s="60">
        <v>2024</v>
      </c>
      <c r="E1961" s="60"/>
      <c r="F1961" s="46" t="s">
        <v>675</v>
      </c>
      <c r="G1961" s="46" t="s">
        <v>159</v>
      </c>
      <c r="H1961" s="46" t="s">
        <v>592</v>
      </c>
      <c r="I1961" s="46" t="s">
        <v>169</v>
      </c>
      <c r="J1961" s="46" t="s">
        <v>244</v>
      </c>
      <c r="K1961" s="46" t="s">
        <v>68</v>
      </c>
      <c r="L1961" s="46"/>
      <c r="M1961" s="46"/>
      <c r="N1961" s="46"/>
      <c r="O1961" s="46"/>
      <c r="P1961" s="46"/>
      <c r="Q1961" s="46"/>
      <c r="R1961" s="46"/>
      <c r="S1961" s="46"/>
      <c r="T1961" s="46"/>
      <c r="U1961" s="46"/>
      <c r="V1961" s="46"/>
      <c r="W1961" s="46"/>
      <c r="X1961" s="46"/>
      <c r="Y1961" s="46"/>
      <c r="Z1961" s="46" t="s">
        <v>3023</v>
      </c>
      <c r="AA1961" s="61">
        <v>12</v>
      </c>
      <c r="AB1961" s="62">
        <f t="shared" si="206"/>
        <v>2666.666666666667</v>
      </c>
      <c r="AC1961" s="63">
        <f t="shared" si="207"/>
        <v>2.07904</v>
      </c>
      <c r="AD1961" s="62"/>
      <c r="AE1961" s="62">
        <f t="shared" si="208"/>
        <v>2666.666666666667</v>
      </c>
      <c r="AF1961" s="64" t="s">
        <v>4978</v>
      </c>
      <c r="AG1961" s="49">
        <v>0.3</v>
      </c>
    </row>
    <row r="1962" spans="1:33" customFormat="1" ht="35.1" customHeight="1" x14ac:dyDescent="0.3">
      <c r="A1962" s="46">
        <v>2516</v>
      </c>
      <c r="B1962" s="46" t="s">
        <v>4979</v>
      </c>
      <c r="C1962" s="46" t="s">
        <v>203</v>
      </c>
      <c r="D1962" s="60">
        <v>2030</v>
      </c>
      <c r="E1962" s="60"/>
      <c r="F1962" s="46" t="s">
        <v>591</v>
      </c>
      <c r="G1962" s="46" t="s">
        <v>159</v>
      </c>
      <c r="H1962" s="46" t="s">
        <v>592</v>
      </c>
      <c r="I1962" s="46" t="s">
        <v>157</v>
      </c>
      <c r="J1962" s="46" t="s">
        <v>69</v>
      </c>
      <c r="K1962" s="46" t="s">
        <v>167</v>
      </c>
      <c r="L1962" s="46"/>
      <c r="M1962" s="46"/>
      <c r="N1962" s="46"/>
      <c r="O1962" s="46"/>
      <c r="P1962" s="46"/>
      <c r="Q1962" s="46"/>
      <c r="R1962" s="46"/>
      <c r="S1962" s="46"/>
      <c r="T1962" s="46"/>
      <c r="U1962" s="46"/>
      <c r="V1962" s="46"/>
      <c r="W1962" s="46">
        <v>1</v>
      </c>
      <c r="X1962" s="46"/>
      <c r="Y1962" s="46"/>
      <c r="Z1962" s="46" t="s">
        <v>4980</v>
      </c>
      <c r="AA1962" s="61">
        <v>1000</v>
      </c>
      <c r="AB1962" s="62">
        <f t="shared" si="206"/>
        <v>222222.22222222225</v>
      </c>
      <c r="AC1962" s="63">
        <f t="shared" si="207"/>
        <v>173.25333333333333</v>
      </c>
      <c r="AD1962" s="62"/>
      <c r="AE1962" s="62">
        <f t="shared" si="208"/>
        <v>222222.22222222225</v>
      </c>
      <c r="AF1962" s="64" t="s">
        <v>4981</v>
      </c>
      <c r="AG1962" s="49">
        <v>0.56999999999999995</v>
      </c>
    </row>
    <row r="1963" spans="1:33" customFormat="1" ht="35.1" customHeight="1" x14ac:dyDescent="0.3">
      <c r="A1963" s="46">
        <v>2517</v>
      </c>
      <c r="B1963" s="46" t="s">
        <v>4982</v>
      </c>
      <c r="C1963" s="46" t="s">
        <v>43</v>
      </c>
      <c r="D1963" s="60"/>
      <c r="E1963" s="60"/>
      <c r="F1963" s="46" t="s">
        <v>591</v>
      </c>
      <c r="G1963" s="46" t="s">
        <v>159</v>
      </c>
      <c r="H1963" s="46" t="s">
        <v>592</v>
      </c>
      <c r="I1963" s="46" t="s">
        <v>169</v>
      </c>
      <c r="J1963" s="46" t="s">
        <v>69</v>
      </c>
      <c r="K1963" s="46" t="s">
        <v>141</v>
      </c>
      <c r="L1963" s="46"/>
      <c r="M1963" s="46">
        <v>1</v>
      </c>
      <c r="N1963" s="46"/>
      <c r="O1963" s="46"/>
      <c r="P1963" s="46"/>
      <c r="Q1963" s="46"/>
      <c r="R1963" s="46"/>
      <c r="S1963" s="46"/>
      <c r="T1963" s="46"/>
      <c r="U1963" s="46"/>
      <c r="V1963" s="46"/>
      <c r="W1963" s="46"/>
      <c r="X1963" s="46"/>
      <c r="Y1963" s="46"/>
      <c r="Z1963" s="46" t="s">
        <v>3802</v>
      </c>
      <c r="AA1963" s="63">
        <f>IF(OR(G1963="ALK",G1963="PEM",G1963="SOEC",G1963="Other Electrolysis"),
AB1963*VLOOKUP(G1963,ElectrolysisConvF,3,FALSE),
"")</f>
        <v>1039.356792432226</v>
      </c>
      <c r="AB1963" s="62">
        <f>AC1963/(H2dens*HoursInYear/10^6)</f>
        <v>230968.17609605024</v>
      </c>
      <c r="AC1963" s="62">
        <f>(500*3/17/0.98)/H2ProjectDB4578610[[#This Row],[Column33]]</f>
        <v>180.0720288115246</v>
      </c>
      <c r="AD1963" s="62"/>
      <c r="AE1963" s="62">
        <f t="shared" si="208"/>
        <v>230968.17609605024</v>
      </c>
      <c r="AF1963" s="64" t="s">
        <v>4983</v>
      </c>
      <c r="AG1963" s="49">
        <v>0.5</v>
      </c>
    </row>
    <row r="1964" spans="1:33" customFormat="1" ht="35.1" customHeight="1" x14ac:dyDescent="0.3">
      <c r="A1964" s="46">
        <v>2518</v>
      </c>
      <c r="B1964" s="46" t="s">
        <v>4984</v>
      </c>
      <c r="C1964" s="46" t="s">
        <v>100</v>
      </c>
      <c r="D1964" s="60">
        <v>2027</v>
      </c>
      <c r="E1964" s="60"/>
      <c r="F1964" s="46" t="s">
        <v>225</v>
      </c>
      <c r="G1964" s="46" t="s">
        <v>159</v>
      </c>
      <c r="H1964" s="46" t="s">
        <v>592</v>
      </c>
      <c r="I1964" s="46" t="s">
        <v>169</v>
      </c>
      <c r="J1964" s="46" t="s">
        <v>69</v>
      </c>
      <c r="K1964" s="46" t="s">
        <v>141</v>
      </c>
      <c r="L1964" s="46"/>
      <c r="M1964" s="46">
        <v>1</v>
      </c>
      <c r="N1964" s="46"/>
      <c r="O1964" s="46"/>
      <c r="P1964" s="46"/>
      <c r="Q1964" s="46"/>
      <c r="R1964" s="46"/>
      <c r="S1964" s="46"/>
      <c r="T1964" s="46"/>
      <c r="U1964" s="46"/>
      <c r="V1964" s="46"/>
      <c r="W1964" s="46"/>
      <c r="X1964" s="46"/>
      <c r="Y1964" s="46"/>
      <c r="Z1964" s="46" t="s">
        <v>4985</v>
      </c>
      <c r="AA1964" s="63">
        <f>IF(OR(G1964="ALK",G1964="PEM",G1964="SOEC",G1964="Other Electrolysis"),
AB1964*VLOOKUP(G1964,ElectrolysisConvF,3,FALSE),
"")</f>
        <v>173.15684161920888</v>
      </c>
      <c r="AB1964" s="62">
        <f>AC1964/(H2dens*HoursInYear/10^6)</f>
        <v>38479.298137601974</v>
      </c>
      <c r="AC1964" s="62">
        <v>30</v>
      </c>
      <c r="AD1964" s="62"/>
      <c r="AE1964" s="62">
        <f t="shared" si="208"/>
        <v>38479.298137601974</v>
      </c>
      <c r="AF1964" s="64" t="s">
        <v>4986</v>
      </c>
      <c r="AG1964" s="49">
        <v>0.5</v>
      </c>
    </row>
    <row r="1965" spans="1:33" customFormat="1" ht="35.1" customHeight="1" x14ac:dyDescent="0.3">
      <c r="A1965" s="46">
        <v>2519</v>
      </c>
      <c r="B1965" s="46" t="s">
        <v>4987</v>
      </c>
      <c r="C1965" s="75" t="s">
        <v>40</v>
      </c>
      <c r="D1965" s="74">
        <v>2027</v>
      </c>
      <c r="E1965" s="60"/>
      <c r="F1965" s="75" t="s">
        <v>591</v>
      </c>
      <c r="G1965" s="75" t="s">
        <v>159</v>
      </c>
      <c r="H1965" s="75" t="s">
        <v>592</v>
      </c>
      <c r="I1965" s="75" t="s">
        <v>169</v>
      </c>
      <c r="J1965" s="75" t="s">
        <v>248</v>
      </c>
      <c r="K1965" s="75" t="s">
        <v>68</v>
      </c>
      <c r="L1965" s="46"/>
      <c r="M1965" s="46"/>
      <c r="N1965" s="46"/>
      <c r="O1965" s="46"/>
      <c r="P1965" s="46"/>
      <c r="Q1965" s="46"/>
      <c r="R1965" s="46"/>
      <c r="S1965" s="46"/>
      <c r="T1965" s="46"/>
      <c r="U1965" s="46"/>
      <c r="V1965" s="46"/>
      <c r="W1965" s="46"/>
      <c r="X1965" s="46"/>
      <c r="Y1965" s="46"/>
      <c r="Z1965" s="46" t="s">
        <v>4988</v>
      </c>
      <c r="AA1965" s="83">
        <f>IF(OR(G1965="ALK",G1965="PEM",G1965="SOEC",G1965="Other Electrolysis"),
AB1965*VLOOKUP(G1965,ElectrolysisConvF,3,FALSE),
"")</f>
        <v>507.92673541634599</v>
      </c>
      <c r="AB1965" s="84">
        <f>AC1965/(H2dens*HoursInYear/10^6)</f>
        <v>112872.60787029912</v>
      </c>
      <c r="AC1965" s="84">
        <f>44/H2ProjectDB4578610[[#This Row],[Column33]]</f>
        <v>88</v>
      </c>
      <c r="AD1965" s="62"/>
      <c r="AE1965" s="62">
        <f t="shared" si="208"/>
        <v>112872.60787029912</v>
      </c>
      <c r="AF1965" s="64" t="s">
        <v>4989</v>
      </c>
      <c r="AG1965" s="49">
        <v>0.5</v>
      </c>
    </row>
    <row r="1966" spans="1:33" customFormat="1" ht="35.1" customHeight="1" x14ac:dyDescent="0.3">
      <c r="A1966" s="46">
        <v>2520</v>
      </c>
      <c r="B1966" s="46" t="s">
        <v>4990</v>
      </c>
      <c r="C1966" s="46" t="s">
        <v>321</v>
      </c>
      <c r="D1966" s="60"/>
      <c r="E1966" s="60"/>
      <c r="F1966" s="46" t="s">
        <v>591</v>
      </c>
      <c r="G1966" s="46" t="s">
        <v>159</v>
      </c>
      <c r="H1966" s="46" t="s">
        <v>592</v>
      </c>
      <c r="I1966" s="46" t="s">
        <v>169</v>
      </c>
      <c r="J1966" s="46" t="s">
        <v>244</v>
      </c>
      <c r="K1966" s="46" t="s">
        <v>68</v>
      </c>
      <c r="L1966" s="46"/>
      <c r="M1966" s="46"/>
      <c r="N1966" s="46"/>
      <c r="O1966" s="46"/>
      <c r="P1966" s="46"/>
      <c r="Q1966" s="46"/>
      <c r="R1966" s="46"/>
      <c r="S1966" s="46">
        <v>1</v>
      </c>
      <c r="T1966" s="46"/>
      <c r="U1966" s="46"/>
      <c r="V1966" s="46"/>
      <c r="W1966" s="46"/>
      <c r="X1966" s="46"/>
      <c r="Y1966" s="46"/>
      <c r="Z1966" s="46" t="s">
        <v>4991</v>
      </c>
      <c r="AA1966" s="61">
        <v>352</v>
      </c>
      <c r="AB1966" s="62">
        <f>IF(OR(G1966="ALK",G1966="PEM",G1966="SOEC",G1966="Other Electrolysis"),
AA1966/VLOOKUP(G1966,ElectrolysisConvF,3,FALSE),
AC1966*10^6/(H2dens*HoursInYear))</f>
        <v>78222.222222222234</v>
      </c>
      <c r="AC1966" s="63">
        <f>AB1966*H2dens*HoursInYear/10^6</f>
        <v>60.985173333333336</v>
      </c>
      <c r="AD1966" s="62"/>
      <c r="AE1966" s="62">
        <f t="shared" si="208"/>
        <v>78222.222222222234</v>
      </c>
      <c r="AF1966" s="64" t="s">
        <v>4992</v>
      </c>
      <c r="AG1966" s="49">
        <v>0.3</v>
      </c>
    </row>
    <row r="1967" spans="1:33" customFormat="1" ht="35.1" customHeight="1" x14ac:dyDescent="0.3">
      <c r="A1967" s="46">
        <v>2521</v>
      </c>
      <c r="B1967" s="46" t="s">
        <v>4993</v>
      </c>
      <c r="C1967" s="46" t="s">
        <v>501</v>
      </c>
      <c r="D1967" s="60"/>
      <c r="E1967" s="60"/>
      <c r="F1967" s="46" t="s">
        <v>591</v>
      </c>
      <c r="G1967" s="46" t="s">
        <v>159</v>
      </c>
      <c r="H1967" s="46" t="s">
        <v>592</v>
      </c>
      <c r="I1967" s="46" t="s">
        <v>169</v>
      </c>
      <c r="J1967" s="46" t="s">
        <v>244</v>
      </c>
      <c r="K1967" s="46" t="s">
        <v>68</v>
      </c>
      <c r="L1967" s="46"/>
      <c r="M1967" s="46"/>
      <c r="N1967" s="46"/>
      <c r="O1967" s="46"/>
      <c r="P1967" s="46"/>
      <c r="Q1967" s="46"/>
      <c r="R1967" s="46"/>
      <c r="S1967" s="46"/>
      <c r="T1967" s="46"/>
      <c r="U1967" s="46"/>
      <c r="V1967" s="46"/>
      <c r="W1967" s="46"/>
      <c r="X1967" s="46"/>
      <c r="Y1967" s="46"/>
      <c r="Z1967" s="46" t="s">
        <v>4994</v>
      </c>
      <c r="AA1967" s="63">
        <f>IF(OR(G1967="ALK",G1967="PEM",G1967="SOEC",G1967="Other Electrolysis"),
AB1967*VLOOKUP(G1967,ElectrolysisConvF,3,FALSE),
"")</f>
        <v>8426.9662921348317</v>
      </c>
      <c r="AB1967" s="62">
        <f>AC1967/(H2dens*HoursInYear/10^6)</f>
        <v>1872659.1760299627</v>
      </c>
      <c r="AC1967" s="62">
        <f>4*365</f>
        <v>1460</v>
      </c>
      <c r="AD1967" s="62"/>
      <c r="AE1967" s="62">
        <f t="shared" si="208"/>
        <v>1872659.1760299627</v>
      </c>
      <c r="AF1967" s="64" t="s">
        <v>4995</v>
      </c>
      <c r="AG1967" s="49">
        <v>0.3</v>
      </c>
    </row>
    <row r="1968" spans="1:33" customFormat="1" ht="35.1" customHeight="1" x14ac:dyDescent="0.3">
      <c r="A1968" s="46">
        <v>2522</v>
      </c>
      <c r="B1968" s="46" t="s">
        <v>4996</v>
      </c>
      <c r="C1968" s="46" t="s">
        <v>46</v>
      </c>
      <c r="D1968" s="60">
        <v>2026</v>
      </c>
      <c r="E1968" s="60"/>
      <c r="F1968" s="46" t="s">
        <v>591</v>
      </c>
      <c r="G1968" s="46" t="s">
        <v>159</v>
      </c>
      <c r="H1968" s="46" t="s">
        <v>592</v>
      </c>
      <c r="I1968" s="46" t="s">
        <v>169</v>
      </c>
      <c r="J1968" s="46" t="s">
        <v>69</v>
      </c>
      <c r="K1968" s="46" t="s">
        <v>68</v>
      </c>
      <c r="L1968" s="46"/>
      <c r="M1968" s="46"/>
      <c r="N1968" s="46"/>
      <c r="O1968" s="46"/>
      <c r="P1968" s="46">
        <v>1</v>
      </c>
      <c r="Q1968" s="46">
        <v>1</v>
      </c>
      <c r="R1968" s="46">
        <v>1</v>
      </c>
      <c r="S1968" s="46"/>
      <c r="T1968" s="46"/>
      <c r="U1968" s="46"/>
      <c r="V1968" s="46"/>
      <c r="W1968" s="46"/>
      <c r="X1968" s="46"/>
      <c r="Y1968" s="46"/>
      <c r="Z1968" s="46" t="s">
        <v>1257</v>
      </c>
      <c r="AA1968" s="61">
        <v>100</v>
      </c>
      <c r="AB1968" s="62">
        <f>IF(OR(G1968="ALK",G1968="PEM",G1968="SOEC",G1968="Other Electrolysis"),
AA1968/VLOOKUP(G1968,ElectrolysisConvF,3,FALSE),
AC1968*10^6/(H2dens*HoursInYear))</f>
        <v>22222.222222222223</v>
      </c>
      <c r="AC1968" s="63">
        <f>AB1968*H2dens*HoursInYear/10^6</f>
        <v>17.325333333333333</v>
      </c>
      <c r="AD1968" s="62"/>
      <c r="AE1968" s="62">
        <f t="shared" si="208"/>
        <v>22222.222222222223</v>
      </c>
      <c r="AF1968" s="64" t="s">
        <v>4997</v>
      </c>
      <c r="AG1968" s="49">
        <v>0.5</v>
      </c>
    </row>
    <row r="1969" spans="1:33" customFormat="1" ht="35.1" customHeight="1" x14ac:dyDescent="0.3">
      <c r="A1969" s="46">
        <v>2523</v>
      </c>
      <c r="B1969" s="46" t="s">
        <v>4998</v>
      </c>
      <c r="C1969" s="46" t="s">
        <v>46</v>
      </c>
      <c r="D1969" s="60">
        <v>2030</v>
      </c>
      <c r="E1969" s="60"/>
      <c r="F1969" s="46" t="s">
        <v>591</v>
      </c>
      <c r="G1969" s="46" t="s">
        <v>159</v>
      </c>
      <c r="H1969" s="46" t="s">
        <v>592</v>
      </c>
      <c r="I1969" s="46" t="s">
        <v>169</v>
      </c>
      <c r="J1969" s="46" t="s">
        <v>69</v>
      </c>
      <c r="K1969" s="46" t="s">
        <v>68</v>
      </c>
      <c r="L1969" s="46"/>
      <c r="M1969" s="46"/>
      <c r="N1969" s="46"/>
      <c r="O1969" s="46"/>
      <c r="P1969" s="46">
        <v>1</v>
      </c>
      <c r="Q1969" s="46">
        <v>1</v>
      </c>
      <c r="R1969" s="46">
        <v>1</v>
      </c>
      <c r="S1969" s="46"/>
      <c r="T1969" s="46"/>
      <c r="U1969" s="46"/>
      <c r="V1969" s="46"/>
      <c r="W1969" s="46"/>
      <c r="X1969" s="46"/>
      <c r="Y1969" s="46"/>
      <c r="Z1969" s="46" t="s">
        <v>1654</v>
      </c>
      <c r="AA1969" s="61">
        <f>500-100</f>
        <v>400</v>
      </c>
      <c r="AB1969" s="62">
        <f>IF(OR(G1969="ALK",G1969="PEM",G1969="SOEC",G1969="Other Electrolysis"),
AA1969/VLOOKUP(G1969,ElectrolysisConvF,3,FALSE),
AC1969*10^6/(H2dens*HoursInYear))</f>
        <v>88888.888888888891</v>
      </c>
      <c r="AC1969" s="63">
        <f>AB1969*H2dens*HoursInYear/10^6</f>
        <v>69.301333333333332</v>
      </c>
      <c r="AD1969" s="62"/>
      <c r="AE1969" s="62">
        <f t="shared" si="208"/>
        <v>88888.888888888891</v>
      </c>
      <c r="AF1969" s="64" t="s">
        <v>4997</v>
      </c>
      <c r="AG1969" s="49">
        <v>0.5</v>
      </c>
    </row>
    <row r="1970" spans="1:33" customFormat="1" ht="35.1" customHeight="1" x14ac:dyDescent="0.3">
      <c r="A1970" s="46">
        <v>2524</v>
      </c>
      <c r="B1970" s="46" t="s">
        <v>4999</v>
      </c>
      <c r="C1970" s="46" t="s">
        <v>203</v>
      </c>
      <c r="D1970" s="60">
        <v>2026</v>
      </c>
      <c r="E1970" s="60"/>
      <c r="F1970" s="46" t="s">
        <v>225</v>
      </c>
      <c r="G1970" s="46" t="s">
        <v>1</v>
      </c>
      <c r="H1970" s="46"/>
      <c r="I1970" s="46" t="s">
        <v>169</v>
      </c>
      <c r="J1970" s="46" t="s">
        <v>246</v>
      </c>
      <c r="K1970" s="46" t="s">
        <v>68</v>
      </c>
      <c r="L1970" s="46"/>
      <c r="M1970" s="46"/>
      <c r="N1970" s="46"/>
      <c r="O1970" s="46"/>
      <c r="P1970" s="46"/>
      <c r="Q1970" s="46"/>
      <c r="R1970" s="46"/>
      <c r="S1970" s="46">
        <v>1</v>
      </c>
      <c r="T1970" s="46"/>
      <c r="U1970" s="46"/>
      <c r="V1970" s="46"/>
      <c r="W1970" s="46"/>
      <c r="X1970" s="46"/>
      <c r="Y1970" s="46"/>
      <c r="Z1970" s="46" t="s">
        <v>1691</v>
      </c>
      <c r="AA1970" s="61">
        <v>200</v>
      </c>
      <c r="AB1970" s="62">
        <f>IF(OR(G1970="ALK",G1970="PEM",G1970="SOEC",G1970="Other Electrolysis"),
AA1970/VLOOKUP(G1970,ElectrolysisConvF,3,FALSE),
AC1970*10^6/(H2dens*HoursInYear))</f>
        <v>38461.538461538461</v>
      </c>
      <c r="AC1970" s="63">
        <f>AB1970*H2dens*HoursInYear/10^6</f>
        <v>29.986153846153844</v>
      </c>
      <c r="AD1970" s="62"/>
      <c r="AE1970" s="62">
        <f t="shared" si="208"/>
        <v>38461.538461538461</v>
      </c>
      <c r="AF1970" s="64" t="s">
        <v>5000</v>
      </c>
      <c r="AG1970" s="49">
        <v>0.55000000000000004</v>
      </c>
    </row>
    <row r="1971" spans="1:33" customFormat="1" ht="35.1" customHeight="1" x14ac:dyDescent="0.3">
      <c r="A1971" s="46">
        <v>2525</v>
      </c>
      <c r="B1971" s="46" t="s">
        <v>5001</v>
      </c>
      <c r="C1971" s="46" t="s">
        <v>203</v>
      </c>
      <c r="D1971" s="60">
        <v>2028</v>
      </c>
      <c r="E1971" s="60"/>
      <c r="F1971" s="46" t="s">
        <v>225</v>
      </c>
      <c r="G1971" s="46" t="s">
        <v>1</v>
      </c>
      <c r="H1971" s="46"/>
      <c r="I1971" s="46" t="s">
        <v>169</v>
      </c>
      <c r="J1971" s="46" t="s">
        <v>246</v>
      </c>
      <c r="K1971" s="46" t="s">
        <v>68</v>
      </c>
      <c r="L1971" s="46"/>
      <c r="M1971" s="46"/>
      <c r="N1971" s="46"/>
      <c r="O1971" s="46"/>
      <c r="P1971" s="46"/>
      <c r="Q1971" s="46"/>
      <c r="R1971" s="46"/>
      <c r="S1971" s="46">
        <v>1</v>
      </c>
      <c r="T1971" s="46"/>
      <c r="U1971" s="46"/>
      <c r="V1971" s="46"/>
      <c r="W1971" s="46"/>
      <c r="X1971" s="46"/>
      <c r="Y1971" s="46"/>
      <c r="Z1971" s="46" t="s">
        <v>1654</v>
      </c>
      <c r="AA1971" s="61">
        <v>300</v>
      </c>
      <c r="AB1971" s="62">
        <f>IF(OR(G1971="ALK",G1971="PEM",G1971="SOEC",G1971="Other Electrolysis"),
AA1971/VLOOKUP(G1971,ElectrolysisConvF,3,FALSE),
AC1971*10^6/(H2dens*HoursInYear))</f>
        <v>57692.307692307695</v>
      </c>
      <c r="AC1971" s="63">
        <f>AB1971*H2dens*HoursInYear/10^6</f>
        <v>44.979230769230767</v>
      </c>
      <c r="AD1971" s="62"/>
      <c r="AE1971" s="62">
        <f t="shared" si="208"/>
        <v>57692.307692307695</v>
      </c>
      <c r="AF1971" s="64" t="s">
        <v>5000</v>
      </c>
      <c r="AG1971" s="49">
        <v>0.55000000000000004</v>
      </c>
    </row>
    <row r="1972" spans="1:33" customFormat="1" ht="35.1" customHeight="1" x14ac:dyDescent="0.3">
      <c r="A1972" s="46">
        <v>2526</v>
      </c>
      <c r="B1972" s="46" t="s">
        <v>5002</v>
      </c>
      <c r="C1972" s="75" t="s">
        <v>40</v>
      </c>
      <c r="D1972" s="60"/>
      <c r="E1972" s="60"/>
      <c r="F1972" s="75" t="s">
        <v>591</v>
      </c>
      <c r="G1972" s="75" t="s">
        <v>159</v>
      </c>
      <c r="H1972" s="75" t="s">
        <v>592</v>
      </c>
      <c r="I1972" s="75" t="s">
        <v>169</v>
      </c>
      <c r="J1972" s="46" t="s">
        <v>69</v>
      </c>
      <c r="K1972" s="75" t="s">
        <v>68</v>
      </c>
      <c r="L1972" s="46"/>
      <c r="M1972" s="46"/>
      <c r="N1972" s="46"/>
      <c r="O1972" s="46"/>
      <c r="P1972" s="46"/>
      <c r="Q1972" s="46"/>
      <c r="R1972" s="46"/>
      <c r="S1972" s="46"/>
      <c r="T1972" s="46"/>
      <c r="U1972" s="46"/>
      <c r="V1972" s="46"/>
      <c r="W1972" s="46"/>
      <c r="X1972" s="46"/>
      <c r="Y1972" s="46"/>
      <c r="Z1972" s="46" t="s">
        <v>672</v>
      </c>
      <c r="AA1972" s="61">
        <v>1000</v>
      </c>
      <c r="AB1972" s="62">
        <f>IF(OR(G1972="ALK",G1972="PEM",G1972="SOEC",G1972="Other Electrolysis"),
AA1972/VLOOKUP(G1972,ElectrolysisConvF,3,FALSE),
AC1972*10^6/(H2dens*HoursInYear))</f>
        <v>222222.22222222225</v>
      </c>
      <c r="AC1972" s="63">
        <f>AB1972*H2dens*HoursInYear/10^6</f>
        <v>173.25333333333333</v>
      </c>
      <c r="AD1972" s="62"/>
      <c r="AE1972" s="62">
        <f t="shared" si="208"/>
        <v>222222.22222222225</v>
      </c>
      <c r="AF1972" s="64" t="s">
        <v>5003</v>
      </c>
      <c r="AG1972" s="49">
        <v>0.5</v>
      </c>
    </row>
    <row r="1973" spans="1:33" customFormat="1" ht="35.1" customHeight="1" x14ac:dyDescent="0.3">
      <c r="A1973" s="46">
        <v>2527</v>
      </c>
      <c r="B1973" s="46" t="s">
        <v>5004</v>
      </c>
      <c r="C1973" s="46" t="s">
        <v>39</v>
      </c>
      <c r="D1973" s="60">
        <v>2027</v>
      </c>
      <c r="E1973" s="60"/>
      <c r="F1973" s="46" t="s">
        <v>591</v>
      </c>
      <c r="G1973" s="46" t="s">
        <v>159</v>
      </c>
      <c r="H1973" s="46" t="s">
        <v>592</v>
      </c>
      <c r="I1973" s="46" t="s">
        <v>169</v>
      </c>
      <c r="J1973" s="46" t="s">
        <v>69</v>
      </c>
      <c r="K1973" s="46" t="s">
        <v>141</v>
      </c>
      <c r="L1973" s="46"/>
      <c r="M1973" s="46">
        <v>1</v>
      </c>
      <c r="N1973" s="46"/>
      <c r="O1973" s="46"/>
      <c r="P1973" s="46"/>
      <c r="Q1973" s="46"/>
      <c r="R1973" s="46"/>
      <c r="S1973" s="46"/>
      <c r="T1973" s="46"/>
      <c r="U1973" s="46"/>
      <c r="V1973" s="46"/>
      <c r="W1973" s="46"/>
      <c r="X1973" s="46"/>
      <c r="Y1973" s="46"/>
      <c r="Z1973" s="46" t="s">
        <v>2723</v>
      </c>
      <c r="AA1973" s="61">
        <f>IF(OR(G1973="ALK",G1973="PEM",G1973="SOEC",G1973="Other Electrolysis"),
AB1973*VLOOKUP(G1973,ElectrolysisConvF,3,FALSE),
"")</f>
        <v>1039.356792432226</v>
      </c>
      <c r="AB1973" s="62">
        <f>AC1973/(H2dens*HoursInYear/10^6)</f>
        <v>230968.17609605024</v>
      </c>
      <c r="AC1973" s="63">
        <f>1000*3/17/0.98</f>
        <v>180.0720288115246</v>
      </c>
      <c r="AD1973" s="62"/>
      <c r="AE1973" s="62">
        <f t="shared" si="208"/>
        <v>230968.17609605024</v>
      </c>
      <c r="AF1973" s="64" t="s">
        <v>5005</v>
      </c>
      <c r="AG1973" s="49">
        <v>0.5</v>
      </c>
    </row>
    <row r="1974" spans="1:33" customFormat="1" ht="35.1" customHeight="1" x14ac:dyDescent="0.3">
      <c r="A1974" s="46">
        <v>2528</v>
      </c>
      <c r="B1974" s="46" t="s">
        <v>5006</v>
      </c>
      <c r="C1974" s="46" t="s">
        <v>50</v>
      </c>
      <c r="D1974" s="60">
        <v>2027</v>
      </c>
      <c r="E1974" s="60"/>
      <c r="F1974" s="46" t="s">
        <v>591</v>
      </c>
      <c r="G1974" s="46" t="s">
        <v>159</v>
      </c>
      <c r="H1974" s="46" t="s">
        <v>592</v>
      </c>
      <c r="I1974" s="46" t="s">
        <v>169</v>
      </c>
      <c r="J1974" s="46" t="s">
        <v>246</v>
      </c>
      <c r="K1974" s="46" t="s">
        <v>141</v>
      </c>
      <c r="L1974" s="46"/>
      <c r="M1974" s="46"/>
      <c r="N1974" s="46"/>
      <c r="O1974" s="46"/>
      <c r="P1974" s="46"/>
      <c r="Q1974" s="46"/>
      <c r="R1974" s="46"/>
      <c r="S1974" s="46"/>
      <c r="T1974" s="46"/>
      <c r="U1974" s="46"/>
      <c r="V1974" s="46"/>
      <c r="W1974" s="46"/>
      <c r="X1974" s="46"/>
      <c r="Y1974" s="46"/>
      <c r="Z1974" s="46"/>
      <c r="AA1974" s="61">
        <f>IF(OR(G1974="ALK",G1974="PEM",G1974="SOEC",G1974="Other Electrolysis"),
AB1974*VLOOKUP(G1974,ElectrolysisConvF,3,FALSE),
"")</f>
        <v>0</v>
      </c>
      <c r="AB1974" s="62"/>
      <c r="AC1974" s="62"/>
      <c r="AD1974" s="62"/>
      <c r="AE1974" s="62">
        <f t="shared" si="208"/>
        <v>0</v>
      </c>
      <c r="AF1974" s="64" t="s">
        <v>5007</v>
      </c>
      <c r="AG1974" s="49">
        <v>0.55000000000000004</v>
      </c>
    </row>
    <row r="1975" spans="1:33" customFormat="1" ht="35.1" customHeight="1" x14ac:dyDescent="0.3">
      <c r="A1975" s="46">
        <v>2529</v>
      </c>
      <c r="B1975" s="46" t="s">
        <v>5008</v>
      </c>
      <c r="C1975" s="46" t="s">
        <v>64</v>
      </c>
      <c r="D1975" s="60">
        <v>2027</v>
      </c>
      <c r="E1975" s="60"/>
      <c r="F1975" s="46" t="s">
        <v>591</v>
      </c>
      <c r="G1975" s="46" t="s">
        <v>159</v>
      </c>
      <c r="H1975" s="46" t="s">
        <v>592</v>
      </c>
      <c r="I1975" s="46" t="s">
        <v>169</v>
      </c>
      <c r="J1975" s="46" t="s">
        <v>69</v>
      </c>
      <c r="K1975" s="46" t="s">
        <v>68</v>
      </c>
      <c r="L1975" s="46"/>
      <c r="M1975" s="46"/>
      <c r="N1975" s="46"/>
      <c r="O1975" s="46"/>
      <c r="P1975" s="46"/>
      <c r="Q1975" s="46"/>
      <c r="R1975" s="46"/>
      <c r="S1975" s="46"/>
      <c r="T1975" s="46"/>
      <c r="U1975" s="46"/>
      <c r="V1975" s="46"/>
      <c r="W1975" s="46"/>
      <c r="X1975" s="46"/>
      <c r="Y1975" s="46"/>
      <c r="Z1975" s="46" t="s">
        <v>5009</v>
      </c>
      <c r="AA1975" s="61">
        <f>2*2500</f>
        <v>5000</v>
      </c>
      <c r="AB1975" s="62">
        <f>AA1975/0.0045</f>
        <v>1111111.1111111112</v>
      </c>
      <c r="AC1975" s="63">
        <f t="shared" ref="AC1975:AC1980" si="209">AB1975*H2dens*HoursInYear/10^6</f>
        <v>866.26666666666665</v>
      </c>
      <c r="AD1975" s="62"/>
      <c r="AE1975" s="62">
        <f t="shared" si="208"/>
        <v>1111111.1111111112</v>
      </c>
      <c r="AF1975" s="64" t="s">
        <v>5010</v>
      </c>
      <c r="AG1975" s="49">
        <v>0.5</v>
      </c>
    </row>
    <row r="1976" spans="1:33" customFormat="1" ht="35.1" customHeight="1" x14ac:dyDescent="0.3">
      <c r="A1976" s="46">
        <v>2530</v>
      </c>
      <c r="B1976" s="46" t="s">
        <v>5011</v>
      </c>
      <c r="C1976" s="46" t="s">
        <v>64</v>
      </c>
      <c r="D1976" s="60">
        <v>2029</v>
      </c>
      <c r="E1976" s="60"/>
      <c r="F1976" s="46" t="s">
        <v>591</v>
      </c>
      <c r="G1976" s="46" t="s">
        <v>159</v>
      </c>
      <c r="H1976" s="46" t="s">
        <v>592</v>
      </c>
      <c r="I1976" s="46" t="s">
        <v>169</v>
      </c>
      <c r="J1976" s="46" t="s">
        <v>69</v>
      </c>
      <c r="K1976" s="46" t="s">
        <v>68</v>
      </c>
      <c r="L1976" s="46"/>
      <c r="M1976" s="46"/>
      <c r="N1976" s="46"/>
      <c r="O1976" s="46"/>
      <c r="P1976" s="46"/>
      <c r="Q1976" s="46"/>
      <c r="R1976" s="46"/>
      <c r="S1976" s="46"/>
      <c r="T1976" s="46"/>
      <c r="U1976" s="46"/>
      <c r="V1976" s="46"/>
      <c r="W1976" s="46"/>
      <c r="X1976" s="46"/>
      <c r="Y1976" s="46"/>
      <c r="Z1976" s="46" t="s">
        <v>5009</v>
      </c>
      <c r="AA1976" s="61">
        <f>2*2500</f>
        <v>5000</v>
      </c>
      <c r="AB1976" s="62">
        <f>AA1976/0.0045</f>
        <v>1111111.1111111112</v>
      </c>
      <c r="AC1976" s="63">
        <f t="shared" si="209"/>
        <v>866.26666666666665</v>
      </c>
      <c r="AD1976" s="62"/>
      <c r="AE1976" s="62">
        <f t="shared" si="208"/>
        <v>1111111.1111111112</v>
      </c>
      <c r="AF1976" s="64" t="s">
        <v>5010</v>
      </c>
      <c r="AG1976" s="49">
        <v>0.5</v>
      </c>
    </row>
    <row r="1977" spans="1:33" customFormat="1" ht="35.1" customHeight="1" x14ac:dyDescent="0.3">
      <c r="A1977" s="46">
        <v>2531</v>
      </c>
      <c r="B1977" s="46" t="s">
        <v>5012</v>
      </c>
      <c r="C1977" s="46" t="s">
        <v>64</v>
      </c>
      <c r="D1977" s="60">
        <v>2031</v>
      </c>
      <c r="E1977" s="60"/>
      <c r="F1977" s="46" t="s">
        <v>591</v>
      </c>
      <c r="G1977" s="46" t="s">
        <v>159</v>
      </c>
      <c r="H1977" s="46" t="s">
        <v>592</v>
      </c>
      <c r="I1977" s="46" t="s">
        <v>169</v>
      </c>
      <c r="J1977" s="46" t="s">
        <v>69</v>
      </c>
      <c r="K1977" s="46" t="s">
        <v>68</v>
      </c>
      <c r="L1977" s="46"/>
      <c r="M1977" s="46"/>
      <c r="N1977" s="46"/>
      <c r="O1977" s="46"/>
      <c r="P1977" s="46"/>
      <c r="Q1977" s="46"/>
      <c r="R1977" s="46"/>
      <c r="S1977" s="46"/>
      <c r="T1977" s="46"/>
      <c r="U1977" s="46"/>
      <c r="V1977" s="46"/>
      <c r="W1977" s="46"/>
      <c r="X1977" s="46"/>
      <c r="Y1977" s="46"/>
      <c r="Z1977" s="46" t="s">
        <v>5009</v>
      </c>
      <c r="AA1977" s="61">
        <f>2*2500</f>
        <v>5000</v>
      </c>
      <c r="AB1977" s="62">
        <f>AA1977/0.0045</f>
        <v>1111111.1111111112</v>
      </c>
      <c r="AC1977" s="63">
        <f t="shared" si="209"/>
        <v>866.26666666666665</v>
      </c>
      <c r="AD1977" s="62"/>
      <c r="AE1977" s="62">
        <f t="shared" si="208"/>
        <v>1111111.1111111112</v>
      </c>
      <c r="AF1977" s="64" t="s">
        <v>5010</v>
      </c>
      <c r="AG1977" s="49">
        <v>0.5</v>
      </c>
    </row>
    <row r="1978" spans="1:33" customFormat="1" ht="35.1" customHeight="1" x14ac:dyDescent="0.3">
      <c r="A1978" s="46">
        <v>2532</v>
      </c>
      <c r="B1978" s="46" t="s">
        <v>5013</v>
      </c>
      <c r="C1978" s="46" t="s">
        <v>64</v>
      </c>
      <c r="D1978" s="60">
        <v>2033</v>
      </c>
      <c r="E1978" s="60"/>
      <c r="F1978" s="46" t="s">
        <v>591</v>
      </c>
      <c r="G1978" s="46" t="s">
        <v>159</v>
      </c>
      <c r="H1978" s="46" t="s">
        <v>592</v>
      </c>
      <c r="I1978" s="46" t="s">
        <v>169</v>
      </c>
      <c r="J1978" s="46" t="s">
        <v>69</v>
      </c>
      <c r="K1978" s="46" t="s">
        <v>68</v>
      </c>
      <c r="L1978" s="46"/>
      <c r="M1978" s="46"/>
      <c r="N1978" s="46"/>
      <c r="O1978" s="46"/>
      <c r="P1978" s="46"/>
      <c r="Q1978" s="46"/>
      <c r="R1978" s="46"/>
      <c r="S1978" s="46"/>
      <c r="T1978" s="46"/>
      <c r="U1978" s="46"/>
      <c r="V1978" s="46"/>
      <c r="W1978" s="46"/>
      <c r="X1978" s="46"/>
      <c r="Y1978" s="46"/>
      <c r="Z1978" s="46" t="s">
        <v>5014</v>
      </c>
      <c r="AA1978" s="61">
        <f>4*2500</f>
        <v>10000</v>
      </c>
      <c r="AB1978" s="62">
        <f>AA1978/0.0045</f>
        <v>2222222.2222222225</v>
      </c>
      <c r="AC1978" s="63">
        <f t="shared" si="209"/>
        <v>1732.5333333333333</v>
      </c>
      <c r="AD1978" s="62"/>
      <c r="AE1978" s="62">
        <f t="shared" si="208"/>
        <v>2222222.2222222225</v>
      </c>
      <c r="AF1978" s="64" t="s">
        <v>5010</v>
      </c>
      <c r="AG1978" s="49">
        <v>0.5</v>
      </c>
    </row>
    <row r="1979" spans="1:33" customFormat="1" ht="35.1" customHeight="1" x14ac:dyDescent="0.3">
      <c r="A1979" s="46">
        <v>2533</v>
      </c>
      <c r="B1979" s="46" t="s">
        <v>5015</v>
      </c>
      <c r="C1979" s="46" t="s">
        <v>41</v>
      </c>
      <c r="D1979" s="60">
        <v>2025</v>
      </c>
      <c r="E1979" s="60"/>
      <c r="F1979" s="46" t="s">
        <v>675</v>
      </c>
      <c r="G1979" s="46" t="s">
        <v>159</v>
      </c>
      <c r="H1979" s="46" t="s">
        <v>592</v>
      </c>
      <c r="I1979" s="46" t="s">
        <v>169</v>
      </c>
      <c r="J1979" s="46" t="s">
        <v>248</v>
      </c>
      <c r="K1979" s="46" t="s">
        <v>168</v>
      </c>
      <c r="L1979" s="46"/>
      <c r="M1979" s="46">
        <v>1</v>
      </c>
      <c r="N1979" s="46">
        <v>1</v>
      </c>
      <c r="O1979" s="46"/>
      <c r="P1979" s="46"/>
      <c r="Q1979" s="46"/>
      <c r="R1979" s="46"/>
      <c r="S1979" s="46"/>
      <c r="T1979" s="46"/>
      <c r="U1979" s="46"/>
      <c r="V1979" s="46"/>
      <c r="W1979" s="46"/>
      <c r="X1979" s="46"/>
      <c r="Y1979" s="46"/>
      <c r="Z1979" s="46" t="s">
        <v>5016</v>
      </c>
      <c r="AA1979" s="61">
        <v>640</v>
      </c>
      <c r="AB1979" s="62">
        <f>IF(OR(G1979="ALK",G1979="PEM",G1979="SOEC",G1979="Other Electrolysis"),
AA1979/VLOOKUP(G1979,ElectrolysisConvF,3,FALSE),
AC1979*10^6/(H2dens*HoursInYear))</f>
        <v>142222.22222222222</v>
      </c>
      <c r="AC1979" s="63">
        <f t="shared" si="209"/>
        <v>110.88213333333333</v>
      </c>
      <c r="AD1979" s="62"/>
      <c r="AE1979" s="62">
        <f t="shared" si="208"/>
        <v>142222.22222222222</v>
      </c>
      <c r="AF1979" s="64" t="s">
        <v>5017</v>
      </c>
      <c r="AG1979" s="49">
        <v>0.5</v>
      </c>
    </row>
    <row r="1980" spans="1:33" customFormat="1" ht="35.1" customHeight="1" x14ac:dyDescent="0.3">
      <c r="A1980" s="46">
        <v>2534</v>
      </c>
      <c r="B1980" s="46" t="s">
        <v>5018</v>
      </c>
      <c r="C1980" s="46" t="s">
        <v>35</v>
      </c>
      <c r="D1980" s="60">
        <v>2026</v>
      </c>
      <c r="E1980" s="60"/>
      <c r="F1980" s="46" t="s">
        <v>225</v>
      </c>
      <c r="G1980" s="46" t="s">
        <v>159</v>
      </c>
      <c r="H1980" s="46" t="s">
        <v>592</v>
      </c>
      <c r="I1980" s="46" t="s">
        <v>1317</v>
      </c>
      <c r="J1980" s="46" t="s">
        <v>248</v>
      </c>
      <c r="K1980" s="46" t="s">
        <v>141</v>
      </c>
      <c r="L1980" s="46"/>
      <c r="M1980" s="46">
        <v>1</v>
      </c>
      <c r="N1980" s="46"/>
      <c r="O1980" s="46"/>
      <c r="P1980" s="46"/>
      <c r="Q1980" s="46">
        <v>1</v>
      </c>
      <c r="R1980" s="46"/>
      <c r="S1980" s="46"/>
      <c r="T1980" s="46"/>
      <c r="U1980" s="46"/>
      <c r="V1980" s="46"/>
      <c r="W1980" s="46"/>
      <c r="X1980" s="46"/>
      <c r="Y1980" s="46"/>
      <c r="Z1980" s="46" t="s">
        <v>1330</v>
      </c>
      <c r="AA1980" s="61">
        <v>130</v>
      </c>
      <c r="AB1980" s="62">
        <f>IF(OR(G1980="ALK",G1980="PEM",G1980="SOEC",G1980="Other Electrolysis"),
AA1980/VLOOKUP(G1980,ElectrolysisConvF,3,FALSE),
AC1980*10^6/(H2dens*HoursInYear))</f>
        <v>28888.888888888891</v>
      </c>
      <c r="AC1980" s="63">
        <f t="shared" si="209"/>
        <v>22.522933333333334</v>
      </c>
      <c r="AD1980" s="62"/>
      <c r="AE1980" s="62">
        <f t="shared" si="208"/>
        <v>28888.888888888891</v>
      </c>
      <c r="AF1980" s="64" t="s">
        <v>5019</v>
      </c>
      <c r="AG1980" s="49">
        <v>0.7</v>
      </c>
    </row>
    <row r="1981" spans="1:33" customFormat="1" ht="35.1" customHeight="1" x14ac:dyDescent="0.3">
      <c r="A1981" s="46">
        <v>2535</v>
      </c>
      <c r="B1981" s="46" t="s">
        <v>5020</v>
      </c>
      <c r="C1981" s="46" t="s">
        <v>553</v>
      </c>
      <c r="D1981" s="60"/>
      <c r="E1981" s="60"/>
      <c r="F1981" s="46" t="s">
        <v>591</v>
      </c>
      <c r="G1981" s="46" t="s">
        <v>159</v>
      </c>
      <c r="H1981" s="46" t="s">
        <v>592</v>
      </c>
      <c r="I1981" s="46" t="s">
        <v>169</v>
      </c>
      <c r="J1981" s="46" t="s">
        <v>248</v>
      </c>
      <c r="K1981" s="46" t="s">
        <v>68</v>
      </c>
      <c r="L1981" s="46"/>
      <c r="M1981" s="46"/>
      <c r="N1981" s="46"/>
      <c r="O1981" s="46"/>
      <c r="P1981" s="46"/>
      <c r="Q1981" s="46"/>
      <c r="R1981" s="46"/>
      <c r="S1981" s="46"/>
      <c r="T1981" s="46"/>
      <c r="U1981" s="46"/>
      <c r="V1981" s="46"/>
      <c r="W1981" s="46"/>
      <c r="X1981" s="46"/>
      <c r="Y1981" s="46"/>
      <c r="Z1981" s="46" t="s">
        <v>5021</v>
      </c>
      <c r="AA1981" s="62">
        <f>IF(OR(G1981="ALK",G1981="PEM",G1981="SOEC",G1981="Other Electrolysis"),
AB1981*VLOOKUP(G1981,ElectrolysisConvF,3,FALSE),
"")</f>
        <v>20787.132522702785</v>
      </c>
      <c r="AB1981" s="62">
        <f>AC1981/(H2dens*HoursInYear/10^6)</f>
        <v>4619362.7828228418</v>
      </c>
      <c r="AC1981" s="63">
        <f>10000*0.180072/H2ProjectDB4578610[[#This Row],[Column33]]</f>
        <v>3601.44</v>
      </c>
      <c r="AD1981" s="62"/>
      <c r="AE1981" s="62">
        <f t="shared" si="208"/>
        <v>4619362.7828228418</v>
      </c>
      <c r="AF1981" s="64" t="s">
        <v>5022</v>
      </c>
      <c r="AG1981" s="49">
        <v>0.5</v>
      </c>
    </row>
    <row r="1982" spans="1:33" customFormat="1" ht="35.1" customHeight="1" x14ac:dyDescent="0.3">
      <c r="A1982" s="46">
        <v>2536</v>
      </c>
      <c r="B1982" s="46" t="s">
        <v>5023</v>
      </c>
      <c r="C1982" s="46" t="s">
        <v>39</v>
      </c>
      <c r="D1982" s="60">
        <v>2028</v>
      </c>
      <c r="E1982" s="60"/>
      <c r="F1982" s="46" t="s">
        <v>225</v>
      </c>
      <c r="G1982" s="46" t="s">
        <v>159</v>
      </c>
      <c r="H1982" s="46" t="s">
        <v>592</v>
      </c>
      <c r="I1982" s="46" t="s">
        <v>169</v>
      </c>
      <c r="J1982" s="46" t="s">
        <v>69</v>
      </c>
      <c r="K1982" s="46" t="s">
        <v>141</v>
      </c>
      <c r="L1982" s="46"/>
      <c r="M1982" s="46">
        <v>1</v>
      </c>
      <c r="N1982" s="46"/>
      <c r="O1982" s="46"/>
      <c r="P1982" s="46"/>
      <c r="Q1982" s="46"/>
      <c r="R1982" s="46"/>
      <c r="S1982" s="46"/>
      <c r="T1982" s="46"/>
      <c r="U1982" s="46"/>
      <c r="V1982" s="46"/>
      <c r="W1982" s="46"/>
      <c r="X1982" s="46"/>
      <c r="Y1982" s="46"/>
      <c r="Z1982" s="46" t="s">
        <v>5024</v>
      </c>
      <c r="AA1982" s="61">
        <f>IF(OR(G1982="ALK",G1982="PEM",G1982="SOEC",G1982="Other Electrolysis"),
AB1982*VLOOKUP(G1982,ElectrolysisConvF,3,FALSE),
"")</f>
        <v>948.41307309440629</v>
      </c>
      <c r="AB1982" s="62">
        <f>AC1982/(H2dens*HoursInYear/10^6)</f>
        <v>210758.46068764586</v>
      </c>
      <c r="AC1982" s="63">
        <f>912.5*3/17/0.98</f>
        <v>164.31572629051621</v>
      </c>
      <c r="AD1982" s="62"/>
      <c r="AE1982" s="62">
        <f t="shared" si="208"/>
        <v>210758.46068764586</v>
      </c>
      <c r="AF1982" s="64" t="s">
        <v>5025</v>
      </c>
      <c r="AG1982" s="49">
        <v>0.5</v>
      </c>
    </row>
    <row r="1983" spans="1:33" customFormat="1" ht="35.1" customHeight="1" x14ac:dyDescent="0.3">
      <c r="A1983" s="46">
        <v>2537</v>
      </c>
      <c r="B1983" s="46" t="s">
        <v>5026</v>
      </c>
      <c r="C1983" s="46" t="s">
        <v>203</v>
      </c>
      <c r="D1983" s="60">
        <v>2023</v>
      </c>
      <c r="E1983" s="60"/>
      <c r="F1983" s="46" t="s">
        <v>285</v>
      </c>
      <c r="G1983" s="46" t="s">
        <v>2</v>
      </c>
      <c r="H1983" s="46"/>
      <c r="I1983" s="46" t="s">
        <v>169</v>
      </c>
      <c r="J1983" s="46" t="s">
        <v>69</v>
      </c>
      <c r="K1983" s="46" t="s">
        <v>68</v>
      </c>
      <c r="L1983" s="46"/>
      <c r="M1983" s="46"/>
      <c r="N1983" s="46"/>
      <c r="O1983" s="46"/>
      <c r="P1983" s="46"/>
      <c r="Q1983" s="46"/>
      <c r="R1983" s="46"/>
      <c r="S1983" s="46"/>
      <c r="T1983" s="46"/>
      <c r="U1983" s="46"/>
      <c r="V1983" s="46"/>
      <c r="W1983" s="46"/>
      <c r="X1983" s="46"/>
      <c r="Y1983" s="46"/>
      <c r="Z1983" s="46" t="s">
        <v>4552</v>
      </c>
      <c r="AA1983" s="61">
        <f>250/1000</f>
        <v>0.25</v>
      </c>
      <c r="AB1983" s="62">
        <f>IF(OR(G1983="ALK",G1983="PEM",G1983="SOEC",G1983="Other Electrolysis"),
AA1983/VLOOKUP(G1983,ElectrolysisConvF,3,FALSE),
AC1983*10^6/(H2dens*HoursInYear))</f>
        <v>65.78947368421052</v>
      </c>
      <c r="AC1983" s="63">
        <f>AB1983*H2dens*HoursInYear/10^6</f>
        <v>5.1292105263157896E-2</v>
      </c>
      <c r="AD1983" s="62"/>
      <c r="AE1983" s="62">
        <f t="shared" si="208"/>
        <v>65.78947368421052</v>
      </c>
      <c r="AF1983" s="64" t="s">
        <v>5027</v>
      </c>
      <c r="AG1983" s="49">
        <v>0.5</v>
      </c>
    </row>
    <row r="1984" spans="1:33" customFormat="1" ht="35.1" customHeight="1" x14ac:dyDescent="0.3">
      <c r="A1984" s="46">
        <v>2538</v>
      </c>
      <c r="B1984" s="46" t="s">
        <v>5028</v>
      </c>
      <c r="C1984" s="46" t="s">
        <v>318</v>
      </c>
      <c r="D1984" s="60">
        <v>2027</v>
      </c>
      <c r="E1984" s="60"/>
      <c r="F1984" s="46" t="s">
        <v>591</v>
      </c>
      <c r="G1984" s="46" t="s">
        <v>159</v>
      </c>
      <c r="H1984" s="46" t="s">
        <v>592</v>
      </c>
      <c r="I1984" s="46" t="s">
        <v>169</v>
      </c>
      <c r="J1984" s="46" t="s">
        <v>244</v>
      </c>
      <c r="K1984" s="46" t="s">
        <v>68</v>
      </c>
      <c r="L1984" s="46"/>
      <c r="M1984" s="46"/>
      <c r="N1984" s="46"/>
      <c r="O1984" s="46"/>
      <c r="P1984" s="46"/>
      <c r="Q1984" s="46"/>
      <c r="R1984" s="46"/>
      <c r="S1984" s="46"/>
      <c r="T1984" s="46"/>
      <c r="U1984" s="46"/>
      <c r="V1984" s="46"/>
      <c r="W1984" s="46"/>
      <c r="X1984" s="46"/>
      <c r="Y1984" s="46"/>
      <c r="Z1984" s="46" t="s">
        <v>1654</v>
      </c>
      <c r="AA1984" s="61">
        <v>500</v>
      </c>
      <c r="AB1984" s="62">
        <f>IF(OR(G1984="ALK",G1984="PEM",G1984="SOEC",G1984="Other Electrolysis"),
AA1984/VLOOKUP(G1984,ElectrolysisConvF,3,FALSE),
AC1984*10^6/(H2dens*HoursInYear))</f>
        <v>111111.11111111112</v>
      </c>
      <c r="AC1984" s="63">
        <f>AB1984*H2dens*HoursInYear/10^6</f>
        <v>86.626666666666665</v>
      </c>
      <c r="AD1984" s="62"/>
      <c r="AE1984" s="62">
        <f t="shared" si="208"/>
        <v>111111.11111111112</v>
      </c>
      <c r="AF1984" s="64" t="s">
        <v>5029</v>
      </c>
      <c r="AG1984" s="49">
        <v>0.3</v>
      </c>
    </row>
    <row r="1985" spans="1:33" customFormat="1" ht="35.1" customHeight="1" x14ac:dyDescent="0.3">
      <c r="A1985" s="46">
        <v>2539</v>
      </c>
      <c r="B1985" s="46" t="s">
        <v>5030</v>
      </c>
      <c r="C1985" s="46" t="s">
        <v>43</v>
      </c>
      <c r="D1985" s="60">
        <v>2030</v>
      </c>
      <c r="E1985" s="60"/>
      <c r="F1985" s="46" t="s">
        <v>591</v>
      </c>
      <c r="G1985" s="46" t="s">
        <v>163</v>
      </c>
      <c r="H1985" s="46" t="s">
        <v>1805</v>
      </c>
      <c r="I1985" s="46"/>
      <c r="J1985" s="46"/>
      <c r="K1985" s="46" t="s">
        <v>68</v>
      </c>
      <c r="L1985" s="46">
        <v>1</v>
      </c>
      <c r="M1985" s="46"/>
      <c r="N1985" s="46"/>
      <c r="O1985" s="46"/>
      <c r="P1985" s="46"/>
      <c r="Q1985" s="46"/>
      <c r="R1985" s="46"/>
      <c r="S1985" s="46"/>
      <c r="T1985" s="46"/>
      <c r="U1985" s="46"/>
      <c r="V1985" s="46"/>
      <c r="W1985" s="46"/>
      <c r="X1985" s="46"/>
      <c r="Y1985" s="46"/>
      <c r="Z1985" s="46" t="s">
        <v>5031</v>
      </c>
      <c r="AA1985" s="61"/>
      <c r="AB1985" s="62">
        <f t="shared" ref="AB1985:AB1991" si="210">AC1985/(H2dens*HoursInYear/10^6)</f>
        <v>498.805716598544</v>
      </c>
      <c r="AC1985" s="76">
        <f>(350/1000/H2ProjectDB4578610[[#This Row],[Column33]])</f>
        <v>0.38888888888888884</v>
      </c>
      <c r="AD1985" s="62"/>
      <c r="AE1985" s="62">
        <f t="shared" si="208"/>
        <v>498.805716598544</v>
      </c>
      <c r="AF1985" s="64" t="s">
        <v>5032</v>
      </c>
      <c r="AG1985" s="49">
        <v>0.9</v>
      </c>
    </row>
    <row r="1986" spans="1:33" customFormat="1" ht="35.1" customHeight="1" x14ac:dyDescent="0.3">
      <c r="A1986" s="46">
        <v>2540</v>
      </c>
      <c r="B1986" s="46" t="s">
        <v>5033</v>
      </c>
      <c r="C1986" s="46" t="s">
        <v>43</v>
      </c>
      <c r="D1986" s="60">
        <v>2027</v>
      </c>
      <c r="E1986" s="60"/>
      <c r="F1986" s="46" t="s">
        <v>591</v>
      </c>
      <c r="G1986" s="46" t="s">
        <v>159</v>
      </c>
      <c r="H1986" s="46" t="s">
        <v>592</v>
      </c>
      <c r="I1986" s="46" t="s">
        <v>169</v>
      </c>
      <c r="J1986" s="46" t="s">
        <v>69</v>
      </c>
      <c r="K1986" s="46" t="s">
        <v>68</v>
      </c>
      <c r="L1986" s="46">
        <v>1</v>
      </c>
      <c r="M1986" s="46"/>
      <c r="N1986" s="46"/>
      <c r="O1986" s="46"/>
      <c r="P1986" s="46"/>
      <c r="Q1986" s="46"/>
      <c r="R1986" s="46"/>
      <c r="S1986" s="46"/>
      <c r="T1986" s="46"/>
      <c r="U1986" s="46"/>
      <c r="V1986" s="46"/>
      <c r="W1986" s="46"/>
      <c r="X1986" s="46"/>
      <c r="Y1986" s="46"/>
      <c r="Z1986" s="46" t="s">
        <v>5034</v>
      </c>
      <c r="AA1986" s="62">
        <f t="shared" ref="AA1986:AA1991" si="211">IF(OR(G1986="ALK",G1986="PEM",G1986="SOEC",G1986="Other Electrolysis"),
AB1986*VLOOKUP(G1986,ElectrolysisConvF,3,FALSE),
"")</f>
        <v>1.1543789441280591E-2</v>
      </c>
      <c r="AB1986" s="62">
        <f t="shared" si="210"/>
        <v>2.5652865425067981</v>
      </c>
      <c r="AC1986" s="76">
        <f>(1/1000/H2ProjectDB4578610[[#This Row],[Column33]])</f>
        <v>2E-3</v>
      </c>
      <c r="AD1986" s="62"/>
      <c r="AE1986" s="62">
        <f t="shared" si="208"/>
        <v>2.5652865425067981</v>
      </c>
      <c r="AF1986" s="64" t="s">
        <v>5032</v>
      </c>
      <c r="AG1986" s="49">
        <v>0.5</v>
      </c>
    </row>
    <row r="1987" spans="1:33" customFormat="1" ht="35.1" customHeight="1" x14ac:dyDescent="0.3">
      <c r="A1987" s="46">
        <v>2541</v>
      </c>
      <c r="B1987" s="46" t="s">
        <v>5035</v>
      </c>
      <c r="C1987" s="46" t="s">
        <v>43</v>
      </c>
      <c r="D1987" s="60">
        <v>2030</v>
      </c>
      <c r="E1987" s="60"/>
      <c r="F1987" s="46" t="s">
        <v>591</v>
      </c>
      <c r="G1987" s="46" t="s">
        <v>159</v>
      </c>
      <c r="H1987" s="46" t="s">
        <v>592</v>
      </c>
      <c r="I1987" s="46" t="s">
        <v>169</v>
      </c>
      <c r="J1987" s="46" t="s">
        <v>69</v>
      </c>
      <c r="K1987" s="46" t="s">
        <v>68</v>
      </c>
      <c r="L1987" s="46">
        <v>1</v>
      </c>
      <c r="M1987" s="46"/>
      <c r="N1987" s="46"/>
      <c r="O1987" s="46"/>
      <c r="P1987" s="46"/>
      <c r="Q1987" s="46"/>
      <c r="R1987" s="46"/>
      <c r="S1987" s="46"/>
      <c r="T1987" s="46"/>
      <c r="U1987" s="46"/>
      <c r="V1987" s="46"/>
      <c r="W1987" s="46"/>
      <c r="X1987" s="46"/>
      <c r="Y1987" s="46"/>
      <c r="Z1987" s="46" t="s">
        <v>5036</v>
      </c>
      <c r="AA1987" s="62">
        <f t="shared" si="211"/>
        <v>4.6175157765122363E-2</v>
      </c>
      <c r="AB1987" s="62">
        <f t="shared" si="210"/>
        <v>10.261146170027192</v>
      </c>
      <c r="AC1987" s="76">
        <f>((5-1)/1000/H2ProjectDB4578610[[#This Row],[Column33]])</f>
        <v>8.0000000000000002E-3</v>
      </c>
      <c r="AD1987" s="62"/>
      <c r="AE1987" s="62">
        <f t="shared" si="208"/>
        <v>10.261146170027192</v>
      </c>
      <c r="AF1987" s="64" t="s">
        <v>5032</v>
      </c>
      <c r="AG1987" s="49">
        <v>0.5</v>
      </c>
    </row>
    <row r="1988" spans="1:33" customFormat="1" ht="35.1" customHeight="1" x14ac:dyDescent="0.3">
      <c r="A1988" s="46">
        <v>2542</v>
      </c>
      <c r="B1988" s="46" t="s">
        <v>5037</v>
      </c>
      <c r="C1988" s="46" t="s">
        <v>43</v>
      </c>
      <c r="D1988" s="60">
        <v>2025</v>
      </c>
      <c r="E1988" s="60"/>
      <c r="F1988" s="46" t="s">
        <v>591</v>
      </c>
      <c r="G1988" s="46" t="s">
        <v>159</v>
      </c>
      <c r="H1988" s="46" t="s">
        <v>592</v>
      </c>
      <c r="I1988" s="46" t="s">
        <v>169</v>
      </c>
      <c r="J1988" s="46" t="s">
        <v>69</v>
      </c>
      <c r="K1988" s="46" t="s">
        <v>68</v>
      </c>
      <c r="L1988" s="46">
        <v>1</v>
      </c>
      <c r="M1988" s="46"/>
      <c r="N1988" s="46"/>
      <c r="O1988" s="46"/>
      <c r="P1988" s="46"/>
      <c r="Q1988" s="46"/>
      <c r="R1988" s="46"/>
      <c r="S1988" s="46"/>
      <c r="T1988" s="46"/>
      <c r="U1988" s="46"/>
      <c r="V1988" s="46"/>
      <c r="W1988" s="46"/>
      <c r="X1988" s="46"/>
      <c r="Y1988" s="46"/>
      <c r="Z1988" s="46" t="s">
        <v>5038</v>
      </c>
      <c r="AA1988" s="62">
        <f t="shared" si="211"/>
        <v>5.7718947206402953E-3</v>
      </c>
      <c r="AB1988" s="62">
        <f t="shared" si="210"/>
        <v>1.2826432712533991</v>
      </c>
      <c r="AC1988" s="76">
        <f>(0.5/1000/H2ProjectDB4578610[[#This Row],[Column33]])</f>
        <v>1E-3</v>
      </c>
      <c r="AD1988" s="62"/>
      <c r="AE1988" s="62">
        <f t="shared" si="208"/>
        <v>1.2826432712533991</v>
      </c>
      <c r="AF1988" s="64" t="s">
        <v>5032</v>
      </c>
      <c r="AG1988" s="49">
        <v>0.5</v>
      </c>
    </row>
    <row r="1989" spans="1:33" customFormat="1" ht="35.1" customHeight="1" x14ac:dyDescent="0.3">
      <c r="A1989" s="46">
        <v>2543</v>
      </c>
      <c r="B1989" s="46" t="s">
        <v>5039</v>
      </c>
      <c r="C1989" s="46" t="s">
        <v>43</v>
      </c>
      <c r="D1989" s="60">
        <v>2030</v>
      </c>
      <c r="E1989" s="60"/>
      <c r="F1989" s="46" t="s">
        <v>591</v>
      </c>
      <c r="G1989" s="46" t="s">
        <v>159</v>
      </c>
      <c r="H1989" s="46" t="s">
        <v>592</v>
      </c>
      <c r="I1989" s="46" t="s">
        <v>169</v>
      </c>
      <c r="J1989" s="46" t="s">
        <v>69</v>
      </c>
      <c r="K1989" s="46" t="s">
        <v>68</v>
      </c>
      <c r="L1989" s="46">
        <v>1</v>
      </c>
      <c r="M1989" s="46"/>
      <c r="N1989" s="46"/>
      <c r="O1989" s="46"/>
      <c r="P1989" s="46"/>
      <c r="Q1989" s="46"/>
      <c r="R1989" s="46"/>
      <c r="S1989" s="46"/>
      <c r="T1989" s="46"/>
      <c r="U1989" s="46"/>
      <c r="V1989" s="46"/>
      <c r="W1989" s="46"/>
      <c r="X1989" s="46"/>
      <c r="Y1989" s="46"/>
      <c r="Z1989" s="46" t="s">
        <v>5036</v>
      </c>
      <c r="AA1989" s="62">
        <f t="shared" si="211"/>
        <v>4.6175157765122363E-2</v>
      </c>
      <c r="AB1989" s="62">
        <f t="shared" si="210"/>
        <v>10.261146170027192</v>
      </c>
      <c r="AC1989" s="76">
        <f>((5-1)/1000/H2ProjectDB4578610[[#This Row],[Column33]])</f>
        <v>8.0000000000000002E-3</v>
      </c>
      <c r="AD1989" s="62"/>
      <c r="AE1989" s="62">
        <f t="shared" si="208"/>
        <v>10.261146170027192</v>
      </c>
      <c r="AF1989" s="64" t="s">
        <v>5032</v>
      </c>
      <c r="AG1989" s="49">
        <v>0.5</v>
      </c>
    </row>
    <row r="1990" spans="1:33" customFormat="1" ht="35.1" customHeight="1" x14ac:dyDescent="0.3">
      <c r="A1990" s="46">
        <v>2544</v>
      </c>
      <c r="B1990" s="46" t="s">
        <v>5040</v>
      </c>
      <c r="C1990" s="46" t="s">
        <v>40</v>
      </c>
      <c r="D1990" s="60">
        <v>2027</v>
      </c>
      <c r="E1990" s="60"/>
      <c r="F1990" s="46" t="s">
        <v>591</v>
      </c>
      <c r="G1990" s="46" t="s">
        <v>159</v>
      </c>
      <c r="H1990" s="46" t="s">
        <v>592</v>
      </c>
      <c r="I1990" s="46" t="s">
        <v>169</v>
      </c>
      <c r="J1990" s="46" t="s">
        <v>247</v>
      </c>
      <c r="K1990" s="46" t="s">
        <v>68</v>
      </c>
      <c r="L1990" s="46"/>
      <c r="M1990" s="46"/>
      <c r="N1990" s="46"/>
      <c r="O1990" s="46"/>
      <c r="P1990" s="46"/>
      <c r="Q1990" s="46">
        <v>1</v>
      </c>
      <c r="R1990" s="46"/>
      <c r="S1990" s="46"/>
      <c r="T1990" s="46"/>
      <c r="U1990" s="46"/>
      <c r="V1990" s="46"/>
      <c r="W1990" s="46"/>
      <c r="X1990" s="46"/>
      <c r="Y1990" s="46"/>
      <c r="Z1990" s="46" t="s">
        <v>5041</v>
      </c>
      <c r="AA1990" s="61">
        <f t="shared" si="211"/>
        <v>92.169943820224717</v>
      </c>
      <c r="AB1990" s="62">
        <f t="shared" si="210"/>
        <v>20482.209737827718</v>
      </c>
      <c r="AC1990" s="73">
        <f>((35/10^3)*365)/H2ProjectDB4578610[[#This Row],[Column33]]</f>
        <v>15.96875</v>
      </c>
      <c r="AD1990" s="62"/>
      <c r="AE1990" s="62">
        <f t="shared" si="208"/>
        <v>20482.209737827718</v>
      </c>
      <c r="AF1990" s="64" t="s">
        <v>5042</v>
      </c>
      <c r="AG1990" s="49">
        <v>0.8</v>
      </c>
    </row>
    <row r="1991" spans="1:33" customFormat="1" ht="35.1" customHeight="1" x14ac:dyDescent="0.3">
      <c r="A1991" s="46">
        <v>2545</v>
      </c>
      <c r="B1991" s="46" t="s">
        <v>5043</v>
      </c>
      <c r="C1991" s="46" t="s">
        <v>100</v>
      </c>
      <c r="D1991" s="60">
        <v>2026</v>
      </c>
      <c r="E1991" s="60"/>
      <c r="F1991" s="46" t="s">
        <v>225</v>
      </c>
      <c r="G1991" s="46" t="s">
        <v>159</v>
      </c>
      <c r="H1991" s="46" t="s">
        <v>592</v>
      </c>
      <c r="I1991" s="46" t="s">
        <v>169</v>
      </c>
      <c r="J1991" s="46" t="s">
        <v>69</v>
      </c>
      <c r="K1991" s="46" t="s">
        <v>68</v>
      </c>
      <c r="L1991" s="46"/>
      <c r="M1991" s="46"/>
      <c r="N1991" s="46"/>
      <c r="O1991" s="46"/>
      <c r="P1991" s="46">
        <v>1</v>
      </c>
      <c r="Q1991" s="46"/>
      <c r="R1991" s="46"/>
      <c r="S1991" s="46"/>
      <c r="T1991" s="46"/>
      <c r="U1991" s="46"/>
      <c r="V1991" s="46"/>
      <c r="W1991" s="46"/>
      <c r="X1991" s="46"/>
      <c r="Y1991" s="46"/>
      <c r="Z1991" s="46" t="s">
        <v>5044</v>
      </c>
      <c r="AA1991" s="63">
        <f t="shared" si="211"/>
        <v>202.01631522241036</v>
      </c>
      <c r="AB1991" s="62">
        <f t="shared" si="210"/>
        <v>44892.51449386897</v>
      </c>
      <c r="AC1991" s="62">
        <v>35</v>
      </c>
      <c r="AD1991" s="62"/>
      <c r="AE1991" s="62">
        <f t="shared" si="208"/>
        <v>44892.51449386897</v>
      </c>
      <c r="AF1991" s="64" t="s">
        <v>5045</v>
      </c>
      <c r="AG1991" s="49">
        <v>0.5</v>
      </c>
    </row>
    <row r="1992" spans="1:33" customFormat="1" ht="35.1" customHeight="1" x14ac:dyDescent="0.3">
      <c r="A1992" s="75">
        <v>2546</v>
      </c>
      <c r="B1992" s="75" t="s">
        <v>5046</v>
      </c>
      <c r="C1992" s="75" t="s">
        <v>34</v>
      </c>
      <c r="D1992" s="74">
        <v>2026</v>
      </c>
      <c r="E1992" s="74"/>
      <c r="F1992" s="75" t="s">
        <v>591</v>
      </c>
      <c r="G1992" s="75" t="s">
        <v>159</v>
      </c>
      <c r="H1992" s="75" t="s">
        <v>592</v>
      </c>
      <c r="I1992" s="75" t="s">
        <v>1317</v>
      </c>
      <c r="J1992" s="75" t="s">
        <v>69</v>
      </c>
      <c r="K1992" s="75" t="s">
        <v>68</v>
      </c>
      <c r="L1992" s="75">
        <v>1</v>
      </c>
      <c r="M1992" s="75"/>
      <c r="N1992" s="75"/>
      <c r="O1992" s="75"/>
      <c r="P1992" s="75"/>
      <c r="Q1992" s="75"/>
      <c r="R1992" s="75"/>
      <c r="S1992" s="75"/>
      <c r="T1992" s="75"/>
      <c r="U1992" s="75"/>
      <c r="V1992" s="75"/>
      <c r="W1992" s="75"/>
      <c r="X1992" s="75"/>
      <c r="Y1992" s="75"/>
      <c r="Z1992" s="75" t="s">
        <v>1691</v>
      </c>
      <c r="AA1992" s="83">
        <v>200</v>
      </c>
      <c r="AB1992" s="84">
        <f>IF(OR(G1992="ALK",G1992="PEM",G1992="SOEC",G1992="Other Electrolysis"),
AA1992/VLOOKUP(G1992,ElectrolysisConvF,3,FALSE),
AC1992*10^6/(H2dens*HoursInYear))</f>
        <v>44444.444444444445</v>
      </c>
      <c r="AC1992" s="84">
        <f>AB1992*H2dens*HoursInYear/10^6</f>
        <v>34.650666666666666</v>
      </c>
      <c r="AD1992" s="84"/>
      <c r="AE1992" s="84">
        <f t="shared" si="208"/>
        <v>44444.444444444445</v>
      </c>
      <c r="AF1992" s="85" t="s">
        <v>5047</v>
      </c>
      <c r="AG1992" s="86">
        <v>0.7</v>
      </c>
    </row>
    <row r="1993" spans="1:33" customFormat="1" ht="35.1" customHeight="1" x14ac:dyDescent="0.3">
      <c r="A1993" s="46">
        <v>2547</v>
      </c>
      <c r="B1993" s="46" t="s">
        <v>5048</v>
      </c>
      <c r="C1993" s="46" t="s">
        <v>39</v>
      </c>
      <c r="D1993" s="60"/>
      <c r="E1993" s="60"/>
      <c r="F1993" s="46" t="s">
        <v>225</v>
      </c>
      <c r="G1993" s="46" t="s">
        <v>159</v>
      </c>
      <c r="H1993" s="46" t="s">
        <v>592</v>
      </c>
      <c r="I1993" s="46" t="s">
        <v>169</v>
      </c>
      <c r="J1993" s="46" t="s">
        <v>69</v>
      </c>
      <c r="K1993" s="46" t="s">
        <v>141</v>
      </c>
      <c r="L1993" s="46"/>
      <c r="M1993" s="46">
        <v>1</v>
      </c>
      <c r="N1993" s="46"/>
      <c r="O1993" s="46"/>
      <c r="P1993" s="46"/>
      <c r="Q1993" s="46"/>
      <c r="R1993" s="46"/>
      <c r="S1993" s="46"/>
      <c r="T1993" s="46"/>
      <c r="U1993" s="46"/>
      <c r="V1993" s="46"/>
      <c r="W1993" s="46"/>
      <c r="X1993" s="46"/>
      <c r="Y1993" s="46"/>
      <c r="Z1993" s="46" t="s">
        <v>672</v>
      </c>
      <c r="AA1993" s="61">
        <v>1000</v>
      </c>
      <c r="AB1993" s="62">
        <f>IF(OR(G1993="ALK",G1993="PEM",G1993="SOEC",G1993="Other Electrolysis"),
AA1993/VLOOKUP(G1993,ElectrolysisConvF,3,FALSE),
AC1993*10^6/(H2dens*HoursInYear))</f>
        <v>222222.22222222225</v>
      </c>
      <c r="AC1993" s="63">
        <f>AB1993*H2dens*HoursInYear/10^6</f>
        <v>173.25333333333333</v>
      </c>
      <c r="AD1993" s="62"/>
      <c r="AE1993" s="62">
        <f t="shared" si="208"/>
        <v>222222.22222222225</v>
      </c>
      <c r="AF1993" s="64" t="s">
        <v>5049</v>
      </c>
      <c r="AG1993" s="49">
        <v>0.5</v>
      </c>
    </row>
    <row r="1994" spans="1:33" customFormat="1" ht="35.1" customHeight="1" x14ac:dyDescent="0.3">
      <c r="A1994" s="46">
        <v>2548</v>
      </c>
      <c r="B1994" s="46" t="s">
        <v>5050</v>
      </c>
      <c r="C1994" s="46" t="s">
        <v>46</v>
      </c>
      <c r="D1994" s="60">
        <v>2025</v>
      </c>
      <c r="E1994" s="60"/>
      <c r="F1994" s="46" t="s">
        <v>225</v>
      </c>
      <c r="G1994" s="46" t="s">
        <v>159</v>
      </c>
      <c r="H1994" s="46" t="s">
        <v>592</v>
      </c>
      <c r="I1994" s="46" t="s">
        <v>169</v>
      </c>
      <c r="J1994" s="46" t="s">
        <v>69</v>
      </c>
      <c r="K1994" s="46" t="s">
        <v>68</v>
      </c>
      <c r="L1994" s="46"/>
      <c r="M1994" s="46"/>
      <c r="N1994" s="46"/>
      <c r="O1994" s="46"/>
      <c r="P1994" s="46"/>
      <c r="Q1994" s="46"/>
      <c r="R1994" s="46"/>
      <c r="S1994" s="46"/>
      <c r="T1994" s="46"/>
      <c r="U1994" s="46"/>
      <c r="V1994" s="46"/>
      <c r="W1994" s="46"/>
      <c r="X1994" s="46"/>
      <c r="Y1994" s="46"/>
      <c r="Z1994" s="46" t="s">
        <v>676</v>
      </c>
      <c r="AA1994" s="61">
        <v>2.5</v>
      </c>
      <c r="AB1994" s="62">
        <f>IF(OR(G1994="ALK",G1994="PEM",G1994="SOEC",G1994="Other Electrolysis"),
AA1994/VLOOKUP(G1994,ElectrolysisConvF,3,FALSE),
AC1994*10^6/(H2dens*HoursInYear))</f>
        <v>555.55555555555554</v>
      </c>
      <c r="AC1994" s="63">
        <f>AB1994*H2dens*HoursInYear/10^6</f>
        <v>0.43313333333333331</v>
      </c>
      <c r="AD1994" s="62"/>
      <c r="AE1994" s="62">
        <f t="shared" si="208"/>
        <v>555.55555555555554</v>
      </c>
      <c r="AF1994" s="64" t="s">
        <v>5051</v>
      </c>
      <c r="AG1994" s="49">
        <v>0.5</v>
      </c>
    </row>
    <row r="1995" spans="1:33" customFormat="1" ht="35.1" customHeight="1" x14ac:dyDescent="0.3">
      <c r="A1995" s="46">
        <v>2549</v>
      </c>
      <c r="B1995" s="46" t="s">
        <v>5052</v>
      </c>
      <c r="C1995" s="46" t="s">
        <v>203</v>
      </c>
      <c r="D1995" s="60">
        <v>2026</v>
      </c>
      <c r="E1995" s="60"/>
      <c r="F1995" s="46" t="s">
        <v>591</v>
      </c>
      <c r="G1995" s="46" t="s">
        <v>159</v>
      </c>
      <c r="H1995" s="46" t="s">
        <v>592</v>
      </c>
      <c r="I1995" s="46" t="s">
        <v>157</v>
      </c>
      <c r="J1995" s="46" t="s">
        <v>69</v>
      </c>
      <c r="K1995" s="46" t="s">
        <v>68</v>
      </c>
      <c r="L1995" s="46"/>
      <c r="M1995" s="46"/>
      <c r="N1995" s="46"/>
      <c r="O1995" s="46"/>
      <c r="P1995" s="46">
        <v>1</v>
      </c>
      <c r="Q1995" s="46">
        <v>1</v>
      </c>
      <c r="R1995" s="46"/>
      <c r="S1995" s="46"/>
      <c r="T1995" s="46"/>
      <c r="U1995" s="46"/>
      <c r="V1995" s="46"/>
      <c r="W1995" s="46"/>
      <c r="X1995" s="46"/>
      <c r="Y1995" s="46"/>
      <c r="Z1995" s="46" t="s">
        <v>3235</v>
      </c>
      <c r="AA1995" s="61">
        <v>320</v>
      </c>
      <c r="AB1995" s="62">
        <f>IF(OR(G1995="ALK",G1995="PEM",G1995="SOEC",G1995="Other Electrolysis"),
AA1995/VLOOKUP(G1995,ElectrolysisConvF,3,FALSE),
AC1995*10^6/(H2dens*HoursInYear))</f>
        <v>71111.111111111109</v>
      </c>
      <c r="AC1995" s="63">
        <f>AB1995*H2dens*HoursInYear/10^6</f>
        <v>55.441066666666664</v>
      </c>
      <c r="AD1995" s="62"/>
      <c r="AE1995" s="62">
        <f t="shared" si="208"/>
        <v>71111.111111111109</v>
      </c>
      <c r="AF1995" s="64" t="s">
        <v>5053</v>
      </c>
      <c r="AG1995" s="49">
        <v>0.56999999999999995</v>
      </c>
    </row>
    <row r="1996" spans="1:33" customFormat="1" ht="35.1" customHeight="1" x14ac:dyDescent="0.3">
      <c r="A1996" s="46">
        <v>2550</v>
      </c>
      <c r="B1996" s="46" t="s">
        <v>5054</v>
      </c>
      <c r="C1996" s="46" t="s">
        <v>35</v>
      </c>
      <c r="D1996" s="60">
        <v>2023</v>
      </c>
      <c r="E1996" s="60"/>
      <c r="F1996" s="46" t="s">
        <v>675</v>
      </c>
      <c r="G1996" s="46" t="s">
        <v>1</v>
      </c>
      <c r="H1996" s="46"/>
      <c r="I1996" s="46" t="s">
        <v>169</v>
      </c>
      <c r="J1996" s="46" t="s">
        <v>246</v>
      </c>
      <c r="K1996" s="46" t="s">
        <v>141</v>
      </c>
      <c r="L1996" s="46"/>
      <c r="M1996" s="46">
        <v>1</v>
      </c>
      <c r="N1996" s="46"/>
      <c r="O1996" s="46"/>
      <c r="P1996" s="46"/>
      <c r="Q1996" s="46"/>
      <c r="R1996" s="46"/>
      <c r="S1996" s="46"/>
      <c r="T1996" s="46"/>
      <c r="U1996" s="46"/>
      <c r="V1996" s="46"/>
      <c r="W1996" s="46"/>
      <c r="X1996" s="46"/>
      <c r="Y1996" s="46"/>
      <c r="Z1996" s="46" t="s">
        <v>1327</v>
      </c>
      <c r="AA1996" s="61">
        <v>1</v>
      </c>
      <c r="AB1996" s="62">
        <f>IF(OR(G1996="ALK",G1996="PEM",G1996="SOEC",G1996="Other Electrolysis"),
AA1996/VLOOKUP(G1996,ElectrolysisConvF,3,FALSE),
AC1996*10^6/(H2dens*HoursInYear))</f>
        <v>192.30769230769232</v>
      </c>
      <c r="AC1996" s="63">
        <f>AB1996*H2dens*HoursInYear/10^6</f>
        <v>0.14993076923076926</v>
      </c>
      <c r="AD1996" s="62"/>
      <c r="AE1996" s="62">
        <f t="shared" si="208"/>
        <v>192.30769230769232</v>
      </c>
      <c r="AF1996" s="64" t="s">
        <v>5055</v>
      </c>
      <c r="AG1996" s="49">
        <v>0.55000000000000004</v>
      </c>
    </row>
    <row r="1997" spans="1:33" customFormat="1" ht="35.1" customHeight="1" x14ac:dyDescent="0.3">
      <c r="A1997" s="46">
        <v>2551</v>
      </c>
      <c r="B1997" s="46" t="s">
        <v>5056</v>
      </c>
      <c r="C1997" s="46" t="s">
        <v>553</v>
      </c>
      <c r="D1997" s="60">
        <v>2035</v>
      </c>
      <c r="E1997" s="60"/>
      <c r="F1997" s="46" t="s">
        <v>225</v>
      </c>
      <c r="G1997" s="46" t="s">
        <v>159</v>
      </c>
      <c r="H1997" s="46" t="s">
        <v>592</v>
      </c>
      <c r="I1997" s="46" t="s">
        <v>169</v>
      </c>
      <c r="J1997" s="46" t="s">
        <v>248</v>
      </c>
      <c r="K1997" s="46" t="s">
        <v>141</v>
      </c>
      <c r="L1997" s="46"/>
      <c r="M1997" s="46">
        <v>1</v>
      </c>
      <c r="N1997" s="46"/>
      <c r="O1997" s="46"/>
      <c r="P1997" s="46"/>
      <c r="Q1997" s="46"/>
      <c r="R1997" s="46"/>
      <c r="S1997" s="46"/>
      <c r="T1997" s="46"/>
      <c r="U1997" s="46"/>
      <c r="V1997" s="46"/>
      <c r="W1997" s="46"/>
      <c r="X1997" s="46"/>
      <c r="Y1997" s="46"/>
      <c r="Z1997" s="46" t="s">
        <v>5021</v>
      </c>
      <c r="AA1997" s="62">
        <f t="shared" ref="AA1997:AA2003" si="212">IF(OR(G1997="ALK",G1997="PEM",G1997="SOEC",G1997="Other Electrolysis"),
AB1997*VLOOKUP(G1997,ElectrolysisConvF,3,FALSE),
"")</f>
        <v>20787.132522702785</v>
      </c>
      <c r="AB1997" s="62">
        <f>AC1997/(H2dens*HoursInYear/10^6)</f>
        <v>4619362.7828228418</v>
      </c>
      <c r="AC1997" s="63">
        <f>10000*0.180072/H2ProjectDB4578610[[#This Row],[Column33]]</f>
        <v>3601.44</v>
      </c>
      <c r="AD1997" s="62"/>
      <c r="AE1997" s="62">
        <f>AB1997</f>
        <v>4619362.7828228418</v>
      </c>
      <c r="AF1997" s="64" t="s">
        <v>1146</v>
      </c>
      <c r="AG1997" s="49">
        <v>0.5</v>
      </c>
    </row>
    <row r="1998" spans="1:33" customFormat="1" ht="35.1" customHeight="1" x14ac:dyDescent="0.3">
      <c r="A1998" s="46">
        <v>2552</v>
      </c>
      <c r="B1998" s="46" t="s">
        <v>5057</v>
      </c>
      <c r="C1998" s="46" t="s">
        <v>40</v>
      </c>
      <c r="D1998" s="60">
        <v>2027</v>
      </c>
      <c r="E1998" s="60"/>
      <c r="F1998" s="46" t="s">
        <v>225</v>
      </c>
      <c r="G1998" s="46" t="s">
        <v>161</v>
      </c>
      <c r="H1998" s="46" t="s">
        <v>882</v>
      </c>
      <c r="I1998" s="46" t="str">
        <f t="shared" ref="I1998" si="213">IF(AND(G1998&lt;&gt;"ALK",G1998&lt;&gt;"PEM",G1998&lt;&gt;"SOEC",G1998&lt;&gt;"Other electrolysis"),"N/A","")</f>
        <v>N/A</v>
      </c>
      <c r="J1998" s="46" t="str">
        <f t="shared" ref="J1998" si="214">IF(I1998&lt;&gt;"Dedicated renewable","N/A",)</f>
        <v>N/A</v>
      </c>
      <c r="K1998" s="46" t="s">
        <v>141</v>
      </c>
      <c r="L1998" s="46"/>
      <c r="M1998" s="46">
        <v>1</v>
      </c>
      <c r="N1998" s="46"/>
      <c r="O1998" s="46"/>
      <c r="P1998" s="46"/>
      <c r="Q1998" s="46"/>
      <c r="R1998" s="46">
        <v>1</v>
      </c>
      <c r="S1998" s="46"/>
      <c r="T1998" s="46"/>
      <c r="U1998" s="46"/>
      <c r="V1998" s="46"/>
      <c r="W1998" s="46"/>
      <c r="X1998" s="46"/>
      <c r="Y1998" s="46"/>
      <c r="Z1998" s="46" t="s">
        <v>3591</v>
      </c>
      <c r="AA1998" s="63" t="str">
        <f t="shared" si="212"/>
        <v/>
      </c>
      <c r="AB1998" s="62">
        <f>IF(OR(G1998="ALK",G1998="PEM",G1998="SOEC",G1998="Other Electrolysis"),
AA1998/VLOOKUP(G1998,ElectrolysisConvF,3,FALSE),
AC1998*10^6/(H2dens*HoursInYear))</f>
        <v>230968.17609605024</v>
      </c>
      <c r="AC1998" s="62">
        <f>1000*3/17/0.98</f>
        <v>180.0720288115246</v>
      </c>
      <c r="AD1998" s="62"/>
      <c r="AE1998" s="62">
        <f t="shared" ref="AE1998" si="215">IF(AND(G1998&lt;&gt;"NG w CCUS",G1998&lt;&gt;"Oil w CCUS",G1998&lt;&gt;"Coal w CCUS"),AB1998,AD1998*10^3/(HoursInYear*IF(G1998="NG w CCUS",0.9105,1.9075)))</f>
        <v>0</v>
      </c>
      <c r="AF1998" s="64" t="s">
        <v>5058</v>
      </c>
      <c r="AG1998" s="49">
        <v>0.9</v>
      </c>
    </row>
    <row r="1999" spans="1:33" customFormat="1" x14ac:dyDescent="0.3">
      <c r="A1999" s="50"/>
      <c r="B1999" s="50"/>
      <c r="C1999" s="50"/>
      <c r="D1999" s="50"/>
      <c r="E1999" s="50"/>
      <c r="F1999" s="50"/>
      <c r="G1999" s="50"/>
      <c r="H1999" s="50"/>
      <c r="I1999" s="50"/>
      <c r="J1999" s="50"/>
      <c r="K1999" s="50"/>
      <c r="L1999" s="50"/>
      <c r="M1999" s="50"/>
      <c r="N1999" s="50"/>
      <c r="O1999" s="50"/>
      <c r="P1999" s="50"/>
      <c r="Q1999" s="50"/>
      <c r="R1999" s="50"/>
      <c r="S1999" s="50"/>
      <c r="T1999" s="50"/>
      <c r="U1999" s="50"/>
      <c r="V1999" s="50"/>
      <c r="W1999" s="50"/>
      <c r="X1999" s="50"/>
      <c r="Y1999" s="50"/>
      <c r="Z1999" s="50"/>
      <c r="AA1999" s="87" t="str">
        <f t="shared" si="212"/>
        <v/>
      </c>
      <c r="AB1999" s="88"/>
      <c r="AC1999" s="88"/>
      <c r="AD1999" s="88"/>
      <c r="AE1999" s="88"/>
      <c r="AF1999" s="89"/>
      <c r="AG1999" s="50"/>
    </row>
    <row r="2000" spans="1:33" customFormat="1" x14ac:dyDescent="0.3">
      <c r="A2000" s="50"/>
      <c r="B2000" s="50"/>
      <c r="C2000" s="50"/>
      <c r="D2000" s="50"/>
      <c r="E2000" s="50"/>
      <c r="F2000" s="50"/>
      <c r="G2000" s="50"/>
      <c r="H2000" s="50"/>
      <c r="I2000" s="50"/>
      <c r="J2000" s="50"/>
      <c r="K2000" s="50"/>
      <c r="L2000" s="50"/>
      <c r="M2000" s="50"/>
      <c r="N2000" s="50"/>
      <c r="O2000" s="50"/>
      <c r="P2000" s="50"/>
      <c r="Q2000" s="50"/>
      <c r="R2000" s="50"/>
      <c r="S2000" s="50"/>
      <c r="T2000" s="50"/>
      <c r="U2000" s="50"/>
      <c r="V2000" s="50"/>
      <c r="W2000" s="50"/>
      <c r="X2000" s="50"/>
      <c r="Y2000" s="50"/>
      <c r="Z2000" s="50"/>
      <c r="AA2000" s="87" t="str">
        <f t="shared" si="212"/>
        <v/>
      </c>
      <c r="AB2000" s="88"/>
      <c r="AC2000" s="88"/>
      <c r="AD2000" s="88"/>
      <c r="AE2000" s="88"/>
      <c r="AF2000" s="89"/>
      <c r="AG2000" s="50"/>
    </row>
    <row r="2001" spans="1:33" customFormat="1" x14ac:dyDescent="0.3">
      <c r="A2001" s="50"/>
      <c r="B2001" s="50"/>
      <c r="C2001" s="50"/>
      <c r="D2001" s="50"/>
      <c r="E2001" s="50"/>
      <c r="F2001" s="50"/>
      <c r="G2001" s="50"/>
      <c r="H2001" s="50"/>
      <c r="I2001" s="50"/>
      <c r="J2001" s="50"/>
      <c r="K2001" s="50"/>
      <c r="L2001" s="50"/>
      <c r="M2001" s="50"/>
      <c r="N2001" s="50"/>
      <c r="O2001" s="50"/>
      <c r="P2001" s="50"/>
      <c r="Q2001" s="50"/>
      <c r="R2001" s="50"/>
      <c r="S2001" s="50"/>
      <c r="T2001" s="50"/>
      <c r="U2001" s="50"/>
      <c r="V2001" s="50"/>
      <c r="W2001" s="50"/>
      <c r="X2001" s="50"/>
      <c r="Y2001" s="50"/>
      <c r="Z2001" s="50"/>
      <c r="AA2001" s="87" t="str">
        <f t="shared" si="212"/>
        <v/>
      </c>
      <c r="AB2001" s="88"/>
      <c r="AC2001" s="88"/>
      <c r="AD2001" s="88"/>
      <c r="AE2001" s="88"/>
      <c r="AF2001" s="89"/>
      <c r="AG2001" s="50"/>
    </row>
    <row r="2002" spans="1:33" customFormat="1" x14ac:dyDescent="0.3">
      <c r="A2002" s="50"/>
      <c r="B2002" s="50"/>
      <c r="C2002" s="50"/>
      <c r="D2002" s="50"/>
      <c r="E2002" s="50"/>
      <c r="F2002" s="50"/>
      <c r="G2002" s="50"/>
      <c r="H2002" s="50"/>
      <c r="I2002" s="50"/>
      <c r="J2002" s="50"/>
      <c r="K2002" s="50"/>
      <c r="L2002" s="50"/>
      <c r="M2002" s="50"/>
      <c r="N2002" s="50"/>
      <c r="O2002" s="50"/>
      <c r="P2002" s="50"/>
      <c r="Q2002" s="50"/>
      <c r="R2002" s="50"/>
      <c r="S2002" s="50"/>
      <c r="T2002" s="50"/>
      <c r="U2002" s="50"/>
      <c r="V2002" s="50"/>
      <c r="W2002" s="50"/>
      <c r="X2002" s="50"/>
      <c r="Y2002" s="50"/>
      <c r="Z2002" s="50"/>
      <c r="AA2002" s="87" t="str">
        <f t="shared" si="212"/>
        <v/>
      </c>
      <c r="AB2002" s="88"/>
      <c r="AC2002" s="88"/>
      <c r="AD2002" s="88"/>
      <c r="AE2002" s="88"/>
      <c r="AF2002" s="89"/>
      <c r="AG2002" s="50"/>
    </row>
    <row r="2003" spans="1:33" customFormat="1" x14ac:dyDescent="0.3">
      <c r="A2003" s="50"/>
      <c r="B2003" s="50"/>
      <c r="C2003" s="50"/>
      <c r="D2003" s="50"/>
      <c r="E2003" s="50"/>
      <c r="F2003" s="50"/>
      <c r="G2003" s="50"/>
      <c r="H2003" s="50"/>
      <c r="I2003" s="50"/>
      <c r="J2003" s="50"/>
      <c r="K2003" s="50"/>
      <c r="L2003" s="50"/>
      <c r="M2003" s="50"/>
      <c r="N2003" s="50"/>
      <c r="O2003" s="50"/>
      <c r="P2003" s="50"/>
      <c r="Q2003" s="50"/>
      <c r="R2003" s="50"/>
      <c r="S2003" s="50"/>
      <c r="T2003" s="50"/>
      <c r="U2003" s="50"/>
      <c r="V2003" s="50"/>
      <c r="W2003" s="50"/>
      <c r="X2003" s="50"/>
      <c r="Y2003" s="50"/>
      <c r="Z2003" s="50"/>
      <c r="AA2003" s="87" t="str">
        <f t="shared" si="212"/>
        <v/>
      </c>
      <c r="AB2003" s="88"/>
      <c r="AC2003" s="88"/>
      <c r="AD2003" s="88"/>
      <c r="AE2003" s="88"/>
      <c r="AF2003" s="89"/>
      <c r="AG2003" s="50"/>
    </row>
  </sheetData>
  <conditionalFormatting sqref="B668:B669">
    <cfRule type="expression" dxfId="1077" priority="813" stopIfTrue="1">
      <formula>#REF!="Confidential"</formula>
    </cfRule>
  </conditionalFormatting>
  <conditionalFormatting sqref="B742">
    <cfRule type="expression" dxfId="1076" priority="866" stopIfTrue="1">
      <formula>#REF!="Confidential"</formula>
    </cfRule>
  </conditionalFormatting>
  <conditionalFormatting sqref="D131 AD761:AF762">
    <cfRule type="expression" dxfId="1075" priority="89" stopIfTrue="1">
      <formula>#REF!="Confidential"</formula>
    </cfRule>
  </conditionalFormatting>
  <conditionalFormatting sqref="D419">
    <cfRule type="expression" dxfId="1074" priority="923" stopIfTrue="1">
      <formula>#REF!="Confidential"</formula>
    </cfRule>
  </conditionalFormatting>
  <conditionalFormatting sqref="D487:D488">
    <cfRule type="expression" dxfId="1073" priority="442" stopIfTrue="1">
      <formula>#REF!="Confidential"</formula>
    </cfRule>
  </conditionalFormatting>
  <conditionalFormatting sqref="D535">
    <cfRule type="expression" dxfId="1072" priority="1112" stopIfTrue="1">
      <formula>#REF!="Confidential"</formula>
    </cfRule>
  </conditionalFormatting>
  <conditionalFormatting sqref="D574:D578">
    <cfRule type="expression" dxfId="1071" priority="1093" stopIfTrue="1">
      <formula>#REF!="Confidential"</formula>
    </cfRule>
  </conditionalFormatting>
  <conditionalFormatting sqref="D584">
    <cfRule type="expression" dxfId="1070" priority="792" stopIfTrue="1">
      <formula>#REF!="Confidential"</formula>
    </cfRule>
  </conditionalFormatting>
  <conditionalFormatting sqref="D592">
    <cfRule type="expression" dxfId="1069" priority="882" stopIfTrue="1">
      <formula>#REF!="Confidential"</formula>
    </cfRule>
  </conditionalFormatting>
  <conditionalFormatting sqref="D600">
    <cfRule type="expression" dxfId="1068" priority="643" stopIfTrue="1">
      <formula>#REF!="Confidential"</formula>
    </cfRule>
  </conditionalFormatting>
  <conditionalFormatting sqref="D633">
    <cfRule type="expression" dxfId="1067" priority="402" stopIfTrue="1">
      <formula>#REF!="Confidential"</formula>
    </cfRule>
  </conditionalFormatting>
  <conditionalFormatting sqref="D667">
    <cfRule type="expression" dxfId="1066" priority="1072" stopIfTrue="1">
      <formula>#REF!="Confidential"</formula>
    </cfRule>
  </conditionalFormatting>
  <conditionalFormatting sqref="D686">
    <cfRule type="expression" dxfId="1065" priority="639" stopIfTrue="1">
      <formula>#REF!="Confidential"</formula>
    </cfRule>
  </conditionalFormatting>
  <conditionalFormatting sqref="D705">
    <cfRule type="expression" dxfId="1064" priority="199" stopIfTrue="1">
      <formula>#REF!="Confidential"</formula>
    </cfRule>
  </conditionalFormatting>
  <conditionalFormatting sqref="D727">
    <cfRule type="expression" dxfId="1063" priority="462" stopIfTrue="1">
      <formula>#REF!="Confidential"</formula>
    </cfRule>
  </conditionalFormatting>
  <conditionalFormatting sqref="D732">
    <cfRule type="expression" dxfId="1062" priority="356" stopIfTrue="1">
      <formula>#REF!="Confidential"</formula>
    </cfRule>
  </conditionalFormatting>
  <conditionalFormatting sqref="D744">
    <cfRule type="expression" dxfId="1061" priority="1026" stopIfTrue="1">
      <formula>#REF!="Confidential"</formula>
    </cfRule>
  </conditionalFormatting>
  <conditionalFormatting sqref="D746">
    <cfRule type="expression" dxfId="1060" priority="560" stopIfTrue="1">
      <formula>#REF!="Confidential"</formula>
    </cfRule>
  </conditionalFormatting>
  <conditionalFormatting sqref="D765">
    <cfRule type="expression" dxfId="1059" priority="1018" stopIfTrue="1">
      <formula>#REF!="Confidential"</formula>
    </cfRule>
  </conditionalFormatting>
  <conditionalFormatting sqref="D778">
    <cfRule type="expression" dxfId="1058" priority="651" stopIfTrue="1">
      <formula>#REF!="Confidential"</formula>
    </cfRule>
  </conditionalFormatting>
  <conditionalFormatting sqref="D821:D822">
    <cfRule type="expression" dxfId="1057" priority="965" stopIfTrue="1">
      <formula>#REF!="Confidential"</formula>
    </cfRule>
  </conditionalFormatting>
  <conditionalFormatting sqref="D826:D832">
    <cfRule type="expression" dxfId="1056" priority="435" stopIfTrue="1">
      <formula>#REF!="Confidential"</formula>
    </cfRule>
  </conditionalFormatting>
  <conditionalFormatting sqref="D834">
    <cfRule type="expression" dxfId="1055" priority="590" stopIfTrue="1">
      <formula>#REF!="Confidential"</formula>
    </cfRule>
  </conditionalFormatting>
  <conditionalFormatting sqref="D836">
    <cfRule type="expression" dxfId="1054" priority="589" stopIfTrue="1">
      <formula>#REF!="Confidential"</formula>
    </cfRule>
  </conditionalFormatting>
  <conditionalFormatting sqref="D856">
    <cfRule type="expression" dxfId="1053" priority="322" stopIfTrue="1">
      <formula>#REF!="Confidential"</formula>
    </cfRule>
  </conditionalFormatting>
  <conditionalFormatting sqref="D862:D867">
    <cfRule type="expression" dxfId="1052" priority="742" stopIfTrue="1">
      <formula>#REF!="Confidential"</formula>
    </cfRule>
  </conditionalFormatting>
  <conditionalFormatting sqref="D889:D890">
    <cfRule type="expression" dxfId="1051" priority="899" stopIfTrue="1">
      <formula>#REF!="Confidential"</formula>
    </cfRule>
  </conditionalFormatting>
  <conditionalFormatting sqref="D908:D909">
    <cfRule type="expression" dxfId="1050" priority="877" stopIfTrue="1">
      <formula>#REF!="Confidential"</formula>
    </cfRule>
  </conditionalFormatting>
  <conditionalFormatting sqref="D911:D915">
    <cfRule type="expression" dxfId="1049" priority="755" stopIfTrue="1">
      <formula>#REF!="Confidential"</formula>
    </cfRule>
  </conditionalFormatting>
  <conditionalFormatting sqref="D921:D923">
    <cfRule type="expression" dxfId="1048" priority="865" stopIfTrue="1">
      <formula>#REF!="Confidential"</formula>
    </cfRule>
  </conditionalFormatting>
  <conditionalFormatting sqref="D931">
    <cfRule type="expression" dxfId="1047" priority="857" stopIfTrue="1">
      <formula>#REF!="Confidential"</formula>
    </cfRule>
  </conditionalFormatting>
  <conditionalFormatting sqref="D933">
    <cfRule type="expression" dxfId="1046" priority="850" stopIfTrue="1">
      <formula>#REF!="Confidential"</formula>
    </cfRule>
  </conditionalFormatting>
  <conditionalFormatting sqref="D935">
    <cfRule type="expression" dxfId="1045" priority="846" stopIfTrue="1">
      <formula>#REF!="Confidential"</formula>
    </cfRule>
  </conditionalFormatting>
  <conditionalFormatting sqref="D938:D941">
    <cfRule type="expression" dxfId="1044" priority="431" stopIfTrue="1">
      <formula>#REF!="Confidential"</formula>
    </cfRule>
  </conditionalFormatting>
  <conditionalFormatting sqref="D946:D947">
    <cfRule type="expression" dxfId="1043" priority="840" stopIfTrue="1">
      <formula>#REF!="Confidential"</formula>
    </cfRule>
  </conditionalFormatting>
  <conditionalFormatting sqref="D949">
    <cfRule type="expression" dxfId="1042" priority="311" stopIfTrue="1">
      <formula>#REF!="Confidential"</formula>
    </cfRule>
  </conditionalFormatting>
  <conditionalFormatting sqref="D963">
    <cfRule type="expression" dxfId="1041" priority="824" stopIfTrue="1">
      <formula>#REF!="Confidential"</formula>
    </cfRule>
  </conditionalFormatting>
  <conditionalFormatting sqref="D966:D967">
    <cfRule type="expression" dxfId="1040" priority="820" stopIfTrue="1">
      <formula>#REF!="Confidential"</formula>
    </cfRule>
  </conditionalFormatting>
  <conditionalFormatting sqref="D970">
    <cfRule type="expression" dxfId="1039" priority="818" stopIfTrue="1">
      <formula>#REF!="Confidential"</formula>
    </cfRule>
  </conditionalFormatting>
  <conditionalFormatting sqref="D976">
    <cfRule type="expression" dxfId="1038" priority="812" stopIfTrue="1">
      <formula>#REF!="Confidential"</formula>
    </cfRule>
  </conditionalFormatting>
  <conditionalFormatting sqref="D984">
    <cfRule type="expression" dxfId="1037" priority="791" stopIfTrue="1">
      <formula>#REF!="Confidential"</formula>
    </cfRule>
  </conditionalFormatting>
  <conditionalFormatting sqref="D1006:D1007">
    <cfRule type="expression" dxfId="1036" priority="664" stopIfTrue="1">
      <formula>#REF!="Confidential"</formula>
    </cfRule>
  </conditionalFormatting>
  <conditionalFormatting sqref="D1028:D1032">
    <cfRule type="expression" dxfId="1035" priority="740" stopIfTrue="1">
      <formula>#REF!="Confidential"</formula>
    </cfRule>
  </conditionalFormatting>
  <conditionalFormatting sqref="D1039">
    <cfRule type="expression" dxfId="1034" priority="737" stopIfTrue="1">
      <formula>#REF!="Confidential"</formula>
    </cfRule>
  </conditionalFormatting>
  <conditionalFormatting sqref="D1041:D1043">
    <cfRule type="expression" dxfId="1033" priority="732" stopIfTrue="1">
      <formula>#REF!="Confidential"</formula>
    </cfRule>
  </conditionalFormatting>
  <conditionalFormatting sqref="D1047">
    <cfRule type="expression" dxfId="1032" priority="728" stopIfTrue="1">
      <formula>#REF!="Confidential"</formula>
    </cfRule>
  </conditionalFormatting>
  <conditionalFormatting sqref="D1049">
    <cfRule type="expression" dxfId="1031" priority="727" stopIfTrue="1">
      <formula>#REF!="Confidential"</formula>
    </cfRule>
  </conditionalFormatting>
  <conditionalFormatting sqref="D1052:D1054">
    <cfRule type="expression" dxfId="1030" priority="672" stopIfTrue="1">
      <formula>#REF!="Confidential"</formula>
    </cfRule>
  </conditionalFormatting>
  <conditionalFormatting sqref="D1057:D1059">
    <cfRule type="expression" dxfId="1029" priority="479" stopIfTrue="1">
      <formula>#REF!="Confidential"</formula>
    </cfRule>
  </conditionalFormatting>
  <conditionalFormatting sqref="D1062">
    <cfRule type="expression" dxfId="1028" priority="722" stopIfTrue="1">
      <formula>#REF!="Confidential"</formula>
    </cfRule>
  </conditionalFormatting>
  <conditionalFormatting sqref="D1064">
    <cfRule type="expression" dxfId="1027" priority="707" stopIfTrue="1">
      <formula>#REF!="Confidential"</formula>
    </cfRule>
  </conditionalFormatting>
  <conditionalFormatting sqref="D1068:D1070">
    <cfRule type="expression" dxfId="1026" priority="715" stopIfTrue="1">
      <formula>#REF!="Confidential"</formula>
    </cfRule>
  </conditionalFormatting>
  <conditionalFormatting sqref="D1073:D1077">
    <cfRule type="expression" dxfId="1025" priority="710" stopIfTrue="1">
      <formula>#REF!="Confidential"</formula>
    </cfRule>
  </conditionalFormatting>
  <conditionalFormatting sqref="D1081:D1084">
    <cfRule type="expression" dxfId="1024" priority="703" stopIfTrue="1">
      <formula>#REF!="Confidential"</formula>
    </cfRule>
  </conditionalFormatting>
  <conditionalFormatting sqref="D1088:D1089">
    <cfRule type="expression" dxfId="1023" priority="695" stopIfTrue="1">
      <formula>#REF!="Confidential"</formula>
    </cfRule>
  </conditionalFormatting>
  <conditionalFormatting sqref="D1091:D1100">
    <cfRule type="expression" dxfId="1022" priority="504" stopIfTrue="1">
      <formula>#REF!="Confidential"</formula>
    </cfRule>
  </conditionalFormatting>
  <conditionalFormatting sqref="D1102">
    <cfRule type="expression" dxfId="1021" priority="103" stopIfTrue="1">
      <formula>#REF!="Confidential"</formula>
    </cfRule>
  </conditionalFormatting>
  <conditionalFormatting sqref="D1104">
    <cfRule type="expression" dxfId="1020" priority="682" stopIfTrue="1">
      <formula>#REF!="Confidential"</formula>
    </cfRule>
  </conditionalFormatting>
  <conditionalFormatting sqref="D1125:D1127">
    <cfRule type="expression" dxfId="1019" priority="657" stopIfTrue="1">
      <formula>#REF!="Confidential"</formula>
    </cfRule>
  </conditionalFormatting>
  <conditionalFormatting sqref="D1130">
    <cfRule type="expression" dxfId="1018" priority="201" stopIfTrue="1">
      <formula>#REF!="Confidential"</formula>
    </cfRule>
  </conditionalFormatting>
  <conditionalFormatting sqref="D1132:D1133">
    <cfRule type="expression" dxfId="1017" priority="647" stopIfTrue="1">
      <formula>#REF!="Confidential"</formula>
    </cfRule>
  </conditionalFormatting>
  <conditionalFormatting sqref="D1135:D1143">
    <cfRule type="expression" dxfId="1016" priority="641" stopIfTrue="1">
      <formula>#REF!="Confidential"</formula>
    </cfRule>
  </conditionalFormatting>
  <conditionalFormatting sqref="D1145:D1150">
    <cfRule type="expression" dxfId="1015" priority="143" stopIfTrue="1">
      <formula>#REF!="Confidential"</formula>
    </cfRule>
  </conditionalFormatting>
  <conditionalFormatting sqref="D1152:D1155">
    <cfRule type="expression" dxfId="1014" priority="475" stopIfTrue="1">
      <formula>#REF!="Confidential"</formula>
    </cfRule>
  </conditionalFormatting>
  <conditionalFormatting sqref="D1160">
    <cfRule type="expression" dxfId="1013" priority="610" stopIfTrue="1">
      <formula>#REF!="Confidential"</formula>
    </cfRule>
  </conditionalFormatting>
  <conditionalFormatting sqref="D1162:D1164">
    <cfRule type="expression" dxfId="1012" priority="609" stopIfTrue="1">
      <formula>#REF!="Confidential"</formula>
    </cfRule>
  </conditionalFormatting>
  <conditionalFormatting sqref="D1172:D1175">
    <cfRule type="expression" dxfId="1011" priority="588" stopIfTrue="1">
      <formula>#REF!="Confidential"</formula>
    </cfRule>
  </conditionalFormatting>
  <conditionalFormatting sqref="D1177:D1190">
    <cfRule type="expression" dxfId="1010" priority="608" stopIfTrue="1">
      <formula>#REF!="Confidential"</formula>
    </cfRule>
  </conditionalFormatting>
  <conditionalFormatting sqref="D1200:D1202">
    <cfRule type="expression" dxfId="1009" priority="606" stopIfTrue="1">
      <formula>#REF!="Confidential"</formula>
    </cfRule>
  </conditionalFormatting>
  <conditionalFormatting sqref="D1204:D1222">
    <cfRule type="expression" dxfId="1008" priority="464" stopIfTrue="1">
      <formula>#REF!="Confidential"</formula>
    </cfRule>
  </conditionalFormatting>
  <conditionalFormatting sqref="D1225">
    <cfRule type="expression" dxfId="1007" priority="605" stopIfTrue="1">
      <formula>#REF!="Confidential"</formula>
    </cfRule>
  </conditionalFormatting>
  <conditionalFormatting sqref="D1227:D1229">
    <cfRule type="expression" dxfId="1006" priority="604" stopIfTrue="1">
      <formula>#REF!="Confidential"</formula>
    </cfRule>
  </conditionalFormatting>
  <conditionalFormatting sqref="D1231">
    <cfRule type="expression" dxfId="1005" priority="603" stopIfTrue="1">
      <formula>#REF!="Confidential"</formula>
    </cfRule>
  </conditionalFormatting>
  <conditionalFormatting sqref="D1236">
    <cfRule type="expression" dxfId="1004" priority="596" stopIfTrue="1">
      <formula>#REF!="Confidential"</formula>
    </cfRule>
  </conditionalFormatting>
  <conditionalFormatting sqref="D1264">
    <cfRule type="expression" dxfId="1003" priority="529" stopIfTrue="1">
      <formula>#REF!="Confidential"</formula>
    </cfRule>
  </conditionalFormatting>
  <conditionalFormatting sqref="D1280:D1281">
    <cfRule type="expression" dxfId="1002" priority="575" stopIfTrue="1">
      <formula>#REF!="Confidential"</formula>
    </cfRule>
  </conditionalFormatting>
  <conditionalFormatting sqref="D1283">
    <cfRule type="expression" dxfId="1001" priority="211" stopIfTrue="1">
      <formula>#REF!="Confidential"</formula>
    </cfRule>
  </conditionalFormatting>
  <conditionalFormatting sqref="D1285:D1288">
    <cfRule type="expression" dxfId="1000" priority="571" stopIfTrue="1">
      <formula>#REF!="Confidential"</formula>
    </cfRule>
  </conditionalFormatting>
  <conditionalFormatting sqref="D1290:D1298">
    <cfRule type="expression" dxfId="999" priority="564" stopIfTrue="1">
      <formula>#REF!="Confidential"</formula>
    </cfRule>
  </conditionalFormatting>
  <conditionalFormatting sqref="D1333">
    <cfRule type="expression" dxfId="998" priority="192" stopIfTrue="1">
      <formula>#REF!="Confidential"</formula>
    </cfRule>
  </conditionalFormatting>
  <conditionalFormatting sqref="D1358">
    <cfRule type="expression" dxfId="997" priority="288" stopIfTrue="1">
      <formula>#REF!="Confidential"</formula>
    </cfRule>
  </conditionalFormatting>
  <conditionalFormatting sqref="D1396">
    <cfRule type="expression" dxfId="996" priority="510" stopIfTrue="1">
      <formula>#REF!="Confidential"</formula>
    </cfRule>
  </conditionalFormatting>
  <conditionalFormatting sqref="D1398:D1401">
    <cfRule type="expression" dxfId="995" priority="474" stopIfTrue="1">
      <formula>#REF!="Confidential"</formula>
    </cfRule>
  </conditionalFormatting>
  <conditionalFormatting sqref="D1406:D1407">
    <cfRule type="expression" dxfId="994" priority="470" stopIfTrue="1">
      <formula>#REF!="Confidential"</formula>
    </cfRule>
  </conditionalFormatting>
  <conditionalFormatting sqref="D1413:D1415">
    <cfRule type="expression" dxfId="993" priority="468" stopIfTrue="1">
      <formula>#REF!="Confidential"</formula>
    </cfRule>
  </conditionalFormatting>
  <conditionalFormatting sqref="D1417:D1419">
    <cfRule type="expression" dxfId="992" priority="465" stopIfTrue="1">
      <formula>#REF!="Confidential"</formula>
    </cfRule>
  </conditionalFormatting>
  <conditionalFormatting sqref="D1422">
    <cfRule type="expression" dxfId="991" priority="460" stopIfTrue="1">
      <formula>#REF!="Confidential"</formula>
    </cfRule>
  </conditionalFormatting>
  <conditionalFormatting sqref="D1436:D1440">
    <cfRule type="expression" dxfId="990" priority="441" stopIfTrue="1">
      <formula>#REF!="Confidential"</formula>
    </cfRule>
  </conditionalFormatting>
  <conditionalFormatting sqref="D1457:D1458">
    <cfRule type="expression" dxfId="989" priority="424" stopIfTrue="1">
      <formula>#REF!="Confidential"</formula>
    </cfRule>
  </conditionalFormatting>
  <conditionalFormatting sqref="D1465:D1467">
    <cfRule type="expression" dxfId="988" priority="418" stopIfTrue="1">
      <formula>#REF!="Confidential"</formula>
    </cfRule>
  </conditionalFormatting>
  <conditionalFormatting sqref="D1475:D1477">
    <cfRule type="expression" dxfId="987" priority="407" stopIfTrue="1">
      <formula>#REF!="Confidential"</formula>
    </cfRule>
  </conditionalFormatting>
  <conditionalFormatting sqref="D1491:D1494">
    <cfRule type="expression" dxfId="986" priority="403" stopIfTrue="1">
      <formula>#REF!="Confidential"</formula>
    </cfRule>
  </conditionalFormatting>
  <conditionalFormatting sqref="D1496:D1497">
    <cfRule type="expression" dxfId="985" priority="400" stopIfTrue="1">
      <formula>#REF!="Confidential"</formula>
    </cfRule>
  </conditionalFormatting>
  <conditionalFormatting sqref="D1503:D1504">
    <cfRule type="expression" dxfId="984" priority="396" stopIfTrue="1">
      <formula>#REF!="Confidential"</formula>
    </cfRule>
  </conditionalFormatting>
  <conditionalFormatting sqref="D1514">
    <cfRule type="expression" dxfId="983" priority="379" stopIfTrue="1">
      <formula>#REF!="Confidential"</formula>
    </cfRule>
  </conditionalFormatting>
  <conditionalFormatting sqref="D1516:D1517">
    <cfRule type="expression" dxfId="982" priority="378" stopIfTrue="1">
      <formula>#REF!="Confidential"</formula>
    </cfRule>
  </conditionalFormatting>
  <conditionalFormatting sqref="D1519:D1521">
    <cfRule type="expression" dxfId="981" priority="374" stopIfTrue="1">
      <formula>#REF!="Confidential"</formula>
    </cfRule>
  </conditionalFormatting>
  <conditionalFormatting sqref="D1523">
    <cfRule type="expression" dxfId="980" priority="371" stopIfTrue="1">
      <formula>#REF!="Confidential"</formula>
    </cfRule>
  </conditionalFormatting>
  <conditionalFormatting sqref="D1553:D1554">
    <cfRule type="expression" dxfId="979" priority="359" stopIfTrue="1">
      <formula>#REF!="Confidential"</formula>
    </cfRule>
  </conditionalFormatting>
  <conditionalFormatting sqref="D1560:D1561">
    <cfRule type="expression" dxfId="978" priority="357" stopIfTrue="1">
      <formula>#REF!="Confidential"</formula>
    </cfRule>
  </conditionalFormatting>
  <conditionalFormatting sqref="D1656:D1658">
    <cfRule type="expression" dxfId="977" priority="279" stopIfTrue="1">
      <formula>#REF!="Confidential"</formula>
    </cfRule>
  </conditionalFormatting>
  <conditionalFormatting sqref="D1660">
    <cfRule type="expression" dxfId="976" priority="274" stopIfTrue="1">
      <formula>#REF!="Confidential"</formula>
    </cfRule>
  </conditionalFormatting>
  <conditionalFormatting sqref="D1666:D1667">
    <cfRule type="expression" dxfId="975" priority="267" stopIfTrue="1">
      <formula>#REF!="Confidential"</formula>
    </cfRule>
  </conditionalFormatting>
  <conditionalFormatting sqref="D1669">
    <cfRule type="expression" dxfId="974" priority="263" stopIfTrue="1">
      <formula>#REF!="Confidential"</formula>
    </cfRule>
  </conditionalFormatting>
  <conditionalFormatting sqref="D1671">
    <cfRule type="expression" dxfId="973" priority="261" stopIfTrue="1">
      <formula>#REF!="Confidential"</formula>
    </cfRule>
  </conditionalFormatting>
  <conditionalFormatting sqref="D1673:D1675">
    <cfRule type="expression" dxfId="972" priority="260" stopIfTrue="1">
      <formula>#REF!="Confidential"</formula>
    </cfRule>
  </conditionalFormatting>
  <conditionalFormatting sqref="D1678:D1681">
    <cfRule type="expression" dxfId="971" priority="259" stopIfTrue="1">
      <formula>#REF!="Confidential"</formula>
    </cfRule>
  </conditionalFormatting>
  <conditionalFormatting sqref="D1711">
    <cfRule type="expression" dxfId="970" priority="236" stopIfTrue="1">
      <formula>#REF!="Confidential"</formula>
    </cfRule>
  </conditionalFormatting>
  <conditionalFormatting sqref="D1721">
    <cfRule type="expression" dxfId="969" priority="231" stopIfTrue="1">
      <formula>#REF!="Confidential"</formula>
    </cfRule>
  </conditionalFormatting>
  <conditionalFormatting sqref="D1770">
    <cfRule type="expression" dxfId="968" priority="205" stopIfTrue="1">
      <formula>#REF!="Confidential"</formula>
    </cfRule>
  </conditionalFormatting>
  <conditionalFormatting sqref="D1772:D1776">
    <cfRule type="expression" dxfId="967" priority="202" stopIfTrue="1">
      <formula>#REF!="Confidential"</formula>
    </cfRule>
  </conditionalFormatting>
  <conditionalFormatting sqref="D1815">
    <cfRule type="expression" dxfId="966" priority="164" stopIfTrue="1">
      <formula>#REF!="Confidential"</formula>
    </cfRule>
  </conditionalFormatting>
  <conditionalFormatting sqref="D1827">
    <cfRule type="expression" dxfId="965" priority="148" stopIfTrue="1">
      <formula>#REF!="Confidential"</formula>
    </cfRule>
  </conditionalFormatting>
  <conditionalFormatting sqref="D1832">
    <cfRule type="expression" dxfId="964" priority="142" stopIfTrue="1">
      <formula>#REF!="Confidential"</formula>
    </cfRule>
  </conditionalFormatting>
  <conditionalFormatting sqref="D1834:D1835">
    <cfRule type="expression" dxfId="963" priority="122" stopIfTrue="1">
      <formula>#REF!="Confidential"</formula>
    </cfRule>
  </conditionalFormatting>
  <conditionalFormatting sqref="D1960">
    <cfRule type="expression" dxfId="962" priority="59" stopIfTrue="1">
      <formula>#REF!="Confidential"</formula>
    </cfRule>
  </conditionalFormatting>
  <conditionalFormatting sqref="D1962">
    <cfRule type="expression" dxfId="961" priority="56" stopIfTrue="1">
      <formula>#REF!="Confidential"</formula>
    </cfRule>
  </conditionalFormatting>
  <conditionalFormatting sqref="D1970:D1971">
    <cfRule type="expression" dxfId="960" priority="47" stopIfTrue="1">
      <formula>#REF!="Confidential"</formula>
    </cfRule>
  </conditionalFormatting>
  <conditionalFormatting sqref="D1980">
    <cfRule type="expression" dxfId="959" priority="37" stopIfTrue="1">
      <formula>#REF!="Confidential"</formula>
    </cfRule>
  </conditionalFormatting>
  <conditionalFormatting sqref="D1995">
    <cfRule type="expression" dxfId="958" priority="21" stopIfTrue="1">
      <formula>#REF!="Confidential"</formula>
    </cfRule>
  </conditionalFormatting>
  <conditionalFormatting sqref="D809:AF810 B225:C225 I225:K225 B512:B513 D512:E513 H512:I513 K512:AF513 B516 E516:Y516 Z516:AF517 C517:Y517 B519:C519 E519:J519 L519:AA519 AD519:AF519 B521:C521 J521:AF521 AA523:AF523 B523:C525 J523:Y526 AA524:AE524 E525:H525 Z525 AB525 AD525 B526:F526 Z526:AF526 B527:E527 G527 Z527 AB527:AF527 I527:Y528 B528:G528 Z528:AA528 AD528:AF528 B529:F529 K529:AF529 C530:E530 J530:L530 T530:AF530 AB532:AF532 B533:C533 Z533:AF533 E533:Y536 C534 Z534:AE534 B535:C536 Z535:AF537 C537:C539 D537:Y540 Z538 AB538:AF538 B539 Z539:AF544 B540:C541 E541:Y541 B542:Y543 C544:Y544 B545:G545 I545:AD545 AF545 C546 D546:AF558 B547:C558 R562:AE562 AF563 B564:C564 D564:F565 K564:AF565 B565 E566:F566 K566:AA566 AC566:AF566 B566:C573 L567:AF567 D567:F569 J568:AF569 D570:G570 L570:AF570 D571:H571 K571:AF572 D572:G573 I573:AF573 AD574:AF574 P575:Y575 I575:J576 E575:F577 B575:C578 Z575:AF578 K576:Y576 J577:Y577 E578:Y578 B579:AF583 B584:C584 G584:Z584 AF584 B585:AF586 B587:C587 E587:AF587 B588:AF589 B590:G591 I590:AF594 B592:C592 B593:G594 B596:C596 E596:F596 I596:AF596 T597:AF597 B597:F599 AA598:AF598 J599:Y600 Z599:AF601 B600:C600 E600:F600 B601:F601 L601:Y601 B602:E602 I602:O602 T602:AA602 AD602:AE602 B603:F604 L603:AE604 B605:AF610 B611:F611 I611 K611:Y611 Z611:AF614 B612:C612 E612:G612 J612:Y612 B613:F613 I613:Y614 B614:E614 B615:AF617 C618:Z618 AB618:AC618 AE618:AF618 B619:AF619 D620 B621:AF621 B622:F623 Z622:AE623 D624:AF628 B624:C636 D629:Z629 AB629 AD629:AF629 D630:AF632 E633:AF633 D634:AF640 C637:C640 B637:B663 E642:F643 I642:Y643 C642:C644 Z642:AF646 E644:Y645 D646:Y646 D647:AF648 C649:F649 I649 AD649:AF649 C650:AF652 C653:Y653 AA653:AF653 C654:F654 I654:AF654 C655:AF658 C660:F660 I660:AF660 L661:AF661 C661:E663 K662:AF662 I662:J663 L663:AF663 C664:Z664 AB664:AF664 J665:AF665 D665:F666 B665:C667 K666:AF666 E667:F667 I667:AF667 C668:AF672 B670:B687 C673:Z673 AB673:AF673 AA675:AC675 J676:AF676 C676:C687 J677:Z677 AB677:AF677 AA678:AE678 I679:AF680 J681:AF682 I683:AF684 D685:AA685 AD685:AF686 I686:AA686 E686:F687 I687:AF689 B688:F688 C689 E689:F689 B689:B695 C690:F690 I690:AA690 AC690:AF692 C691:AA691 C692:Y693 AD693:AF695 I694:Z695 E694:F698 J696:Z696 AC696:AF696 J697:AF698 B697:C741 D699:F699 K699:AF699 D700:G700 I700:AF700 E701:AF701 D702:AF702 E703:F703 J703:AF703 D704:F704 K704:AF704 E705:F705 J705:AF705 K706:AF706 D706:F707 J707:AF707 H708:AF709 E708:F710 J710:AF710 J711:Z712 AF711:AF743 AC712:AE712 D713:F713 S713:AE713 E714:AE714 E715:F715 I715:AE718 D716:F717 E718:F718 D719:F719 J719:AE719 E720:K721 Z720:AE724 E722:G724 I722:K724 E725:F725 I725:AE725 E726:AE726 E727 G727:AB727 D728:G728 I728:Y728 Z728:AE743 A729 D729:Y731 E732:Y732 D733:Y736 D737:G737 I737:Y737 D738:Y740 D741:G741 I741:Y741 C742:Y742 B743:Y743 B745:C745 E745:F745 J745:AF745 E747:Z747 AC747:AF747 B747:C760 E748:F748 J748:AF748 E749:Z749 AB749:AF749 D750:F750 K750:AF750 E751:AF751 D752:AA752 AD752:AF752 D753:AF754 J755:AF755 D755:F756 K756:AE756 D757:AA757 AD757:AE758 D758 E758:AA760 AD760:AF760 B761:E761 I761:AA761 I762:Z762 B762:C791 I763:AA764 AD763:AF764 E765:H765 L765:AA765 D766:E766 K766:AA766 K767:AE767 J768:AA769 G770:AA770 AC770:AE770 J771:Z772 J773 R773:AA773 J774:Z775 L776:AA776 D776:F777 H777:Z777 AD777:AF779 J778:Z778 E778:F779 H779:AA779 J780:AF780 D780:F784 H781:AA781 AD781:AF781 H782:Z782 AC782:AF782 J783:AF787 D785:H786 D787:E787 D788:AF788 D789:E789 Z789:AF789 J789:Y792 Z790:AE790 D790:F791 AD791:AF791 Z791:Z792 C792:F792 AC792:AF792 B793:H793 J793:AF794 B794:F794 B795:C795 E795:F795 I795 L795:AE795 B796:AB796 C797:AE797 B798:AF798 B799:C799 E799:AF799 B800:AF806 Z807:AF807 B807:Y808 Z808:AC808 AE808:AF808 B809:C813 J811:AF811 E812:AF812 D812:D813 E813 K813:AF813 B814:E814 L814:AA814 AD814:AF814 E815 J815:AE815 D815:D817 B815:C822 E816:G816 I816:AF816 E817:AF817 D818:AD819 AF818:AF820 D820:E820 G820:AD820 Z821 AD821:AF821 E821:Y822 Z822:AF824 E823:F823 B823:D824 I823:Y824 E824 B825:F825 L825:AF825 E826:AF826 B826:C837 E827:G827 I827:AF827 E828:AF830 E831:Z832 AD831:AF837 G834:Z834 E834:E837 G835:Y837 B839:D839 G839:I839 K839:AA839 AF839:AF840 B840:AA840 B841:D842 L841:AF843 E841:E844 B843:C843 J844:Z844 AC844:AF844 B844:D848 E845:F845 J845:AF845 E846:AF846 J847:AF847 E847:F848 L848:AF848 B849:I849 K849:Y849 AD849:AF849 E850:F850 K850:AF851 B850:D855 E851 E852:H852 J852:AF852 E853:F853 L853:AF853 E854 K854:Z854 AD854:AF854 E855:F855 J855:AF855 C856 Z856:AE856 B856:B857 C857:AE857 E858:F858 L858:Y858 Z858:AA859 B858:C867 E859:H859 K859:Y859 E862:F862 J862:AE862 E863:AE864 E865:AA866 I867:AA867 AC867:AD867 B868:F868 K868:AE868 E869:H869 J869:AA869 AC869:AE869 D869:D870 B869:C881 E870:AF870 D871:Z871 AC871:AF871 Z872:AF872 E872:Y876 Z873:Z874 AC873:AE874 AF873:AF875 Z875:AA875 Z876:AF877 D877:G877 I877:Y877 AD878:AE878 E878:AA880 AF878:AF882 AC879:AE879 E881:Z881 AC881:AE881 L882:AA882 G883:AF883 E883:F884 B883:C886 H884:Y884 AD884:AF884 E885:Z885 AC885:AF887 G886:Z887 B887:E888 AD888:AF888 K889:AA889 B889:C890 E889:E890 H889:H890 K890:Z890 J891:Y892 B891:F893 Z891:AF893 L893:Y893 B894:AF894 B895:Y895 AD895:AF896 B896:AA896 E897:Z897 AD897:AE898 B897:C906 E898:Y903 Z899:AA899 AC899:AE899 Z900:AF901 Z902:AA903 AD902:AF905 D904:AA904 D905:G905 I905:AA905 E906:AF906 E909:F909 J909:AA909 AD909:AF910 B909:C923 D910:AA910 E911:F911 AB911:AF911 K911:Z912 E912 AC912:AF912 E913:F913 J913:AA913 AD913:AF913 E914:H914 J914:Z914 AC914:AF914 H915 J915:AA917 AD915:AF917 D916:F919 I918:J918 L918 R918:AF918 G918:G919 H919:AF919 D920:E920 L920:AF920 E921 G921 I921:AA921 AD921:AF923 E922:AA922 E923:F923 J923:Z923 B924:AF924 B925:AE929 B930:F930 K930:Z930 AD930:AF931 E931 K931:AA931 B931:C936 E932:F932 J932:AF932 E933:AF933 G934 I934:AF934 E935:AD935 AF935 E936:F936 J936:AF936 E938:Z940 B938:C941 AD938:AF941 E941:J941 Z941 B942:F944 J942:AF944 AD946:AE946 B946:C947 E946:F947 L946:AA947 AD947:AF947 B949:C949 E949:F949 AD949:AF949 K949:Y950 Z950:AF950 B950:I951 K951:AF951 D952:E952 K952:AA952 AD952:AF952 B952:C953 E953:AA953 AC953:AF953 B954:AF954 AD955:AF957 B955:C960 Z955:AA960 E960:H960 K960:Y960 AD960:AF960 D962:F962 J962:AA962 B962:C963 AD962:AF965 E963:H963 L963:AA963 B964:F965 K964:Z966 AC966:AF966 B966:C967 E966:F968 L967:AA967 AD967:AF967 B968:D968 J968:AF968 B970:C970 E970 J970 L970:Y970 AD970:AF970 Z970:AA971 B971:Y971 AD971:AE971 B972:E973 L972:Z973 AD972:AF973 J975:Y975 AD975:AF975 E975:F976 B975:C978 Z976:AF976 Z977:Z978 AC977:AF978 J979:AA979 AD979:AE979 B979:F980 I980:AF980 E981:G981 K981:AF981 B981:C982 E982:AA982 AC982:AF982 B983:AF983 K984:AA984 AD984:AE984 B984:C989 K985:Y986 AD985:AF986 K987:AF987 D988:AA988 AD988:AF989 D989:E989 I989:AA989 D992:F992 K992:AE993 B992:C1001 D993:E994 Z994:AE994 K994:Y995 AA995 AC995 AE995 Z996:AE998 D999:E1001 Z999:AD1001 C1007:C1009 I1016:J1016 B1031 B1056 D1066 I1084 B1096:C1096 E1096 AC1096 J1103:AF1103 B1103:C1104 G1104:Z1104 AD1104:AE1104 C1110 B1117:B1118 D1117:D1118 D1192:D1196 C1234 E1234:F1234 J1234:Z1234 B1234:B1235 C1235:AA1235 C1273:G1274 Z1346:AA1346 B1346:C1347 B1395:G1395 B1423:C1423 J1423 Z1423 B1432:C1432 C1436 B1454:C1454 B1466:C1466 E1466:AF1466 B1468:C1470 AA1507:AB1507 AB1521:AC1523 C1553 C1565:F1565 B1580:C1580 J1580 Z1580 B1633:F1633 Z1633:AF1633 B1666:B1668 B1721 B1723 D1819 A1992:F1992 L1992:AA1992 AD1992:AF1992">
    <cfRule type="expression" dxfId="957" priority="1118" stopIfTrue="1">
      <formula>#REF!="Confidential"</formula>
    </cfRule>
  </conditionalFormatting>
  <conditionalFormatting sqref="E584">
    <cfRule type="expression" dxfId="956" priority="795" stopIfTrue="1">
      <formula>#REF!="Confidential"</formula>
    </cfRule>
  </conditionalFormatting>
  <conditionalFormatting sqref="E839">
    <cfRule type="expression" dxfId="955" priority="951" stopIfTrue="1">
      <formula>#REF!="Confidential"</formula>
    </cfRule>
  </conditionalFormatting>
  <conditionalFormatting sqref="E886">
    <cfRule type="expression" dxfId="954" priority="903" stopIfTrue="1">
      <formula>#REF!="Confidential"</formula>
    </cfRule>
  </conditionalFormatting>
  <conditionalFormatting sqref="E934">
    <cfRule type="expression" dxfId="953" priority="849" stopIfTrue="1">
      <formula>#REF!="Confidential"</formula>
    </cfRule>
  </conditionalFormatting>
  <conditionalFormatting sqref="E984:E986">
    <cfRule type="expression" dxfId="952" priority="494" stopIfTrue="1">
      <formula>#REF!="Confidential"</formula>
    </cfRule>
  </conditionalFormatting>
  <conditionalFormatting sqref="E995:E998">
    <cfRule type="expression" dxfId="951" priority="778" stopIfTrue="1">
      <formula>#REF!="Confidential"</formula>
    </cfRule>
  </conditionalFormatting>
  <conditionalFormatting sqref="E1104">
    <cfRule type="expression" dxfId="950" priority="684" stopIfTrue="1">
      <formula>#REF!="Confidential"</formula>
    </cfRule>
  </conditionalFormatting>
  <conditionalFormatting sqref="E225:F225">
    <cfRule type="expression" dxfId="949" priority="1100" stopIfTrue="1">
      <formula>#REF!="Confidential"</formula>
    </cfRule>
  </conditionalFormatting>
  <conditionalFormatting sqref="E521:F521">
    <cfRule type="expression" dxfId="948" priority="1117" stopIfTrue="1">
      <formula>#REF!="Confidential"</formula>
    </cfRule>
  </conditionalFormatting>
  <conditionalFormatting sqref="E523:F524">
    <cfRule type="expression" dxfId="947" priority="1116" stopIfTrue="1">
      <formula>#REF!="Confidential"</formula>
    </cfRule>
  </conditionalFormatting>
  <conditionalFormatting sqref="E676:F684">
    <cfRule type="expression" dxfId="946" priority="1066" stopIfTrue="1">
      <formula>#REF!="Confidential"</formula>
    </cfRule>
  </conditionalFormatting>
  <conditionalFormatting sqref="E762:F764">
    <cfRule type="expression" dxfId="945" priority="1020" stopIfTrue="1">
      <formula>#REF!="Confidential"</formula>
    </cfRule>
  </conditionalFormatting>
  <conditionalFormatting sqref="E767:F775">
    <cfRule type="expression" dxfId="944" priority="546" stopIfTrue="1">
      <formula>#REF!="Confidential"</formula>
    </cfRule>
  </conditionalFormatting>
  <conditionalFormatting sqref="E809:F809">
    <cfRule type="expression" dxfId="943" priority="989" stopIfTrue="1">
      <formula>#REF!="Confidential"</formula>
    </cfRule>
  </conditionalFormatting>
  <conditionalFormatting sqref="E811:F811">
    <cfRule type="expression" dxfId="942" priority="987" stopIfTrue="1">
      <formula>#REF!="Confidential"</formula>
    </cfRule>
  </conditionalFormatting>
  <conditionalFormatting sqref="E867:F867">
    <cfRule type="expression" dxfId="941" priority="913" stopIfTrue="1">
      <formula>#REF!="Confidential"</formula>
    </cfRule>
  </conditionalFormatting>
  <conditionalFormatting sqref="E955:F959">
    <cfRule type="expression" dxfId="940" priority="833" stopIfTrue="1">
      <formula>#REF!="Confidential"</formula>
    </cfRule>
  </conditionalFormatting>
  <conditionalFormatting sqref="E1103:F1103">
    <cfRule type="expression" dxfId="939" priority="687" stopIfTrue="1">
      <formula>#REF!="Confidential"</formula>
    </cfRule>
  </conditionalFormatting>
  <conditionalFormatting sqref="E1468:F1469">
    <cfRule type="expression" dxfId="938" priority="416" stopIfTrue="1">
      <formula>#REF!="Confidential"</formula>
    </cfRule>
  </conditionalFormatting>
  <conditionalFormatting sqref="E592:G592">
    <cfRule type="expression" dxfId="937" priority="1062" stopIfTrue="1">
      <formula>#REF!="Confidential"</formula>
    </cfRule>
  </conditionalFormatting>
  <conditionalFormatting sqref="E711:H712">
    <cfRule type="expression" dxfId="936" priority="1037" stopIfTrue="1">
      <formula>#REF!="Confidential"</formula>
    </cfRule>
  </conditionalFormatting>
  <conditionalFormatting sqref="E833:Y833">
    <cfRule type="expression" dxfId="935" priority="959" stopIfTrue="1">
      <formula>#REF!="Confidential"</formula>
    </cfRule>
  </conditionalFormatting>
  <conditionalFormatting sqref="E856:Y856">
    <cfRule type="expression" dxfId="934" priority="920" stopIfTrue="1">
      <formula>#REF!="Confidential"</formula>
    </cfRule>
  </conditionalFormatting>
  <conditionalFormatting sqref="F393">
    <cfRule type="expression" dxfId="933" priority="960" stopIfTrue="1">
      <formula>#REF!="Confidential"</formula>
    </cfRule>
  </conditionalFormatting>
  <conditionalFormatting sqref="F464">
    <cfRule type="expression" dxfId="932" priority="848" stopIfTrue="1">
      <formula>#REF!="Confidential"</formula>
    </cfRule>
  </conditionalFormatting>
  <conditionalFormatting sqref="F584">
    <cfRule type="expression" dxfId="931" priority="681" stopIfTrue="1">
      <formula>#REF!="Confidential"</formula>
    </cfRule>
  </conditionalFormatting>
  <conditionalFormatting sqref="F602">
    <cfRule type="expression" dxfId="930" priority="800" stopIfTrue="1">
      <formula>#REF!="Confidential"</formula>
    </cfRule>
  </conditionalFormatting>
  <conditionalFormatting sqref="F614">
    <cfRule type="expression" dxfId="929" priority="1085" stopIfTrue="1">
      <formula>#REF!="Confidential"</formula>
    </cfRule>
  </conditionalFormatting>
  <conditionalFormatting sqref="F661:F663">
    <cfRule type="expression" dxfId="928" priority="1077" stopIfTrue="1">
      <formula>#REF!="Confidential"</formula>
    </cfRule>
  </conditionalFormatting>
  <conditionalFormatting sqref="F727">
    <cfRule type="expression" dxfId="927" priority="463" stopIfTrue="1">
      <formula>#REF!="Confidential"</formula>
    </cfRule>
  </conditionalFormatting>
  <conditionalFormatting sqref="F761">
    <cfRule type="expression" dxfId="926" priority="472" stopIfTrue="1">
      <formula>#REF!="Confidential"</formula>
    </cfRule>
  </conditionalFormatting>
  <conditionalFormatting sqref="F766">
    <cfRule type="expression" dxfId="925" priority="1015" stopIfTrue="1">
      <formula>#REF!="Confidential"</formula>
    </cfRule>
  </conditionalFormatting>
  <conditionalFormatting sqref="F789">
    <cfRule type="expression" dxfId="924" priority="994" stopIfTrue="1">
      <formula>#REF!="Confidential"</formula>
    </cfRule>
  </conditionalFormatting>
  <conditionalFormatting sqref="F813:F815">
    <cfRule type="expression" dxfId="923" priority="983" stopIfTrue="1">
      <formula>#REF!="Confidential"</formula>
    </cfRule>
  </conditionalFormatting>
  <conditionalFormatting sqref="F820">
    <cfRule type="expression" dxfId="922" priority="64" stopIfTrue="1">
      <formula>#REF!="Confidential"</formula>
    </cfRule>
  </conditionalFormatting>
  <conditionalFormatting sqref="F824">
    <cfRule type="expression" dxfId="921" priority="964" stopIfTrue="1">
      <formula>#REF!="Confidential"</formula>
    </cfRule>
  </conditionalFormatting>
  <conditionalFormatting sqref="F834:F837">
    <cfRule type="expression" dxfId="920" priority="956" stopIfTrue="1">
      <formula>#REF!="Confidential"</formula>
    </cfRule>
  </conditionalFormatting>
  <conditionalFormatting sqref="F841:F844">
    <cfRule type="expression" dxfId="919" priority="945" stopIfTrue="1">
      <formula>#REF!="Confidential"</formula>
    </cfRule>
  </conditionalFormatting>
  <conditionalFormatting sqref="F851">
    <cfRule type="expression" dxfId="918" priority="932" stopIfTrue="1">
      <formula>#REF!="Confidential"</formula>
    </cfRule>
  </conditionalFormatting>
  <conditionalFormatting sqref="F854">
    <cfRule type="expression" dxfId="917" priority="928" stopIfTrue="1">
      <formula>#REF!="Confidential"</formula>
    </cfRule>
  </conditionalFormatting>
  <conditionalFormatting sqref="F886:F890">
    <cfRule type="expression" dxfId="916" priority="898" stopIfTrue="1">
      <formula>#REF!="Confidential"</formula>
    </cfRule>
  </conditionalFormatting>
  <conditionalFormatting sqref="F912">
    <cfRule type="expression" dxfId="915" priority="875" stopIfTrue="1">
      <formula>#REF!="Confidential"</formula>
    </cfRule>
  </conditionalFormatting>
  <conditionalFormatting sqref="F920:F921">
    <cfRule type="expression" dxfId="914" priority="867" stopIfTrue="1">
      <formula>#REF!="Confidential"</formula>
    </cfRule>
  </conditionalFormatting>
  <conditionalFormatting sqref="F931">
    <cfRule type="expression" dxfId="913" priority="856" stopIfTrue="1">
      <formula>#REF!="Confidential"</formula>
    </cfRule>
  </conditionalFormatting>
  <conditionalFormatting sqref="F972:F973">
    <cfRule type="expression" dxfId="912" priority="815" stopIfTrue="1">
      <formula>#REF!="Confidential"</formula>
    </cfRule>
  </conditionalFormatting>
  <conditionalFormatting sqref="F984:F986">
    <cfRule type="expression" dxfId="911" priority="493" stopIfTrue="1">
      <formula>#REF!="Confidential"</formula>
    </cfRule>
  </conditionalFormatting>
  <conditionalFormatting sqref="F993:F1004">
    <cfRule type="expression" dxfId="910" priority="483" stopIfTrue="1">
      <formula>#REF!="Confidential"</formula>
    </cfRule>
  </conditionalFormatting>
  <conditionalFormatting sqref="F1007">
    <cfRule type="expression" dxfId="909" priority="769" stopIfTrue="1">
      <formula>#REF!="Confidential"</formula>
    </cfRule>
  </conditionalFormatting>
  <conditionalFormatting sqref="F1015">
    <cfRule type="expression" dxfId="908" priority="457" stopIfTrue="1">
      <formula>#REF!="Confidential"</formula>
    </cfRule>
  </conditionalFormatting>
  <conditionalFormatting sqref="F1060:F1063">
    <cfRule type="expression" dxfId="907" priority="719" stopIfTrue="1">
      <formula>#REF!="Confidential"</formula>
    </cfRule>
  </conditionalFormatting>
  <conditionalFormatting sqref="F1069">
    <cfRule type="expression" dxfId="906" priority="714" stopIfTrue="1">
      <formula>#REF!="Confidential"</formula>
    </cfRule>
  </conditionalFormatting>
  <conditionalFormatting sqref="F1104">
    <cfRule type="expression" dxfId="905" priority="680" stopIfTrue="1">
      <formula>#REF!="Confidential"</formula>
    </cfRule>
  </conditionalFormatting>
  <conditionalFormatting sqref="F1423">
    <cfRule type="expression" dxfId="904" priority="332" stopIfTrue="1">
      <formula>#REF!="Confidential"</formula>
    </cfRule>
  </conditionalFormatting>
  <conditionalFormatting sqref="F1434">
    <cfRule type="expression" dxfId="903" priority="455" stopIfTrue="1">
      <formula>#REF!="Confidential"</formula>
    </cfRule>
  </conditionalFormatting>
  <conditionalFormatting sqref="F1454">
    <cfRule type="expression" dxfId="902" priority="426" stopIfTrue="1">
      <formula>#REF!="Confidential"</formula>
    </cfRule>
  </conditionalFormatting>
  <conditionalFormatting sqref="F1580">
    <cfRule type="expression" dxfId="901" priority="339" stopIfTrue="1">
      <formula>#REF!="Confidential"</formula>
    </cfRule>
  </conditionalFormatting>
  <conditionalFormatting sqref="F1819">
    <cfRule type="expression" dxfId="900" priority="156" stopIfTrue="1">
      <formula>#REF!="Confidential"</formula>
    </cfRule>
  </conditionalFormatting>
  <conditionalFormatting sqref="F987:G987">
    <cfRule type="expression" dxfId="899" priority="788" stopIfTrue="1">
      <formula>#REF!="Confidential"</formula>
    </cfRule>
  </conditionalFormatting>
  <conditionalFormatting sqref="F787:H787">
    <cfRule type="expression" dxfId="898" priority="996" stopIfTrue="1">
      <formula>#REF!="Confidential"</formula>
    </cfRule>
  </conditionalFormatting>
  <conditionalFormatting sqref="F952:I952">
    <cfRule type="expression" dxfId="897" priority="836" stopIfTrue="1">
      <formula>#REF!="Confidential"</formula>
    </cfRule>
  </conditionalFormatting>
  <conditionalFormatting sqref="G225">
    <cfRule type="expression" dxfId="896" priority="1099" stopIfTrue="1">
      <formula>#REF!="Confidential"</formula>
    </cfRule>
  </conditionalFormatting>
  <conditionalFormatting sqref="G530">
    <cfRule type="expression" dxfId="895" priority="1114" stopIfTrue="1">
      <formula>#REF!="Confidential"</formula>
    </cfRule>
  </conditionalFormatting>
  <conditionalFormatting sqref="G575:G576">
    <cfRule type="expression" dxfId="894" priority="1096" stopIfTrue="1">
      <formula>#REF!="Confidential"</formula>
    </cfRule>
  </conditionalFormatting>
  <conditionalFormatting sqref="G595:G604">
    <cfRule type="expression" dxfId="893" priority="1058" stopIfTrue="1">
      <formula>#REF!="Confidential"</formula>
    </cfRule>
  </conditionalFormatting>
  <conditionalFormatting sqref="G611">
    <cfRule type="expression" dxfId="892" priority="1086" stopIfTrue="1">
      <formula>#REF!="Confidential"</formula>
    </cfRule>
  </conditionalFormatting>
  <conditionalFormatting sqref="G613:G614">
    <cfRule type="expression" dxfId="891" priority="1084" stopIfTrue="1">
      <formula>#REF!="Confidential"</formula>
    </cfRule>
  </conditionalFormatting>
  <conditionalFormatting sqref="G649">
    <cfRule type="expression" dxfId="890" priority="1080" stopIfTrue="1">
      <formula>#REF!="Confidential"</formula>
    </cfRule>
  </conditionalFormatting>
  <conditionalFormatting sqref="G654">
    <cfRule type="expression" dxfId="889" priority="1076" stopIfTrue="1">
      <formula>#REF!="Confidential"</formula>
    </cfRule>
  </conditionalFormatting>
  <conditionalFormatting sqref="G690">
    <cfRule type="expression" dxfId="888" priority="1065" stopIfTrue="1">
      <formula>#REF!="Confidential"</formula>
    </cfRule>
  </conditionalFormatting>
  <conditionalFormatting sqref="G725">
    <cfRule type="expression" dxfId="887" priority="1028" stopIfTrue="1">
      <formula>#REF!="Confidential"</formula>
    </cfRule>
  </conditionalFormatting>
  <conditionalFormatting sqref="G777:G784">
    <cfRule type="expression" dxfId="886" priority="997" stopIfTrue="1">
      <formula>#REF!="Confidential"</formula>
    </cfRule>
  </conditionalFormatting>
  <conditionalFormatting sqref="G795">
    <cfRule type="expression" dxfId="885" priority="939" stopIfTrue="1">
      <formula>#REF!="Confidential"</formula>
    </cfRule>
  </conditionalFormatting>
  <conditionalFormatting sqref="G884">
    <cfRule type="expression" dxfId="884" priority="906" stopIfTrue="1">
      <formula>#REF!="Confidential"</formula>
    </cfRule>
  </conditionalFormatting>
  <conditionalFormatting sqref="G889:G893">
    <cfRule type="expression" dxfId="883" priority="889" stopIfTrue="1">
      <formula>#REF!="Confidential"</formula>
    </cfRule>
  </conditionalFormatting>
  <conditionalFormatting sqref="G930:G932">
    <cfRule type="expression" dxfId="882" priority="851" stopIfTrue="1">
      <formula>#REF!="Confidential"</formula>
    </cfRule>
  </conditionalFormatting>
  <conditionalFormatting sqref="G936">
    <cfRule type="expression" dxfId="881" priority="844" stopIfTrue="1">
      <formula>#REF!="Confidential"</formula>
    </cfRule>
  </conditionalFormatting>
  <conditionalFormatting sqref="G942:G943">
    <cfRule type="expression" dxfId="880" priority="501" stopIfTrue="1">
      <formula>#REF!="Confidential"</formula>
    </cfRule>
  </conditionalFormatting>
  <conditionalFormatting sqref="G965">
    <cfRule type="expression" dxfId="879" priority="822" stopIfTrue="1">
      <formula>#REF!="Confidential"</formula>
    </cfRule>
  </conditionalFormatting>
  <conditionalFormatting sqref="G980">
    <cfRule type="expression" dxfId="878" priority="804" stopIfTrue="1">
      <formula>#REF!="Confidential"</formula>
    </cfRule>
  </conditionalFormatting>
  <conditionalFormatting sqref="G989">
    <cfRule type="expression" dxfId="877" priority="786" stopIfTrue="1">
      <formula>#REF!="Confidential"</formula>
    </cfRule>
  </conditionalFormatting>
  <conditionalFormatting sqref="G994:G1001">
    <cfRule type="expression" dxfId="876" priority="484" stopIfTrue="1">
      <formula>#REF!="Confidential"</formula>
    </cfRule>
  </conditionalFormatting>
  <conditionalFormatting sqref="G1007">
    <cfRule type="expression" dxfId="875" priority="768" stopIfTrue="1">
      <formula>#REF!="Confidential"</formula>
    </cfRule>
  </conditionalFormatting>
  <conditionalFormatting sqref="G1010">
    <cfRule type="expression" dxfId="874" priority="766" stopIfTrue="1">
      <formula>#REF!="Confidential"</formula>
    </cfRule>
  </conditionalFormatting>
  <conditionalFormatting sqref="G1039">
    <cfRule type="expression" dxfId="873" priority="735" stopIfTrue="1">
      <formula>#REF!="Confidential"</formula>
    </cfRule>
  </conditionalFormatting>
  <conditionalFormatting sqref="G1041:G1042">
    <cfRule type="expression" dxfId="872" priority="733" stopIfTrue="1">
      <formula>#REF!="Confidential"</formula>
    </cfRule>
  </conditionalFormatting>
  <conditionalFormatting sqref="G1084">
    <cfRule type="expression" dxfId="871" priority="702" stopIfTrue="1">
      <formula>#REF!="Confidential"</formula>
    </cfRule>
  </conditionalFormatting>
  <conditionalFormatting sqref="G1633">
    <cfRule type="expression" dxfId="870" priority="292" stopIfTrue="1">
      <formula>#REF!="Confidential"</formula>
    </cfRule>
  </conditionalFormatting>
  <conditionalFormatting sqref="G1828:G1831">
    <cfRule type="expression" dxfId="869" priority="146" stopIfTrue="1">
      <formula>#REF!="Confidential"</formula>
    </cfRule>
  </conditionalFormatting>
  <conditionalFormatting sqref="G1834:G1838">
    <cfRule type="expression" dxfId="868" priority="120" stopIfTrue="1">
      <formula>#REF!="Confidential"</formula>
    </cfRule>
  </conditionalFormatting>
  <conditionalFormatting sqref="G1894:G1895">
    <cfRule type="expression" dxfId="867" priority="96" stopIfTrue="1">
      <formula>#REF!="Confidential"</formula>
    </cfRule>
  </conditionalFormatting>
  <conditionalFormatting sqref="G529:H529">
    <cfRule type="expression" dxfId="866" priority="638" stopIfTrue="1">
      <formula>#REF!="Confidential"</formula>
    </cfRule>
  </conditionalFormatting>
  <conditionalFormatting sqref="G715:H715">
    <cfRule type="expression" dxfId="865" priority="1032" stopIfTrue="1">
      <formula>#REF!="Confidential"</formula>
    </cfRule>
  </conditionalFormatting>
  <conditionalFormatting sqref="G719:H719">
    <cfRule type="expression" dxfId="864" priority="1030" stopIfTrue="1">
      <formula>#REF!="Confidential"</formula>
    </cfRule>
  </conditionalFormatting>
  <conditionalFormatting sqref="G761:H764">
    <cfRule type="expression" dxfId="863" priority="1019" stopIfTrue="1">
      <formula>#REF!="Confidential"</formula>
    </cfRule>
  </conditionalFormatting>
  <conditionalFormatting sqref="G766:H769">
    <cfRule type="expression" dxfId="862" priority="1012" stopIfTrue="1">
      <formula>#REF!="Confidential"</formula>
    </cfRule>
  </conditionalFormatting>
  <conditionalFormatting sqref="G771:H776">
    <cfRule type="expression" dxfId="861" priority="545" stopIfTrue="1">
      <formula>#REF!="Confidential"</formula>
    </cfRule>
  </conditionalFormatting>
  <conditionalFormatting sqref="G789:H789">
    <cfRule type="expression" dxfId="860" priority="993" stopIfTrue="1">
      <formula>#REF!="Confidential"</formula>
    </cfRule>
  </conditionalFormatting>
  <conditionalFormatting sqref="G823:H824">
    <cfRule type="expression" dxfId="859" priority="963" stopIfTrue="1">
      <formula>#REF!="Confidential"</formula>
    </cfRule>
  </conditionalFormatting>
  <conditionalFormatting sqref="G845:H845">
    <cfRule type="expression" dxfId="858" priority="938" stopIfTrue="1">
      <formula>#REF!="Confidential"</formula>
    </cfRule>
  </conditionalFormatting>
  <conditionalFormatting sqref="G847:H848">
    <cfRule type="expression" dxfId="857" priority="935" stopIfTrue="1">
      <formula>#REF!="Confidential"</formula>
    </cfRule>
  </conditionalFormatting>
  <conditionalFormatting sqref="G850:H851">
    <cfRule type="expression" dxfId="856" priority="931" stopIfTrue="1">
      <formula>#REF!="Confidential"</formula>
    </cfRule>
  </conditionalFormatting>
  <conditionalFormatting sqref="G853:H855">
    <cfRule type="expression" dxfId="855" priority="925" stopIfTrue="1">
      <formula>#REF!="Confidential"</formula>
    </cfRule>
  </conditionalFormatting>
  <conditionalFormatting sqref="G975:H975">
    <cfRule type="expression" dxfId="854" priority="810" stopIfTrue="1">
      <formula>#REF!="Confidential"</formula>
    </cfRule>
  </conditionalFormatting>
  <conditionalFormatting sqref="G979:H979">
    <cfRule type="expression" dxfId="853" priority="806" stopIfTrue="1">
      <formula>#REF!="Confidential"</formula>
    </cfRule>
  </conditionalFormatting>
  <conditionalFormatting sqref="G984:H984">
    <cfRule type="expression" dxfId="852" priority="794" stopIfTrue="1">
      <formula>#REF!="Confidential"</formula>
    </cfRule>
  </conditionalFormatting>
  <conditionalFormatting sqref="G1014:H1014">
    <cfRule type="expression" dxfId="851" priority="763" stopIfTrue="1">
      <formula>#REF!="Confidential"</formula>
    </cfRule>
  </conditionalFormatting>
  <conditionalFormatting sqref="G1023:H1027">
    <cfRule type="expression" dxfId="850" priority="751" stopIfTrue="1">
      <formula>#REF!="Confidential"</formula>
    </cfRule>
  </conditionalFormatting>
  <conditionalFormatting sqref="G1056:H1059">
    <cfRule type="expression" dxfId="849" priority="478" stopIfTrue="1">
      <formula>#REF!="Confidential"</formula>
    </cfRule>
  </conditionalFormatting>
  <conditionalFormatting sqref="G1106:H1107">
    <cfRule type="expression" dxfId="848" priority="674" stopIfTrue="1">
      <formula>#REF!="Confidential"</formula>
    </cfRule>
  </conditionalFormatting>
  <conditionalFormatting sqref="G1110:H1115">
    <cfRule type="expression" dxfId="847" priority="666" stopIfTrue="1">
      <formula>#REF!="Confidential"</formula>
    </cfRule>
  </conditionalFormatting>
  <conditionalFormatting sqref="G1234:H1234">
    <cfRule type="expression" dxfId="846" priority="600" stopIfTrue="1">
      <formula>#REF!="Confidential"</formula>
    </cfRule>
  </conditionalFormatting>
  <conditionalFormatting sqref="G1346:H1347">
    <cfRule type="expression" dxfId="845" priority="539" stopIfTrue="1">
      <formula>#REF!="Confidential"</formula>
    </cfRule>
  </conditionalFormatting>
  <conditionalFormatting sqref="G1349:H1354">
    <cfRule type="expression" dxfId="844" priority="534" stopIfTrue="1">
      <formula>#REF!="Confidential"</formula>
    </cfRule>
  </conditionalFormatting>
  <conditionalFormatting sqref="G1356:H1364">
    <cfRule type="expression" dxfId="843" priority="527" stopIfTrue="1">
      <formula>#REF!="Confidential"</formula>
    </cfRule>
  </conditionalFormatting>
  <conditionalFormatting sqref="G1366:H1367">
    <cfRule type="expression" dxfId="842" priority="522" stopIfTrue="1">
      <formula>#REF!="Confidential"</formula>
    </cfRule>
  </conditionalFormatting>
  <conditionalFormatting sqref="G1467:H1467">
    <cfRule type="expression" dxfId="841" priority="417" stopIfTrue="1">
      <formula>#REF!="Confidential"</formula>
    </cfRule>
  </conditionalFormatting>
  <conditionalFormatting sqref="G1508:H1509">
    <cfRule type="expression" dxfId="840" priority="388" stopIfTrue="1">
      <formula>#REF!="Confidential"</formula>
    </cfRule>
  </conditionalFormatting>
  <conditionalFormatting sqref="G1564:H1564">
    <cfRule type="expression" dxfId="839" priority="355" stopIfTrue="1">
      <formula>#REF!="Confidential"</formula>
    </cfRule>
  </conditionalFormatting>
  <conditionalFormatting sqref="G1566:H1566">
    <cfRule type="expression" dxfId="838" priority="352" stopIfTrue="1">
      <formula>#REF!="Confidential"</formula>
    </cfRule>
  </conditionalFormatting>
  <conditionalFormatting sqref="G1570:H1570">
    <cfRule type="expression" dxfId="837" priority="348" stopIfTrue="1">
      <formula>#REF!="Confidential"</formula>
    </cfRule>
  </conditionalFormatting>
  <conditionalFormatting sqref="G1574:H1575">
    <cfRule type="expression" dxfId="836" priority="344" stopIfTrue="1">
      <formula>#REF!="Confidential"</formula>
    </cfRule>
  </conditionalFormatting>
  <conditionalFormatting sqref="G1640:H1640">
    <cfRule type="expression" dxfId="835" priority="287" stopIfTrue="1">
      <formula>#REF!="Confidential"</formula>
    </cfRule>
  </conditionalFormatting>
  <conditionalFormatting sqref="G1642:H1642">
    <cfRule type="expression" dxfId="834" priority="286" stopIfTrue="1">
      <formula>#REF!="Confidential"</formula>
    </cfRule>
  </conditionalFormatting>
  <conditionalFormatting sqref="G1650:H1650">
    <cfRule type="expression" dxfId="833" priority="282" stopIfTrue="1">
      <formula>#REF!="Confidential"</formula>
    </cfRule>
  </conditionalFormatting>
  <conditionalFormatting sqref="G1662:H1663">
    <cfRule type="expression" dxfId="832" priority="271" stopIfTrue="1">
      <formula>#REF!="Confidential"</formula>
    </cfRule>
  </conditionalFormatting>
  <conditionalFormatting sqref="G1665:H1665">
    <cfRule type="expression" dxfId="831" priority="268" stopIfTrue="1">
      <formula>#REF!="Confidential"</formula>
    </cfRule>
  </conditionalFormatting>
  <conditionalFormatting sqref="G1668:H1668">
    <cfRule type="expression" dxfId="830" priority="264" stopIfTrue="1">
      <formula>#REF!="Confidential"</formula>
    </cfRule>
  </conditionalFormatting>
  <conditionalFormatting sqref="G1722:H1723">
    <cfRule type="expression" dxfId="829" priority="227" stopIfTrue="1">
      <formula>#REF!="Confidential"</formula>
    </cfRule>
  </conditionalFormatting>
  <conditionalFormatting sqref="G1819:H1819">
    <cfRule type="expression" dxfId="828" priority="155" stopIfTrue="1">
      <formula>#REF!="Confidential"</formula>
    </cfRule>
  </conditionalFormatting>
  <conditionalFormatting sqref="G1956:H1957">
    <cfRule type="expression" dxfId="827" priority="62" stopIfTrue="1">
      <formula>#REF!="Confidential"</formula>
    </cfRule>
  </conditionalFormatting>
  <conditionalFormatting sqref="G1959:H1959">
    <cfRule type="expression" dxfId="826" priority="60" stopIfTrue="1">
      <formula>#REF!="Confidential"</formula>
    </cfRule>
  </conditionalFormatting>
  <conditionalFormatting sqref="G1984:H1984">
    <cfRule type="expression" dxfId="825" priority="33" stopIfTrue="1">
      <formula>#REF!="Confidential"</formula>
    </cfRule>
  </conditionalFormatting>
  <conditionalFormatting sqref="G568:I569">
    <cfRule type="expression" dxfId="824" priority="1103" stopIfTrue="1">
      <formula>#REF!="Confidential"</formula>
    </cfRule>
  </conditionalFormatting>
  <conditionalFormatting sqref="G641:I641">
    <cfRule type="expression" dxfId="823" priority="1045" stopIfTrue="1">
      <formula>#REF!="Confidential"</formula>
    </cfRule>
  </conditionalFormatting>
  <conditionalFormatting sqref="G844:I844">
    <cfRule type="expression" dxfId="822" priority="944" stopIfTrue="1">
      <formula>#REF!="Confidential"</formula>
    </cfRule>
  </conditionalFormatting>
  <conditionalFormatting sqref="G955:I959">
    <cfRule type="expression" dxfId="821" priority="832" stopIfTrue="1">
      <formula>#REF!="Confidential"</formula>
    </cfRule>
  </conditionalFormatting>
  <conditionalFormatting sqref="G977:I978">
    <cfRule type="expression" dxfId="820" priority="496" stopIfTrue="1">
      <formula>#REF!="Confidential"</formula>
    </cfRule>
  </conditionalFormatting>
  <conditionalFormatting sqref="G992:I993">
    <cfRule type="expression" dxfId="819" priority="781" stopIfTrue="1">
      <formula>#REF!="Confidential"</formula>
    </cfRule>
  </conditionalFormatting>
  <conditionalFormatting sqref="G1003:I1004">
    <cfRule type="expression" dxfId="818" priority="772" stopIfTrue="1">
      <formula>#REF!="Confidential"</formula>
    </cfRule>
  </conditionalFormatting>
  <conditionalFormatting sqref="G1019:I1019">
    <cfRule type="expression" dxfId="817" priority="757" stopIfTrue="1">
      <formula>#REF!="Confidential"</formula>
    </cfRule>
  </conditionalFormatting>
  <conditionalFormatting sqref="G1071:I1077">
    <cfRule type="expression" dxfId="816" priority="709" stopIfTrue="1">
      <formula>#REF!="Confidential"</formula>
    </cfRule>
  </conditionalFormatting>
  <conditionalFormatting sqref="G1080:I1083">
    <cfRule type="expression" dxfId="815" priority="706" stopIfTrue="1">
      <formula>#REF!="Confidential"</formula>
    </cfRule>
  </conditionalFormatting>
  <conditionalFormatting sqref="G1105:I1105">
    <cfRule type="expression" dxfId="814" priority="677" stopIfTrue="1">
      <formula>#REF!="Confidential"</formula>
    </cfRule>
  </conditionalFormatting>
  <conditionalFormatting sqref="G1128:I1129">
    <cfRule type="expression" dxfId="813" priority="655" stopIfTrue="1">
      <formula>#REF!="Confidential"</formula>
    </cfRule>
  </conditionalFormatting>
  <conditionalFormatting sqref="G1627:I1628">
    <cfRule type="expression" dxfId="812" priority="300" stopIfTrue="1">
      <formula>#REF!="Confidential"</formula>
    </cfRule>
  </conditionalFormatting>
  <conditionalFormatting sqref="G1630:I1631">
    <cfRule type="expression" dxfId="811" priority="297" stopIfTrue="1">
      <formula>#REF!="Confidential"</formula>
    </cfRule>
  </conditionalFormatting>
  <conditionalFormatting sqref="G1655:I1655">
    <cfRule type="expression" dxfId="810" priority="280" stopIfTrue="1">
      <formula>#REF!="Confidential"</formula>
    </cfRule>
  </conditionalFormatting>
  <conditionalFormatting sqref="G1658:I1658">
    <cfRule type="expression" dxfId="809" priority="275" stopIfTrue="1">
      <formula>#REF!="Confidential"</formula>
    </cfRule>
  </conditionalFormatting>
  <conditionalFormatting sqref="G565:J567">
    <cfRule type="expression" dxfId="808" priority="1105" stopIfTrue="1">
      <formula>#REF!="Confidential"</formula>
    </cfRule>
  </conditionalFormatting>
  <conditionalFormatting sqref="G825:J825">
    <cfRule type="expression" dxfId="807" priority="962" stopIfTrue="1">
      <formula>#REF!="Confidential"</formula>
    </cfRule>
  </conditionalFormatting>
  <conditionalFormatting sqref="G841:J843">
    <cfRule type="expression" dxfId="806" priority="947" stopIfTrue="1">
      <formula>#REF!="Confidential"</formula>
    </cfRule>
  </conditionalFormatting>
  <conditionalFormatting sqref="G976:J976">
    <cfRule type="expression" dxfId="805" priority="811" stopIfTrue="1">
      <formula>#REF!="Confidential"</formula>
    </cfRule>
  </conditionalFormatting>
  <conditionalFormatting sqref="G985:J986">
    <cfRule type="expression" dxfId="804" priority="492" stopIfTrue="1">
      <formula>#REF!="Confidential"</formula>
    </cfRule>
  </conditionalFormatting>
  <conditionalFormatting sqref="G991:J991">
    <cfRule type="expression" dxfId="803" priority="783" stopIfTrue="1">
      <formula>#REF!="Confidential"</formula>
    </cfRule>
  </conditionalFormatting>
  <conditionalFormatting sqref="G1069:J1070">
    <cfRule type="expression" dxfId="802" priority="713" stopIfTrue="1">
      <formula>#REF!="Confidential"</formula>
    </cfRule>
  </conditionalFormatting>
  <conditionalFormatting sqref="G1719:J1719">
    <cfRule type="expression" dxfId="801" priority="232" stopIfTrue="1">
      <formula>#REF!="Confidential"</formula>
    </cfRule>
  </conditionalFormatting>
  <conditionalFormatting sqref="G972:K973">
    <cfRule type="expression" dxfId="800" priority="814" stopIfTrue="1">
      <formula>#REF!="Confidential"</formula>
    </cfRule>
  </conditionalFormatting>
  <conditionalFormatting sqref="G1432:K1432">
    <cfRule type="expression" dxfId="799" priority="458" stopIfTrue="1">
      <formula>#REF!="Confidential"</formula>
    </cfRule>
  </conditionalFormatting>
  <conditionalFormatting sqref="G1815:K1815">
    <cfRule type="expression" dxfId="798" priority="163" stopIfTrue="1">
      <formula>#REF!="Confidential"</formula>
    </cfRule>
  </conditionalFormatting>
  <conditionalFormatting sqref="G1818:K1818">
    <cfRule type="expression" dxfId="797" priority="157" stopIfTrue="1">
      <formula>#REF!="Confidential"</formula>
    </cfRule>
  </conditionalFormatting>
  <conditionalFormatting sqref="G1565:M1565">
    <cfRule type="expression" dxfId="796" priority="353" stopIfTrue="1">
      <formula>#REF!="Confidential"</formula>
    </cfRule>
  </conditionalFormatting>
  <conditionalFormatting sqref="G713:O713">
    <cfRule type="expression" dxfId="795" priority="1033" stopIfTrue="1">
      <formula>#REF!="Confidential"</formula>
    </cfRule>
  </conditionalFormatting>
  <conditionalFormatting sqref="G622:V623">
    <cfRule type="expression" dxfId="794" priority="1056" stopIfTrue="1">
      <formula>#REF!="Confidential"</formula>
    </cfRule>
  </conditionalFormatting>
  <conditionalFormatting sqref="G888:Y888">
    <cfRule type="expression" dxfId="793" priority="902" stopIfTrue="1">
      <formula>#REF!="Confidential"</formula>
    </cfRule>
  </conditionalFormatting>
  <conditionalFormatting sqref="H225">
    <cfRule type="expression" dxfId="792" priority="1098" stopIfTrue="1">
      <formula>#REF!="Confidential"</formula>
    </cfRule>
  </conditionalFormatting>
  <conditionalFormatting sqref="H570 J570:K570 I570:I572 D641:D645 G642:G643 G665:H667 I676:I678 AA809 AE818:AE820 AF856:AF859 G858:K858 D858:D859 AB858:AE859 G868:H868 D872:D876 AA873:AB874 D878:D886 AB895:AB899 D897:D903 AB902:AC904 AB907:AB910 E915:G915 AB977:AB979 G1117:H1120 D1121:D1123 AB1121:AB1123 G1123:H1123 G1124 I1124:O1124 Z1124 AB1124:AC1124 AC1165:AC1167 AB1166:AB1167 D1166:D1168 AB1234:AB1260 AC1238:AC1260 AB1263:AC1266 AC1269:AC1270 AB1372:AB1373 D1454:D1455 D1556:D1557 G1617:I1618 AB1634:AB1637 AC1637:AC1638 AB1639:AC1639 H1740 AB1811:AB1816 F1817 AB1817:AC1817 AB1870:AB1890">
    <cfRule type="expression" dxfId="791" priority="873" stopIfTrue="1">
      <formula>#REF!="Confidential"</formula>
    </cfRule>
  </conditionalFormatting>
  <conditionalFormatting sqref="H572:H573">
    <cfRule type="expression" dxfId="790" priority="1101" stopIfTrue="1">
      <formula>#REF!="Confidential"</formula>
    </cfRule>
  </conditionalFormatting>
  <conditionalFormatting sqref="H575:H576">
    <cfRule type="expression" dxfId="789" priority="1095" stopIfTrue="1">
      <formula>#REF!="Confidential"</formula>
    </cfRule>
  </conditionalFormatting>
  <conditionalFormatting sqref="H590:H592">
    <cfRule type="expression" dxfId="788" priority="1061" stopIfTrue="1">
      <formula>#REF!="Confidential"</formula>
    </cfRule>
  </conditionalFormatting>
  <conditionalFormatting sqref="H654">
    <cfRule type="expression" dxfId="787" priority="1075" stopIfTrue="1">
      <formula>#REF!="Confidential"</formula>
    </cfRule>
  </conditionalFormatting>
  <conditionalFormatting sqref="H722:H725">
    <cfRule type="expression" dxfId="786" priority="1027" stopIfTrue="1">
      <formula>#REF!="Confidential"</formula>
    </cfRule>
  </conditionalFormatting>
  <conditionalFormatting sqref="H780">
    <cfRule type="expression" dxfId="785" priority="1002" stopIfTrue="1">
      <formula>#REF!="Confidential"</formula>
    </cfRule>
  </conditionalFormatting>
  <conditionalFormatting sqref="H936">
    <cfRule type="expression" dxfId="784" priority="843" stopIfTrue="1">
      <formula>#REF!="Confidential"</formula>
    </cfRule>
  </conditionalFormatting>
  <conditionalFormatting sqref="H942:H943">
    <cfRule type="expression" dxfId="783" priority="500" stopIfTrue="1">
      <formula>#REF!="Confidential"</formula>
    </cfRule>
  </conditionalFormatting>
  <conditionalFormatting sqref="H1109">
    <cfRule type="expression" dxfId="782" priority="671" stopIfTrue="1">
      <formula>#REF!="Confidential"</formula>
    </cfRule>
  </conditionalFormatting>
  <conditionalFormatting sqref="H1273:H1274">
    <cfRule type="expression" dxfId="781" priority="561" stopIfTrue="1">
      <formula>#REF!="Confidential"</formula>
    </cfRule>
  </conditionalFormatting>
  <conditionalFormatting sqref="H1290">
    <cfRule type="expression" dxfId="780" priority="567" stopIfTrue="1">
      <formula>#REF!="Confidential"</formula>
    </cfRule>
  </conditionalFormatting>
  <conditionalFormatting sqref="H1437">
    <cfRule type="expression" dxfId="779" priority="446" stopIfTrue="1">
      <formula>#REF!="Confidential"</formula>
    </cfRule>
  </conditionalFormatting>
  <conditionalFormatting sqref="H1444:H1446">
    <cfRule type="expression" dxfId="778" priority="436" stopIfTrue="1">
      <formula>#REF!="Confidential"</formula>
    </cfRule>
  </conditionalFormatting>
  <conditionalFormatting sqref="H1472">
    <cfRule type="expression" dxfId="777" priority="408" stopIfTrue="1">
      <formula>#REF!="Confidential"</formula>
    </cfRule>
  </conditionalFormatting>
  <conditionalFormatting sqref="H1478:H1489">
    <cfRule type="expression" dxfId="776" priority="404" stopIfTrue="1">
      <formula>#REF!="Confidential"</formula>
    </cfRule>
  </conditionalFormatting>
  <conditionalFormatting sqref="H1491:H1497">
    <cfRule type="expression" dxfId="775" priority="399" stopIfTrue="1">
      <formula>#REF!="Confidential"</formula>
    </cfRule>
  </conditionalFormatting>
  <conditionalFormatting sqref="H1503:H1505">
    <cfRule type="expression" dxfId="774" priority="392" stopIfTrue="1">
      <formula>#REF!="Confidential"</formula>
    </cfRule>
  </conditionalFormatting>
  <conditionalFormatting sqref="H1507">
    <cfRule type="expression" dxfId="773" priority="390" stopIfTrue="1">
      <formula>#REF!="Confidential"</formula>
    </cfRule>
  </conditionalFormatting>
  <conditionalFormatting sqref="H1511:H1512">
    <cfRule type="expression" dxfId="772" priority="382" stopIfTrue="1">
      <formula>#REF!="Confidential"</formula>
    </cfRule>
  </conditionalFormatting>
  <conditionalFormatting sqref="H1586">
    <cfRule type="expression" dxfId="771" priority="336" stopIfTrue="1">
      <formula>#REF!="Confidential"</formula>
    </cfRule>
  </conditionalFormatting>
  <conditionalFormatting sqref="H1589:H1591">
    <cfRule type="expression" dxfId="770" priority="321" stopIfTrue="1">
      <formula>#REF!="Confidential"</formula>
    </cfRule>
  </conditionalFormatting>
  <conditionalFormatting sqref="H1608">
    <cfRule type="expression" dxfId="769" priority="317" stopIfTrue="1">
      <formula>#REF!="Confidential"</formula>
    </cfRule>
  </conditionalFormatting>
  <conditionalFormatting sqref="H1622">
    <cfRule type="expression" dxfId="768" priority="306" stopIfTrue="1">
      <formula>#REF!="Confidential"</formula>
    </cfRule>
  </conditionalFormatting>
  <conditionalFormatting sqref="H1634">
    <cfRule type="expression" dxfId="767" priority="291" stopIfTrue="1">
      <formula>#REF!="Confidential"</formula>
    </cfRule>
  </conditionalFormatting>
  <conditionalFormatting sqref="H1691:H1692">
    <cfRule type="expression" dxfId="766" priority="250" stopIfTrue="1">
      <formula>#REF!="Confidential"</formula>
    </cfRule>
  </conditionalFormatting>
  <conditionalFormatting sqref="H1697">
    <cfRule type="expression" dxfId="765" priority="247" stopIfTrue="1">
      <formula>#REF!="Confidential"</formula>
    </cfRule>
  </conditionalFormatting>
  <conditionalFormatting sqref="H1770">
    <cfRule type="expression" dxfId="764" priority="204" stopIfTrue="1">
      <formula>#REF!="Confidential"</formula>
    </cfRule>
  </conditionalFormatting>
  <conditionalFormatting sqref="H1814">
    <cfRule type="expression" dxfId="763" priority="168" stopIfTrue="1">
      <formula>#REF!="Confidential"</formula>
    </cfRule>
  </conditionalFormatting>
  <conditionalFormatting sqref="H1835:H1841">
    <cfRule type="expression" dxfId="762" priority="119" stopIfTrue="1">
      <formula>#REF!="Confidential"</formula>
    </cfRule>
  </conditionalFormatting>
  <conditionalFormatting sqref="H1901">
    <cfRule type="expression" dxfId="761" priority="87" stopIfTrue="1">
      <formula>#REF!="Confidential"</formula>
    </cfRule>
  </conditionalFormatting>
  <conditionalFormatting sqref="H1941">
    <cfRule type="expression" dxfId="760" priority="79" stopIfTrue="1">
      <formula>#REF!="Confidential"</formula>
    </cfRule>
  </conditionalFormatting>
  <conditionalFormatting sqref="H1990">
    <cfRule type="expression" dxfId="759" priority="29" stopIfTrue="1">
      <formula>#REF!="Confidential"</formula>
    </cfRule>
  </conditionalFormatting>
  <conditionalFormatting sqref="H1996">
    <cfRule type="expression" dxfId="758" priority="26" stopIfTrue="1">
      <formula>#REF!="Confidential"</formula>
    </cfRule>
  </conditionalFormatting>
  <conditionalFormatting sqref="H710:I710">
    <cfRule type="expression" dxfId="757" priority="1038" stopIfTrue="1">
      <formula>#REF!="Confidential"</formula>
    </cfRule>
  </conditionalFormatting>
  <conditionalFormatting sqref="H778:I778">
    <cfRule type="expression" dxfId="756" priority="1003" stopIfTrue="1">
      <formula>#REF!="Confidential"</formula>
    </cfRule>
  </conditionalFormatting>
  <conditionalFormatting sqref="H783:I784">
    <cfRule type="expression" dxfId="755" priority="998" stopIfTrue="1">
      <formula>#REF!="Confidential"</formula>
    </cfRule>
  </conditionalFormatting>
  <conditionalFormatting sqref="H891:I893">
    <cfRule type="expression" dxfId="754" priority="890" stopIfTrue="1">
      <formula>#REF!="Confidential"</formula>
    </cfRule>
  </conditionalFormatting>
  <conditionalFormatting sqref="H930:I931">
    <cfRule type="expression" dxfId="753" priority="855" stopIfTrue="1">
      <formula>#REF!="Confidential"</formula>
    </cfRule>
  </conditionalFormatting>
  <conditionalFormatting sqref="H995:I995">
    <cfRule type="expression" dxfId="752" priority="780" stopIfTrue="1">
      <formula>#REF!="Confidential"</formula>
    </cfRule>
  </conditionalFormatting>
  <conditionalFormatting sqref="H997:I1000">
    <cfRule type="expression" dxfId="751" priority="491" stopIfTrue="1">
      <formula>#REF!="Confidential"</formula>
    </cfRule>
  </conditionalFormatting>
  <conditionalFormatting sqref="H1039:I1039">
    <cfRule type="expression" dxfId="750" priority="736" stopIfTrue="1">
      <formula>#REF!="Confidential"</formula>
    </cfRule>
  </conditionalFormatting>
  <conditionalFormatting sqref="H1041:I1042">
    <cfRule type="expression" dxfId="749" priority="734" stopIfTrue="1">
      <formula>#REF!="Confidential"</formula>
    </cfRule>
  </conditionalFormatting>
  <conditionalFormatting sqref="H1103:I1103">
    <cfRule type="expression" dxfId="748" priority="686" stopIfTrue="1">
      <formula>#REF!="Confidential"</formula>
    </cfRule>
  </conditionalFormatting>
  <conditionalFormatting sqref="H1436:I1436">
    <cfRule type="expression" dxfId="747" priority="451" stopIfTrue="1">
      <formula>#REF!="Confidential"</formula>
    </cfRule>
  </conditionalFormatting>
  <conditionalFormatting sqref="H1633:I1633">
    <cfRule type="expression" dxfId="746" priority="293" stopIfTrue="1">
      <formula>#REF!="Confidential"</formula>
    </cfRule>
  </conditionalFormatting>
  <conditionalFormatting sqref="H1828:I1831">
    <cfRule type="expression" dxfId="745" priority="147" stopIfTrue="1">
      <formula>#REF!="Confidential"</formula>
    </cfRule>
  </conditionalFormatting>
  <conditionalFormatting sqref="H562:K562">
    <cfRule type="expression" dxfId="744" priority="1109" stopIfTrue="1">
      <formula>#REF!="Confidential"</formula>
    </cfRule>
  </conditionalFormatting>
  <conditionalFormatting sqref="I530">
    <cfRule type="expression" dxfId="743" priority="1113" stopIfTrue="1">
      <formula>#REF!="Confidential"</formula>
    </cfRule>
  </conditionalFormatting>
  <conditionalFormatting sqref="I577">
    <cfRule type="expression" dxfId="742" priority="1094" stopIfTrue="1">
      <formula>#REF!="Confidential"</formula>
    </cfRule>
  </conditionalFormatting>
  <conditionalFormatting sqref="I595">
    <cfRule type="expression" dxfId="741" priority="1091" stopIfTrue="1">
      <formula>#REF!="Confidential"</formula>
    </cfRule>
  </conditionalFormatting>
  <conditionalFormatting sqref="I599:I601">
    <cfRule type="expression" dxfId="740" priority="1089" stopIfTrue="1">
      <formula>#REF!="Confidential"</formula>
    </cfRule>
  </conditionalFormatting>
  <conditionalFormatting sqref="I665:I666">
    <cfRule type="expression" dxfId="739" priority="1073" stopIfTrue="1">
      <formula>#REF!="Confidential"</formula>
    </cfRule>
  </conditionalFormatting>
  <conditionalFormatting sqref="I681:I682">
    <cfRule type="expression" dxfId="738" priority="1067" stopIfTrue="1">
      <formula>#REF!="Confidential"</formula>
    </cfRule>
  </conditionalFormatting>
  <conditionalFormatting sqref="I696:I699">
    <cfRule type="expression" dxfId="737" priority="1042" stopIfTrue="1">
      <formula>#REF!="Confidential"</formula>
    </cfRule>
  </conditionalFormatting>
  <conditionalFormatting sqref="I703:I707">
    <cfRule type="expression" dxfId="736" priority="1039" stopIfTrue="1">
      <formula>#REF!="Confidential"</formula>
    </cfRule>
  </conditionalFormatting>
  <conditionalFormatting sqref="I719">
    <cfRule type="expression" dxfId="735" priority="1031" stopIfTrue="1">
      <formula>#REF!="Confidential"</formula>
    </cfRule>
  </conditionalFormatting>
  <conditionalFormatting sqref="I755:I756">
    <cfRule type="expression" dxfId="734" priority="198" stopIfTrue="1">
      <formula>#REF!="Confidential"</formula>
    </cfRule>
  </conditionalFormatting>
  <conditionalFormatting sqref="I768:I769">
    <cfRule type="expression" dxfId="733" priority="1011" stopIfTrue="1">
      <formula>#REF!="Confidential"</formula>
    </cfRule>
  </conditionalFormatting>
  <conditionalFormatting sqref="I771:I776">
    <cfRule type="expression" dxfId="732" priority="544" stopIfTrue="1">
      <formula>#REF!="Confidential"</formula>
    </cfRule>
  </conditionalFormatting>
  <conditionalFormatting sqref="I780">
    <cfRule type="expression" dxfId="731" priority="1001" stopIfTrue="1">
      <formula>#REF!="Confidential"</formula>
    </cfRule>
  </conditionalFormatting>
  <conditionalFormatting sqref="I785:I787">
    <cfRule type="expression" dxfId="730" priority="995" stopIfTrue="1">
      <formula>#REF!="Confidential"</formula>
    </cfRule>
  </conditionalFormatting>
  <conditionalFormatting sqref="I789">
    <cfRule type="expression" dxfId="729" priority="992" stopIfTrue="1">
      <formula>#REF!="Confidential"</formula>
    </cfRule>
  </conditionalFormatting>
  <conditionalFormatting sqref="I845">
    <cfRule type="expression" dxfId="728" priority="937" stopIfTrue="1">
      <formula>#REF!="Confidential"</formula>
    </cfRule>
  </conditionalFormatting>
  <conditionalFormatting sqref="I847:I848">
    <cfRule type="expression" dxfId="727" priority="934" stopIfTrue="1">
      <formula>#REF!="Confidential"</formula>
    </cfRule>
  </conditionalFormatting>
  <conditionalFormatting sqref="I850:I855">
    <cfRule type="expression" dxfId="726" priority="924" stopIfTrue="1">
      <formula>#REF!="Confidential"</formula>
    </cfRule>
  </conditionalFormatting>
  <conditionalFormatting sqref="I862">
    <cfRule type="expression" dxfId="725" priority="917" stopIfTrue="1">
      <formula>#REF!="Confidential"</formula>
    </cfRule>
  </conditionalFormatting>
  <conditionalFormatting sqref="I932">
    <cfRule type="expression" dxfId="724" priority="852" stopIfTrue="1">
      <formula>#REF!="Confidential"</formula>
    </cfRule>
  </conditionalFormatting>
  <conditionalFormatting sqref="I936">
    <cfRule type="expression" dxfId="723" priority="842" stopIfTrue="1">
      <formula>#REF!="Confidential"</formula>
    </cfRule>
  </conditionalFormatting>
  <conditionalFormatting sqref="I942:I943">
    <cfRule type="expression" dxfId="722" priority="499" stopIfTrue="1">
      <formula>#REF!="Confidential"</formula>
    </cfRule>
  </conditionalFormatting>
  <conditionalFormatting sqref="I960">
    <cfRule type="expression" dxfId="721" priority="830" stopIfTrue="1">
      <formula>#REF!="Confidential"</formula>
    </cfRule>
  </conditionalFormatting>
  <conditionalFormatting sqref="I979">
    <cfRule type="expression" dxfId="720" priority="805" stopIfTrue="1">
      <formula>#REF!="Confidential"</formula>
    </cfRule>
  </conditionalFormatting>
  <conditionalFormatting sqref="I981">
    <cfRule type="expression" dxfId="719" priority="798" stopIfTrue="1">
      <formula>#REF!="Confidential"</formula>
    </cfRule>
  </conditionalFormatting>
  <conditionalFormatting sqref="I984">
    <cfRule type="expression" dxfId="718" priority="594" stopIfTrue="1">
      <formula>#REF!="Confidential"</formula>
    </cfRule>
  </conditionalFormatting>
  <conditionalFormatting sqref="I994">
    <cfRule type="expression" dxfId="717" priority="777" stopIfTrue="1">
      <formula>#REF!="Confidential"</formula>
    </cfRule>
  </conditionalFormatting>
  <conditionalFormatting sqref="I996">
    <cfRule type="expression" dxfId="716" priority="779" stopIfTrue="1">
      <formula>#REF!="Confidential"</formula>
    </cfRule>
  </conditionalFormatting>
  <conditionalFormatting sqref="I1001">
    <cfRule type="expression" dxfId="715" priority="488" stopIfTrue="1">
      <formula>#REF!="Confidential"</formula>
    </cfRule>
  </conditionalFormatting>
  <conditionalFormatting sqref="I1014">
    <cfRule type="expression" dxfId="714" priority="764" stopIfTrue="1">
      <formula>#REF!="Confidential"</formula>
    </cfRule>
  </conditionalFormatting>
  <conditionalFormatting sqref="I1023:I1027">
    <cfRule type="expression" dxfId="713" priority="752" stopIfTrue="1">
      <formula>#REF!="Confidential"</formula>
    </cfRule>
  </conditionalFormatting>
  <conditionalFormatting sqref="I1043">
    <cfRule type="expression" dxfId="712" priority="731" stopIfTrue="1">
      <formula>#REF!="Confidential"</formula>
    </cfRule>
  </conditionalFormatting>
  <conditionalFormatting sqref="I1108">
    <cfRule type="expression" dxfId="711" priority="673" stopIfTrue="1">
      <formula>#REF!="Confidential"</formula>
    </cfRule>
  </conditionalFormatting>
  <conditionalFormatting sqref="I1131">
    <cfRule type="expression" dxfId="710" priority="649" stopIfTrue="1">
      <formula>#REF!="Confidential"</formula>
    </cfRule>
  </conditionalFormatting>
  <conditionalFormatting sqref="I1234">
    <cfRule type="expression" dxfId="709" priority="599" stopIfTrue="1">
      <formula>#REF!="Confidential"</formula>
    </cfRule>
  </conditionalFormatting>
  <conditionalFormatting sqref="I1346:I1347">
    <cfRule type="expression" dxfId="708" priority="538" stopIfTrue="1">
      <formula>#REF!="Confidential"</formula>
    </cfRule>
  </conditionalFormatting>
  <conditionalFormatting sqref="I1349:I1354">
    <cfRule type="expression" dxfId="707" priority="533" stopIfTrue="1">
      <formula>#REF!="Confidential"</formula>
    </cfRule>
  </conditionalFormatting>
  <conditionalFormatting sqref="I1356:I1367">
    <cfRule type="expression" dxfId="706" priority="521" stopIfTrue="1">
      <formula>#REF!="Confidential"</formula>
    </cfRule>
  </conditionalFormatting>
  <conditionalFormatting sqref="I1496:I1497">
    <cfRule type="expression" dxfId="705" priority="398" stopIfTrue="1">
      <formula>#REF!="Confidential"</formula>
    </cfRule>
  </conditionalFormatting>
  <conditionalFormatting sqref="I1504:I1505">
    <cfRule type="expression" dxfId="704" priority="391" stopIfTrue="1">
      <formula>#REF!="Confidential"</formula>
    </cfRule>
  </conditionalFormatting>
  <conditionalFormatting sqref="I1564">
    <cfRule type="expression" dxfId="703" priority="354" stopIfTrue="1">
      <formula>#REF!="Confidential"</formula>
    </cfRule>
  </conditionalFormatting>
  <conditionalFormatting sqref="I1566">
    <cfRule type="expression" dxfId="702" priority="351" stopIfTrue="1">
      <formula>#REF!="Confidential"</formula>
    </cfRule>
  </conditionalFormatting>
  <conditionalFormatting sqref="I1570">
    <cfRule type="expression" dxfId="701" priority="347" stopIfTrue="1">
      <formula>#REF!="Confidential"</formula>
    </cfRule>
  </conditionalFormatting>
  <conditionalFormatting sqref="I1574:I1575">
    <cfRule type="expression" dxfId="700" priority="345" stopIfTrue="1">
      <formula>#REF!="Confidential"</formula>
    </cfRule>
  </conditionalFormatting>
  <conditionalFormatting sqref="I1629">
    <cfRule type="expression" dxfId="699" priority="299" stopIfTrue="1">
      <formula>#REF!="Confidential"</formula>
    </cfRule>
  </conditionalFormatting>
  <conditionalFormatting sqref="I1656:I1657">
    <cfRule type="expression" dxfId="698" priority="278" stopIfTrue="1">
      <formula>#REF!="Confidential"</formula>
    </cfRule>
  </conditionalFormatting>
  <conditionalFormatting sqref="I1661:I1663">
    <cfRule type="expression" dxfId="697" priority="272" stopIfTrue="1">
      <formula>#REF!="Confidential"</formula>
    </cfRule>
  </conditionalFormatting>
  <conditionalFormatting sqref="I1665">
    <cfRule type="expression" dxfId="696" priority="269" stopIfTrue="1">
      <formula>#REF!="Confidential"</formula>
    </cfRule>
  </conditionalFormatting>
  <conditionalFormatting sqref="I1722">
    <cfRule type="expression" dxfId="695" priority="228" stopIfTrue="1">
      <formula>#REF!="Confidential"</formula>
    </cfRule>
  </conditionalFormatting>
  <conditionalFormatting sqref="I1814">
    <cfRule type="expression" dxfId="694" priority="167" stopIfTrue="1">
      <formula>#REF!="Confidential"</formula>
    </cfRule>
  </conditionalFormatting>
  <conditionalFormatting sqref="I1834:I1837">
    <cfRule type="expression" dxfId="693" priority="121" stopIfTrue="1">
      <formula>#REF!="Confidential"</formula>
    </cfRule>
  </conditionalFormatting>
  <conditionalFormatting sqref="I1956:I1957">
    <cfRule type="expression" dxfId="692" priority="61" stopIfTrue="1">
      <formula>#REF!="Confidential"</formula>
    </cfRule>
  </conditionalFormatting>
  <conditionalFormatting sqref="I1984">
    <cfRule type="expression" dxfId="691" priority="32" stopIfTrue="1">
      <formula>#REF!="Confidential"</formula>
    </cfRule>
  </conditionalFormatting>
  <conditionalFormatting sqref="I419:J419">
    <cfRule type="expression" dxfId="690" priority="922" stopIfTrue="1">
      <formula>#REF!="Confidential"</formula>
    </cfRule>
  </conditionalFormatting>
  <conditionalFormatting sqref="I529:J529">
    <cfRule type="expression" dxfId="689" priority="1115" stopIfTrue="1">
      <formula>#REF!="Confidential"</formula>
    </cfRule>
  </conditionalFormatting>
  <conditionalFormatting sqref="I559:J560">
    <cfRule type="expression" dxfId="688" priority="1110" stopIfTrue="1">
      <formula>#REF!="Confidential"</formula>
    </cfRule>
  </conditionalFormatting>
  <conditionalFormatting sqref="I564:J564">
    <cfRule type="expression" dxfId="687" priority="1106" stopIfTrue="1">
      <formula>#REF!="Confidential"</formula>
    </cfRule>
  </conditionalFormatting>
  <conditionalFormatting sqref="I766:J767">
    <cfRule type="expression" dxfId="686" priority="1014" stopIfTrue="1">
      <formula>#REF!="Confidential"</formula>
    </cfRule>
  </conditionalFormatting>
  <conditionalFormatting sqref="I859:J859">
    <cfRule type="expression" dxfId="685" priority="919" stopIfTrue="1">
      <formula>#REF!="Confidential"</formula>
    </cfRule>
  </conditionalFormatting>
  <conditionalFormatting sqref="I889:J890">
    <cfRule type="expression" dxfId="684" priority="897" stopIfTrue="1">
      <formula>#REF!="Confidential"</formula>
    </cfRule>
  </conditionalFormatting>
  <conditionalFormatting sqref="I1088:J1088">
    <cfRule type="expression" dxfId="683" priority="701" stopIfTrue="1">
      <formula>#REF!="Confidential"</formula>
    </cfRule>
  </conditionalFormatting>
  <conditionalFormatting sqref="I1395:J1395">
    <cfRule type="expression" dxfId="682" priority="514" stopIfTrue="1">
      <formula>#REF!="Confidential"</formula>
    </cfRule>
  </conditionalFormatting>
  <conditionalFormatting sqref="I603:K604">
    <cfRule type="expression" dxfId="681" priority="1088" stopIfTrue="1">
      <formula>#REF!="Confidential"</formula>
    </cfRule>
  </conditionalFormatting>
  <conditionalFormatting sqref="I661:K661">
    <cfRule type="expression" dxfId="680" priority="1079" stopIfTrue="1">
      <formula>#REF!="Confidential"</formula>
    </cfRule>
  </conditionalFormatting>
  <conditionalFormatting sqref="I765:K765">
    <cfRule type="expression" dxfId="679" priority="1017" stopIfTrue="1">
      <formula>#REF!="Confidential"</formula>
    </cfRule>
  </conditionalFormatting>
  <conditionalFormatting sqref="I1468:K1470">
    <cfRule type="expression" dxfId="678" priority="413" stopIfTrue="1">
      <formula>#REF!="Confidential"</formula>
    </cfRule>
  </conditionalFormatting>
  <conditionalFormatting sqref="I597:S598">
    <cfRule type="expression" dxfId="677" priority="1059" stopIfTrue="1">
      <formula>#REF!="Confidential"</formula>
    </cfRule>
  </conditionalFormatting>
  <conditionalFormatting sqref="J285">
    <cfRule type="expression" dxfId="676" priority="200" stopIfTrue="1">
      <formula>#REF!="Confidential"</formula>
    </cfRule>
  </conditionalFormatting>
  <conditionalFormatting sqref="J571:J572">
    <cfRule type="expression" dxfId="675" priority="1102" stopIfTrue="1">
      <formula>#REF!="Confidential"</formula>
    </cfRule>
  </conditionalFormatting>
  <conditionalFormatting sqref="J611">
    <cfRule type="expression" dxfId="674" priority="1087" stopIfTrue="1">
      <formula>#REF!="Confidential"</formula>
    </cfRule>
  </conditionalFormatting>
  <conditionalFormatting sqref="J666">
    <cfRule type="expression" dxfId="673" priority="1074" stopIfTrue="1">
      <formula>#REF!="Confidential"</formula>
    </cfRule>
  </conditionalFormatting>
  <conditionalFormatting sqref="J699">
    <cfRule type="expression" dxfId="672" priority="1043" stopIfTrue="1">
      <formula>#REF!="Confidential"</formula>
    </cfRule>
  </conditionalFormatting>
  <conditionalFormatting sqref="J704">
    <cfRule type="expression" dxfId="671" priority="1041" stopIfTrue="1">
      <formula>#REF!="Confidential"</formula>
    </cfRule>
  </conditionalFormatting>
  <conditionalFormatting sqref="J706">
    <cfRule type="expression" dxfId="670" priority="1040" stopIfTrue="1">
      <formula>#REF!="Confidential"</formula>
    </cfRule>
  </conditionalFormatting>
  <conditionalFormatting sqref="J756">
    <cfRule type="expression" dxfId="669" priority="1024" stopIfTrue="1">
      <formula>#REF!="Confidential"</formula>
    </cfRule>
  </conditionalFormatting>
  <conditionalFormatting sqref="J795">
    <cfRule type="expression" dxfId="668" priority="940" stopIfTrue="1">
      <formula>#REF!="Confidential"</formula>
    </cfRule>
  </conditionalFormatting>
  <conditionalFormatting sqref="J813:J814">
    <cfRule type="expression" dxfId="667" priority="985" stopIfTrue="1">
      <formula>#REF!="Confidential"</formula>
    </cfRule>
  </conditionalFormatting>
  <conditionalFormatting sqref="J850:J851">
    <cfRule type="expression" dxfId="666" priority="930" stopIfTrue="1">
      <formula>#REF!="Confidential"</formula>
    </cfRule>
  </conditionalFormatting>
  <conditionalFormatting sqref="J853:J854">
    <cfRule type="expression" dxfId="665" priority="927" stopIfTrue="1">
      <formula>#REF!="Confidential"</formula>
    </cfRule>
  </conditionalFormatting>
  <conditionalFormatting sqref="J911:J912">
    <cfRule type="expression" dxfId="664" priority="874" stopIfTrue="1">
      <formula>#REF!="Confidential"</formula>
    </cfRule>
  </conditionalFormatting>
  <conditionalFormatting sqref="J930:J931">
    <cfRule type="expression" dxfId="663" priority="854" stopIfTrue="1">
      <formula>#REF!="Confidential"</formula>
    </cfRule>
  </conditionalFormatting>
  <conditionalFormatting sqref="J946:J947">
    <cfRule type="expression" dxfId="662" priority="839" stopIfTrue="1">
      <formula>#REF!="Confidential"</formula>
    </cfRule>
  </conditionalFormatting>
  <conditionalFormatting sqref="J949:J950">
    <cfRule type="expression" dxfId="661" priority="310" stopIfTrue="1">
      <formula>#REF!="Confidential"</formula>
    </cfRule>
  </conditionalFormatting>
  <conditionalFormatting sqref="J952">
    <cfRule type="expression" dxfId="660" priority="835" stopIfTrue="1">
      <formula>#REF!="Confidential"</formula>
    </cfRule>
  </conditionalFormatting>
  <conditionalFormatting sqref="J960">
    <cfRule type="expression" dxfId="659" priority="829" stopIfTrue="1">
      <formula>#REF!="Confidential"</formula>
    </cfRule>
  </conditionalFormatting>
  <conditionalFormatting sqref="J963">
    <cfRule type="expression" dxfId="658" priority="821" stopIfTrue="1">
      <formula>#REF!="Confidential"</formula>
    </cfRule>
  </conditionalFormatting>
  <conditionalFormatting sqref="J965:J967">
    <cfRule type="expression" dxfId="657" priority="102" stopIfTrue="1">
      <formula>#REF!="Confidential"</formula>
    </cfRule>
  </conditionalFormatting>
  <conditionalFormatting sqref="J977:J978">
    <cfRule type="expression" dxfId="656" priority="495" stopIfTrue="1">
      <formula>#REF!="Confidential"</formula>
    </cfRule>
  </conditionalFormatting>
  <conditionalFormatting sqref="J981">
    <cfRule type="expression" dxfId="655" priority="797" stopIfTrue="1">
      <formula>#REF!="Confidential"</formula>
    </cfRule>
  </conditionalFormatting>
  <conditionalFormatting sqref="J984">
    <cfRule type="expression" dxfId="654" priority="593" stopIfTrue="1">
      <formula>#REF!="Confidential"</formula>
    </cfRule>
  </conditionalFormatting>
  <conditionalFormatting sqref="J987">
    <cfRule type="expression" dxfId="653" priority="70" stopIfTrue="1">
      <formula>#REF!="Confidential"</formula>
    </cfRule>
  </conditionalFormatting>
  <conditionalFormatting sqref="J992:J1001">
    <cfRule type="expression" dxfId="652" priority="487" stopIfTrue="1">
      <formula>#REF!="Confidential"</formula>
    </cfRule>
  </conditionalFormatting>
  <conditionalFormatting sqref="J1003:J1004">
    <cfRule type="expression" dxfId="651" priority="771" stopIfTrue="1">
      <formula>#REF!="Confidential"</formula>
    </cfRule>
  </conditionalFormatting>
  <conditionalFormatting sqref="J1015">
    <cfRule type="expression" dxfId="650" priority="480" stopIfTrue="1">
      <formula>#REF!="Confidential"</formula>
    </cfRule>
  </conditionalFormatting>
  <conditionalFormatting sqref="J1028:J1031">
    <cfRule type="expression" dxfId="649" priority="741" stopIfTrue="1">
      <formula>#REF!="Confidential"</formula>
    </cfRule>
  </conditionalFormatting>
  <conditionalFormatting sqref="J1062">
    <cfRule type="expression" dxfId="648" priority="721" stopIfTrue="1">
      <formula>#REF!="Confidential"</formula>
    </cfRule>
  </conditionalFormatting>
  <conditionalFormatting sqref="J1095:J1096">
    <cfRule type="expression" dxfId="647" priority="693" stopIfTrue="1">
      <formula>#REF!="Confidential"</formula>
    </cfRule>
  </conditionalFormatting>
  <conditionalFormatting sqref="J1101:J1102">
    <cfRule type="expression" dxfId="646" priority="101" stopIfTrue="1">
      <formula>#REF!="Confidential"</formula>
    </cfRule>
  </conditionalFormatting>
  <conditionalFormatting sqref="J1126">
    <cfRule type="expression" dxfId="645" priority="658" stopIfTrue="1">
      <formula>#REF!="Confidential"</formula>
    </cfRule>
  </conditionalFormatting>
  <conditionalFormatting sqref="J1286:J1287">
    <cfRule type="expression" dxfId="644" priority="572" stopIfTrue="1">
      <formula>#REF!="Confidential"</formula>
    </cfRule>
  </conditionalFormatting>
  <conditionalFormatting sqref="J1350:J1351">
    <cfRule type="expression" dxfId="643" priority="535" stopIfTrue="1">
      <formula>#REF!="Confidential"</formula>
    </cfRule>
  </conditionalFormatting>
  <conditionalFormatting sqref="J1356:J1359">
    <cfRule type="expression" dxfId="642" priority="532" stopIfTrue="1">
      <formula>#REF!="Confidential"</formula>
    </cfRule>
  </conditionalFormatting>
  <conditionalFormatting sqref="J1363">
    <cfRule type="expression" dxfId="641" priority="528" stopIfTrue="1">
      <formula>#REF!="Confidential"</formula>
    </cfRule>
  </conditionalFormatting>
  <conditionalFormatting sqref="J1396:J1397">
    <cfRule type="expression" dxfId="640" priority="509" stopIfTrue="1">
      <formula>#REF!="Confidential"</formula>
    </cfRule>
  </conditionalFormatting>
  <conditionalFormatting sqref="J1433:J1434">
    <cfRule type="expression" dxfId="639" priority="69" stopIfTrue="1">
      <formula>#REF!="Confidential"</formula>
    </cfRule>
  </conditionalFormatting>
  <conditionalFormatting sqref="J1454:J1455">
    <cfRule type="expression" dxfId="638" priority="425" stopIfTrue="1">
      <formula>#REF!="Confidential"</formula>
    </cfRule>
  </conditionalFormatting>
  <conditionalFormatting sqref="J1457:J1459">
    <cfRule type="expression" dxfId="637" priority="419" stopIfTrue="1">
      <formula>#REF!="Confidential"</formula>
    </cfRule>
  </conditionalFormatting>
  <conditionalFormatting sqref="J1514:J1517">
    <cfRule type="expression" dxfId="636" priority="377" stopIfTrue="1">
      <formula>#REF!="Confidential"</formula>
    </cfRule>
  </conditionalFormatting>
  <conditionalFormatting sqref="J1520">
    <cfRule type="expression" dxfId="635" priority="100" stopIfTrue="1">
      <formula>#REF!="Confidential"</formula>
    </cfRule>
  </conditionalFormatting>
  <conditionalFormatting sqref="J1608:J1609">
    <cfRule type="expression" dxfId="634" priority="316" stopIfTrue="1">
      <formula>#REF!="Confidential"</formula>
    </cfRule>
  </conditionalFormatting>
  <conditionalFormatting sqref="J1625">
    <cfRule type="expression" dxfId="633" priority="305" stopIfTrue="1">
      <formula>#REF!="Confidential"</formula>
    </cfRule>
  </conditionalFormatting>
  <conditionalFormatting sqref="J1634">
    <cfRule type="expression" dxfId="632" priority="290" stopIfTrue="1">
      <formula>#REF!="Confidential"</formula>
    </cfRule>
  </conditionalFormatting>
  <conditionalFormatting sqref="J1666:J1667">
    <cfRule type="expression" dxfId="631" priority="266" stopIfTrue="1">
      <formula>#REF!="Confidential"</formula>
    </cfRule>
  </conditionalFormatting>
  <conditionalFormatting sqref="J1669">
    <cfRule type="expression" dxfId="630" priority="53" stopIfTrue="1">
      <formula>#REF!="Confidential"</formula>
    </cfRule>
  </conditionalFormatting>
  <conditionalFormatting sqref="J1679:J1680">
    <cfRule type="expression" dxfId="629" priority="258" stopIfTrue="1">
      <formula>#REF!="Confidential"</formula>
    </cfRule>
  </conditionalFormatting>
  <conditionalFormatting sqref="J1683:J1684">
    <cfRule type="expression" dxfId="628" priority="255" stopIfTrue="1">
      <formula>#REF!="Confidential"</formula>
    </cfRule>
  </conditionalFormatting>
  <conditionalFormatting sqref="J1727:J1731">
    <cfRule type="expression" dxfId="627" priority="221" stopIfTrue="1">
      <formula>#REF!="Confidential"</formula>
    </cfRule>
  </conditionalFormatting>
  <conditionalFormatting sqref="J1740">
    <cfRule type="expression" dxfId="626" priority="216" stopIfTrue="1">
      <formula>#REF!="Confidential"</formula>
    </cfRule>
  </conditionalFormatting>
  <conditionalFormatting sqref="J1891">
    <cfRule type="expression" dxfId="625" priority="68" stopIfTrue="1">
      <formula>#REF!="Confidential"</formula>
    </cfRule>
  </conditionalFormatting>
  <conditionalFormatting sqref="J1992">
    <cfRule type="expression" dxfId="624" priority="24" stopIfTrue="1">
      <formula>#REF!="Confidential"</formula>
    </cfRule>
  </conditionalFormatting>
  <conditionalFormatting sqref="J601:K601">
    <cfRule type="expression" dxfId="623" priority="1090" stopIfTrue="1">
      <formula>#REF!="Confidential"</formula>
    </cfRule>
  </conditionalFormatting>
  <conditionalFormatting sqref="J776:K776">
    <cfRule type="expression" dxfId="622" priority="1005" stopIfTrue="1">
      <formula>#REF!="Confidential"</formula>
    </cfRule>
  </conditionalFormatting>
  <conditionalFormatting sqref="J848:K848">
    <cfRule type="expression" dxfId="621" priority="936" stopIfTrue="1">
      <formula>#REF!="Confidential"</formula>
    </cfRule>
  </conditionalFormatting>
  <conditionalFormatting sqref="J893:K893">
    <cfRule type="expression" dxfId="620" priority="891" stopIfTrue="1">
      <formula>#REF!="Confidential"</formula>
    </cfRule>
  </conditionalFormatting>
  <conditionalFormatting sqref="J920:K920">
    <cfRule type="expression" dxfId="619" priority="868" stopIfTrue="1">
      <formula>#REF!="Confidential"</formula>
    </cfRule>
  </conditionalFormatting>
  <conditionalFormatting sqref="J1131:K1131">
    <cfRule type="expression" dxfId="618" priority="650" stopIfTrue="1">
      <formula>#REF!="Confidential"</formula>
    </cfRule>
  </conditionalFormatting>
  <conditionalFormatting sqref="J1349:K1349">
    <cfRule type="expression" dxfId="617" priority="537" stopIfTrue="1">
      <formula>#REF!="Confidential"</formula>
    </cfRule>
  </conditionalFormatting>
  <conditionalFormatting sqref="J1436:K1436">
    <cfRule type="expression" dxfId="616" priority="452" stopIfTrue="1">
      <formula>#REF!="Confidential"</formula>
    </cfRule>
  </conditionalFormatting>
  <conditionalFormatting sqref="J1510:K1510">
    <cfRule type="expression" dxfId="615" priority="386" stopIfTrue="1">
      <formula>#REF!="Confidential"</formula>
    </cfRule>
  </conditionalFormatting>
  <conditionalFormatting sqref="J1633:K1633">
    <cfRule type="expression" dxfId="614" priority="294" stopIfTrue="1">
      <formula>#REF!="Confidential"</formula>
    </cfRule>
  </conditionalFormatting>
  <conditionalFormatting sqref="J678:Y678">
    <cfRule type="expression" dxfId="613" priority="1071" stopIfTrue="1">
      <formula>#REF!="Confidential"</formula>
    </cfRule>
  </conditionalFormatting>
  <conditionalFormatting sqref="J955:Y959">
    <cfRule type="expression" dxfId="612" priority="834" stopIfTrue="1">
      <formula>#REF!="Confidential"</formula>
    </cfRule>
  </conditionalFormatting>
  <conditionalFormatting sqref="J1346:Y1346">
    <cfRule type="expression" dxfId="611" priority="550" stopIfTrue="1">
      <formula>#REF!="Confidential"</formula>
    </cfRule>
  </conditionalFormatting>
  <conditionalFormatting sqref="K567">
    <cfRule type="expression" dxfId="610" priority="1104" stopIfTrue="1">
      <formula>#REF!="Confidential"</formula>
    </cfRule>
  </conditionalFormatting>
  <conditionalFormatting sqref="K663">
    <cfRule type="expression" dxfId="609" priority="1078" stopIfTrue="1">
      <formula>#REF!="Confidential"</formula>
    </cfRule>
  </conditionalFormatting>
  <conditionalFormatting sqref="K795">
    <cfRule type="expression" dxfId="608" priority="941" stopIfTrue="1">
      <formula>#REF!="Confidential"</formula>
    </cfRule>
  </conditionalFormatting>
  <conditionalFormatting sqref="K814">
    <cfRule type="expression" dxfId="607" priority="986" stopIfTrue="1">
      <formula>#REF!="Confidential"</formula>
    </cfRule>
  </conditionalFormatting>
  <conditionalFormatting sqref="K825">
    <cfRule type="expression" dxfId="606" priority="961" stopIfTrue="1">
      <formula>#REF!="Confidential"</formula>
    </cfRule>
  </conditionalFormatting>
  <conditionalFormatting sqref="K841:K842">
    <cfRule type="expression" dxfId="605" priority="946" stopIfTrue="1">
      <formula>#REF!="Confidential"</formula>
    </cfRule>
  </conditionalFormatting>
  <conditionalFormatting sqref="K853">
    <cfRule type="expression" dxfId="604" priority="929" stopIfTrue="1">
      <formula>#REF!="Confidential"</formula>
    </cfRule>
  </conditionalFormatting>
  <conditionalFormatting sqref="K918">
    <cfRule type="expression" dxfId="603" priority="870" stopIfTrue="1">
      <formula>#REF!="Confidential"</formula>
    </cfRule>
  </conditionalFormatting>
  <conditionalFormatting sqref="K967">
    <cfRule type="expression" dxfId="602" priority="819" stopIfTrue="1">
      <formula>#REF!="Confidential"</formula>
    </cfRule>
  </conditionalFormatting>
  <conditionalFormatting sqref="K996:K1001">
    <cfRule type="expression" dxfId="601" priority="486" stopIfTrue="1">
      <formula>#REF!="Confidential"</formula>
    </cfRule>
  </conditionalFormatting>
  <conditionalFormatting sqref="K1007">
    <cfRule type="expression" dxfId="600" priority="767" stopIfTrue="1">
      <formula>#REF!="Confidential"</formula>
    </cfRule>
  </conditionalFormatting>
  <conditionalFormatting sqref="K1010">
    <cfRule type="expression" dxfId="599" priority="765" stopIfTrue="1">
      <formula>#REF!="Confidential"</formula>
    </cfRule>
  </conditionalFormatting>
  <conditionalFormatting sqref="K1019">
    <cfRule type="expression" dxfId="598" priority="759" stopIfTrue="1">
      <formula>#REF!="Confidential"</formula>
    </cfRule>
  </conditionalFormatting>
  <conditionalFormatting sqref="K1022">
    <cfRule type="expression" dxfId="597" priority="756" stopIfTrue="1">
      <formula>#REF!="Confidential"</formula>
    </cfRule>
  </conditionalFormatting>
  <conditionalFormatting sqref="K1066">
    <cfRule type="expression" dxfId="596" priority="718" stopIfTrue="1">
      <formula>#REF!="Confidential"</formula>
    </cfRule>
  </conditionalFormatting>
  <conditionalFormatting sqref="K1069:K1070">
    <cfRule type="expression" dxfId="595" priority="712" stopIfTrue="1">
      <formula>#REF!="Confidential"</formula>
    </cfRule>
  </conditionalFormatting>
  <conditionalFormatting sqref="K1128:K1129">
    <cfRule type="expression" dxfId="594" priority="654" stopIfTrue="1">
      <formula>#REF!="Confidential"</formula>
    </cfRule>
  </conditionalFormatting>
  <conditionalFormatting sqref="K1273:K1274">
    <cfRule type="expression" dxfId="593" priority="583" stopIfTrue="1">
      <formula>#REF!="Confidential"</formula>
    </cfRule>
  </conditionalFormatting>
  <conditionalFormatting sqref="K1580">
    <cfRule type="expression" dxfId="592" priority="330" stopIfTrue="1">
      <formula>#REF!="Confidential"</formula>
    </cfRule>
  </conditionalFormatting>
  <conditionalFormatting sqref="K1582">
    <cfRule type="expression" dxfId="591" priority="329" stopIfTrue="1">
      <formula>#REF!="Confidential"</formula>
    </cfRule>
  </conditionalFormatting>
  <conditionalFormatting sqref="K1584">
    <cfRule type="expression" dxfId="590" priority="328" stopIfTrue="1">
      <formula>#REF!="Confidential"</formula>
    </cfRule>
  </conditionalFormatting>
  <conditionalFormatting sqref="K1721">
    <cfRule type="expression" dxfId="589" priority="230" stopIfTrue="1">
      <formula>#REF!="Confidential"</formula>
    </cfRule>
  </conditionalFormatting>
  <conditionalFormatting sqref="K1819">
    <cfRule type="expression" dxfId="588" priority="154" stopIfTrue="1">
      <formula>#REF!="Confidential"</formula>
    </cfRule>
  </conditionalFormatting>
  <conditionalFormatting sqref="K1006:M1006">
    <cfRule type="expression" dxfId="587" priority="770" stopIfTrue="1">
      <formula>#REF!="Confidential"</formula>
    </cfRule>
  </conditionalFormatting>
  <conditionalFormatting sqref="K1088:M1088">
    <cfRule type="expression" dxfId="586" priority="700" stopIfTrue="1">
      <formula>#REF!="Confidential"</formula>
    </cfRule>
  </conditionalFormatting>
  <conditionalFormatting sqref="K575:O575">
    <cfRule type="expression" dxfId="585" priority="1097" stopIfTrue="1">
      <formula>#REF!="Confidential"</formula>
    </cfRule>
  </conditionalFormatting>
  <conditionalFormatting sqref="K773:Q773">
    <cfRule type="expression" dxfId="584" priority="1007" stopIfTrue="1">
      <formula>#REF!="Confidential"</formula>
    </cfRule>
  </conditionalFormatting>
  <conditionalFormatting sqref="K1395:Q1395">
    <cfRule type="expression" dxfId="583" priority="513" stopIfTrue="1">
      <formula>#REF!="Confidential"</formula>
    </cfRule>
  </conditionalFormatting>
  <conditionalFormatting sqref="K649:Y649">
    <cfRule type="expression" dxfId="582" priority="1081" stopIfTrue="1">
      <formula>#REF!="Confidential"</formula>
    </cfRule>
  </conditionalFormatting>
  <conditionalFormatting sqref="K941:Y941">
    <cfRule type="expression" dxfId="581" priority="841" stopIfTrue="1">
      <formula>#REF!="Confidential"</formula>
    </cfRule>
  </conditionalFormatting>
  <conditionalFormatting sqref="K976:Y978">
    <cfRule type="expression" dxfId="580" priority="498" stopIfTrue="1">
      <formula>#REF!="Confidential"</formula>
    </cfRule>
  </conditionalFormatting>
  <conditionalFormatting sqref="K1423:Y1423">
    <cfRule type="expression" dxfId="579" priority="333" stopIfTrue="1">
      <formula>#REF!="Confidential"</formula>
    </cfRule>
  </conditionalFormatting>
  <conditionalFormatting sqref="L1096:M1096">
    <cfRule type="expression" dxfId="578" priority="692" stopIfTrue="1">
      <formula>#REF!="Confidential"</formula>
    </cfRule>
  </conditionalFormatting>
  <conditionalFormatting sqref="L720:Y724">
    <cfRule type="expression" dxfId="577" priority="1029" stopIfTrue="1">
      <formula>#REF!="Confidential"</formula>
    </cfRule>
  </conditionalFormatting>
  <conditionalFormatting sqref="L996:Y1001">
    <cfRule type="expression" dxfId="576" priority="490" stopIfTrue="1">
      <formula>#REF!="Confidential"</formula>
    </cfRule>
  </conditionalFormatting>
  <conditionalFormatting sqref="L1580:Y1580">
    <cfRule type="expression" dxfId="575" priority="340" stopIfTrue="1">
      <formula>#REF!="Confidential"</formula>
    </cfRule>
  </conditionalFormatting>
  <conditionalFormatting sqref="L1633:Y1633">
    <cfRule type="expression" dxfId="574" priority="295" stopIfTrue="1">
      <formula>#REF!="Confidential"</formula>
    </cfRule>
  </conditionalFormatting>
  <conditionalFormatting sqref="M918:Q918">
    <cfRule type="expression" dxfId="573" priority="869" stopIfTrue="1">
      <formula>#REF!="Confidential"</formula>
    </cfRule>
  </conditionalFormatting>
  <conditionalFormatting sqref="N1066">
    <cfRule type="expression" dxfId="572" priority="717" stopIfTrue="1">
      <formula>#REF!="Confidential"</formula>
    </cfRule>
  </conditionalFormatting>
  <conditionalFormatting sqref="P713:R713">
    <cfRule type="expression" dxfId="571" priority="669" stopIfTrue="1">
      <formula>#REF!="Confidential"</formula>
    </cfRule>
  </conditionalFormatting>
  <conditionalFormatting sqref="P602:S602">
    <cfRule type="expression" dxfId="570" priority="801" stopIfTrue="1">
      <formula>#REF!="Confidential"</formula>
    </cfRule>
  </conditionalFormatting>
  <conditionalFormatting sqref="T598:Y598">
    <cfRule type="expression" dxfId="569" priority="1060" stopIfTrue="1">
      <formula>#REF!="Confidential"</formula>
    </cfRule>
  </conditionalFormatting>
  <conditionalFormatting sqref="W622:Y623">
    <cfRule type="expression" dxfId="568" priority="1057" stopIfTrue="1">
      <formula>#REF!="Confidential"</formula>
    </cfRule>
  </conditionalFormatting>
  <conditionalFormatting sqref="Z12">
    <cfRule type="expression" dxfId="567" priority="207" stopIfTrue="1">
      <formula>#REF!="Confidential"</formula>
    </cfRule>
  </conditionalFormatting>
  <conditionalFormatting sqref="Z464">
    <cfRule type="expression" dxfId="566" priority="847" stopIfTrue="1">
      <formula>#REF!="Confidential"</formula>
    </cfRule>
  </conditionalFormatting>
  <conditionalFormatting sqref="Z598">
    <cfRule type="expression" dxfId="565" priority="444" stopIfTrue="1">
      <formula>#REF!="Confidential"</formula>
    </cfRule>
  </conditionalFormatting>
  <conditionalFormatting sqref="Z678">
    <cfRule type="expression" dxfId="564" priority="1069" stopIfTrue="1">
      <formula>#REF!="Confidential"</formula>
    </cfRule>
  </conditionalFormatting>
  <conditionalFormatting sqref="Z693">
    <cfRule type="expression" dxfId="563" priority="1063" stopIfTrue="1">
      <formula>#REF!="Confidential"</formula>
    </cfRule>
  </conditionalFormatting>
  <conditionalFormatting sqref="Z833">
    <cfRule type="expression" dxfId="562" priority="958" stopIfTrue="1">
      <formula>#REF!="Confidential"</formula>
    </cfRule>
  </conditionalFormatting>
  <conditionalFormatting sqref="Z835:Z837">
    <cfRule type="expression" dxfId="561" priority="955" stopIfTrue="1">
      <formula>#REF!="Confidential"</formula>
    </cfRule>
  </conditionalFormatting>
  <conditionalFormatting sqref="Z884">
    <cfRule type="expression" dxfId="560" priority="905" stopIfTrue="1">
      <formula>#REF!="Confidential"</formula>
    </cfRule>
  </conditionalFormatting>
  <conditionalFormatting sqref="Z888">
    <cfRule type="expression" dxfId="559" priority="901" stopIfTrue="1">
      <formula>#REF!="Confidential"</formula>
    </cfRule>
  </conditionalFormatting>
  <conditionalFormatting sqref="Z895">
    <cfRule type="expression" dxfId="558" priority="888" stopIfTrue="1">
      <formula>#REF!="Confidential"</formula>
    </cfRule>
  </conditionalFormatting>
  <conditionalFormatting sqref="Z975">
    <cfRule type="expression" dxfId="557" priority="809" stopIfTrue="1">
      <formula>#REF!="Confidential"</formula>
    </cfRule>
  </conditionalFormatting>
  <conditionalFormatting sqref="Z995">
    <cfRule type="expression" dxfId="556" priority="776" stopIfTrue="1">
      <formula>#REF!="Confidential"</formula>
    </cfRule>
  </conditionalFormatting>
  <conditionalFormatting sqref="Z1006:Z1007">
    <cfRule type="expression" dxfId="555" priority="663" stopIfTrue="1">
      <formula>#REF!="Confidential"</formula>
    </cfRule>
  </conditionalFormatting>
  <conditionalFormatting sqref="Z1088">
    <cfRule type="expression" dxfId="554" priority="699" stopIfTrue="1">
      <formula>#REF!="Confidential"</formula>
    </cfRule>
  </conditionalFormatting>
  <conditionalFormatting sqref="Z1175">
    <cfRule type="expression" dxfId="553" priority="632" stopIfTrue="1">
      <formula>#REF!="Confidential"</formula>
    </cfRule>
  </conditionalFormatting>
  <conditionalFormatting sqref="Z1273:Z1274">
    <cfRule type="expression" dxfId="552" priority="579" stopIfTrue="1">
      <formula>#REF!="Confidential"</formula>
    </cfRule>
  </conditionalFormatting>
  <conditionalFormatting sqref="Z1290">
    <cfRule type="expression" dxfId="551" priority="566" stopIfTrue="1">
      <formula>#REF!="Confidential"</formula>
    </cfRule>
  </conditionalFormatting>
  <conditionalFormatting sqref="Z1432">
    <cfRule type="expression" dxfId="550" priority="459" stopIfTrue="1">
      <formula>#REF!="Confidential"</formula>
    </cfRule>
  </conditionalFormatting>
  <conditionalFormatting sqref="Z1468:Z1469">
    <cfRule type="expression" dxfId="549" priority="415" stopIfTrue="1">
      <formula>#REF!="Confidential"</formula>
    </cfRule>
  </conditionalFormatting>
  <conditionalFormatting sqref="Z1471">
    <cfRule type="expression" dxfId="548" priority="410" stopIfTrue="1">
      <formula>#REF!="Confidential"</formula>
    </cfRule>
  </conditionalFormatting>
  <conditionalFormatting sqref="Z1582:Z1584">
    <cfRule type="expression" dxfId="547" priority="327" stopIfTrue="1">
      <formula>#REF!="Confidential"</formula>
    </cfRule>
  </conditionalFormatting>
  <conditionalFormatting sqref="Z649:AA649">
    <cfRule type="expression" dxfId="546" priority="1046" stopIfTrue="1">
      <formula>#REF!="Confidential"</formula>
    </cfRule>
  </conditionalFormatting>
  <conditionalFormatting sqref="Z692:AA692">
    <cfRule type="expression" dxfId="545" priority="1064" stopIfTrue="1">
      <formula>#REF!="Confidential"</formula>
    </cfRule>
  </conditionalFormatting>
  <conditionalFormatting sqref="Z949:AA949">
    <cfRule type="expression" dxfId="544" priority="838" stopIfTrue="1">
      <formula>#REF!="Confidential"</formula>
    </cfRule>
  </conditionalFormatting>
  <conditionalFormatting sqref="Z1096:AA1096">
    <cfRule type="expression" dxfId="543" priority="691" stopIfTrue="1">
      <formula>#REF!="Confidential"</formula>
    </cfRule>
  </conditionalFormatting>
  <conditionalFormatting sqref="Z1629:AC1629">
    <cfRule type="expression" dxfId="542" priority="298" stopIfTrue="1">
      <formula>#REF!="Confidential"</formula>
    </cfRule>
  </conditionalFormatting>
  <conditionalFormatting sqref="Z1818:AC1819">
    <cfRule type="expression" dxfId="541" priority="153" stopIfTrue="1">
      <formula>#REF!="Confidential"</formula>
    </cfRule>
  </conditionalFormatting>
  <conditionalFormatting sqref="AA199">
    <cfRule type="expression" dxfId="540" priority="754" stopIfTrue="1">
      <formula>#REF!="Confidential"</formula>
    </cfRule>
  </conditionalFormatting>
  <conditionalFormatting sqref="AA397">
    <cfRule type="expression" dxfId="539" priority="1004" stopIfTrue="1">
      <formula>#REF!="Confidential"</formula>
    </cfRule>
  </conditionalFormatting>
  <conditionalFormatting sqref="AA466">
    <cfRule type="expression" dxfId="538" priority="1047" stopIfTrue="1">
      <formula>#REF!="Confidential"</formula>
    </cfRule>
  </conditionalFormatting>
  <conditionalFormatting sqref="AA472">
    <cfRule type="expression" dxfId="537" priority="1048" stopIfTrue="1">
      <formula>#REF!="Confidential"</formula>
    </cfRule>
  </conditionalFormatting>
  <conditionalFormatting sqref="AA493">
    <cfRule type="expression" dxfId="536" priority="953" stopIfTrue="1">
      <formula>#REF!="Confidential"</formula>
    </cfRule>
  </conditionalFormatting>
  <conditionalFormatting sqref="AA503">
    <cfRule type="expression" dxfId="535" priority="828" stopIfTrue="1">
      <formula>#REF!="Confidential"</formula>
    </cfRule>
  </conditionalFormatting>
  <conditionalFormatting sqref="AA509">
    <cfRule type="expression" dxfId="534" priority="1049" stopIfTrue="1">
      <formula>#REF!="Confidential"</formula>
    </cfRule>
  </conditionalFormatting>
  <conditionalFormatting sqref="AA514">
    <cfRule type="expression" dxfId="533" priority="1025" stopIfTrue="1">
      <formula>#REF!="Confidential"</formula>
    </cfRule>
  </conditionalFormatting>
  <conditionalFormatting sqref="AA518">
    <cfRule type="expression" dxfId="532" priority="1050" stopIfTrue="1">
      <formula>#REF!="Confidential"</formula>
    </cfRule>
  </conditionalFormatting>
  <conditionalFormatting sqref="AA525">
    <cfRule type="expression" dxfId="531" priority="1051" stopIfTrue="1">
      <formula>#REF!="Confidential"</formula>
    </cfRule>
  </conditionalFormatting>
  <conditionalFormatting sqref="AA527">
    <cfRule type="expression" dxfId="530" priority="1052" stopIfTrue="1">
      <formula>#REF!="Confidential"</formula>
    </cfRule>
  </conditionalFormatting>
  <conditionalFormatting sqref="AA584">
    <cfRule type="expression" dxfId="529" priority="1092" stopIfTrue="1">
      <formula>#REF!="Confidential"</formula>
    </cfRule>
  </conditionalFormatting>
  <conditionalFormatting sqref="AA641">
    <cfRule type="expression" dxfId="528" priority="1053" stopIfTrue="1">
      <formula>#REF!="Confidential"</formula>
    </cfRule>
  </conditionalFormatting>
  <conditionalFormatting sqref="AA673:AA674">
    <cfRule type="expression" dxfId="527" priority="13" stopIfTrue="1">
      <formula>$D673="Confidential"</formula>
    </cfRule>
  </conditionalFormatting>
  <conditionalFormatting sqref="AA677">
    <cfRule type="expression" dxfId="526" priority="1070" stopIfTrue="1">
      <formula>#REF!="Confidential"</formula>
    </cfRule>
  </conditionalFormatting>
  <conditionalFormatting sqref="AA694:AA695">
    <cfRule type="expression" dxfId="525" priority="1054" stopIfTrue="1">
      <formula>#REF!="Confidential"</formula>
    </cfRule>
  </conditionalFormatting>
  <conditionalFormatting sqref="AA712">
    <cfRule type="expression" dxfId="524" priority="1036" stopIfTrue="1">
      <formula>#REF!="Confidential"</formula>
    </cfRule>
  </conditionalFormatting>
  <conditionalFormatting sqref="AA771:AA772">
    <cfRule type="expression" dxfId="523" priority="1008" stopIfTrue="1">
      <formula>#REF!="Confidential"</formula>
    </cfRule>
  </conditionalFormatting>
  <conditionalFormatting sqref="AA774:AA775">
    <cfRule type="expression" dxfId="522" priority="547" stopIfTrue="1">
      <formula>#REF!="Confidential"</formula>
    </cfRule>
  </conditionalFormatting>
  <conditionalFormatting sqref="AA778">
    <cfRule type="expression" dxfId="521" priority="690" stopIfTrue="1">
      <formula>#REF!="Confidential"</formula>
    </cfRule>
  </conditionalFormatting>
  <conditionalFormatting sqref="AA791:AA792">
    <cfRule type="expression" dxfId="520" priority="762" stopIfTrue="1">
      <formula>#REF!="Confidential"</formula>
    </cfRule>
  </conditionalFormatting>
  <conditionalFormatting sqref="AA821">
    <cfRule type="expression" dxfId="519" priority="16" stopIfTrue="1">
      <formula>#REF!="Confidential"</formula>
    </cfRule>
  </conditionalFormatting>
  <conditionalFormatting sqref="AA838">
    <cfRule type="expression" dxfId="518" priority="952" stopIfTrue="1">
      <formula>#REF!="Confidential"</formula>
    </cfRule>
  </conditionalFormatting>
  <conditionalFormatting sqref="AA844">
    <cfRule type="expression" dxfId="517" priority="942" stopIfTrue="1">
      <formula>#REF!="Confidential"</formula>
    </cfRule>
  </conditionalFormatting>
  <conditionalFormatting sqref="AA849">
    <cfRule type="expression" dxfId="516" priority="381" stopIfTrue="1">
      <formula>#REF!="Confidential"</formula>
    </cfRule>
  </conditionalFormatting>
  <conditionalFormatting sqref="AA871">
    <cfRule type="expression" dxfId="515" priority="911" stopIfTrue="1">
      <formula>#REF!="Confidential"</formula>
    </cfRule>
  </conditionalFormatting>
  <conditionalFormatting sqref="AA881">
    <cfRule type="expression" dxfId="514" priority="907" stopIfTrue="1">
      <formula>#REF!="Confidential"</formula>
    </cfRule>
  </conditionalFormatting>
  <conditionalFormatting sqref="AA884:AA888">
    <cfRule type="expression" dxfId="513" priority="900" stopIfTrue="1">
      <formula>#REF!="Confidential"</formula>
    </cfRule>
  </conditionalFormatting>
  <conditionalFormatting sqref="AA890">
    <cfRule type="expression" dxfId="512" priority="894" stopIfTrue="1">
      <formula>#REF!="Confidential"</formula>
    </cfRule>
  </conditionalFormatting>
  <conditionalFormatting sqref="AA895">
    <cfRule type="expression" dxfId="511" priority="887" stopIfTrue="1">
      <formula>#REF!="Confidential"</formula>
    </cfRule>
  </conditionalFormatting>
  <conditionalFormatting sqref="AA897">
    <cfRule type="expression" dxfId="510" priority="884" stopIfTrue="1">
      <formula>#REF!="Confidential"</formula>
    </cfRule>
  </conditionalFormatting>
  <conditionalFormatting sqref="AA911">
    <cfRule type="expression" dxfId="509" priority="876" stopIfTrue="1">
      <formula>#REF!="Confidential"</formula>
    </cfRule>
  </conditionalFormatting>
  <conditionalFormatting sqref="AA914">
    <cfRule type="expression" dxfId="508" priority="872" stopIfTrue="1">
      <formula>#REF!="Confidential"</formula>
    </cfRule>
  </conditionalFormatting>
  <conditionalFormatting sqref="AA923">
    <cfRule type="expression" dxfId="507" priority="864" stopIfTrue="1">
      <formula>#REF!="Confidential"</formula>
    </cfRule>
  </conditionalFormatting>
  <conditionalFormatting sqref="AA930">
    <cfRule type="expression" dxfId="506" priority="860" stopIfTrue="1">
      <formula>#REF!="Confidential"</formula>
    </cfRule>
  </conditionalFormatting>
  <conditionalFormatting sqref="AA961">
    <cfRule type="expression" dxfId="505" priority="827" stopIfTrue="1">
      <formula>#REF!="Confidential"</formula>
    </cfRule>
  </conditionalFormatting>
  <conditionalFormatting sqref="AA964:AA966">
    <cfRule type="expression" dxfId="504" priority="823" stopIfTrue="1">
      <formula>#REF!="Confidential"</formula>
    </cfRule>
  </conditionalFormatting>
  <conditionalFormatting sqref="AA972:AA973">
    <cfRule type="expression" dxfId="503" priority="816" stopIfTrue="1">
      <formula>#REF!="Confidential"</formula>
    </cfRule>
  </conditionalFormatting>
  <conditionalFormatting sqref="AA975">
    <cfRule type="expression" dxfId="502" priority="807" stopIfTrue="1">
      <formula>#REF!="Confidential"</formula>
    </cfRule>
  </conditionalFormatting>
  <conditionalFormatting sqref="AA977:AA978">
    <cfRule type="expression" dxfId="501" priority="497" stopIfTrue="1">
      <formula>#REF!="Confidential"</formula>
    </cfRule>
  </conditionalFormatting>
  <conditionalFormatting sqref="AA990:AA991">
    <cfRule type="expression" dxfId="500" priority="785" stopIfTrue="1">
      <formula>#REF!="Confidential"</formula>
    </cfRule>
  </conditionalFormatting>
  <conditionalFormatting sqref="AA1019">
    <cfRule type="expression" dxfId="499" priority="758" stopIfTrue="1">
      <formula>#REF!="Confidential"</formula>
    </cfRule>
  </conditionalFormatting>
  <conditionalFormatting sqref="AA1088">
    <cfRule type="expression" dxfId="498" priority="697" stopIfTrue="1">
      <formula>#REF!="Confidential"</formula>
    </cfRule>
  </conditionalFormatting>
  <conditionalFormatting sqref="AA1094:AA1095">
    <cfRule type="expression" dxfId="497" priority="694" stopIfTrue="1">
      <formula>#REF!="Confidential"</formula>
    </cfRule>
  </conditionalFormatting>
  <conditionalFormatting sqref="AA1104">
    <cfRule type="expression" dxfId="496" priority="685" stopIfTrue="1">
      <formula>#REF!="Confidential"</formula>
    </cfRule>
  </conditionalFormatting>
  <conditionalFormatting sqref="AA1175">
    <cfRule type="expression" dxfId="495" priority="630" stopIfTrue="1">
      <formula>#REF!="Confidential"</formula>
    </cfRule>
  </conditionalFormatting>
  <conditionalFormatting sqref="AA1191">
    <cfRule type="expression" dxfId="494" priority="170" stopIfTrue="1">
      <formula>#REF!="Confidential"</formula>
    </cfRule>
  </conditionalFormatting>
  <conditionalFormatting sqref="AA1221">
    <cfRule type="expression" dxfId="493" priority="613" stopIfTrue="1">
      <formula>#REF!="Confidential"</formula>
    </cfRule>
  </conditionalFormatting>
  <conditionalFormatting sqref="AA1234">
    <cfRule type="expression" dxfId="492" priority="601" stopIfTrue="1">
      <formula>#REF!="Confidential"</formula>
    </cfRule>
  </conditionalFormatting>
  <conditionalFormatting sqref="AA1287:AA1288">
    <cfRule type="expression" dxfId="491" priority="3" stopIfTrue="1">
      <formula>#REF!="Confidential"</formula>
    </cfRule>
  </conditionalFormatting>
  <conditionalFormatting sqref="AA1383">
    <cfRule type="expression" dxfId="490" priority="430" stopIfTrue="1">
      <formula>#REF!="Confidential"</formula>
    </cfRule>
  </conditionalFormatting>
  <conditionalFormatting sqref="AA1468:AA1469">
    <cfRule type="expression" dxfId="489" priority="414" stopIfTrue="1">
      <formula>#REF!="Confidential"</formula>
    </cfRule>
  </conditionalFormatting>
  <conditionalFormatting sqref="AA1506">
    <cfRule type="expression" dxfId="488" priority="389" stopIfTrue="1">
      <formula>#REF!="Confidential"</formula>
    </cfRule>
  </conditionalFormatting>
  <conditionalFormatting sqref="AA1579">
    <cfRule type="expression" dxfId="487" priority="342" stopIfTrue="1">
      <formula>#REF!="Confidential"</formula>
    </cfRule>
  </conditionalFormatting>
  <conditionalFormatting sqref="AA1686:AA1687">
    <cfRule type="expression" dxfId="486" priority="253" stopIfTrue="1">
      <formula>#REF!="Confidential"</formula>
    </cfRule>
  </conditionalFormatting>
  <conditionalFormatting sqref="AA1785">
    <cfRule type="expression" dxfId="485" priority="181" stopIfTrue="1">
      <formula>#REF!="Confidential"</formula>
    </cfRule>
  </conditionalFormatting>
  <conditionalFormatting sqref="AA1806:AA1807">
    <cfRule type="expression" dxfId="484" priority="175" stopIfTrue="1">
      <formula>#REF!="Confidential"</formula>
    </cfRule>
  </conditionalFormatting>
  <conditionalFormatting sqref="AA1812:AA1813">
    <cfRule type="expression" dxfId="483" priority="171" stopIfTrue="1">
      <formula>#REF!="Confidential"</formula>
    </cfRule>
  </conditionalFormatting>
  <conditionalFormatting sqref="AA1849">
    <cfRule type="expression" dxfId="482" priority="117" stopIfTrue="1">
      <formula>#REF!="Confidential"</formula>
    </cfRule>
  </conditionalFormatting>
  <conditionalFormatting sqref="AA1855">
    <cfRule type="expression" dxfId="481" priority="113" stopIfTrue="1">
      <formula>#REF!="Confidential"</formula>
    </cfRule>
  </conditionalFormatting>
  <conditionalFormatting sqref="AA1865">
    <cfRule type="expression" dxfId="480" priority="106" stopIfTrue="1">
      <formula>#REF!="Confidential"</formula>
    </cfRule>
  </conditionalFormatting>
  <conditionalFormatting sqref="AA1871:AA1872">
    <cfRule type="expression" dxfId="479" priority="104" stopIfTrue="1">
      <formula>#REF!="Confidential"</formula>
    </cfRule>
  </conditionalFormatting>
  <conditionalFormatting sqref="AA1899:AA1900">
    <cfRule type="expression" dxfId="478" priority="86" stopIfTrue="1">
      <formula>#REF!="Confidential"</formula>
    </cfRule>
  </conditionalFormatting>
  <conditionalFormatting sqref="AA1902:AA1910">
    <cfRule type="expression" dxfId="477" priority="85" stopIfTrue="1">
      <formula>#REF!="Confidential"</formula>
    </cfRule>
  </conditionalFormatting>
  <conditionalFormatting sqref="AA1912:AA1923">
    <cfRule type="expression" dxfId="476" priority="84" stopIfTrue="1">
      <formula>#REF!="Confidential"</formula>
    </cfRule>
  </conditionalFormatting>
  <conditionalFormatting sqref="AA1925:AA1929">
    <cfRule type="expression" dxfId="475" priority="83" stopIfTrue="1">
      <formula>#REF!="Confidential"</formula>
    </cfRule>
  </conditionalFormatting>
  <conditionalFormatting sqref="AA1931:AA1934">
    <cfRule type="expression" dxfId="474" priority="82" stopIfTrue="1">
      <formula>#REF!="Confidential"</formula>
    </cfRule>
  </conditionalFormatting>
  <conditionalFormatting sqref="AA1936:AA1938">
    <cfRule type="expression" dxfId="473" priority="81" stopIfTrue="1">
      <formula>#REF!="Confidential"</formula>
    </cfRule>
  </conditionalFormatting>
  <conditionalFormatting sqref="AA1948">
    <cfRule type="expression" dxfId="472" priority="75" stopIfTrue="1">
      <formula>#REF!="Confidential"</formula>
    </cfRule>
  </conditionalFormatting>
  <conditionalFormatting sqref="AA1986:AA1989">
    <cfRule type="expression" dxfId="471" priority="31" stopIfTrue="1">
      <formula>#REF!="Confidential"</formula>
    </cfRule>
  </conditionalFormatting>
  <conditionalFormatting sqref="AA1993:AA1996">
    <cfRule type="expression" dxfId="470" priority="25" stopIfTrue="1">
      <formula>#REF!="Confidential"</formula>
    </cfRule>
  </conditionalFormatting>
  <conditionalFormatting sqref="AA450:AB450">
    <cfRule type="expression" dxfId="469" priority="434" stopIfTrue="1">
      <formula>#REF!="Confidential"</formula>
    </cfRule>
  </conditionalFormatting>
  <conditionalFormatting sqref="AA912:AB912">
    <cfRule type="expression" dxfId="468" priority="66" stopIfTrue="1">
      <formula>#REF!="Confidential"</formula>
    </cfRule>
  </conditionalFormatting>
  <conditionalFormatting sqref="AA1129:AB1129">
    <cfRule type="expression" dxfId="467" priority="652" stopIfTrue="1">
      <formula>#REF!="Confidential"</formula>
    </cfRule>
  </conditionalFormatting>
  <conditionalFormatting sqref="AA1423:AB1423">
    <cfRule type="expression" dxfId="466" priority="331" stopIfTrue="1">
      <formula>#REF!="Confidential"</formula>
    </cfRule>
  </conditionalFormatting>
  <conditionalFormatting sqref="AA1511:AB1511">
    <cfRule type="expression" dxfId="465" priority="383" stopIfTrue="1">
      <formula>#REF!="Confidential"</formula>
    </cfRule>
  </conditionalFormatting>
  <conditionalFormatting sqref="AA1580:AB1584">
    <cfRule type="expression" dxfId="464" priority="326" stopIfTrue="1">
      <formula>#REF!="Confidential"</formula>
    </cfRule>
  </conditionalFormatting>
  <conditionalFormatting sqref="AA1638:AB1638">
    <cfRule type="expression" dxfId="463" priority="289" stopIfTrue="1">
      <formula>#REF!="Confidential"</formula>
    </cfRule>
  </conditionalFormatting>
  <conditionalFormatting sqref="AA1781:AB1782">
    <cfRule type="expression" dxfId="462" priority="188" stopIfTrue="1">
      <formula>#REF!="Confidential"</formula>
    </cfRule>
  </conditionalFormatting>
  <conditionalFormatting sqref="AA1803:AB1804">
    <cfRule type="expression" dxfId="461" priority="177" stopIfTrue="1">
      <formula>#REF!="Confidential"</formula>
    </cfRule>
  </conditionalFormatting>
  <conditionalFormatting sqref="AA1941:AB1941">
    <cfRule type="expression" dxfId="460" priority="78" stopIfTrue="1">
      <formula>#REF!="Confidential"</formula>
    </cfRule>
  </conditionalFormatting>
  <conditionalFormatting sqref="AA1955:AB1955">
    <cfRule type="expression" dxfId="459" priority="63" stopIfTrue="1">
      <formula>#REF!="Confidential"</formula>
    </cfRule>
  </conditionalFormatting>
  <conditionalFormatting sqref="AA1990:AB1990">
    <cfRule type="expression" dxfId="458" priority="28" stopIfTrue="1">
      <formula>#REF!="Confidential"</formula>
    </cfRule>
  </conditionalFormatting>
  <conditionalFormatting sqref="AA831:AC837">
    <cfRule type="expression" dxfId="457" priority="957" stopIfTrue="1">
      <formula>#REF!="Confidential"</formula>
    </cfRule>
  </conditionalFormatting>
  <conditionalFormatting sqref="AA711:AE711">
    <cfRule type="expression" dxfId="456" priority="1035" stopIfTrue="1">
      <formula>#REF!="Confidential"</formula>
    </cfRule>
  </conditionalFormatting>
  <conditionalFormatting sqref="AB14:AB15">
    <cfRule type="expression" dxfId="455" priority="660" stopIfTrue="1">
      <formula>#REF!="Confidential"</formula>
    </cfRule>
  </conditionalFormatting>
  <conditionalFormatting sqref="AB17:AB18">
    <cfRule type="expression" dxfId="454" priority="858" stopIfTrue="1">
      <formula>#REF!="Confidential"</formula>
    </cfRule>
  </conditionalFormatting>
  <conditionalFormatting sqref="AB39">
    <cfRule type="expression" dxfId="453" priority="8" stopIfTrue="1">
      <formula>#REF!="Confidential"</formula>
    </cfRule>
  </conditionalFormatting>
  <conditionalFormatting sqref="AB60">
    <cfRule type="expression" dxfId="452" priority="7" stopIfTrue="1">
      <formula>#REF!="Confidential"</formula>
    </cfRule>
  </conditionalFormatting>
  <conditionalFormatting sqref="AB62">
    <cfRule type="expression" dxfId="451" priority="584" stopIfTrue="1">
      <formula>#REF!="Confidential"</formula>
    </cfRule>
  </conditionalFormatting>
  <conditionalFormatting sqref="AB72">
    <cfRule type="expression" dxfId="450" priority="159" stopIfTrue="1">
      <formula>#REF!="Confidential"</formula>
    </cfRule>
  </conditionalFormatting>
  <conditionalFormatting sqref="AB199">
    <cfRule type="expression" dxfId="449" priority="753" stopIfTrue="1">
      <formula>#REF!="Confidential"</formula>
    </cfRule>
  </conditionalFormatting>
  <conditionalFormatting sqref="AB210:AB211">
    <cfRule type="expression" dxfId="448" priority="6" stopIfTrue="1">
      <formula>#REF!="Confidential"</formula>
    </cfRule>
  </conditionalFormatting>
  <conditionalFormatting sqref="AB234:AB235">
    <cfRule type="expression" dxfId="447" priority="161" stopIfTrue="1">
      <formula>#REF!="Confidential"</formula>
    </cfRule>
  </conditionalFormatting>
  <conditionalFormatting sqref="AB246">
    <cfRule type="expression" dxfId="446" priority="981" stopIfTrue="1">
      <formula>#REF!="Confidential"</formula>
    </cfRule>
  </conditionalFormatting>
  <conditionalFormatting sqref="AB436">
    <cfRule type="expression" dxfId="445" priority="1108" stopIfTrue="1">
      <formula>#REF!="Confidential"</formula>
    </cfRule>
  </conditionalFormatting>
  <conditionalFormatting sqref="AB438">
    <cfRule type="expression" dxfId="444" priority="1107" stopIfTrue="1">
      <formula>#REF!="Confidential"</formula>
    </cfRule>
  </conditionalFormatting>
  <conditionalFormatting sqref="AB459">
    <cfRule type="expression" dxfId="443" priority="132" stopIfTrue="1">
      <formula>#REF!="Confidential"</formula>
    </cfRule>
  </conditionalFormatting>
  <conditionalFormatting sqref="AB477">
    <cfRule type="expression" dxfId="442" priority="363" stopIfTrue="1">
      <formula>#REF!="Confidential"</formula>
    </cfRule>
  </conditionalFormatting>
  <conditionalFormatting sqref="AB484">
    <cfRule type="expression" dxfId="441" priority="203" stopIfTrue="1">
      <formula>#REF!="Confidential"</formula>
    </cfRule>
  </conditionalFormatting>
  <conditionalFormatting sqref="AB487:AB488">
    <cfRule type="expression" dxfId="440" priority="71" stopIfTrue="1">
      <formula>#REF!="Confidential"</formula>
    </cfRule>
  </conditionalFormatting>
  <conditionalFormatting sqref="AB574">
    <cfRule type="expression" dxfId="439" priority="591" stopIfTrue="1">
      <formula>#REF!="Confidential"</formula>
    </cfRule>
  </conditionalFormatting>
  <conditionalFormatting sqref="AB602">
    <cfRule type="expression" dxfId="438" priority="802" stopIfTrue="1">
      <formula>#REF!="Confidential"</formula>
    </cfRule>
  </conditionalFormatting>
  <conditionalFormatting sqref="AB641">
    <cfRule type="expression" dxfId="437" priority="1044" stopIfTrue="1">
      <formula>#REF!="Confidential"</formula>
    </cfRule>
  </conditionalFormatting>
  <conditionalFormatting sqref="AB690:AB693">
    <cfRule type="expression" dxfId="436" priority="530" stopIfTrue="1">
      <formula>#REF!="Confidential"</formula>
    </cfRule>
  </conditionalFormatting>
  <conditionalFormatting sqref="AB712">
    <cfRule type="expression" dxfId="435" priority="1034" stopIfTrue="1">
      <formula>#REF!="Confidential"</formula>
    </cfRule>
  </conditionalFormatting>
  <conditionalFormatting sqref="AB752">
    <cfRule type="expression" dxfId="434" priority="10" stopIfTrue="1">
      <formula>#REF!="Confidential"</formula>
    </cfRule>
  </conditionalFormatting>
  <conditionalFormatting sqref="AB757:AB758">
    <cfRule type="expression" dxfId="433" priority="1022" stopIfTrue="1">
      <formula>#REF!="Confidential"</formula>
    </cfRule>
  </conditionalFormatting>
  <conditionalFormatting sqref="AB768:AB776">
    <cfRule type="expression" dxfId="432" priority="542" stopIfTrue="1">
      <formula>#REF!="Confidential"</formula>
    </cfRule>
  </conditionalFormatting>
  <conditionalFormatting sqref="AB781:AB782">
    <cfRule type="expression" dxfId="431" priority="999" stopIfTrue="1">
      <formula>#REF!="Confidential"</formula>
    </cfRule>
  </conditionalFormatting>
  <conditionalFormatting sqref="AB791:AB792">
    <cfRule type="expression" dxfId="430" priority="761" stopIfTrue="1">
      <formula>#REF!="Confidential"</formula>
    </cfRule>
  </conditionalFormatting>
  <conditionalFormatting sqref="AB821">
    <cfRule type="expression" dxfId="429" priority="15" stopIfTrue="1">
      <formula>#REF!="Confidential"</formula>
    </cfRule>
  </conditionalFormatting>
  <conditionalFormatting sqref="AB844">
    <cfRule type="expression" dxfId="428" priority="943" stopIfTrue="1">
      <formula>#REF!="Confidential"</formula>
    </cfRule>
  </conditionalFormatting>
  <conditionalFormatting sqref="AB867">
    <cfRule type="expression" dxfId="427" priority="915" stopIfTrue="1">
      <formula>#REF!="Confidential"</formula>
    </cfRule>
  </conditionalFormatting>
  <conditionalFormatting sqref="AB869">
    <cfRule type="expression" dxfId="426" priority="219" stopIfTrue="1">
      <formula>#REF!="Confidential"</formula>
    </cfRule>
  </conditionalFormatting>
  <conditionalFormatting sqref="AB871">
    <cfRule type="expression" dxfId="425" priority="912" stopIfTrue="1">
      <formula>#REF!="Confidential"</formula>
    </cfRule>
  </conditionalFormatting>
  <conditionalFormatting sqref="AB879:AB881">
    <cfRule type="expression" dxfId="424" priority="110" stopIfTrue="1">
      <formula>#REF!="Confidential"</formula>
    </cfRule>
  </conditionalFormatting>
  <conditionalFormatting sqref="AB884:AB890">
    <cfRule type="expression" dxfId="423" priority="895" stopIfTrue="1">
      <formula>#REF!="Confidential"</formula>
    </cfRule>
  </conditionalFormatting>
  <conditionalFormatting sqref="AB905">
    <cfRule type="expression" dxfId="422" priority="364" stopIfTrue="1">
      <formula>#REF!="Confidential"</formula>
    </cfRule>
  </conditionalFormatting>
  <conditionalFormatting sqref="AB913:AB917">
    <cfRule type="expression" dxfId="421" priority="871" stopIfTrue="1">
      <formula>#REF!="Confidential"</formula>
    </cfRule>
  </conditionalFormatting>
  <conditionalFormatting sqref="AB921:AB923">
    <cfRule type="expression" dxfId="420" priority="130" stopIfTrue="1">
      <formula>#REF!="Confidential"</formula>
    </cfRule>
  </conditionalFormatting>
  <conditionalFormatting sqref="AB930">
    <cfRule type="expression" dxfId="419" priority="861" stopIfTrue="1">
      <formula>#REF!="Confidential"</formula>
    </cfRule>
  </conditionalFormatting>
  <conditionalFormatting sqref="AB937:AB941">
    <cfRule type="expression" dxfId="418" priority="338" stopIfTrue="1">
      <formula>#REF!="Confidential"</formula>
    </cfRule>
  </conditionalFormatting>
  <conditionalFormatting sqref="AB963:AB967">
    <cfRule type="expression" dxfId="417" priority="790" stopIfTrue="1">
      <formula>#REF!="Confidential"</formula>
    </cfRule>
  </conditionalFormatting>
  <conditionalFormatting sqref="AB969:AB975">
    <cfRule type="expression" dxfId="416" priority="803" stopIfTrue="1">
      <formula>#REF!="Confidential"</formula>
    </cfRule>
  </conditionalFormatting>
  <conditionalFormatting sqref="AB982">
    <cfRule type="expression" dxfId="415" priority="796" stopIfTrue="1">
      <formula>#REF!="Confidential"</formula>
    </cfRule>
  </conditionalFormatting>
  <conditionalFormatting sqref="AB988">
    <cfRule type="expression" dxfId="414" priority="362" stopIfTrue="1">
      <formula>#REF!="Confidential"</formula>
    </cfRule>
  </conditionalFormatting>
  <conditionalFormatting sqref="AB1005">
    <cfRule type="expression" dxfId="413" priority="750" stopIfTrue="1">
      <formula>#REF!="Confidential"</formula>
    </cfRule>
  </conditionalFormatting>
  <conditionalFormatting sqref="AB1008:AB1009">
    <cfRule type="expression" dxfId="412" priority="558" stopIfTrue="1">
      <formula>#REF!="Confidential"</formula>
    </cfRule>
  </conditionalFormatting>
  <conditionalFormatting sqref="AB1011:AB1013">
    <cfRule type="expression" dxfId="411" priority="482" stopIfTrue="1">
      <formula>#REF!="Confidential"</formula>
    </cfRule>
  </conditionalFormatting>
  <conditionalFormatting sqref="AB1018:AB1019">
    <cfRule type="expression" dxfId="410" priority="749" stopIfTrue="1">
      <formula>#REF!="Confidential"</formula>
    </cfRule>
  </conditionalFormatting>
  <conditionalFormatting sqref="AB1022:AB1024">
    <cfRule type="expression" dxfId="409" priority="748" stopIfTrue="1">
      <formula>#REF!="Confidential"</formula>
    </cfRule>
  </conditionalFormatting>
  <conditionalFormatting sqref="AB1027:AB1032">
    <cfRule type="expression" dxfId="408" priority="739" stopIfTrue="1">
      <formula>#REF!="Confidential"</formula>
    </cfRule>
  </conditionalFormatting>
  <conditionalFormatting sqref="AB1034">
    <cfRule type="expression" dxfId="407" priority="738" stopIfTrue="1">
      <formula>#REF!="Confidential"</formula>
    </cfRule>
  </conditionalFormatting>
  <conditionalFormatting sqref="AB1039:AB1041">
    <cfRule type="expression" dxfId="406" priority="145" stopIfTrue="1">
      <formula>#REF!="Confidential"</formula>
    </cfRule>
  </conditionalFormatting>
  <conditionalFormatting sqref="AB1044">
    <cfRule type="expression" dxfId="405" priority="729" stopIfTrue="1">
      <formula>#REF!="Confidential"</formula>
    </cfRule>
  </conditionalFormatting>
  <conditionalFormatting sqref="AB1047:AB1059">
    <cfRule type="expression" dxfId="404" priority="477" stopIfTrue="1">
      <formula>#REF!="Confidential"</formula>
    </cfRule>
  </conditionalFormatting>
  <conditionalFormatting sqref="AB1066:AB1067">
    <cfRule type="expression" dxfId="403" priority="716" stopIfTrue="1">
      <formula>#REF!="Confidential"</formula>
    </cfRule>
  </conditionalFormatting>
  <conditionalFormatting sqref="AB1074:AB1075">
    <cfRule type="expression" dxfId="402" priority="661" stopIfTrue="1">
      <formula>#REF!="Confidential"</formula>
    </cfRule>
  </conditionalFormatting>
  <conditionalFormatting sqref="AB1088">
    <cfRule type="expression" dxfId="401" priority="698" stopIfTrue="1">
      <formula>#REF!="Confidential"</formula>
    </cfRule>
  </conditionalFormatting>
  <conditionalFormatting sqref="AB1091:AB1100">
    <cfRule type="expression" dxfId="400" priority="191" stopIfTrue="1">
      <formula>#REF!="Confidential"</formula>
    </cfRule>
  </conditionalFormatting>
  <conditionalFormatting sqref="AB1106">
    <cfRule type="expression" dxfId="399" priority="676" stopIfTrue="1">
      <formula>#REF!="Confidential"</formula>
    </cfRule>
  </conditionalFormatting>
  <conditionalFormatting sqref="AB1109">
    <cfRule type="expression" dxfId="398" priority="670" stopIfTrue="1">
      <formula>#REF!="Confidential"</formula>
    </cfRule>
  </conditionalFormatting>
  <conditionalFormatting sqref="AB1112:AB1114">
    <cfRule type="expression" dxfId="397" priority="668" stopIfTrue="1">
      <formula>#REF!="Confidential"</formula>
    </cfRule>
  </conditionalFormatting>
  <conditionalFormatting sqref="AB1116:AB1118">
    <cfRule type="expression" dxfId="396" priority="665" stopIfTrue="1">
      <formula>#REF!="Confidential"</formula>
    </cfRule>
  </conditionalFormatting>
  <conditionalFormatting sqref="AB1125">
    <cfRule type="expression" dxfId="395" priority="659" stopIfTrue="1">
      <formula>#REF!="Confidential"</formula>
    </cfRule>
  </conditionalFormatting>
  <conditionalFormatting sqref="AB1127">
    <cfRule type="expression" dxfId="394" priority="656" stopIfTrue="1">
      <formula>#REF!="Confidential"</formula>
    </cfRule>
  </conditionalFormatting>
  <conditionalFormatting sqref="AB1131:AB1132">
    <cfRule type="expression" dxfId="393" priority="646" stopIfTrue="1">
      <formula>#REF!="Confidential"</formula>
    </cfRule>
  </conditionalFormatting>
  <conditionalFormatting sqref="AB1139">
    <cfRule type="expression" dxfId="392" priority="642" stopIfTrue="1">
      <formula>#REF!="Confidential"</formula>
    </cfRule>
  </conditionalFormatting>
  <conditionalFormatting sqref="AB1143">
    <cfRule type="expression" dxfId="391" priority="640" stopIfTrue="1">
      <formula>#REF!="Confidential"</formula>
    </cfRule>
  </conditionalFormatting>
  <conditionalFormatting sqref="AB1155">
    <cfRule type="expression" dxfId="390" priority="637" stopIfTrue="1">
      <formula>#REF!="Confidential"</formula>
    </cfRule>
  </conditionalFormatting>
  <conditionalFormatting sqref="AB1158:AB1161">
    <cfRule type="expression" dxfId="389" priority="635" stopIfTrue="1">
      <formula>#REF!="Confidential"</formula>
    </cfRule>
  </conditionalFormatting>
  <conditionalFormatting sqref="AB1170:AB1176">
    <cfRule type="expression" dxfId="388" priority="628" stopIfTrue="1">
      <formula>#REF!="Confidential"</formula>
    </cfRule>
  </conditionalFormatting>
  <conditionalFormatting sqref="AB1178:AB1179">
    <cfRule type="expression" dxfId="387" priority="626" stopIfTrue="1">
      <formula>#REF!="Confidential"</formula>
    </cfRule>
  </conditionalFormatting>
  <conditionalFormatting sqref="AB1181:AB1189">
    <cfRule type="expression" dxfId="386" priority="624" stopIfTrue="1">
      <formula>#REF!="Confidential"</formula>
    </cfRule>
  </conditionalFormatting>
  <conditionalFormatting sqref="AB1192:AB1196">
    <cfRule type="expression" dxfId="385" priority="621" stopIfTrue="1">
      <formula>#REF!="Confidential"</formula>
    </cfRule>
  </conditionalFormatting>
  <conditionalFormatting sqref="AB1198">
    <cfRule type="expression" dxfId="384" priority="619" stopIfTrue="1">
      <formula>#REF!="Confidential"</formula>
    </cfRule>
  </conditionalFormatting>
  <conditionalFormatting sqref="AB1200">
    <cfRule type="expression" dxfId="383" priority="370" stopIfTrue="1">
      <formula>#REF!="Confidential"</formula>
    </cfRule>
  </conditionalFormatting>
  <conditionalFormatting sqref="AB1202:AB1204">
    <cfRule type="expression" dxfId="382" priority="368" stopIfTrue="1">
      <formula>#REF!="Confidential"</formula>
    </cfRule>
  </conditionalFormatting>
  <conditionalFormatting sqref="AB1206:AB1208">
    <cfRule type="expression" dxfId="381" priority="618" stopIfTrue="1">
      <formula>#REF!="Confidential"</formula>
    </cfRule>
  </conditionalFormatting>
  <conditionalFormatting sqref="AB1210:AB1224">
    <cfRule type="expression" dxfId="380" priority="612" stopIfTrue="1">
      <formula>#REF!="Confidential"</formula>
    </cfRule>
  </conditionalFormatting>
  <conditionalFormatting sqref="AB1226:AB1231">
    <cfRule type="expression" dxfId="379" priority="602" stopIfTrue="1">
      <formula>#REF!="Confidential"</formula>
    </cfRule>
  </conditionalFormatting>
  <conditionalFormatting sqref="AB1267">
    <cfRule type="expression" dxfId="378" priority="73" stopIfTrue="1">
      <formula>#REF!="Confidential"</formula>
    </cfRule>
  </conditionalFormatting>
  <conditionalFormatting sqref="AB1273:AB1274">
    <cfRule type="expression" dxfId="377" priority="581" stopIfTrue="1">
      <formula>#REF!="Confidential"</formula>
    </cfRule>
  </conditionalFormatting>
  <conditionalFormatting sqref="AB1280:AB1285">
    <cfRule type="expression" dxfId="376" priority="149" stopIfTrue="1">
      <formula>#REF!="Confidential"</formula>
    </cfRule>
  </conditionalFormatting>
  <conditionalFormatting sqref="AB1287:AB1288">
    <cfRule type="expression" dxfId="375" priority="568" stopIfTrue="1">
      <formula>#REF!="Confidential"</formula>
    </cfRule>
  </conditionalFormatting>
  <conditionalFormatting sqref="AB1292:AB1295">
    <cfRule type="expression" dxfId="374" priority="503" stopIfTrue="1">
      <formula>#REF!="Confidential"</formula>
    </cfRule>
  </conditionalFormatting>
  <conditionalFormatting sqref="AB1299">
    <cfRule type="expression" dxfId="373" priority="40" stopIfTrue="1">
      <formula>#REF!="Confidential"</formula>
    </cfRule>
  </conditionalFormatting>
  <conditionalFormatting sqref="AB1314:AB1315">
    <cfRule type="expression" dxfId="372" priority="524" stopIfTrue="1">
      <formula>#REF!="Confidential"</formula>
    </cfRule>
  </conditionalFormatting>
  <conditionalFormatting sqref="AB1321">
    <cfRule type="expression" dxfId="371" priority="12" stopIfTrue="1">
      <formula>#REF!="Confidential"</formula>
    </cfRule>
  </conditionalFormatting>
  <conditionalFormatting sqref="AB1323:AB1326">
    <cfRule type="expression" dxfId="370" priority="554" stopIfTrue="1">
      <formula>#REF!="Confidential"</formula>
    </cfRule>
  </conditionalFormatting>
  <conditionalFormatting sqref="AB1330:AB1332">
    <cfRule type="expression" dxfId="369" priority="553" stopIfTrue="1">
      <formula>#REF!="Confidential"</formula>
    </cfRule>
  </conditionalFormatting>
  <conditionalFormatting sqref="AB1334:AB1335">
    <cfRule type="expression" dxfId="368" priority="334" stopIfTrue="1">
      <formula>#REF!="Confidential"</formula>
    </cfRule>
  </conditionalFormatting>
  <conditionalFormatting sqref="AB1337:AB1338">
    <cfRule type="expression" dxfId="367" priority="552" stopIfTrue="1">
      <formula>#REF!="Confidential"</formula>
    </cfRule>
  </conditionalFormatting>
  <conditionalFormatting sqref="AB1340">
    <cfRule type="expression" dxfId="366" priority="551" stopIfTrue="1">
      <formula>#REF!="Confidential"</formula>
    </cfRule>
  </conditionalFormatting>
  <conditionalFormatting sqref="AB1342:AB1347">
    <cfRule type="expression" dxfId="365" priority="405" stopIfTrue="1">
      <formula>#REF!="Confidential"</formula>
    </cfRule>
  </conditionalFormatting>
  <conditionalFormatting sqref="AB1350:AB1362">
    <cfRule type="expression" dxfId="364" priority="243" stopIfTrue="1">
      <formula>#REF!="Confidential"</formula>
    </cfRule>
  </conditionalFormatting>
  <conditionalFormatting sqref="AB1364:AB1365">
    <cfRule type="expression" dxfId="363" priority="526" stopIfTrue="1">
      <formula>#REF!="Confidential"</formula>
    </cfRule>
  </conditionalFormatting>
  <conditionalFormatting sqref="AB1367">
    <cfRule type="expression" dxfId="362" priority="520" stopIfTrue="1">
      <formula>#REF!="Confidential"</formula>
    </cfRule>
  </conditionalFormatting>
  <conditionalFormatting sqref="AB1376:AB1394">
    <cfRule type="expression" dxfId="361" priority="429" stopIfTrue="1">
      <formula>#REF!="Confidential"</formula>
    </cfRule>
  </conditionalFormatting>
  <conditionalFormatting sqref="AB1398">
    <cfRule type="expression" dxfId="360" priority="99" stopIfTrue="1">
      <formula>#REF!="Confidential"</formula>
    </cfRule>
  </conditionalFormatting>
  <conditionalFormatting sqref="AB1400">
    <cfRule type="expression" dxfId="359" priority="506" stopIfTrue="1">
      <formula>#REF!="Confidential"</formula>
    </cfRule>
  </conditionalFormatting>
  <conditionalFormatting sqref="AB1420:AB1422">
    <cfRule type="expression" dxfId="358" priority="461" stopIfTrue="1">
      <formula>#REF!="Confidential"</formula>
    </cfRule>
  </conditionalFormatting>
  <conditionalFormatting sqref="AB1435">
    <cfRule type="expression" dxfId="357" priority="453" stopIfTrue="1">
      <formula>#REF!="Confidential"</formula>
    </cfRule>
  </conditionalFormatting>
  <conditionalFormatting sqref="AB1438:AB1441">
    <cfRule type="expression" dxfId="356" priority="440" stopIfTrue="1">
      <formula>#REF!="Confidential"</formula>
    </cfRule>
  </conditionalFormatting>
  <conditionalFormatting sqref="AB1443">
    <cfRule type="expression" dxfId="355" priority="438" stopIfTrue="1">
      <formula>#REF!="Confidential"</formula>
    </cfRule>
  </conditionalFormatting>
  <conditionalFormatting sqref="AB1447:AB1450">
    <cfRule type="expression" dxfId="354" priority="428" stopIfTrue="1">
      <formula>#REF!="Confidential"</formula>
    </cfRule>
  </conditionalFormatting>
  <conditionalFormatting sqref="AB1452">
    <cfRule type="expression" dxfId="353" priority="93" stopIfTrue="1">
      <formula>#REF!="Confidential"</formula>
    </cfRule>
  </conditionalFormatting>
  <conditionalFormatting sqref="AB1454:AB1465">
    <cfRule type="expression" dxfId="352" priority="92" stopIfTrue="1">
      <formula>#REF!="Confidential"</formula>
    </cfRule>
  </conditionalFormatting>
  <conditionalFormatting sqref="AB1472:AB1499">
    <cfRule type="expression" dxfId="351" priority="91" stopIfTrue="1">
      <formula>#REF!="Confidential"</formula>
    </cfRule>
  </conditionalFormatting>
  <conditionalFormatting sqref="AB1501">
    <cfRule type="expression" dxfId="350" priority="257" stopIfTrue="1">
      <formula>#REF!="Confidential"</formula>
    </cfRule>
  </conditionalFormatting>
  <conditionalFormatting sqref="AB1503:AB1506">
    <cfRule type="expression" dxfId="349" priority="196" stopIfTrue="1">
      <formula>#REF!="Confidential"</formula>
    </cfRule>
  </conditionalFormatting>
  <conditionalFormatting sqref="AB1510">
    <cfRule type="expression" dxfId="348" priority="385" stopIfTrue="1">
      <formula>#REF!="Confidential"</formula>
    </cfRule>
  </conditionalFormatting>
  <conditionalFormatting sqref="AB1512:AB1516">
    <cfRule type="expression" dxfId="347" priority="376" stopIfTrue="1">
      <formula>#REF!="Confidential"</formula>
    </cfRule>
  </conditionalFormatting>
  <conditionalFormatting sqref="AB1518:AB1519">
    <cfRule type="expression" dxfId="346" priority="373" stopIfTrue="1">
      <formula>#REF!="Confidential"</formula>
    </cfRule>
  </conditionalFormatting>
  <conditionalFormatting sqref="AB1529">
    <cfRule type="expression" dxfId="345" priority="361" stopIfTrue="1">
      <formula>#REF!="Confidential"</formula>
    </cfRule>
  </conditionalFormatting>
  <conditionalFormatting sqref="AB1536:AB1537">
    <cfRule type="expression" dxfId="344" priority="213" stopIfTrue="1">
      <formula>#REF!="Confidential"</formula>
    </cfRule>
  </conditionalFormatting>
  <conditionalFormatting sqref="AB1539">
    <cfRule type="expression" dxfId="343" priority="360" stopIfTrue="1">
      <formula>#REF!="Confidential"</formula>
    </cfRule>
  </conditionalFormatting>
  <conditionalFormatting sqref="AB1541:AB1543">
    <cfRule type="expression" dxfId="342" priority="365" stopIfTrue="1">
      <formula>#REF!="Confidential"</formula>
    </cfRule>
  </conditionalFormatting>
  <conditionalFormatting sqref="AB1552:AB1555">
    <cfRule type="expression" dxfId="341" priority="349" stopIfTrue="1">
      <formula>#REF!="Confidential"</formula>
    </cfRule>
  </conditionalFormatting>
  <conditionalFormatting sqref="AB1558:AB1563">
    <cfRule type="expression" dxfId="340" priority="166" stopIfTrue="1">
      <formula>#REF!="Confidential"</formula>
    </cfRule>
  </conditionalFormatting>
  <conditionalFormatting sqref="AB1571">
    <cfRule type="expression" dxfId="339" priority="302" stopIfTrue="1">
      <formula>#REF!="Confidential"</formula>
    </cfRule>
  </conditionalFormatting>
  <conditionalFormatting sqref="AB1573">
    <cfRule type="expression" dxfId="338" priority="346" stopIfTrue="1">
      <formula>#REF!="Confidential"</formula>
    </cfRule>
  </conditionalFormatting>
  <conditionalFormatting sqref="AB1576:AB1579">
    <cfRule type="expression" dxfId="337" priority="341" stopIfTrue="1">
      <formula>#REF!="Confidential"</formula>
    </cfRule>
  </conditionalFormatting>
  <conditionalFormatting sqref="AB1585:AB1587">
    <cfRule type="expression" dxfId="336" priority="325" stopIfTrue="1">
      <formula>#REF!="Confidential"</formula>
    </cfRule>
  </conditionalFormatting>
  <conditionalFormatting sqref="AB1589:AB1592">
    <cfRule type="expression" dxfId="335" priority="320" stopIfTrue="1">
      <formula>#REF!="Confidential"</formula>
    </cfRule>
  </conditionalFormatting>
  <conditionalFormatting sqref="AB1596:AB1609">
    <cfRule type="expression" dxfId="334" priority="315" stopIfTrue="1">
      <formula>#REF!="Confidential"</formula>
    </cfRule>
  </conditionalFormatting>
  <conditionalFormatting sqref="AB1611">
    <cfRule type="expression" dxfId="333" priority="314" stopIfTrue="1">
      <formula>#REF!="Confidential"</formula>
    </cfRule>
  </conditionalFormatting>
  <conditionalFormatting sqref="AB1615 AB1619">
    <cfRule type="expression" dxfId="332" priority="309" stopIfTrue="1">
      <formula>#REF!="Confidential"</formula>
    </cfRule>
  </conditionalFormatting>
  <conditionalFormatting sqref="AB1622:AB1626">
    <cfRule type="expression" dxfId="331" priority="303" stopIfTrue="1">
      <formula>#REF!="Confidential"</formula>
    </cfRule>
  </conditionalFormatting>
  <conditionalFormatting sqref="AB1632">
    <cfRule type="expression" dxfId="330" priority="296" stopIfTrue="1">
      <formula>#REF!="Confidential"</formula>
    </cfRule>
  </conditionalFormatting>
  <conditionalFormatting sqref="AB1642:AB1643">
    <cfRule type="expression" dxfId="329" priority="285" stopIfTrue="1">
      <formula>#REF!="Confidential"</formula>
    </cfRule>
  </conditionalFormatting>
  <conditionalFormatting sqref="AB1645:AB1654">
    <cfRule type="expression" dxfId="328" priority="19" stopIfTrue="1">
      <formula>#REF!="Confidential"</formula>
    </cfRule>
  </conditionalFormatting>
  <conditionalFormatting sqref="AB1658:AB1659">
    <cfRule type="expression" dxfId="327" priority="276" stopIfTrue="1">
      <formula>#REF!="Confidential"</formula>
    </cfRule>
  </conditionalFormatting>
  <conditionalFormatting sqref="AB1663">
    <cfRule type="expression" dxfId="326" priority="270" stopIfTrue="1">
      <formula>#REF!="Confidential"</formula>
    </cfRule>
  </conditionalFormatting>
  <conditionalFormatting sqref="AB1666:AB1667">
    <cfRule type="expression" dxfId="325" priority="265" stopIfTrue="1">
      <formula>#REF!="Confidential"</formula>
    </cfRule>
  </conditionalFormatting>
  <conditionalFormatting sqref="AB1669:AB1670">
    <cfRule type="expression" dxfId="324" priority="262" stopIfTrue="1">
      <formula>#REF!="Confidential"</formula>
    </cfRule>
  </conditionalFormatting>
  <conditionalFormatting sqref="AB1672:AB1684">
    <cfRule type="expression" dxfId="323" priority="17" stopIfTrue="1">
      <formula>#REF!="Confidential"</formula>
    </cfRule>
  </conditionalFormatting>
  <conditionalFormatting sqref="AB1686:AB1687">
    <cfRule type="expression" dxfId="322" priority="252" stopIfTrue="1">
      <formula>#REF!="Confidential"</formula>
    </cfRule>
  </conditionalFormatting>
  <conditionalFormatting sqref="AB1689">
    <cfRule type="expression" dxfId="321" priority="251" stopIfTrue="1">
      <formula>#REF!="Confidential"</formula>
    </cfRule>
  </conditionalFormatting>
  <conditionalFormatting sqref="AB1691:AB1693">
    <cfRule type="expression" dxfId="320" priority="249" stopIfTrue="1">
      <formula>#REF!="Confidential"</formula>
    </cfRule>
  </conditionalFormatting>
  <conditionalFormatting sqref="AB1699:AB1700">
    <cfRule type="expression" dxfId="319" priority="244" stopIfTrue="1">
      <formula>#REF!="Confidential"</formula>
    </cfRule>
  </conditionalFormatting>
  <conditionalFormatting sqref="AB1702">
    <cfRule type="expression" dxfId="318" priority="240" stopIfTrue="1">
      <formula>#REF!="Confidential"</formula>
    </cfRule>
  </conditionalFormatting>
  <conditionalFormatting sqref="AB1705:AB1707">
    <cfRule type="expression" dxfId="317" priority="238" stopIfTrue="1">
      <formula>#REF!="Confidential"</formula>
    </cfRule>
  </conditionalFormatting>
  <conditionalFormatting sqref="AB1711">
    <cfRule type="expression" dxfId="316" priority="235" stopIfTrue="1">
      <formula>#REF!="Confidential"</formula>
    </cfRule>
  </conditionalFormatting>
  <conditionalFormatting sqref="AB1713">
    <cfRule type="expression" dxfId="315" priority="108" stopIfTrue="1">
      <formula>#REF!="Confidential"</formula>
    </cfRule>
  </conditionalFormatting>
  <conditionalFormatting sqref="AB1721">
    <cfRule type="expression" dxfId="314" priority="229" stopIfTrue="1">
      <formula>#REF!="Confidential"</formula>
    </cfRule>
  </conditionalFormatting>
  <conditionalFormatting sqref="AB1724">
    <cfRule type="expression" dxfId="313" priority="226" stopIfTrue="1">
      <formula>#REF!="Confidential"</formula>
    </cfRule>
  </conditionalFormatting>
  <conditionalFormatting sqref="AB1727:AB1729">
    <cfRule type="expression" dxfId="312" priority="225" stopIfTrue="1">
      <formula>#REF!="Confidential"</formula>
    </cfRule>
  </conditionalFormatting>
  <conditionalFormatting sqref="AB1731">
    <cfRule type="expression" dxfId="311" priority="223" stopIfTrue="1">
      <formula>#REF!="Confidential"</formula>
    </cfRule>
  </conditionalFormatting>
  <conditionalFormatting sqref="AB1734:AB1740">
    <cfRule type="expression" dxfId="310" priority="215" stopIfTrue="1">
      <formula>#REF!="Confidential"</formula>
    </cfRule>
  </conditionalFormatting>
  <conditionalFormatting sqref="AB1742">
    <cfRule type="expression" dxfId="309" priority="214" stopIfTrue="1">
      <formula>#REF!="Confidential"</formula>
    </cfRule>
  </conditionalFormatting>
  <conditionalFormatting sqref="AB1744:AB1763">
    <cfRule type="expression" dxfId="308" priority="212" stopIfTrue="1">
      <formula>#REF!="Confidential"</formula>
    </cfRule>
  </conditionalFormatting>
  <conditionalFormatting sqref="AB1765:AB1766">
    <cfRule type="expression" dxfId="307" priority="210" stopIfTrue="1">
      <formula>#REF!="Confidential"</formula>
    </cfRule>
  </conditionalFormatting>
  <conditionalFormatting sqref="AB1771:AB1780">
    <cfRule type="expression" dxfId="306" priority="190" stopIfTrue="1">
      <formula>#REF!="Confidential"</formula>
    </cfRule>
  </conditionalFormatting>
  <conditionalFormatting sqref="AB1783">
    <cfRule type="expression" dxfId="305" priority="187" stopIfTrue="1">
      <formula>#REF!="Confidential"</formula>
    </cfRule>
  </conditionalFormatting>
  <conditionalFormatting sqref="AB1785">
    <cfRule type="expression" dxfId="304" priority="180" stopIfTrue="1">
      <formula>#REF!="Confidential"</formula>
    </cfRule>
  </conditionalFormatting>
  <conditionalFormatting sqref="AB1788:AB1792">
    <cfRule type="expression" dxfId="303" priority="185" stopIfTrue="1">
      <formula>#REF!="Confidential"</formula>
    </cfRule>
  </conditionalFormatting>
  <conditionalFormatting sqref="AB1795">
    <cfRule type="expression" dxfId="302" priority="184" stopIfTrue="1">
      <formula>#REF!="Confidential"</formula>
    </cfRule>
  </conditionalFormatting>
  <conditionalFormatting sqref="AB1797">
    <cfRule type="expression" dxfId="301" priority="183" stopIfTrue="1">
      <formula>#REF!="Confidential"</formula>
    </cfRule>
  </conditionalFormatting>
  <conditionalFormatting sqref="AB1799:AB1802">
    <cfRule type="expression" dxfId="300" priority="179" stopIfTrue="1">
      <formula>#REF!="Confidential"</formula>
    </cfRule>
  </conditionalFormatting>
  <conditionalFormatting sqref="AB1805:AB1808">
    <cfRule type="expression" dxfId="299" priority="174" stopIfTrue="1">
      <formula>#REF!="Confidential"</formula>
    </cfRule>
  </conditionalFormatting>
  <conditionalFormatting sqref="AB1822:AB1823">
    <cfRule type="expression" dxfId="298" priority="152" stopIfTrue="1">
      <formula>#REF!="Confidential"</formula>
    </cfRule>
  </conditionalFormatting>
  <conditionalFormatting sqref="AB1825:AB1826">
    <cfRule type="expression" dxfId="297" priority="151" stopIfTrue="1">
      <formula>#REF!="Confidential"</formula>
    </cfRule>
  </conditionalFormatting>
  <conditionalFormatting sqref="AB1828:AB1831">
    <cfRule type="expression" dxfId="296" priority="144" stopIfTrue="1">
      <formula>#REF!="Confidential"</formula>
    </cfRule>
  </conditionalFormatting>
  <conditionalFormatting sqref="AB1833">
    <cfRule type="expression" dxfId="295" priority="141" stopIfTrue="1">
      <formula>#REF!="Confidential"</formula>
    </cfRule>
  </conditionalFormatting>
  <conditionalFormatting sqref="AB1835">
    <cfRule type="expression" dxfId="294" priority="123" stopIfTrue="1">
      <formula>#REF!="Confidential"</formula>
    </cfRule>
  </conditionalFormatting>
  <conditionalFormatting sqref="AB1849:AB1851">
    <cfRule type="expression" dxfId="293" priority="116" stopIfTrue="1">
      <formula>#REF!="Confidential"</formula>
    </cfRule>
  </conditionalFormatting>
  <conditionalFormatting sqref="AB1854:AB1857">
    <cfRule type="expression" dxfId="292" priority="109" stopIfTrue="1">
      <formula>#REF!="Confidential"</formula>
    </cfRule>
  </conditionalFormatting>
  <conditionalFormatting sqref="AB1859:AB1868">
    <cfRule type="expression" dxfId="291" priority="105" stopIfTrue="1">
      <formula>#REF!="Confidential"</formula>
    </cfRule>
  </conditionalFormatting>
  <conditionalFormatting sqref="AB1894">
    <cfRule type="expression" dxfId="290" priority="94" stopIfTrue="1">
      <formula>#REF!="Confidential"</formula>
    </cfRule>
  </conditionalFormatting>
  <conditionalFormatting sqref="AB1899:AB1938">
    <cfRule type="expression" dxfId="289" priority="80" stopIfTrue="1">
      <formula>#REF!="Confidential"</formula>
    </cfRule>
  </conditionalFormatting>
  <conditionalFormatting sqref="AB1942:AB1943">
    <cfRule type="expression" dxfId="288" priority="77" stopIfTrue="1">
      <formula>#REF!="Confidential"</formula>
    </cfRule>
  </conditionalFormatting>
  <conditionalFormatting sqref="AB1948">
    <cfRule type="expression" dxfId="287" priority="74" stopIfTrue="1">
      <formula>#REF!="Confidential"</formula>
    </cfRule>
  </conditionalFormatting>
  <conditionalFormatting sqref="AB1951:AB1953">
    <cfRule type="expression" dxfId="286" priority="65" stopIfTrue="1">
      <formula>#REF!="Confidential"</formula>
    </cfRule>
  </conditionalFormatting>
  <conditionalFormatting sqref="AB1958:AB1959">
    <cfRule type="expression" dxfId="285" priority="38" stopIfTrue="1">
      <formula>#REF!="Confidential"</formula>
    </cfRule>
  </conditionalFormatting>
  <conditionalFormatting sqref="AB1961">
    <cfRule type="expression" dxfId="284" priority="57" stopIfTrue="1">
      <formula>#REF!="Confidential"</formula>
    </cfRule>
  </conditionalFormatting>
  <conditionalFormatting sqref="AB1963:AB1965">
    <cfRule type="expression" dxfId="283" priority="54" stopIfTrue="1">
      <formula>#REF!="Confidential"</formula>
    </cfRule>
  </conditionalFormatting>
  <conditionalFormatting sqref="AB1967:AB1969">
    <cfRule type="expression" dxfId="282" priority="49" stopIfTrue="1">
      <formula>#REF!="Confidential"</formula>
    </cfRule>
  </conditionalFormatting>
  <conditionalFormatting sqref="AB1972:AB1973">
    <cfRule type="expression" dxfId="281" priority="44" stopIfTrue="1">
      <formula>#REF!="Confidential"</formula>
    </cfRule>
  </conditionalFormatting>
  <conditionalFormatting sqref="AB1980">
    <cfRule type="expression" dxfId="280" priority="36" stopIfTrue="1">
      <formula>#REF!="Confidential"</formula>
    </cfRule>
  </conditionalFormatting>
  <conditionalFormatting sqref="AB1982">
    <cfRule type="expression" dxfId="279" priority="34" stopIfTrue="1">
      <formula>#REF!="Confidential"</formula>
    </cfRule>
  </conditionalFormatting>
  <conditionalFormatting sqref="AB1984:AB1989">
    <cfRule type="expression" dxfId="278" priority="30" stopIfTrue="1">
      <formula>#REF!="Confidential"</formula>
    </cfRule>
  </conditionalFormatting>
  <conditionalFormatting sqref="AB1991:AB1994">
    <cfRule type="expression" dxfId="277" priority="23" stopIfTrue="1">
      <formula>#REF!="Confidential"</formula>
    </cfRule>
  </conditionalFormatting>
  <conditionalFormatting sqref="AB1996">
    <cfRule type="expression" dxfId="276" priority="20" stopIfTrue="1">
      <formula>#REF!="Confidential"</formula>
    </cfRule>
  </conditionalFormatting>
  <conditionalFormatting sqref="AB1998">
    <cfRule type="expression" dxfId="275" priority="18" stopIfTrue="1">
      <formula>#REF!="Confidential"</formula>
    </cfRule>
  </conditionalFormatting>
  <conditionalFormatting sqref="AB46:AC46">
    <cfRule type="expression" dxfId="274" priority="128" stopIfTrue="1">
      <formula>#REF!="Confidential"</formula>
    </cfRule>
  </conditionalFormatting>
  <conditionalFormatting sqref="AB165:AC165">
    <cfRule type="expression" dxfId="273" priority="125" stopIfTrue="1">
      <formula>#REF!="Confidential"</formula>
    </cfRule>
  </conditionalFormatting>
  <conditionalFormatting sqref="AB264:AC264">
    <cfRule type="expression" dxfId="272" priority="782" stopIfTrue="1">
      <formula>#REF!="Confidential"</formula>
    </cfRule>
  </conditionalFormatting>
  <conditionalFormatting sqref="AB290:AC291">
    <cfRule type="expression" dxfId="271" priority="135" stopIfTrue="1">
      <formula>#REF!="Confidential"</formula>
    </cfRule>
  </conditionalFormatting>
  <conditionalFormatting sqref="AB317:AC317">
    <cfRule type="expression" dxfId="270" priority="126" stopIfTrue="1">
      <formula>#REF!="Confidential"</formula>
    </cfRule>
  </conditionalFormatting>
  <conditionalFormatting sqref="AB320:AC320">
    <cfRule type="expression" dxfId="269" priority="129" stopIfTrue="1">
      <formula>#REF!="Confidential"</formula>
    </cfRule>
  </conditionalFormatting>
  <conditionalFormatting sqref="AB388:AC388">
    <cfRule type="expression" dxfId="268" priority="127" stopIfTrue="1">
      <formula>#REF!="Confidential"</formula>
    </cfRule>
  </conditionalFormatting>
  <conditionalFormatting sqref="AB417:AC417">
    <cfRule type="expression" dxfId="267" priority="136" stopIfTrue="1">
      <formula>#REF!="Confidential"</formula>
    </cfRule>
  </conditionalFormatting>
  <conditionalFormatting sqref="AB433:AC433">
    <cfRule type="expression" dxfId="266" priority="880" stopIfTrue="1">
      <formula>#REF!="Confidential"</formula>
    </cfRule>
  </conditionalFormatting>
  <conditionalFormatting sqref="AB447:AC447">
    <cfRule type="expression" dxfId="265" priority="586" stopIfTrue="1">
      <formula>#REF!="Confidential"</formula>
    </cfRule>
  </conditionalFormatting>
  <conditionalFormatting sqref="AB468:AC468">
    <cfRule type="expression" dxfId="264" priority="412" stopIfTrue="1">
      <formula>#REF!="Confidential"</formula>
    </cfRule>
  </conditionalFormatting>
  <conditionalFormatting sqref="AB504:AC504">
    <cfRule type="expression" dxfId="263" priority="124" stopIfTrue="1">
      <formula>#REF!="Confidential"</formula>
    </cfRule>
  </conditionalFormatting>
  <conditionalFormatting sqref="AB561:AC561">
    <cfRule type="expression" dxfId="262" priority="448" stopIfTrue="1">
      <formula>#REF!="Confidential"</formula>
    </cfRule>
  </conditionalFormatting>
  <conditionalFormatting sqref="AB649:AC649">
    <cfRule type="expression" dxfId="261" priority="645" stopIfTrue="1">
      <formula>#REF!="Confidential"</formula>
    </cfRule>
  </conditionalFormatting>
  <conditionalFormatting sqref="AB674:AC674">
    <cfRule type="expression" dxfId="260" priority="1055" stopIfTrue="1">
      <formula>#REF!="Confidential"</formula>
    </cfRule>
  </conditionalFormatting>
  <conditionalFormatting sqref="AB685:AC686">
    <cfRule type="expression" dxfId="259" priority="137" stopIfTrue="1">
      <formula>#REF!="Confidential"</formula>
    </cfRule>
  </conditionalFormatting>
  <conditionalFormatting sqref="AB694:AC695">
    <cfRule type="expression" dxfId="258" priority="879" stopIfTrue="1">
      <formula>#REF!="Confidential"</formula>
    </cfRule>
  </conditionalFormatting>
  <conditionalFormatting sqref="AB760:AC766">
    <cfRule type="expression" dxfId="257" priority="447" stopIfTrue="1">
      <formula>#REF!="Confidential"</formula>
    </cfRule>
  </conditionalFormatting>
  <conditionalFormatting sqref="AB777:AC779">
    <cfRule type="expression" dxfId="256" priority="193" stopIfTrue="1">
      <formula>#REF!="Confidential"</formula>
    </cfRule>
  </conditionalFormatting>
  <conditionalFormatting sqref="AB810:AC810">
    <cfRule type="expression" dxfId="255" priority="988" stopIfTrue="1">
      <formula>#REF!="Confidential"</formula>
    </cfRule>
  </conditionalFormatting>
  <conditionalFormatting sqref="AB814:AC814">
    <cfRule type="expression" dxfId="254" priority="984" stopIfTrue="1">
      <formula>#REF!="Confidential"</formula>
    </cfRule>
  </conditionalFormatting>
  <conditionalFormatting sqref="AB838:AC840">
    <cfRule type="expression" dxfId="253" priority="949" stopIfTrue="1">
      <formula>#REF!="Confidential"</formula>
    </cfRule>
  </conditionalFormatting>
  <conditionalFormatting sqref="AB849:AC849">
    <cfRule type="expression" dxfId="252" priority="380" stopIfTrue="1">
      <formula>#REF!="Confidential"</formula>
    </cfRule>
  </conditionalFormatting>
  <conditionalFormatting sqref="AB854:AC854">
    <cfRule type="expression" dxfId="251" priority="926" stopIfTrue="1">
      <formula>#REF!="Confidential"</formula>
    </cfRule>
  </conditionalFormatting>
  <conditionalFormatting sqref="AB878:AC878">
    <cfRule type="expression" dxfId="250" priority="909" stopIfTrue="1">
      <formula>#REF!="Confidential"</formula>
    </cfRule>
  </conditionalFormatting>
  <conditionalFormatting sqref="AB931:AC931">
    <cfRule type="expression" dxfId="249" priority="853" stopIfTrue="1">
      <formula>#REF!="Confidential"</formula>
    </cfRule>
  </conditionalFormatting>
  <conditionalFormatting sqref="AB984:AC984">
    <cfRule type="expression" dxfId="248" priority="793" stopIfTrue="1">
      <formula>#REF!="Confidential"</formula>
    </cfRule>
  </conditionalFormatting>
  <conditionalFormatting sqref="AB989:AC989">
    <cfRule type="expression" dxfId="247" priority="411" stopIfTrue="1">
      <formula>#REF!="Confidential"</formula>
    </cfRule>
  </conditionalFormatting>
  <conditionalFormatting sqref="AB991:AC991">
    <cfRule type="expression" dxfId="246" priority="784" stopIfTrue="1">
      <formula>#REF!="Confidential"</formula>
    </cfRule>
  </conditionalFormatting>
  <conditionalFormatting sqref="AB1003:AC1004">
    <cfRule type="expression" dxfId="245" priority="773" stopIfTrue="1">
      <formula>#REF!="Confidential"</formula>
    </cfRule>
  </conditionalFormatting>
  <conditionalFormatting sqref="AB1006:AC1006">
    <cfRule type="expression" dxfId="244" priority="662" stopIfTrue="1">
      <formula>#REF!="Confidential"</formula>
    </cfRule>
  </conditionalFormatting>
  <conditionalFormatting sqref="AB1015:AC1016">
    <cfRule type="expression" dxfId="243" priority="456" stopIfTrue="1">
      <formula>#REF!="Confidential"</formula>
    </cfRule>
  </conditionalFormatting>
  <conditionalFormatting sqref="AB1042:AC1043">
    <cfRule type="expression" dxfId="242" priority="730" stopIfTrue="1">
      <formula>#REF!="Confidential"</formula>
    </cfRule>
  </conditionalFormatting>
  <conditionalFormatting sqref="AB1062:AC1062">
    <cfRule type="expression" dxfId="241" priority="720" stopIfTrue="1">
      <formula>#REF!="Confidential"</formula>
    </cfRule>
  </conditionalFormatting>
  <conditionalFormatting sqref="AB1069:AC1073">
    <cfRule type="expression" dxfId="240" priority="711" stopIfTrue="1">
      <formula>#REF!="Confidential"</formula>
    </cfRule>
  </conditionalFormatting>
  <conditionalFormatting sqref="AB1076:AC1077">
    <cfRule type="expression" dxfId="239" priority="708" stopIfTrue="1">
      <formula>#REF!="Confidential"</formula>
    </cfRule>
  </conditionalFormatting>
  <conditionalFormatting sqref="AB1080:AC1080">
    <cfRule type="expression" dxfId="238" priority="705" stopIfTrue="1">
      <formula>#REF!="Confidential"</formula>
    </cfRule>
  </conditionalFormatting>
  <conditionalFormatting sqref="AB1083:AC1083">
    <cfRule type="expression" dxfId="237" priority="704" stopIfTrue="1">
      <formula>#REF!="Confidential"</formula>
    </cfRule>
  </conditionalFormatting>
  <conditionalFormatting sqref="AB1101:AC1101">
    <cfRule type="expression" dxfId="236" priority="689" stopIfTrue="1">
      <formula>#REF!="Confidential"</formula>
    </cfRule>
  </conditionalFormatting>
  <conditionalFormatting sqref="AB1104:AC1104">
    <cfRule type="expression" dxfId="235" priority="683" stopIfTrue="1">
      <formula>#REF!="Confidential"</formula>
    </cfRule>
  </conditionalFormatting>
  <conditionalFormatting sqref="AB1107:AC1107">
    <cfRule type="expression" dxfId="234" priority="644" stopIfTrue="1">
      <formula>#REF!="Confidential"</formula>
    </cfRule>
  </conditionalFormatting>
  <conditionalFormatting sqref="AB1162:AC1164">
    <cfRule type="expression" dxfId="233" priority="633" stopIfTrue="1">
      <formula>#REF!="Confidential"</formula>
    </cfRule>
  </conditionalFormatting>
  <conditionalFormatting sqref="AB1191:AC1191">
    <cfRule type="expression" dxfId="232" priority="169" stopIfTrue="1">
      <formula>#REF!="Confidential"</formula>
    </cfRule>
  </conditionalFormatting>
  <conditionalFormatting sqref="AB1261:AC1261">
    <cfRule type="expression" dxfId="231" priority="587" stopIfTrue="1">
      <formula>#REF!="Confidential"</formula>
    </cfRule>
  </conditionalFormatting>
  <conditionalFormatting sqref="AB1268:AC1268">
    <cfRule type="expression" dxfId="230" priority="585" stopIfTrue="1">
      <formula>#REF!="Confidential"</formula>
    </cfRule>
  </conditionalFormatting>
  <conditionalFormatting sqref="AB1277:AC1279">
    <cfRule type="expression" dxfId="229" priority="576" stopIfTrue="1">
      <formula>#REF!="Confidential"</formula>
    </cfRule>
  </conditionalFormatting>
  <conditionalFormatting sqref="AB1286:AC1286">
    <cfRule type="expression" dxfId="228" priority="573" stopIfTrue="1">
      <formula>#REF!="Confidential"</formula>
    </cfRule>
  </conditionalFormatting>
  <conditionalFormatting sqref="AB1296:AC1298">
    <cfRule type="expression" dxfId="227" priority="90" stopIfTrue="1">
      <formula>#REF!="Confidential"</formula>
    </cfRule>
  </conditionalFormatting>
  <conditionalFormatting sqref="AB1300:AC1303">
    <cfRule type="expression" dxfId="226" priority="563" stopIfTrue="1">
      <formula>#REF!="Confidential"</formula>
    </cfRule>
  </conditionalFormatting>
  <conditionalFormatting sqref="AB1307:AC1307">
    <cfRule type="expression" dxfId="225" priority="139" stopIfTrue="1">
      <formula>#REF!="Confidential"</formula>
    </cfRule>
  </conditionalFormatting>
  <conditionalFormatting sqref="AB1319:AC1319">
    <cfRule type="expression" dxfId="224" priority="559" stopIfTrue="1">
      <formula>#REF!="Confidential"</formula>
    </cfRule>
  </conditionalFormatting>
  <conditionalFormatting sqref="AB1395:AC1397">
    <cfRule type="expression" dxfId="223" priority="508" stopIfTrue="1">
      <formula>#REF!="Confidential"</formula>
    </cfRule>
  </conditionalFormatting>
  <conditionalFormatting sqref="AB1399:AC1399">
    <cfRule type="expression" dxfId="222" priority="507" stopIfTrue="1">
      <formula>#REF!="Confidential"</formula>
    </cfRule>
  </conditionalFormatting>
  <conditionalFormatting sqref="AB1401:AC1402">
    <cfRule type="expression" dxfId="221" priority="473" stopIfTrue="1">
      <formula>#REF!="Confidential"</formula>
    </cfRule>
  </conditionalFormatting>
  <conditionalFormatting sqref="AB1404:AC1404">
    <cfRule type="expression" dxfId="220" priority="471" stopIfTrue="1">
      <formula>#REF!="Confidential"</formula>
    </cfRule>
  </conditionalFormatting>
  <conditionalFormatting sqref="AB1406:AC1407">
    <cfRule type="expression" dxfId="219" priority="138" stopIfTrue="1">
      <formula>#REF!="Confidential"</formula>
    </cfRule>
  </conditionalFormatting>
  <conditionalFormatting sqref="AB1410:AC1412">
    <cfRule type="expression" dxfId="218" priority="469" stopIfTrue="1">
      <formula>#REF!="Confidential"</formula>
    </cfRule>
  </conditionalFormatting>
  <conditionalFormatting sqref="AB1417:AC1417">
    <cfRule type="expression" dxfId="217" priority="466" stopIfTrue="1">
      <formula>#REF!="Confidential"</formula>
    </cfRule>
  </conditionalFormatting>
  <conditionalFormatting sqref="AB1432:AC1434">
    <cfRule type="expression" dxfId="216" priority="454" stopIfTrue="1">
      <formula>#REF!="Confidential"</formula>
    </cfRule>
  </conditionalFormatting>
  <conditionalFormatting sqref="AB1437:AC1437">
    <cfRule type="expression" dxfId="215" priority="445" stopIfTrue="1">
      <formula>#REF!="Confidential"</formula>
    </cfRule>
  </conditionalFormatting>
  <conditionalFormatting sqref="AB1442:AC1442">
    <cfRule type="expression" dxfId="214" priority="439" stopIfTrue="1">
      <formula>#REF!="Confidential"</formula>
    </cfRule>
  </conditionalFormatting>
  <conditionalFormatting sqref="AB1467:AC1471">
    <cfRule type="expression" dxfId="213" priority="409" stopIfTrue="1">
      <formula>#REF!="Confidential"</formula>
    </cfRule>
  </conditionalFormatting>
  <conditionalFormatting sqref="AB1508:AC1509">
    <cfRule type="expression" dxfId="212" priority="387" stopIfTrue="1">
      <formula>#REF!="Confidential"</formula>
    </cfRule>
  </conditionalFormatting>
  <conditionalFormatting sqref="AB1526:AC1526">
    <cfRule type="expression" dxfId="211" priority="206" stopIfTrue="1">
      <formula>#REF!="Confidential"</formula>
    </cfRule>
  </conditionalFormatting>
  <conditionalFormatting sqref="AB1565:AC1566">
    <cfRule type="expression" dxfId="210" priority="350" stopIfTrue="1">
      <formula>#REF!="Confidential"</formula>
    </cfRule>
  </conditionalFormatting>
  <conditionalFormatting sqref="AB1574:AC1575">
    <cfRule type="expression" dxfId="209" priority="343" stopIfTrue="1">
      <formula>#REF!="Confidential"</formula>
    </cfRule>
  </conditionalFormatting>
  <conditionalFormatting sqref="AB1613:AC1613">
    <cfRule type="expression" dxfId="208" priority="5" stopIfTrue="1">
      <formula>#REF!="Confidential"</formula>
    </cfRule>
  </conditionalFormatting>
  <conditionalFormatting sqref="AB1620:AC1621">
    <cfRule type="expression" dxfId="207" priority="307" stopIfTrue="1">
      <formula>#REF!="Confidential"</formula>
    </cfRule>
  </conditionalFormatting>
  <conditionalFormatting sqref="AB1656:AC1657">
    <cfRule type="expression" dxfId="206" priority="277" stopIfTrue="1">
      <formula>#REF!="Confidential"</formula>
    </cfRule>
  </conditionalFormatting>
  <conditionalFormatting sqref="AB1660:AC1661">
    <cfRule type="expression" dxfId="205" priority="4" stopIfTrue="1">
      <formula>#REF!="Confidential"</formula>
    </cfRule>
  </conditionalFormatting>
  <conditionalFormatting sqref="AB1685:AC1685">
    <cfRule type="expression" dxfId="204" priority="254" stopIfTrue="1">
      <formula>#REF!="Confidential"</formula>
    </cfRule>
  </conditionalFormatting>
  <conditionalFormatting sqref="AB1688:AC1688">
    <cfRule type="expression" dxfId="203" priority="217" stopIfTrue="1">
      <formula>#REF!="Confidential"</formula>
    </cfRule>
  </conditionalFormatting>
  <conditionalFormatting sqref="AB1694:AC1697">
    <cfRule type="expression" dxfId="202" priority="246" stopIfTrue="1">
      <formula>#REF!="Confidential"</formula>
    </cfRule>
  </conditionalFormatting>
  <conditionalFormatting sqref="AB1701:AC1701">
    <cfRule type="expression" dxfId="201" priority="241" stopIfTrue="1">
      <formula>#REF!="Confidential"</formula>
    </cfRule>
  </conditionalFormatting>
  <conditionalFormatting sqref="AB1703:AC1704">
    <cfRule type="expression" dxfId="200" priority="239" stopIfTrue="1">
      <formula>#REF!="Confidential"</formula>
    </cfRule>
  </conditionalFormatting>
  <conditionalFormatting sqref="AB1708:AC1708">
    <cfRule type="expression" dxfId="199" priority="237" stopIfTrue="1">
      <formula>#REF!="Confidential"</formula>
    </cfRule>
  </conditionalFormatting>
  <conditionalFormatting sqref="AB1710:AC1710">
    <cfRule type="expression" dxfId="198" priority="52" stopIfTrue="1">
      <formula>#REF!="Confidential"</formula>
    </cfRule>
  </conditionalFormatting>
  <conditionalFormatting sqref="AB1719:AC1719">
    <cfRule type="expression" dxfId="197" priority="233" stopIfTrue="1">
      <formula>#REF!="Confidential"</formula>
    </cfRule>
  </conditionalFormatting>
  <conditionalFormatting sqref="AB1726:AC1726">
    <cfRule type="expression" dxfId="196" priority="51" stopIfTrue="1">
      <formula>#REF!="Confidential"</formula>
    </cfRule>
  </conditionalFormatting>
  <conditionalFormatting sqref="AB1732:AC1733">
    <cfRule type="expression" dxfId="195" priority="27" stopIfTrue="1">
      <formula>#REF!="Confidential"</formula>
    </cfRule>
  </conditionalFormatting>
  <conditionalFormatting sqref="AB1834:AC1834">
    <cfRule type="expression" dxfId="194" priority="134" stopIfTrue="1">
      <formula>#REF!="Confidential"</formula>
    </cfRule>
  </conditionalFormatting>
  <conditionalFormatting sqref="AB1836:AC1848">
    <cfRule type="expression" dxfId="193" priority="118" stopIfTrue="1">
      <formula>#REF!="Confidential"</formula>
    </cfRule>
  </conditionalFormatting>
  <conditionalFormatting sqref="AB1891:AC1893">
    <cfRule type="expression" dxfId="192" priority="98" stopIfTrue="1">
      <formula>#REF!="Confidential"</formula>
    </cfRule>
  </conditionalFormatting>
  <conditionalFormatting sqref="AB1896:AC1898">
    <cfRule type="expression" dxfId="191" priority="88" stopIfTrue="1">
      <formula>#REF!="Confidential"</formula>
    </cfRule>
  </conditionalFormatting>
  <conditionalFormatting sqref="AB1944:AC1946">
    <cfRule type="expression" dxfId="190" priority="76" stopIfTrue="1">
      <formula>#REF!="Confidential"</formula>
    </cfRule>
  </conditionalFormatting>
  <conditionalFormatting sqref="AB1949:AC1949">
    <cfRule type="expression" dxfId="189" priority="72" stopIfTrue="1">
      <formula>#REF!="Confidential"</formula>
    </cfRule>
  </conditionalFormatting>
  <conditionalFormatting sqref="AB1960:AC1960">
    <cfRule type="expression" dxfId="188" priority="58" stopIfTrue="1">
      <formula>#REF!="Confidential"</formula>
    </cfRule>
  </conditionalFormatting>
  <conditionalFormatting sqref="AB1962:AC1962">
    <cfRule type="expression" dxfId="187" priority="55" stopIfTrue="1">
      <formula>#REF!="Confidential"</formula>
    </cfRule>
  </conditionalFormatting>
  <conditionalFormatting sqref="AB1966:AC1966">
    <cfRule type="expression" dxfId="186" priority="50" stopIfTrue="1">
      <formula>#REF!="Confidential"</formula>
    </cfRule>
  </conditionalFormatting>
  <conditionalFormatting sqref="AB1970:AC1971">
    <cfRule type="expression" dxfId="185" priority="46" stopIfTrue="1">
      <formula>#REF!="Confidential"</formula>
    </cfRule>
  </conditionalFormatting>
  <conditionalFormatting sqref="AB1979:AC1979">
    <cfRule type="expression" dxfId="184" priority="41" stopIfTrue="1">
      <formula>#REF!="Confidential"</formula>
    </cfRule>
  </conditionalFormatting>
  <conditionalFormatting sqref="AB456:AE456">
    <cfRule type="expression" dxfId="183" priority="948" stopIfTrue="1">
      <formula>#REF!="Confidential"</formula>
    </cfRule>
  </conditionalFormatting>
  <conditionalFormatting sqref="AB584:AE584">
    <cfRule type="expression" dxfId="182" priority="921" stopIfTrue="1">
      <formula>#REF!="Confidential"</formula>
    </cfRule>
  </conditionalFormatting>
  <conditionalFormatting sqref="AB865:AE866">
    <cfRule type="expression" dxfId="181" priority="916" stopIfTrue="1">
      <formula>#REF!="Confidential"</formula>
    </cfRule>
  </conditionalFormatting>
  <conditionalFormatting sqref="AB875:AE875">
    <cfRule type="expression" dxfId="180" priority="910" stopIfTrue="1">
      <formula>#REF!="Confidential"</formula>
    </cfRule>
  </conditionalFormatting>
  <conditionalFormatting sqref="AB1436:AE1436">
    <cfRule type="expression" dxfId="179" priority="450" stopIfTrue="1">
      <formula>#REF!="Confidential"</formula>
    </cfRule>
  </conditionalFormatting>
  <conditionalFormatting sqref="AC435">
    <cfRule type="expression" dxfId="178" priority="837" stopIfTrue="1">
      <formula>#REF!="Confidential"</formula>
    </cfRule>
  </conditionalFormatting>
  <conditionalFormatting sqref="AC459">
    <cfRule type="expression" dxfId="177" priority="133" stopIfTrue="1">
      <formula>#REF!="Confidential"</formula>
    </cfRule>
  </conditionalFormatting>
  <conditionalFormatting sqref="AC487">
    <cfRule type="expression" dxfId="176" priority="688" stopIfTrue="1">
      <formula>#REF!="Confidential"</formula>
    </cfRule>
  </conditionalFormatting>
  <conditionalFormatting sqref="AC525">
    <cfRule type="expression" dxfId="175" priority="1083" stopIfTrue="1">
      <formula>#REF!="Confidential"</formula>
    </cfRule>
  </conditionalFormatting>
  <conditionalFormatting sqref="AC574">
    <cfRule type="expression" dxfId="174" priority="592" stopIfTrue="1">
      <formula>#REF!="Confidential"</formula>
    </cfRule>
  </conditionalFormatting>
  <conditionalFormatting sqref="AC757:AC758">
    <cfRule type="expression" dxfId="173" priority="1021" stopIfTrue="1">
      <formula>#REF!="Confidential"</formula>
    </cfRule>
  </conditionalFormatting>
  <conditionalFormatting sqref="AC768:AC769">
    <cfRule type="expression" dxfId="172" priority="1009" stopIfTrue="1">
      <formula>#REF!="Confidential"</formula>
    </cfRule>
  </conditionalFormatting>
  <conditionalFormatting sqref="AC771:AC776">
    <cfRule type="expression" dxfId="171" priority="541" stopIfTrue="1">
      <formula>#REF!="Confidential"</formula>
    </cfRule>
  </conditionalFormatting>
  <conditionalFormatting sqref="AC781">
    <cfRule type="expression" dxfId="170" priority="1000" stopIfTrue="1">
      <formula>#REF!="Confidential"</formula>
    </cfRule>
  </conditionalFormatting>
  <conditionalFormatting sqref="AC791">
    <cfRule type="expression" dxfId="169" priority="760" stopIfTrue="1">
      <formula>#REF!="Confidential"</formula>
    </cfRule>
  </conditionalFormatting>
  <conditionalFormatting sqref="AC821">
    <cfRule type="expression" dxfId="168" priority="14" stopIfTrue="1">
      <formula>#REF!="Confidential"</formula>
    </cfRule>
  </conditionalFormatting>
  <conditionalFormatting sqref="AC880">
    <cfRule type="expression" dxfId="167" priority="111" stopIfTrue="1">
      <formula>#REF!="Confidential"</formula>
    </cfRule>
  </conditionalFormatting>
  <conditionalFormatting sqref="AC884">
    <cfRule type="expression" dxfId="166" priority="904" stopIfTrue="1">
      <formula>#REF!="Confidential"</formula>
    </cfRule>
  </conditionalFormatting>
  <conditionalFormatting sqref="AC888:AC890">
    <cfRule type="expression" dxfId="165" priority="893" stopIfTrue="1">
      <formula>#REF!="Confidential"</formula>
    </cfRule>
  </conditionalFormatting>
  <conditionalFormatting sqref="AC895">
    <cfRule type="expression" dxfId="164" priority="886" stopIfTrue="1">
      <formula>#REF!="Confidential"</formula>
    </cfRule>
  </conditionalFormatting>
  <conditionalFormatting sqref="AC897">
    <cfRule type="expression" dxfId="163" priority="885" stopIfTrue="1">
      <formula>#REF!="Confidential"</formula>
    </cfRule>
  </conditionalFormatting>
  <conditionalFormatting sqref="AC905">
    <cfRule type="expression" dxfId="162" priority="878" stopIfTrue="1">
      <formula>#REF!="Confidential"</formula>
    </cfRule>
  </conditionalFormatting>
  <conditionalFormatting sqref="AC921">
    <cfRule type="expression" dxfId="161" priority="131" stopIfTrue="1">
      <formula>#REF!="Confidential"</formula>
    </cfRule>
  </conditionalFormatting>
  <conditionalFormatting sqref="AC930">
    <cfRule type="expression" dxfId="160" priority="862" stopIfTrue="1">
      <formula>#REF!="Confidential"</formula>
    </cfRule>
  </conditionalFormatting>
  <conditionalFormatting sqref="AC941">
    <cfRule type="expression" dxfId="159" priority="337" stopIfTrue="1">
      <formula>#REF!="Confidential"</formula>
    </cfRule>
  </conditionalFormatting>
  <conditionalFormatting sqref="AC972:AC973">
    <cfRule type="expression" dxfId="158" priority="817" stopIfTrue="1">
      <formula>#REF!="Confidential"</formula>
    </cfRule>
  </conditionalFormatting>
  <conditionalFormatting sqref="AC975">
    <cfRule type="expression" dxfId="157" priority="808" stopIfTrue="1">
      <formula>#REF!="Confidential"</formula>
    </cfRule>
  </conditionalFormatting>
  <conditionalFormatting sqref="AC988">
    <cfRule type="expression" dxfId="156" priority="787" stopIfTrue="1">
      <formula>#REF!="Confidential"</formula>
    </cfRule>
  </conditionalFormatting>
  <conditionalFormatting sqref="AC1005">
    <cfRule type="expression" dxfId="155" priority="747" stopIfTrue="1">
      <formula>#REF!="Confidential"</formula>
    </cfRule>
  </conditionalFormatting>
  <conditionalFormatting sqref="AC1008:AC1009">
    <cfRule type="expression" dxfId="154" priority="557" stopIfTrue="1">
      <formula>#REF!="Confidential"</formula>
    </cfRule>
  </conditionalFormatting>
  <conditionalFormatting sqref="AC1012:AC1013">
    <cfRule type="expression" dxfId="153" priority="481" stopIfTrue="1">
      <formula>#REF!="Confidential"</formula>
    </cfRule>
  </conditionalFormatting>
  <conditionalFormatting sqref="AC1018:AC1019">
    <cfRule type="expression" dxfId="152" priority="746" stopIfTrue="1">
      <formula>#REF!="Confidential"</formula>
    </cfRule>
  </conditionalFormatting>
  <conditionalFormatting sqref="AC1021">
    <cfRule type="expression" dxfId="151" priority="745" stopIfTrue="1">
      <formula>#REF!="Confidential"</formula>
    </cfRule>
  </conditionalFormatting>
  <conditionalFormatting sqref="AC1024">
    <cfRule type="expression" dxfId="150" priority="744" stopIfTrue="1">
      <formula>#REF!="Confidential"</formula>
    </cfRule>
  </conditionalFormatting>
  <conditionalFormatting sqref="AC1027">
    <cfRule type="expression" dxfId="149" priority="743" stopIfTrue="1">
      <formula>#REF!="Confidential"</formula>
    </cfRule>
  </conditionalFormatting>
  <conditionalFormatting sqref="AC1039">
    <cfRule type="expression" dxfId="148" priority="158" stopIfTrue="1">
      <formula>#REF!="Confidential"</formula>
    </cfRule>
  </conditionalFormatting>
  <conditionalFormatting sqref="AC1047:AC1055">
    <cfRule type="expression" dxfId="147" priority="726" stopIfTrue="1">
      <formula>#REF!="Confidential"</formula>
    </cfRule>
  </conditionalFormatting>
  <conditionalFormatting sqref="AC1057:AC1059">
    <cfRule type="expression" dxfId="146" priority="476" stopIfTrue="1">
      <formula>#REF!="Confidential"</formula>
    </cfRule>
  </conditionalFormatting>
  <conditionalFormatting sqref="AC1074">
    <cfRule type="expression" dxfId="145" priority="366" stopIfTrue="1">
      <formula>#REF!="Confidential"</formula>
    </cfRule>
  </conditionalFormatting>
  <conditionalFormatting sqref="AC1088">
    <cfRule type="expression" dxfId="144" priority="696" stopIfTrue="1">
      <formula>#REF!="Confidential"</formula>
    </cfRule>
  </conditionalFormatting>
  <conditionalFormatting sqref="AC1106">
    <cfRule type="expression" dxfId="143" priority="675" stopIfTrue="1">
      <formula>#REF!="Confidential"</formula>
    </cfRule>
  </conditionalFormatting>
  <conditionalFormatting sqref="AC1112:AC1114">
    <cfRule type="expression" dxfId="142" priority="667" stopIfTrue="1">
      <formula>#REF!="Confidential"</formula>
    </cfRule>
  </conditionalFormatting>
  <conditionalFormatting sqref="AC1129">
    <cfRule type="expression" dxfId="141" priority="653" stopIfTrue="1">
      <formula>#REF!="Confidential"</formula>
    </cfRule>
  </conditionalFormatting>
  <conditionalFormatting sqref="AC1131">
    <cfRule type="expression" dxfId="140" priority="648" stopIfTrue="1">
      <formula>#REF!="Confidential"</formula>
    </cfRule>
  </conditionalFormatting>
  <conditionalFormatting sqref="AC1155">
    <cfRule type="expression" dxfId="139" priority="636" stopIfTrue="1">
      <formula>#REF!="Confidential"</formula>
    </cfRule>
  </conditionalFormatting>
  <conditionalFormatting sqref="AC1158:AC1161">
    <cfRule type="expression" dxfId="138" priority="634" stopIfTrue="1">
      <formula>#REF!="Confidential"</formula>
    </cfRule>
  </conditionalFormatting>
  <conditionalFormatting sqref="AC1170:AC1176">
    <cfRule type="expression" dxfId="137" priority="627" stopIfTrue="1">
      <formula>#REF!="Confidential"</formula>
    </cfRule>
  </conditionalFormatting>
  <conditionalFormatting sqref="AC1181:AC1184">
    <cfRule type="expression" dxfId="136" priority="625" stopIfTrue="1">
      <formula>#REF!="Confidential"</formula>
    </cfRule>
  </conditionalFormatting>
  <conditionalFormatting sqref="AC1187:AC1189">
    <cfRule type="expression" dxfId="135" priority="623" stopIfTrue="1">
      <formula>#REF!="Confidential"</formula>
    </cfRule>
  </conditionalFormatting>
  <conditionalFormatting sqref="AC1192">
    <cfRule type="expression" dxfId="134" priority="622" stopIfTrue="1">
      <formula>#REF!="Confidential"</formula>
    </cfRule>
  </conditionalFormatting>
  <conditionalFormatting sqref="AC1195:AC1196">
    <cfRule type="expression" dxfId="133" priority="620" stopIfTrue="1">
      <formula>#REF!="Confidential"</formula>
    </cfRule>
  </conditionalFormatting>
  <conditionalFormatting sqref="AC1200">
    <cfRule type="expression" dxfId="132" priority="369" stopIfTrue="1">
      <formula>#REF!="Confidential"</formula>
    </cfRule>
  </conditionalFormatting>
  <conditionalFormatting sqref="AC1204">
    <cfRule type="expression" dxfId="131" priority="367" stopIfTrue="1">
      <formula>#REF!="Confidential"</formula>
    </cfRule>
  </conditionalFormatting>
  <conditionalFormatting sqref="AC1206:AC1208">
    <cfRule type="expression" dxfId="130" priority="617" stopIfTrue="1">
      <formula>#REF!="Confidential"</formula>
    </cfRule>
  </conditionalFormatting>
  <conditionalFormatting sqref="AC1210">
    <cfRule type="expression" dxfId="129" priority="616" stopIfTrue="1">
      <formula>#REF!="Confidential"</formula>
    </cfRule>
  </conditionalFormatting>
  <conditionalFormatting sqref="AC1214:AC1217">
    <cfRule type="expression" dxfId="128" priority="615" stopIfTrue="1">
      <formula>#REF!="Confidential"</formula>
    </cfRule>
  </conditionalFormatting>
  <conditionalFormatting sqref="AC1219">
    <cfRule type="expression" dxfId="127" priority="614" stopIfTrue="1">
      <formula>#REF!="Confidential"</formula>
    </cfRule>
  </conditionalFormatting>
  <conditionalFormatting sqref="AC1221:AC1224">
    <cfRule type="expression" dxfId="126" priority="611" stopIfTrue="1">
      <formula>#REF!="Confidential"</formula>
    </cfRule>
  </conditionalFormatting>
  <conditionalFormatting sqref="AC1234:AC1236">
    <cfRule type="expression" dxfId="125" priority="595" stopIfTrue="1">
      <formula>#REF!="Confidential"</formula>
    </cfRule>
  </conditionalFormatting>
  <conditionalFormatting sqref="AC1273:AC1274">
    <cfRule type="expression" dxfId="124" priority="582" stopIfTrue="1">
      <formula>#REF!="Confidential"</formula>
    </cfRule>
  </conditionalFormatting>
  <conditionalFormatting sqref="AC1285">
    <cfRule type="expression" dxfId="123" priority="150" stopIfTrue="1">
      <formula>#REF!="Confidential"</formula>
    </cfRule>
  </conditionalFormatting>
  <conditionalFormatting sqref="AC1287:AC1288">
    <cfRule type="expression" dxfId="122" priority="570" stopIfTrue="1">
      <formula>#REF!="Confidential"</formula>
    </cfRule>
  </conditionalFormatting>
  <conditionalFormatting sqref="AC1294:AC1295">
    <cfRule type="expression" dxfId="121" priority="565" stopIfTrue="1">
      <formula>#REF!="Confidential"</formula>
    </cfRule>
  </conditionalFormatting>
  <conditionalFormatting sqref="AC1304:AC1306">
    <cfRule type="expression" dxfId="120" priority="562" stopIfTrue="1">
      <formula>#REF!="Confidential"</formula>
    </cfRule>
  </conditionalFormatting>
  <conditionalFormatting sqref="AC1314:AC1315">
    <cfRule type="expression" dxfId="119" priority="523" stopIfTrue="1">
      <formula>#REF!="Confidential"</formula>
    </cfRule>
  </conditionalFormatting>
  <conditionalFormatting sqref="AC1346">
    <cfRule type="expression" dxfId="118" priority="548" stopIfTrue="1">
      <formula>#REF!="Confidential"</formula>
    </cfRule>
  </conditionalFormatting>
  <conditionalFormatting sqref="AC1350">
    <cfRule type="expression" dxfId="117" priority="536" stopIfTrue="1">
      <formula>#REF!="Confidential"</formula>
    </cfRule>
  </conditionalFormatting>
  <conditionalFormatting sqref="AC1352:AC1359">
    <cfRule type="expression" dxfId="116" priority="531" stopIfTrue="1">
      <formula>#REF!="Confidential"</formula>
    </cfRule>
  </conditionalFormatting>
  <conditionalFormatting sqref="AC1361:AC1362">
    <cfRule type="expression" dxfId="115" priority="242" stopIfTrue="1">
      <formula>#REF!="Confidential"</formula>
    </cfRule>
  </conditionalFormatting>
  <conditionalFormatting sqref="AC1364:AC1365">
    <cfRule type="expression" dxfId="114" priority="525" stopIfTrue="1">
      <formula>#REF!="Confidential"</formula>
    </cfRule>
  </conditionalFormatting>
  <conditionalFormatting sqref="AC1367">
    <cfRule type="expression" dxfId="113" priority="519" stopIfTrue="1">
      <formula>#REF!="Confidential"</formula>
    </cfRule>
  </conditionalFormatting>
  <conditionalFormatting sqref="AC1372">
    <cfRule type="expression" dxfId="112" priority="518" stopIfTrue="1">
      <formula>#REF!="Confidential"</formula>
    </cfRule>
  </conditionalFormatting>
  <conditionalFormatting sqref="AC1380:AC1381">
    <cfRule type="expression" dxfId="111" priority="517" stopIfTrue="1">
      <formula>#REF!="Confidential"</formula>
    </cfRule>
  </conditionalFormatting>
  <conditionalFormatting sqref="AC1384:AC1388">
    <cfRule type="expression" dxfId="110" priority="511" stopIfTrue="1">
      <formula>#REF!="Confidential"</formula>
    </cfRule>
  </conditionalFormatting>
  <conditionalFormatting sqref="AC1390">
    <cfRule type="expression" dxfId="109" priority="516" stopIfTrue="1">
      <formula>#REF!="Confidential"</formula>
    </cfRule>
  </conditionalFormatting>
  <conditionalFormatting sqref="AC1394">
    <cfRule type="expression" dxfId="108" priority="515" stopIfTrue="1">
      <formula>#REF!="Confidential"</formula>
    </cfRule>
  </conditionalFormatting>
  <conditionalFormatting sqref="AC1438">
    <cfRule type="expression" dxfId="107" priority="443" stopIfTrue="1">
      <formula>#REF!="Confidential"</formula>
    </cfRule>
  </conditionalFormatting>
  <conditionalFormatting sqref="AC1443">
    <cfRule type="expression" dxfId="106" priority="437" stopIfTrue="1">
      <formula>#REF!="Confidential"</formula>
    </cfRule>
  </conditionalFormatting>
  <conditionalFormatting sqref="AC1448:AC1450">
    <cfRule type="expression" dxfId="105" priority="427" stopIfTrue="1">
      <formula>#REF!="Confidential"</formula>
    </cfRule>
  </conditionalFormatting>
  <conditionalFormatting sqref="AC1456:AC1462">
    <cfRule type="expression" dxfId="104" priority="422" stopIfTrue="1">
      <formula>#REF!="Confidential"</formula>
    </cfRule>
  </conditionalFormatting>
  <conditionalFormatting sqref="AC1464">
    <cfRule type="expression" dxfId="103" priority="421" stopIfTrue="1">
      <formula>#REF!="Confidential"</formula>
    </cfRule>
  </conditionalFormatting>
  <conditionalFormatting sqref="AC1475:AC1489">
    <cfRule type="expression" dxfId="102" priority="406" stopIfTrue="1">
      <formula>#REF!="Confidential"</formula>
    </cfRule>
  </conditionalFormatting>
  <conditionalFormatting sqref="AC1493">
    <cfRule type="expression" dxfId="101" priority="401" stopIfTrue="1">
      <formula>#REF!="Confidential"</formula>
    </cfRule>
  </conditionalFormatting>
  <conditionalFormatting sqref="AC1495:AC1499">
    <cfRule type="expression" dxfId="100" priority="397" stopIfTrue="1">
      <formula>#REF!="Confidential"</formula>
    </cfRule>
  </conditionalFormatting>
  <conditionalFormatting sqref="AC1501">
    <cfRule type="expression" dxfId="99" priority="256" stopIfTrue="1">
      <formula>#REF!="Confidential"</formula>
    </cfRule>
  </conditionalFormatting>
  <conditionalFormatting sqref="AC1504:AC1506">
    <cfRule type="expression" dxfId="98" priority="195" stopIfTrue="1">
      <formula>#REF!="Confidential"</formula>
    </cfRule>
  </conditionalFormatting>
  <conditionalFormatting sqref="AC1510">
    <cfRule type="expression" dxfId="97" priority="384" stopIfTrue="1">
      <formula>#REF!="Confidential"</formula>
    </cfRule>
  </conditionalFormatting>
  <conditionalFormatting sqref="AC1514:AC1516">
    <cfRule type="expression" dxfId="96" priority="375" stopIfTrue="1">
      <formula>#REF!="Confidential"</formula>
    </cfRule>
  </conditionalFormatting>
  <conditionalFormatting sqref="AC1518:AC1519">
    <cfRule type="expression" dxfId="95" priority="372" stopIfTrue="1">
      <formula>#REF!="Confidential"</formula>
    </cfRule>
  </conditionalFormatting>
  <conditionalFormatting sqref="AC1534">
    <cfRule type="expression" dxfId="94" priority="209" stopIfTrue="1">
      <formula>#REF!="Confidential"</formula>
    </cfRule>
  </conditionalFormatting>
  <conditionalFormatting sqref="AC1558">
    <cfRule type="expression" dxfId="93" priority="358" stopIfTrue="1">
      <formula>#REF!="Confidential"</formula>
    </cfRule>
  </conditionalFormatting>
  <conditionalFormatting sqref="AC1560:AC1563">
    <cfRule type="expression" dxfId="92" priority="165" stopIfTrue="1">
      <formula>#REF!="Confidential"</formula>
    </cfRule>
  </conditionalFormatting>
  <conditionalFormatting sqref="AC1571">
    <cfRule type="expression" dxfId="91" priority="301" stopIfTrue="1">
      <formula>#REF!="Confidential"</formula>
    </cfRule>
  </conditionalFormatting>
  <conditionalFormatting sqref="AC1597">
    <cfRule type="expression" dxfId="90" priority="319" stopIfTrue="1">
      <formula>#REF!="Confidential"</formula>
    </cfRule>
  </conditionalFormatting>
  <conditionalFormatting sqref="AC1599:AC1607">
    <cfRule type="expression" dxfId="89" priority="318" stopIfTrue="1">
      <formula>#REF!="Confidential"</formula>
    </cfRule>
  </conditionalFormatting>
  <conditionalFormatting sqref="AC1619">
    <cfRule type="expression" dxfId="88" priority="308" stopIfTrue="1">
      <formula>#REF!="Confidential"</formula>
    </cfRule>
  </conditionalFormatting>
  <conditionalFormatting sqref="AC1623:AC1626">
    <cfRule type="expression" dxfId="87" priority="304" stopIfTrue="1">
      <formula>#REF!="Confidential"</formula>
    </cfRule>
  </conditionalFormatting>
  <conditionalFormatting sqref="AC1642:AC1643">
    <cfRule type="expression" dxfId="86" priority="284" stopIfTrue="1">
      <formula>#REF!="Confidential"</formula>
    </cfRule>
  </conditionalFormatting>
  <conditionalFormatting sqref="AC1645:AC1649">
    <cfRule type="expression" dxfId="85" priority="283" stopIfTrue="1">
      <formula>#REF!="Confidential"</formula>
    </cfRule>
  </conditionalFormatting>
  <conditionalFormatting sqref="AC1652:AC1653">
    <cfRule type="expression" dxfId="84" priority="281" stopIfTrue="1">
      <formula>#REF!="Confidential"</formula>
    </cfRule>
  </conditionalFormatting>
  <conditionalFormatting sqref="AC1711">
    <cfRule type="expression" dxfId="83" priority="234" stopIfTrue="1">
      <formula>#REF!="Confidential"</formula>
    </cfRule>
  </conditionalFormatting>
  <conditionalFormatting sqref="AC1713">
    <cfRule type="expression" dxfId="82" priority="107" stopIfTrue="1">
      <formula>#REF!="Confidential"</formula>
    </cfRule>
  </conditionalFormatting>
  <conditionalFormatting sqref="AC1727:AC1729">
    <cfRule type="expression" dxfId="81" priority="224" stopIfTrue="1">
      <formula>#REF!="Confidential"</formula>
    </cfRule>
  </conditionalFormatting>
  <conditionalFormatting sqref="AC1731">
    <cfRule type="expression" dxfId="80" priority="222" stopIfTrue="1">
      <formula>#REF!="Confidential"</formula>
    </cfRule>
  </conditionalFormatting>
  <conditionalFormatting sqref="AC1735:AC1738">
    <cfRule type="expression" dxfId="79" priority="9" stopIfTrue="1">
      <formula>#REF!="Confidential"</formula>
    </cfRule>
  </conditionalFormatting>
  <conditionalFormatting sqref="AC1767">
    <cfRule type="expression" dxfId="78" priority="208" stopIfTrue="1">
      <formula>#REF!="Confidential"</formula>
    </cfRule>
  </conditionalFormatting>
  <conditionalFormatting sqref="AC1777:AC1780">
    <cfRule type="expression" dxfId="77" priority="189" stopIfTrue="1">
      <formula>#REF!="Confidential"</formula>
    </cfRule>
  </conditionalFormatting>
  <conditionalFormatting sqref="AC1783">
    <cfRule type="expression" dxfId="76" priority="186" stopIfTrue="1">
      <formula>#REF!="Confidential"</formula>
    </cfRule>
  </conditionalFormatting>
  <conditionalFormatting sqref="AC1788:AC1793">
    <cfRule type="expression" dxfId="75" priority="182" stopIfTrue="1">
      <formula>#REF!="Confidential"</formula>
    </cfRule>
  </conditionalFormatting>
  <conditionalFormatting sqref="AC1795:AC1802">
    <cfRule type="expression" dxfId="74" priority="178" stopIfTrue="1">
      <formula>#REF!="Confidential"</formula>
    </cfRule>
  </conditionalFormatting>
  <conditionalFormatting sqref="AC1805">
    <cfRule type="expression" dxfId="73" priority="176" stopIfTrue="1">
      <formula>#REF!="Confidential"</formula>
    </cfRule>
  </conditionalFormatting>
  <conditionalFormatting sqref="AC1808">
    <cfRule type="expression" dxfId="72" priority="173" stopIfTrue="1">
      <formula>#REF!="Confidential"</formula>
    </cfRule>
  </conditionalFormatting>
  <conditionalFormatting sqref="AC1811">
    <cfRule type="expression" dxfId="71" priority="172" stopIfTrue="1">
      <formula>#REF!="Confidential"</formula>
    </cfRule>
  </conditionalFormatting>
  <conditionalFormatting sqref="AC1814:AC1815">
    <cfRule type="expression" dxfId="70" priority="162" stopIfTrue="1">
      <formula>#REF!="Confidential"</formula>
    </cfRule>
  </conditionalFormatting>
  <conditionalFormatting sqref="AC1821">
    <cfRule type="expression" dxfId="69" priority="11" stopIfTrue="1">
      <formula>#REF!="Confidential"</formula>
    </cfRule>
  </conditionalFormatting>
  <conditionalFormatting sqref="AC1833">
    <cfRule type="expression" dxfId="68" priority="140" stopIfTrue="1">
      <formula>#REF!="Confidential"</formula>
    </cfRule>
  </conditionalFormatting>
  <conditionalFormatting sqref="AC1850:AC1851">
    <cfRule type="expression" dxfId="67" priority="115" stopIfTrue="1">
      <formula>#REF!="Confidential"</formula>
    </cfRule>
  </conditionalFormatting>
  <conditionalFormatting sqref="AC1854">
    <cfRule type="expression" dxfId="66" priority="114" stopIfTrue="1">
      <formula>#REF!="Confidential"</formula>
    </cfRule>
  </conditionalFormatting>
  <conditionalFormatting sqref="AC1856">
    <cfRule type="expression" dxfId="65" priority="112" stopIfTrue="1">
      <formula>#REF!="Confidential"</formula>
    </cfRule>
  </conditionalFormatting>
  <conditionalFormatting sqref="AC1894">
    <cfRule type="expression" dxfId="64" priority="95" stopIfTrue="1">
      <formula>#REF!="Confidential"</formula>
    </cfRule>
  </conditionalFormatting>
  <conditionalFormatting sqref="AC1951">
    <cfRule type="expression" dxfId="63" priority="67" stopIfTrue="1">
      <formula>#REF!="Confidential"</formula>
    </cfRule>
  </conditionalFormatting>
  <conditionalFormatting sqref="AC1958:AC1959">
    <cfRule type="expression" dxfId="62" priority="39" stopIfTrue="1">
      <formula>#REF!="Confidential"</formula>
    </cfRule>
  </conditionalFormatting>
  <conditionalFormatting sqref="AC1968:AC1969">
    <cfRule type="expression" dxfId="61" priority="48" stopIfTrue="1">
      <formula>#REF!="Confidential"</formula>
    </cfRule>
  </conditionalFormatting>
  <conditionalFormatting sqref="AC1973">
    <cfRule type="expression" dxfId="60" priority="45" stopIfTrue="1">
      <formula>#REF!="Confidential"</formula>
    </cfRule>
  </conditionalFormatting>
  <conditionalFormatting sqref="AC1982">
    <cfRule type="expression" dxfId="59" priority="35" stopIfTrue="1">
      <formula>#REF!="Confidential"</formula>
    </cfRule>
  </conditionalFormatting>
  <conditionalFormatting sqref="AC1992:AC1994">
    <cfRule type="expression" dxfId="58" priority="22" stopIfTrue="1">
      <formula>#REF!="Confidential"</formula>
    </cfRule>
  </conditionalFormatting>
  <conditionalFormatting sqref="AD479">
    <cfRule type="expression" dxfId="57" priority="1" stopIfTrue="1">
      <formula>#REF!="Confidential"</formula>
    </cfRule>
  </conditionalFormatting>
  <conditionalFormatting sqref="AD618">
    <cfRule type="expression" dxfId="56" priority="577" stopIfTrue="1">
      <formula>#REF!="Confidential"</formula>
    </cfRule>
  </conditionalFormatting>
  <conditionalFormatting sqref="AD808">
    <cfRule type="expression" dxfId="55" priority="859" stopIfTrue="1">
      <formula>#REF!="Confidential"</formula>
    </cfRule>
  </conditionalFormatting>
  <conditionalFormatting sqref="AD995">
    <cfRule type="expression" dxfId="54" priority="775" stopIfTrue="1">
      <formula>#REF!="Confidential"</formula>
    </cfRule>
  </conditionalFormatting>
  <conditionalFormatting sqref="AD1273:AD1274">
    <cfRule type="expression" dxfId="53" priority="580" stopIfTrue="1">
      <formula>#REF!="Confidential"</formula>
    </cfRule>
  </conditionalFormatting>
  <conditionalFormatting sqref="AD765:AE766">
    <cfRule type="expression" dxfId="52" priority="1016" stopIfTrue="1">
      <formula>#REF!="Confidential"</formula>
    </cfRule>
  </conditionalFormatting>
  <conditionalFormatting sqref="AD768:AE769">
    <cfRule type="expression" dxfId="51" priority="1010" stopIfTrue="1">
      <formula>#REF!="Confidential"</formula>
    </cfRule>
  </conditionalFormatting>
  <conditionalFormatting sqref="AD771:AE776">
    <cfRule type="expression" dxfId="50" priority="543" stopIfTrue="1">
      <formula>#REF!="Confidential"</formula>
    </cfRule>
  </conditionalFormatting>
  <conditionalFormatting sqref="AD839:AE840">
    <cfRule type="expression" dxfId="49" priority="950" stopIfTrue="1">
      <formula>#REF!="Confidential"</formula>
    </cfRule>
  </conditionalFormatting>
  <conditionalFormatting sqref="AD880:AE880">
    <cfRule type="expression" dxfId="48" priority="908" stopIfTrue="1">
      <formula>#REF!="Confidential"</formula>
    </cfRule>
  </conditionalFormatting>
  <conditionalFormatting sqref="AD889:AE890">
    <cfRule type="expression" dxfId="47" priority="896" stopIfTrue="1">
      <formula>#REF!="Confidential"</formula>
    </cfRule>
  </conditionalFormatting>
  <conditionalFormatting sqref="AD958:AE959">
    <cfRule type="expression" dxfId="46" priority="831" stopIfTrue="1">
      <formula>#REF!="Confidential"</formula>
    </cfRule>
  </conditionalFormatting>
  <conditionalFormatting sqref="AD1234:AE1235">
    <cfRule type="expression" dxfId="45" priority="597" stopIfTrue="1">
      <formula>#REF!="Confidential"</formula>
    </cfRule>
  </conditionalFormatting>
  <conditionalFormatting sqref="AD1346:AE1346">
    <cfRule type="expression" dxfId="44" priority="549" stopIfTrue="1">
      <formula>#REF!="Confidential"</formula>
    </cfRule>
  </conditionalFormatting>
  <conditionalFormatting sqref="AE234">
    <cfRule type="expression" dxfId="43" priority="966" stopIfTrue="1">
      <formula>#REF!="Confidential"</formula>
    </cfRule>
  </conditionalFormatting>
  <conditionalFormatting sqref="AE246">
    <cfRule type="expression" dxfId="42" priority="967" stopIfTrue="1">
      <formula>#REF!="Confidential"</formula>
    </cfRule>
  </conditionalFormatting>
  <conditionalFormatting sqref="AE250">
    <cfRule type="expression" dxfId="41" priority="323" stopIfTrue="1">
      <formula>#REF!="Confidential"</formula>
    </cfRule>
  </conditionalFormatting>
  <conditionalFormatting sqref="AE351">
    <cfRule type="expression" dxfId="40" priority="968" stopIfTrue="1">
      <formula>#REF!="Confidential"</formula>
    </cfRule>
  </conditionalFormatting>
  <conditionalFormatting sqref="AE381:AE383">
    <cfRule type="expression" dxfId="39" priority="969" stopIfTrue="1">
      <formula>#REF!="Confidential"</formula>
    </cfRule>
  </conditionalFormatting>
  <conditionalFormatting sqref="AE385:AE386">
    <cfRule type="expression" dxfId="38" priority="970" stopIfTrue="1">
      <formula>#REF!="Confidential"</formula>
    </cfRule>
  </conditionalFormatting>
  <conditionalFormatting sqref="AE393">
    <cfRule type="expression" dxfId="37" priority="971" stopIfTrue="1">
      <formula>#REF!="Confidential"</formula>
    </cfRule>
  </conditionalFormatting>
  <conditionalFormatting sqref="AE411:AE412">
    <cfRule type="expression" dxfId="36" priority="972" stopIfTrue="1">
      <formula>#REF!="Confidential"</formula>
    </cfRule>
  </conditionalFormatting>
  <conditionalFormatting sqref="AE450">
    <cfRule type="expression" dxfId="35" priority="433" stopIfTrue="1">
      <formula>#REF!="Confidential"</formula>
    </cfRule>
  </conditionalFormatting>
  <conditionalFormatting sqref="AE457:AE459">
    <cfRule type="expression" dxfId="34" priority="977" stopIfTrue="1">
      <formula>#REF!="Confidential"</formula>
    </cfRule>
  </conditionalFormatting>
  <conditionalFormatting sqref="AE464">
    <cfRule type="expression" dxfId="33" priority="978" stopIfTrue="1">
      <formula>#REF!="Confidential"</formula>
    </cfRule>
  </conditionalFormatting>
  <conditionalFormatting sqref="AE477:AE480">
    <cfRule type="expression" dxfId="32" priority="2" stopIfTrue="1">
      <formula>#REF!="Confidential"</formula>
    </cfRule>
  </conditionalFormatting>
  <conditionalFormatting sqref="AE484">
    <cfRule type="expression" dxfId="31" priority="974" stopIfTrue="1">
      <formula>#REF!="Confidential"</formula>
    </cfRule>
  </conditionalFormatting>
  <conditionalFormatting sqref="AE503">
    <cfRule type="expression" dxfId="30" priority="825" stopIfTrue="1">
      <formula>#REF!="Confidential"</formula>
    </cfRule>
  </conditionalFormatting>
  <conditionalFormatting sqref="AE510">
    <cfRule type="expression" dxfId="29" priority="979" stopIfTrue="1">
      <formula>#REF!="Confidential"</formula>
    </cfRule>
  </conditionalFormatting>
  <conditionalFormatting sqref="AE525">
    <cfRule type="expression" dxfId="28" priority="1082" stopIfTrue="1">
      <formula>#REF!="Confidential"</formula>
    </cfRule>
  </conditionalFormatting>
  <conditionalFormatting sqref="AE545">
    <cfRule type="expression" dxfId="27" priority="975" stopIfTrue="1">
      <formula>#REF!="Confidential"</formula>
    </cfRule>
  </conditionalFormatting>
  <conditionalFormatting sqref="AE561">
    <cfRule type="expression" dxfId="26" priority="976" stopIfTrue="1">
      <formula>#REF!="Confidential"</formula>
    </cfRule>
  </conditionalFormatting>
  <conditionalFormatting sqref="AE867">
    <cfRule type="expression" dxfId="25" priority="914" stopIfTrue="1">
      <formula>#REF!="Confidential"</formula>
    </cfRule>
  </conditionalFormatting>
  <conditionalFormatting sqref="AE935">
    <cfRule type="expression" dxfId="24" priority="845" stopIfTrue="1">
      <formula>#REF!="Confidential"</formula>
    </cfRule>
  </conditionalFormatting>
  <conditionalFormatting sqref="AE961">
    <cfRule type="expression" dxfId="23" priority="826" stopIfTrue="1">
      <formula>#REF!="Confidential"</formula>
    </cfRule>
  </conditionalFormatting>
  <conditionalFormatting sqref="AE999:AE1001">
    <cfRule type="expression" dxfId="22" priority="485" stopIfTrue="1">
      <formula>#REF!="Confidential"</formula>
    </cfRule>
  </conditionalFormatting>
  <conditionalFormatting sqref="AF524:AF525">
    <cfRule type="expression" dxfId="21" priority="1111" stopIfTrue="1">
      <formula>#REF!="Confidential"</formula>
    </cfRule>
  </conditionalFormatting>
  <conditionalFormatting sqref="AF534">
    <cfRule type="expression" dxfId="20" priority="933" stopIfTrue="1">
      <formula>#REF!="Confidential"</formula>
    </cfRule>
  </conditionalFormatting>
  <conditionalFormatting sqref="AF602:AF604">
    <cfRule type="expression" dxfId="19" priority="799" stopIfTrue="1">
      <formula>#REF!="Confidential"</formula>
    </cfRule>
  </conditionalFormatting>
  <conditionalFormatting sqref="AF678">
    <cfRule type="expression" dxfId="18" priority="1068" stopIfTrue="1">
      <formula>#REF!="Confidential"</formula>
    </cfRule>
  </conditionalFormatting>
  <conditionalFormatting sqref="AF756:AF759">
    <cfRule type="expression" dxfId="17" priority="1023" stopIfTrue="1">
      <formula>#REF!="Confidential"</formula>
    </cfRule>
  </conditionalFormatting>
  <conditionalFormatting sqref="AF765:AF776">
    <cfRule type="expression" dxfId="16" priority="1006" stopIfTrue="1">
      <formula>#REF!="Confidential"</formula>
    </cfRule>
  </conditionalFormatting>
  <conditionalFormatting sqref="AF790">
    <cfRule type="expression" dxfId="15" priority="918" stopIfTrue="1">
      <formula>#REF!="Confidential"</formula>
    </cfRule>
  </conditionalFormatting>
  <conditionalFormatting sqref="AF795:AF797">
    <cfRule type="expression" dxfId="14" priority="990" stopIfTrue="1">
      <formula>#REF!="Confidential"</formula>
    </cfRule>
  </conditionalFormatting>
  <conditionalFormatting sqref="AF815">
    <cfRule type="expression" dxfId="13" priority="982" stopIfTrue="1">
      <formula>#REF!="Confidential"</formula>
    </cfRule>
  </conditionalFormatting>
  <conditionalFormatting sqref="AF889:AF890">
    <cfRule type="expression" dxfId="12" priority="892" stopIfTrue="1">
      <formula>#REF!="Confidential"</formula>
    </cfRule>
  </conditionalFormatting>
  <conditionalFormatting sqref="AF925:AF929">
    <cfRule type="expression" dxfId="11" priority="449" stopIfTrue="1">
      <formula>#REF!="Confidential"</formula>
    </cfRule>
  </conditionalFormatting>
  <conditionalFormatting sqref="AF958:AF959">
    <cfRule type="expression" dxfId="10" priority="432" stopIfTrue="1">
      <formula>#REF!="Confidential"</formula>
    </cfRule>
  </conditionalFormatting>
  <conditionalFormatting sqref="AF971">
    <cfRule type="expression" dxfId="9" priority="789" stopIfTrue="1">
      <formula>#REF!="Confidential"</formula>
    </cfRule>
  </conditionalFormatting>
  <conditionalFormatting sqref="AF984">
    <cfRule type="expression" dxfId="8" priority="679" stopIfTrue="1">
      <formula>#REF!="Confidential"</formula>
    </cfRule>
  </conditionalFormatting>
  <conditionalFormatting sqref="AF992:AF1001">
    <cfRule type="expression" dxfId="7" priority="489" stopIfTrue="1">
      <formula>#REF!="Confidential"</formula>
    </cfRule>
  </conditionalFormatting>
  <conditionalFormatting sqref="AF1038">
    <cfRule type="expression" dxfId="6" priority="556" stopIfTrue="1">
      <formula>#REF!="Confidential"</formula>
    </cfRule>
  </conditionalFormatting>
  <conditionalFormatting sqref="AF1055">
    <cfRule type="expression" dxfId="5" priority="574" stopIfTrue="1">
      <formula>#REF!="Confidential"</formula>
    </cfRule>
  </conditionalFormatting>
  <conditionalFormatting sqref="AF1104">
    <cfRule type="expression" dxfId="4" priority="678" stopIfTrue="1">
      <formula>#REF!="Confidential"</formula>
    </cfRule>
  </conditionalFormatting>
  <conditionalFormatting sqref="AF1234">
    <cfRule type="expression" dxfId="3" priority="598" stopIfTrue="1">
      <formula>#REF!="Confidential"</formula>
    </cfRule>
  </conditionalFormatting>
  <conditionalFormatting sqref="AF1273:AF1274">
    <cfRule type="expression" dxfId="2" priority="578" stopIfTrue="1">
      <formula>#REF!="Confidential"</formula>
    </cfRule>
  </conditionalFormatting>
  <conditionalFormatting sqref="AF1346">
    <cfRule type="expression" dxfId="1" priority="540" stopIfTrue="1">
      <formula>#REF!="Confidential"</formula>
    </cfRule>
  </conditionalFormatting>
  <conditionalFormatting sqref="AF1395">
    <cfRule type="expression" dxfId="0" priority="512" stopIfTrue="1">
      <formula>#REF!="Confidential"</formula>
    </cfRule>
  </conditionalFormatting>
  <dataValidations count="1">
    <dataValidation type="whole" allowBlank="1" showInputMessage="1" showErrorMessage="1" sqref="L9:Y1048576" xr:uid="{48D7D019-0415-4B63-B49D-D100A78F4DEF}">
      <formula1>0</formula1>
      <formula2>1</formula2>
    </dataValidation>
  </dataValidations>
  <hyperlinks>
    <hyperlink ref="B1175" r:id="rId1" display="https://xfuels.de/hykero/" xr:uid="{DC062D5B-9D01-4123-89DA-2092C58CE2D7}"/>
    <hyperlink ref="B1776" r:id="rId2" xr:uid="{7274B323-322A-4600-99AB-B97E9468EAC4}"/>
  </hyperlinks>
  <pageMargins left="0.7" right="0.7" top="0.75" bottom="0.75" header="0.3" footer="0.3"/>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defaultRowHeight="14.4" x14ac:dyDescent="0.3"/>
  <sheetData>
    <row r="1" spans="1:19" x14ac:dyDescent="0.3">
      <c r="A1" s="124" t="s">
        <v>171</v>
      </c>
      <c r="B1" s="124"/>
      <c r="C1" s="124"/>
      <c r="D1" s="124"/>
      <c r="E1" s="124"/>
      <c r="F1" s="124"/>
      <c r="G1" s="124"/>
      <c r="H1" s="124"/>
      <c r="I1" s="124"/>
      <c r="J1" s="124"/>
      <c r="K1" s="124"/>
      <c r="L1" s="124"/>
      <c r="M1" s="124"/>
      <c r="N1" s="124"/>
      <c r="O1" s="124"/>
      <c r="P1" s="124"/>
      <c r="Q1" s="124"/>
    </row>
    <row r="2" spans="1:19" x14ac:dyDescent="0.3">
      <c r="A2" s="31" t="s">
        <v>142</v>
      </c>
      <c r="B2" s="32"/>
      <c r="C2" s="32"/>
      <c r="D2" s="31" t="s">
        <v>158</v>
      </c>
      <c r="E2" s="32"/>
      <c r="F2" s="32"/>
      <c r="G2" s="32"/>
      <c r="H2" s="32"/>
      <c r="I2" s="31" t="s">
        <v>165</v>
      </c>
      <c r="J2" s="32"/>
      <c r="K2" s="32"/>
      <c r="L2" s="31" t="s">
        <v>70</v>
      </c>
      <c r="M2" s="32"/>
      <c r="N2" s="31" t="s">
        <v>243</v>
      </c>
      <c r="O2" s="31"/>
      <c r="P2" s="31" t="s">
        <v>581</v>
      </c>
      <c r="Q2" s="32"/>
      <c r="S2" s="28"/>
    </row>
    <row r="3" spans="1:19" x14ac:dyDescent="0.3">
      <c r="A3" s="32" t="s">
        <v>591</v>
      </c>
      <c r="B3" s="32"/>
      <c r="C3" s="32"/>
      <c r="D3" s="32" t="s">
        <v>3</v>
      </c>
      <c r="E3" s="32"/>
      <c r="F3" s="32">
        <v>4.5999999999999999E-3</v>
      </c>
      <c r="G3" s="32"/>
      <c r="H3" s="32"/>
      <c r="I3" s="32" t="s">
        <v>166</v>
      </c>
      <c r="J3" s="32"/>
      <c r="K3" s="32"/>
      <c r="L3" s="32" t="s">
        <v>68</v>
      </c>
      <c r="M3" s="32"/>
      <c r="N3" s="32" t="s">
        <v>244</v>
      </c>
      <c r="O3" s="32"/>
      <c r="P3" s="32">
        <v>0.3</v>
      </c>
      <c r="Q3" s="32"/>
    </row>
    <row r="4" spans="1:19" x14ac:dyDescent="0.3">
      <c r="A4" s="32" t="s">
        <v>225</v>
      </c>
      <c r="B4" s="32"/>
      <c r="C4" s="32"/>
      <c r="D4" s="32" t="s">
        <v>1</v>
      </c>
      <c r="E4" s="32"/>
      <c r="F4" s="32">
        <v>5.1999999999999998E-3</v>
      </c>
      <c r="G4" s="32"/>
      <c r="H4" s="32"/>
      <c r="I4" s="32" t="s">
        <v>249</v>
      </c>
      <c r="J4" s="32"/>
      <c r="K4" s="32"/>
      <c r="L4" s="32" t="s">
        <v>141</v>
      </c>
      <c r="M4" s="32"/>
      <c r="N4" s="32" t="s">
        <v>245</v>
      </c>
      <c r="O4" s="32"/>
      <c r="P4" s="32">
        <v>0.4</v>
      </c>
      <c r="Q4" s="32"/>
    </row>
    <row r="5" spans="1:19" x14ac:dyDescent="0.3">
      <c r="A5" s="32" t="s">
        <v>154</v>
      </c>
      <c r="B5" s="32"/>
      <c r="C5" s="32"/>
      <c r="D5" s="32" t="s">
        <v>2</v>
      </c>
      <c r="E5" s="32"/>
      <c r="F5" s="32">
        <v>3.8E-3</v>
      </c>
      <c r="G5" s="32"/>
      <c r="H5" s="32"/>
      <c r="I5" s="32" t="s">
        <v>169</v>
      </c>
      <c r="J5" s="32"/>
      <c r="K5" s="32"/>
      <c r="L5" s="32" t="s">
        <v>140</v>
      </c>
      <c r="M5" s="32"/>
      <c r="N5" s="32" t="s">
        <v>246</v>
      </c>
      <c r="O5" s="32"/>
      <c r="P5" s="32">
        <v>0.55000000000000004</v>
      </c>
      <c r="Q5" s="32"/>
    </row>
    <row r="6" spans="1:19" x14ac:dyDescent="0.3">
      <c r="A6" s="32" t="s">
        <v>155</v>
      </c>
      <c r="B6" s="32"/>
      <c r="C6" s="32"/>
      <c r="D6" s="32" t="s">
        <v>159</v>
      </c>
      <c r="E6" s="32"/>
      <c r="F6" s="32">
        <v>4.4999999999999997E-3</v>
      </c>
      <c r="G6" s="32"/>
      <c r="H6" s="32"/>
      <c r="I6" s="32" t="s">
        <v>157</v>
      </c>
      <c r="J6" s="32"/>
      <c r="K6" s="32"/>
      <c r="L6" s="32" t="s">
        <v>72</v>
      </c>
      <c r="M6" s="32"/>
      <c r="N6" s="32" t="s">
        <v>247</v>
      </c>
      <c r="O6" s="32"/>
      <c r="P6" s="32">
        <v>0.45</v>
      </c>
      <c r="Q6" s="32"/>
    </row>
    <row r="7" spans="1:19" x14ac:dyDescent="0.3">
      <c r="A7" s="32" t="s">
        <v>226</v>
      </c>
      <c r="B7" s="32"/>
      <c r="C7" s="32"/>
      <c r="D7" s="32" t="s">
        <v>161</v>
      </c>
      <c r="E7" s="32"/>
      <c r="F7" s="32"/>
      <c r="G7" s="32"/>
      <c r="H7" s="32"/>
      <c r="I7" s="32" t="s">
        <v>580</v>
      </c>
      <c r="J7" s="32"/>
      <c r="K7" s="32"/>
      <c r="L7" s="32" t="s">
        <v>167</v>
      </c>
      <c r="M7" s="32"/>
      <c r="N7" s="32" t="s">
        <v>248</v>
      </c>
      <c r="O7" s="32"/>
      <c r="P7" s="32">
        <v>0.5</v>
      </c>
      <c r="Q7" s="32"/>
    </row>
    <row r="8" spans="1:19" x14ac:dyDescent="0.3">
      <c r="A8" s="32" t="s">
        <v>156</v>
      </c>
      <c r="B8" s="32"/>
      <c r="C8" s="32"/>
      <c r="D8" s="32" t="s">
        <v>160</v>
      </c>
      <c r="E8" s="32"/>
      <c r="F8" s="32"/>
      <c r="G8" s="32"/>
      <c r="H8" s="32"/>
      <c r="I8" s="32" t="s">
        <v>288</v>
      </c>
      <c r="J8" s="32"/>
      <c r="K8" s="32"/>
      <c r="L8" s="32" t="s">
        <v>71</v>
      </c>
      <c r="M8" s="32"/>
      <c r="N8" s="32" t="s">
        <v>69</v>
      </c>
      <c r="O8" s="32"/>
      <c r="P8" s="32">
        <v>0</v>
      </c>
      <c r="Q8" s="32"/>
    </row>
    <row r="9" spans="1:19" x14ac:dyDescent="0.3">
      <c r="A9" s="32" t="s">
        <v>157</v>
      </c>
      <c r="B9" s="32"/>
      <c r="C9" s="32"/>
      <c r="D9" s="32" t="s">
        <v>162</v>
      </c>
      <c r="E9" s="32"/>
      <c r="F9" s="32"/>
      <c r="G9" s="32"/>
      <c r="H9" s="32"/>
      <c r="I9" s="32"/>
      <c r="J9" s="32"/>
      <c r="K9" s="32"/>
      <c r="L9" s="32" t="s">
        <v>168</v>
      </c>
      <c r="M9" s="32"/>
      <c r="N9" s="32" t="s">
        <v>580</v>
      </c>
      <c r="O9" s="32"/>
      <c r="P9" s="32"/>
      <c r="Q9" s="32"/>
    </row>
    <row r="10" spans="1:19" x14ac:dyDescent="0.3">
      <c r="A10" s="32" t="s">
        <v>285</v>
      </c>
      <c r="B10" s="32"/>
      <c r="C10" s="32"/>
      <c r="D10" s="32" t="s">
        <v>163</v>
      </c>
      <c r="E10" s="32"/>
      <c r="F10" s="32"/>
      <c r="G10" s="32"/>
      <c r="H10" s="32"/>
      <c r="I10" s="32"/>
      <c r="J10" s="32"/>
      <c r="K10" s="32"/>
      <c r="L10" s="32"/>
      <c r="M10" s="32"/>
      <c r="N10" s="32"/>
      <c r="O10" s="32"/>
      <c r="P10" s="32"/>
      <c r="Q10" s="32"/>
    </row>
    <row r="11" spans="1:19" x14ac:dyDescent="0.3">
      <c r="A11" s="32"/>
      <c r="B11" s="32"/>
      <c r="C11" s="32"/>
      <c r="D11" s="32" t="s">
        <v>164</v>
      </c>
      <c r="E11" s="32"/>
      <c r="F11" s="32"/>
      <c r="G11" s="32"/>
      <c r="H11" s="32"/>
      <c r="I11" s="32"/>
      <c r="J11" s="32"/>
      <c r="K11" s="32"/>
      <c r="L11" s="32"/>
      <c r="M11" s="32"/>
      <c r="N11" s="32"/>
      <c r="O11" s="32"/>
      <c r="P11" s="32"/>
      <c r="Q11" s="32"/>
    </row>
    <row r="12" spans="1:19" x14ac:dyDescent="0.3">
      <c r="A12" s="32"/>
      <c r="B12" s="32"/>
      <c r="C12" s="32"/>
      <c r="D12" s="32" t="s">
        <v>153</v>
      </c>
      <c r="E12" s="32"/>
      <c r="F12" s="32"/>
      <c r="G12" s="32"/>
      <c r="H12" s="32"/>
      <c r="I12" s="32"/>
      <c r="J12" s="32"/>
      <c r="K12" s="32"/>
      <c r="L12" s="32"/>
      <c r="M12" s="32"/>
      <c r="N12" s="32"/>
      <c r="O12" s="32"/>
      <c r="P12" s="32"/>
      <c r="Q12" s="32"/>
    </row>
    <row r="13" spans="1:19" x14ac:dyDescent="0.3">
      <c r="A13" s="32"/>
      <c r="B13" s="32"/>
      <c r="C13" s="32"/>
      <c r="D13" s="32"/>
      <c r="E13" s="32"/>
      <c r="F13" s="32"/>
      <c r="G13" s="32"/>
      <c r="H13" s="32"/>
      <c r="I13" s="32"/>
      <c r="J13" s="32"/>
      <c r="K13" s="32"/>
      <c r="L13" s="32"/>
      <c r="M13" s="32"/>
      <c r="N13" s="32"/>
      <c r="O13" s="32"/>
      <c r="P13" s="32"/>
      <c r="Q13" s="32"/>
    </row>
    <row r="14" spans="1:19" x14ac:dyDescent="0.3">
      <c r="A14" s="6"/>
      <c r="B14" s="6"/>
      <c r="C14" s="6"/>
      <c r="D14" s="6"/>
      <c r="E14" s="6"/>
      <c r="F14" s="6"/>
      <c r="G14" s="6"/>
      <c r="H14" s="6"/>
      <c r="I14" s="6"/>
      <c r="J14" s="6"/>
      <c r="K14" s="6"/>
      <c r="L14" s="6"/>
      <c r="M14" s="6"/>
      <c r="N14" s="6"/>
      <c r="O14" s="6"/>
      <c r="P14" s="6"/>
      <c r="Q14" s="6"/>
    </row>
    <row r="15" spans="1:19" x14ac:dyDescent="0.3">
      <c r="A15" s="125" t="s">
        <v>196</v>
      </c>
      <c r="B15" s="125"/>
      <c r="C15" s="125"/>
      <c r="D15" s="125"/>
      <c r="E15" s="125"/>
      <c r="F15" s="125"/>
      <c r="G15" s="125"/>
      <c r="H15" s="125"/>
      <c r="I15" s="125"/>
      <c r="J15" s="125"/>
      <c r="K15" s="125"/>
      <c r="L15" s="125"/>
      <c r="M15" s="125"/>
      <c r="N15" s="125"/>
      <c r="O15" s="125"/>
      <c r="P15" s="125"/>
      <c r="Q15" s="125"/>
    </row>
    <row r="16" spans="1:19" x14ac:dyDescent="0.3">
      <c r="A16" s="29" t="s">
        <v>143</v>
      </c>
      <c r="B16" s="30"/>
      <c r="C16" s="29" t="s">
        <v>227</v>
      </c>
      <c r="D16" s="30"/>
      <c r="E16" s="30"/>
      <c r="F16" s="30"/>
      <c r="G16" s="30"/>
      <c r="H16" s="30"/>
      <c r="I16" s="30"/>
      <c r="J16" s="30"/>
      <c r="K16" s="30"/>
      <c r="L16" s="30"/>
      <c r="M16" s="30"/>
      <c r="N16" s="30"/>
      <c r="O16" s="30"/>
      <c r="P16" s="30"/>
      <c r="Q16" s="30"/>
    </row>
    <row r="17" spans="1:17" x14ac:dyDescent="0.3">
      <c r="A17" s="30" t="s">
        <v>144</v>
      </c>
      <c r="B17" s="30"/>
      <c r="C17" s="30" t="s">
        <v>228</v>
      </c>
      <c r="D17" s="30"/>
      <c r="E17" s="30"/>
      <c r="F17" s="30"/>
      <c r="G17" s="30"/>
      <c r="H17" s="30"/>
      <c r="I17" s="30"/>
      <c r="J17" s="30"/>
      <c r="K17" s="30"/>
      <c r="L17" s="30"/>
      <c r="M17" s="30"/>
      <c r="N17" s="30"/>
      <c r="O17" s="30"/>
      <c r="P17" s="30"/>
      <c r="Q17" s="30"/>
    </row>
    <row r="18" spans="1:17" x14ac:dyDescent="0.3">
      <c r="A18" s="30" t="s">
        <v>172</v>
      </c>
      <c r="B18" s="30"/>
      <c r="C18" s="30" t="s">
        <v>229</v>
      </c>
      <c r="D18" s="30"/>
      <c r="E18" s="30"/>
      <c r="F18" s="30"/>
      <c r="G18" s="30"/>
      <c r="H18" s="30"/>
      <c r="I18" s="30"/>
      <c r="J18" s="30"/>
      <c r="K18" s="30"/>
      <c r="L18" s="30"/>
      <c r="M18" s="30"/>
      <c r="N18" s="30"/>
      <c r="O18" s="30"/>
      <c r="P18" s="30"/>
      <c r="Q18" s="30"/>
    </row>
    <row r="19" spans="1:17" x14ac:dyDescent="0.3">
      <c r="A19" s="30" t="s">
        <v>286</v>
      </c>
      <c r="B19" s="30"/>
      <c r="C19" s="30"/>
      <c r="D19" s="30"/>
      <c r="E19" s="30"/>
      <c r="F19" s="30"/>
      <c r="G19" s="30"/>
      <c r="H19" s="30"/>
      <c r="I19" s="30"/>
      <c r="J19" s="30"/>
      <c r="K19" s="30"/>
      <c r="L19" s="30"/>
      <c r="M19" s="30"/>
      <c r="N19" s="30"/>
      <c r="O19" s="30"/>
      <c r="P19" s="30"/>
      <c r="Q19" s="30"/>
    </row>
    <row r="20" spans="1:17" x14ac:dyDescent="0.3">
      <c r="A20" s="30" t="s">
        <v>239</v>
      </c>
      <c r="B20" s="30"/>
      <c r="C20" s="30"/>
      <c r="D20" s="30"/>
      <c r="E20" s="30"/>
      <c r="F20" s="30"/>
      <c r="G20" s="30"/>
      <c r="H20" s="30"/>
      <c r="I20" s="30"/>
      <c r="J20" s="30"/>
      <c r="K20" s="30"/>
      <c r="L20" s="30"/>
      <c r="M20" s="30"/>
      <c r="N20" s="30"/>
      <c r="O20" s="30"/>
      <c r="P20" s="30"/>
      <c r="Q20" s="30"/>
    </row>
    <row r="21" spans="1:17" x14ac:dyDescent="0.3">
      <c r="A21" s="30"/>
      <c r="B21" s="30"/>
      <c r="C21" s="30"/>
      <c r="D21" s="30"/>
      <c r="E21" s="30"/>
      <c r="F21" s="30"/>
      <c r="G21" s="30"/>
      <c r="H21" s="30"/>
      <c r="I21" s="30"/>
      <c r="J21" s="30"/>
      <c r="K21" s="30"/>
      <c r="L21" s="30"/>
      <c r="M21" s="30"/>
      <c r="N21" s="30"/>
      <c r="O21" s="30"/>
      <c r="P21" s="30"/>
      <c r="Q21" s="30"/>
    </row>
    <row r="22" spans="1:17" s="6" customFormat="1" x14ac:dyDescent="0.3"/>
    <row r="23" spans="1:17" x14ac:dyDescent="0.3">
      <c r="A23" s="29" t="s">
        <v>173</v>
      </c>
      <c r="B23" s="30"/>
      <c r="C23" s="30"/>
      <c r="D23" s="29" t="s">
        <v>189</v>
      </c>
      <c r="E23" s="30"/>
      <c r="F23" s="30"/>
      <c r="G23" s="29" t="s">
        <v>192</v>
      </c>
      <c r="H23" s="30"/>
      <c r="I23" s="30"/>
      <c r="J23" s="30"/>
      <c r="K23" s="29" t="s">
        <v>193</v>
      </c>
      <c r="L23" s="30"/>
      <c r="M23" s="30"/>
      <c r="N23" s="29" t="s">
        <v>165</v>
      </c>
      <c r="O23" s="30"/>
      <c r="P23" s="30"/>
      <c r="Q23" s="29" t="s">
        <v>232</v>
      </c>
    </row>
    <row r="24" spans="1:17" x14ac:dyDescent="0.3">
      <c r="A24" s="30" t="s">
        <v>39</v>
      </c>
      <c r="B24" s="30"/>
      <c r="C24" s="30"/>
      <c r="D24" s="30" t="s">
        <v>190</v>
      </c>
      <c r="E24" s="30"/>
      <c r="F24" s="30"/>
      <c r="G24" s="30" t="s">
        <v>145</v>
      </c>
      <c r="H24" s="30"/>
      <c r="I24" s="30"/>
      <c r="J24" s="30"/>
      <c r="K24" s="30" t="s">
        <v>194</v>
      </c>
      <c r="L24" s="30"/>
      <c r="M24" s="30"/>
      <c r="N24" s="30" t="s">
        <v>166</v>
      </c>
      <c r="O24" s="30"/>
      <c r="P24" s="30"/>
      <c r="Q24" s="30" t="s">
        <v>233</v>
      </c>
    </row>
    <row r="25" spans="1:17" x14ac:dyDescent="0.3">
      <c r="A25" s="30" t="s">
        <v>90</v>
      </c>
      <c r="B25" s="30"/>
      <c r="C25" s="30"/>
      <c r="D25" s="30" t="s">
        <v>191</v>
      </c>
      <c r="E25" s="30"/>
      <c r="F25" s="30"/>
      <c r="G25" s="30" t="s">
        <v>146</v>
      </c>
      <c r="H25" s="30"/>
      <c r="I25" s="30"/>
      <c r="J25" s="30"/>
      <c r="K25" s="30" t="s">
        <v>195</v>
      </c>
      <c r="L25" s="30"/>
      <c r="M25" s="30"/>
      <c r="N25" s="30" t="s">
        <v>249</v>
      </c>
      <c r="O25" s="30"/>
      <c r="P25" s="30"/>
      <c r="Q25" s="30" t="s">
        <v>234</v>
      </c>
    </row>
    <row r="26" spans="1:17" x14ac:dyDescent="0.3">
      <c r="A26" s="30" t="s">
        <v>37</v>
      </c>
      <c r="B26" s="30"/>
      <c r="C26" s="30"/>
      <c r="D26" s="30" t="s">
        <v>141</v>
      </c>
      <c r="E26" s="30"/>
      <c r="F26" s="30"/>
      <c r="G26" s="30" t="s">
        <v>147</v>
      </c>
      <c r="H26" s="30"/>
      <c r="I26" s="30"/>
      <c r="J26" s="30"/>
      <c r="K26" s="30"/>
      <c r="L26" s="30"/>
      <c r="M26" s="30"/>
      <c r="N26" s="30" t="s">
        <v>169</v>
      </c>
      <c r="O26" s="30"/>
      <c r="P26" s="30"/>
      <c r="Q26" s="30" t="s">
        <v>236</v>
      </c>
    </row>
    <row r="27" spans="1:17" x14ac:dyDescent="0.3">
      <c r="A27" s="30" t="s">
        <v>174</v>
      </c>
      <c r="B27" s="30"/>
      <c r="C27" s="30"/>
      <c r="D27" s="30" t="s">
        <v>167</v>
      </c>
      <c r="E27" s="30"/>
      <c r="F27" s="30"/>
      <c r="G27" s="30" t="s">
        <v>148</v>
      </c>
      <c r="H27" s="30"/>
      <c r="I27" s="30"/>
      <c r="J27" s="30"/>
      <c r="K27" s="30"/>
      <c r="L27" s="30"/>
      <c r="M27" s="30"/>
      <c r="N27" s="30" t="s">
        <v>153</v>
      </c>
      <c r="O27" s="30"/>
      <c r="P27" s="30"/>
      <c r="Q27" s="30" t="s">
        <v>235</v>
      </c>
    </row>
    <row r="28" spans="1:17" x14ac:dyDescent="0.3">
      <c r="A28" s="30" t="s">
        <v>41</v>
      </c>
      <c r="B28" s="30"/>
      <c r="C28" s="30"/>
      <c r="D28" s="30" t="s">
        <v>231</v>
      </c>
      <c r="E28" s="30"/>
      <c r="F28" s="30"/>
      <c r="G28" s="30" t="s">
        <v>149</v>
      </c>
      <c r="H28" s="30"/>
      <c r="I28" s="30"/>
      <c r="J28" s="30"/>
      <c r="K28" s="30"/>
      <c r="L28" s="30"/>
      <c r="M28" s="30"/>
      <c r="N28" s="30"/>
      <c r="O28" s="30"/>
      <c r="P28" s="30"/>
      <c r="Q28" s="30" t="s">
        <v>69</v>
      </c>
    </row>
    <row r="29" spans="1:17" x14ac:dyDescent="0.3">
      <c r="A29" s="30" t="s">
        <v>175</v>
      </c>
      <c r="B29" s="30"/>
      <c r="C29" s="30"/>
      <c r="D29" s="30" t="s">
        <v>274</v>
      </c>
      <c r="E29" s="30"/>
      <c r="F29" s="30"/>
      <c r="G29" s="30" t="s">
        <v>150</v>
      </c>
      <c r="H29" s="30"/>
      <c r="I29" s="30"/>
      <c r="J29" s="30"/>
      <c r="K29" s="30"/>
      <c r="L29" s="30"/>
      <c r="M29" s="30"/>
      <c r="N29" s="30"/>
      <c r="O29" s="30"/>
      <c r="P29" s="30"/>
      <c r="Q29" s="30"/>
    </row>
    <row r="30" spans="1:17" x14ac:dyDescent="0.3">
      <c r="A30" s="30" t="s">
        <v>176</v>
      </c>
      <c r="B30" s="30"/>
      <c r="C30" s="30"/>
      <c r="D30" s="30" t="s">
        <v>168</v>
      </c>
      <c r="E30" s="30"/>
      <c r="F30" s="30"/>
      <c r="G30" s="30" t="s">
        <v>151</v>
      </c>
      <c r="H30" s="30"/>
      <c r="I30" s="30"/>
      <c r="J30" s="30"/>
      <c r="K30" s="30"/>
      <c r="L30" s="30"/>
      <c r="M30" s="30"/>
      <c r="N30" s="30"/>
      <c r="O30" s="30"/>
      <c r="P30" s="30"/>
      <c r="Q30" s="30"/>
    </row>
    <row r="31" spans="1:17" x14ac:dyDescent="0.3">
      <c r="A31" s="30" t="s">
        <v>177</v>
      </c>
      <c r="B31" s="30"/>
      <c r="C31" s="30"/>
      <c r="D31" s="30"/>
      <c r="E31" s="30"/>
      <c r="F31" s="30"/>
      <c r="G31" s="30" t="s">
        <v>152</v>
      </c>
      <c r="H31" s="30"/>
      <c r="I31" s="30"/>
      <c r="J31" s="30"/>
      <c r="K31" s="30"/>
      <c r="L31" s="30"/>
      <c r="M31" s="30"/>
      <c r="N31" s="30"/>
      <c r="O31" s="30"/>
      <c r="P31" s="30"/>
      <c r="Q31" s="30"/>
    </row>
    <row r="32" spans="1:17" x14ac:dyDescent="0.3">
      <c r="A32" s="30" t="s">
        <v>178</v>
      </c>
      <c r="B32" s="30"/>
      <c r="C32" s="30"/>
      <c r="D32" s="30"/>
      <c r="E32" s="30"/>
      <c r="F32" s="30"/>
      <c r="G32" s="30"/>
      <c r="H32" s="30"/>
      <c r="I32" s="30"/>
      <c r="J32" s="30"/>
      <c r="K32" s="30"/>
      <c r="L32" s="30"/>
      <c r="M32" s="30"/>
      <c r="N32" s="30"/>
      <c r="O32" s="30"/>
      <c r="P32" s="30"/>
      <c r="Q32" s="30"/>
    </row>
    <row r="33" spans="1:17" x14ac:dyDescent="0.3">
      <c r="A33" s="30" t="s">
        <v>179</v>
      </c>
      <c r="B33" s="30"/>
      <c r="C33" s="30"/>
      <c r="D33" s="30"/>
      <c r="E33" s="30"/>
      <c r="F33" s="30"/>
      <c r="G33" s="30"/>
      <c r="H33" s="30"/>
      <c r="I33" s="30"/>
      <c r="J33" s="30"/>
      <c r="K33" s="30"/>
      <c r="L33" s="30"/>
      <c r="M33" s="30"/>
      <c r="N33" s="30"/>
      <c r="O33" s="30"/>
      <c r="P33" s="30"/>
      <c r="Q33" s="30"/>
    </row>
    <row r="34" spans="1:17" x14ac:dyDescent="0.3">
      <c r="A34" s="30" t="s">
        <v>46</v>
      </c>
      <c r="B34" s="30"/>
      <c r="C34" s="30"/>
      <c r="D34" s="30"/>
      <c r="E34" s="30"/>
      <c r="F34" s="30"/>
      <c r="G34" s="30"/>
      <c r="H34" s="30"/>
      <c r="I34" s="30"/>
      <c r="J34" s="30"/>
      <c r="K34" s="30"/>
      <c r="L34" s="30"/>
      <c r="M34" s="30"/>
      <c r="N34" s="30"/>
      <c r="O34" s="30"/>
      <c r="P34" s="30"/>
      <c r="Q34" s="30"/>
    </row>
    <row r="35" spans="1:17" x14ac:dyDescent="0.3">
      <c r="A35" s="30" t="s">
        <v>100</v>
      </c>
      <c r="B35" s="30"/>
      <c r="C35" s="30"/>
      <c r="D35" s="30"/>
      <c r="E35" s="30"/>
      <c r="F35" s="30"/>
      <c r="G35" s="30"/>
      <c r="H35" s="30"/>
      <c r="I35" s="30"/>
      <c r="J35" s="30"/>
      <c r="K35" s="30"/>
      <c r="L35" s="30"/>
      <c r="M35" s="30"/>
      <c r="N35" s="30"/>
      <c r="O35" s="30"/>
      <c r="P35" s="30"/>
      <c r="Q35" s="30"/>
    </row>
    <row r="36" spans="1:17" x14ac:dyDescent="0.3">
      <c r="A36" s="30" t="s">
        <v>43</v>
      </c>
      <c r="B36" s="30"/>
      <c r="C36" s="30"/>
      <c r="D36" s="30"/>
      <c r="E36" s="30"/>
      <c r="F36" s="30"/>
      <c r="G36" s="30"/>
      <c r="H36" s="30"/>
      <c r="I36" s="30"/>
      <c r="J36" s="30"/>
      <c r="K36" s="30"/>
      <c r="L36" s="30"/>
      <c r="M36" s="30"/>
      <c r="N36" s="30"/>
      <c r="O36" s="30"/>
      <c r="P36" s="30"/>
      <c r="Q36" s="30"/>
    </row>
    <row r="37" spans="1:17" x14ac:dyDescent="0.3">
      <c r="A37" s="30" t="s">
        <v>42</v>
      </c>
      <c r="B37" s="30"/>
      <c r="C37" s="30"/>
      <c r="D37" s="30"/>
      <c r="E37" s="30"/>
      <c r="F37" s="30"/>
      <c r="G37" s="30"/>
      <c r="H37" s="30"/>
      <c r="I37" s="30"/>
      <c r="J37" s="30"/>
      <c r="K37" s="30"/>
      <c r="L37" s="30"/>
      <c r="M37" s="30"/>
      <c r="N37" s="30"/>
      <c r="O37" s="30"/>
      <c r="P37" s="30"/>
      <c r="Q37" s="30"/>
    </row>
    <row r="38" spans="1:17" x14ac:dyDescent="0.3">
      <c r="A38" s="30" t="s">
        <v>78</v>
      </c>
      <c r="B38" s="30"/>
      <c r="C38" s="30"/>
      <c r="D38" s="30"/>
      <c r="E38" s="30"/>
      <c r="F38" s="30"/>
      <c r="G38" s="30"/>
      <c r="H38" s="30"/>
      <c r="I38" s="30"/>
      <c r="J38" s="30"/>
      <c r="K38" s="30"/>
      <c r="L38" s="30"/>
      <c r="M38" s="30"/>
      <c r="N38" s="30"/>
      <c r="O38" s="30"/>
      <c r="P38" s="30"/>
      <c r="Q38" s="30"/>
    </row>
    <row r="39" spans="1:17" x14ac:dyDescent="0.3">
      <c r="A39" s="30" t="s">
        <v>180</v>
      </c>
      <c r="B39" s="30"/>
      <c r="C39" s="30"/>
      <c r="D39" s="30"/>
      <c r="E39" s="30"/>
      <c r="F39" s="30"/>
      <c r="G39" s="30"/>
      <c r="H39" s="30"/>
      <c r="I39" s="30"/>
      <c r="J39" s="30"/>
      <c r="K39" s="30"/>
      <c r="L39" s="30"/>
      <c r="M39" s="30"/>
      <c r="N39" s="30"/>
      <c r="O39" s="30"/>
      <c r="P39" s="30"/>
      <c r="Q39" s="30"/>
    </row>
    <row r="40" spans="1:17" x14ac:dyDescent="0.3">
      <c r="A40" s="30" t="s">
        <v>105</v>
      </c>
      <c r="B40" s="30"/>
      <c r="C40" s="30"/>
      <c r="D40" s="30"/>
      <c r="E40" s="30"/>
      <c r="F40" s="30"/>
      <c r="G40" s="30"/>
      <c r="H40" s="30"/>
      <c r="I40" s="30"/>
      <c r="J40" s="30"/>
      <c r="K40" s="30"/>
      <c r="L40" s="30"/>
      <c r="M40" s="30"/>
      <c r="N40" s="30"/>
      <c r="O40" s="30"/>
      <c r="P40" s="30"/>
      <c r="Q40" s="30"/>
    </row>
    <row r="41" spans="1:17" x14ac:dyDescent="0.3">
      <c r="A41" s="30" t="s">
        <v>181</v>
      </c>
      <c r="B41" s="30"/>
      <c r="C41" s="30"/>
      <c r="D41" s="30"/>
      <c r="E41" s="30"/>
      <c r="F41" s="30"/>
      <c r="G41" s="30"/>
      <c r="H41" s="30"/>
      <c r="I41" s="30"/>
      <c r="J41" s="30"/>
      <c r="K41" s="30"/>
      <c r="L41" s="30"/>
      <c r="M41" s="30"/>
      <c r="N41" s="30"/>
      <c r="O41" s="30"/>
      <c r="P41" s="30"/>
      <c r="Q41" s="30"/>
    </row>
    <row r="42" spans="1:17" x14ac:dyDescent="0.3">
      <c r="A42" s="30" t="s">
        <v>182</v>
      </c>
      <c r="B42" s="30"/>
      <c r="C42" s="30"/>
      <c r="D42" s="30"/>
      <c r="E42" s="30"/>
      <c r="F42" s="30"/>
      <c r="G42" s="30"/>
      <c r="H42" s="30"/>
      <c r="I42" s="30"/>
      <c r="J42" s="30"/>
      <c r="K42" s="30"/>
      <c r="L42" s="30"/>
      <c r="M42" s="30"/>
      <c r="N42" s="30"/>
      <c r="O42" s="30"/>
      <c r="P42" s="30"/>
      <c r="Q42" s="30"/>
    </row>
    <row r="43" spans="1:17" x14ac:dyDescent="0.3">
      <c r="A43" s="30" t="s">
        <v>183</v>
      </c>
      <c r="B43" s="30"/>
      <c r="C43" s="30"/>
      <c r="D43" s="30"/>
      <c r="E43" s="30"/>
      <c r="F43" s="30"/>
      <c r="G43" s="30"/>
      <c r="H43" s="30"/>
      <c r="I43" s="30"/>
      <c r="J43" s="30"/>
      <c r="K43" s="30"/>
      <c r="L43" s="30"/>
      <c r="M43" s="30"/>
      <c r="N43" s="30"/>
      <c r="O43" s="30"/>
      <c r="P43" s="30"/>
      <c r="Q43" s="30"/>
    </row>
    <row r="44" spans="1:17" x14ac:dyDescent="0.3">
      <c r="A44" s="30" t="s">
        <v>184</v>
      </c>
      <c r="B44" s="30"/>
      <c r="C44" s="30"/>
      <c r="D44" s="30"/>
      <c r="E44" s="30"/>
      <c r="F44" s="30"/>
      <c r="G44" s="30"/>
      <c r="H44" s="30"/>
      <c r="I44" s="30"/>
      <c r="J44" s="30"/>
      <c r="K44" s="30"/>
      <c r="L44" s="30"/>
      <c r="M44" s="30"/>
      <c r="N44" s="30"/>
      <c r="O44" s="30"/>
      <c r="P44" s="30"/>
      <c r="Q44" s="30"/>
    </row>
    <row r="45" spans="1:17" x14ac:dyDescent="0.3">
      <c r="A45" s="30" t="s">
        <v>185</v>
      </c>
      <c r="B45" s="30"/>
      <c r="C45" s="30"/>
      <c r="D45" s="30"/>
      <c r="E45" s="30"/>
      <c r="F45" s="30"/>
      <c r="G45" s="30"/>
      <c r="H45" s="30"/>
      <c r="I45" s="30"/>
      <c r="J45" s="30"/>
      <c r="K45" s="30"/>
      <c r="L45" s="30"/>
      <c r="M45" s="30"/>
      <c r="N45" s="30"/>
      <c r="O45" s="30"/>
      <c r="P45" s="30"/>
      <c r="Q45" s="30"/>
    </row>
    <row r="46" spans="1:17" x14ac:dyDescent="0.3">
      <c r="A46" s="30" t="s">
        <v>186</v>
      </c>
      <c r="B46" s="30"/>
      <c r="C46" s="30"/>
      <c r="D46" s="30"/>
      <c r="E46" s="30"/>
      <c r="F46" s="30"/>
      <c r="G46" s="30"/>
      <c r="H46" s="30"/>
      <c r="I46" s="30"/>
      <c r="J46" s="30"/>
      <c r="K46" s="30"/>
      <c r="L46" s="30"/>
      <c r="M46" s="30"/>
      <c r="N46" s="30"/>
      <c r="O46" s="30"/>
      <c r="P46" s="30"/>
      <c r="Q46" s="30"/>
    </row>
    <row r="47" spans="1:17" x14ac:dyDescent="0.3">
      <c r="A47" s="30" t="s">
        <v>187</v>
      </c>
      <c r="B47" s="30"/>
      <c r="C47" s="30"/>
      <c r="D47" s="30"/>
      <c r="E47" s="30"/>
      <c r="F47" s="30"/>
      <c r="G47" s="30"/>
      <c r="H47" s="30"/>
      <c r="I47" s="30"/>
      <c r="J47" s="30"/>
      <c r="K47" s="30"/>
      <c r="L47" s="30"/>
      <c r="M47" s="30"/>
      <c r="N47" s="30"/>
      <c r="O47" s="30"/>
      <c r="P47" s="30"/>
      <c r="Q47" s="30"/>
    </row>
    <row r="48" spans="1:17" x14ac:dyDescent="0.3">
      <c r="A48" s="30" t="s">
        <v>188</v>
      </c>
      <c r="B48" s="30"/>
      <c r="C48" s="30"/>
      <c r="D48" s="30"/>
      <c r="E48" s="30"/>
      <c r="F48" s="30"/>
      <c r="G48" s="30"/>
      <c r="H48" s="30"/>
      <c r="I48" s="30"/>
      <c r="J48" s="30"/>
      <c r="K48" s="30"/>
      <c r="L48" s="30"/>
      <c r="M48" s="30"/>
      <c r="N48" s="30"/>
      <c r="O48" s="30"/>
      <c r="P48" s="30"/>
      <c r="Q48" s="30"/>
    </row>
    <row r="49" spans="1:26" x14ac:dyDescent="0.3">
      <c r="A49" s="30" t="s">
        <v>84</v>
      </c>
      <c r="B49" s="30"/>
      <c r="C49" s="30"/>
      <c r="D49" s="30"/>
      <c r="E49" s="30"/>
      <c r="F49" s="30"/>
      <c r="G49" s="30"/>
      <c r="H49" s="30"/>
      <c r="I49" s="30"/>
      <c r="J49" s="30"/>
      <c r="K49" s="30"/>
      <c r="L49" s="30"/>
      <c r="M49" s="30"/>
      <c r="N49" s="30"/>
      <c r="O49" s="30"/>
      <c r="P49" s="30"/>
      <c r="Q49" s="30"/>
    </row>
    <row r="50" spans="1:26" x14ac:dyDescent="0.3">
      <c r="A50" s="30" t="s">
        <v>40</v>
      </c>
      <c r="B50" s="30"/>
      <c r="C50" s="30"/>
      <c r="D50" s="30"/>
      <c r="E50" s="30"/>
      <c r="F50" s="30"/>
      <c r="G50" s="30"/>
      <c r="H50" s="30"/>
      <c r="I50" s="30"/>
      <c r="J50" s="30"/>
      <c r="K50" s="30"/>
      <c r="L50" s="30"/>
      <c r="M50" s="30"/>
      <c r="N50" s="30"/>
      <c r="O50" s="30"/>
      <c r="P50" s="30"/>
      <c r="Q50" s="30"/>
    </row>
    <row r="51" spans="1:26" x14ac:dyDescent="0.3">
      <c r="A51" s="30" t="s">
        <v>75</v>
      </c>
      <c r="B51" s="30"/>
      <c r="C51" s="30"/>
      <c r="D51" s="30"/>
      <c r="E51" s="30"/>
      <c r="F51" s="30"/>
      <c r="G51" s="30"/>
      <c r="H51" s="30"/>
      <c r="I51" s="30"/>
      <c r="J51" s="30"/>
      <c r="K51" s="30"/>
      <c r="L51" s="30"/>
      <c r="M51" s="30"/>
      <c r="N51" s="30"/>
      <c r="O51" s="30"/>
      <c r="P51" s="30"/>
      <c r="Q51" s="30"/>
    </row>
    <row r="52" spans="1:26" x14ac:dyDescent="0.3">
      <c r="A52" s="30"/>
      <c r="B52" s="30"/>
      <c r="C52" s="30"/>
      <c r="D52" s="30"/>
      <c r="E52" s="30"/>
      <c r="F52" s="30"/>
      <c r="G52" s="30"/>
      <c r="H52" s="30"/>
      <c r="I52" s="30"/>
      <c r="J52" s="30"/>
      <c r="K52" s="30"/>
      <c r="L52" s="30"/>
      <c r="M52" s="30"/>
      <c r="N52" s="30"/>
      <c r="O52" s="30"/>
      <c r="P52" s="30"/>
      <c r="Q52" s="30"/>
    </row>
    <row r="53" spans="1:26" s="6" customFormat="1" x14ac:dyDescent="0.3"/>
    <row r="54" spans="1:26" x14ac:dyDescent="0.3">
      <c r="A54" s="29" t="s">
        <v>197</v>
      </c>
      <c r="B54" s="30"/>
      <c r="C54" s="30"/>
      <c r="D54" s="29" t="s">
        <v>214</v>
      </c>
      <c r="E54" s="30"/>
      <c r="F54" s="30"/>
      <c r="G54" s="29" t="s">
        <v>193</v>
      </c>
      <c r="H54" s="30"/>
      <c r="I54" s="30"/>
      <c r="J54" s="29" t="s">
        <v>165</v>
      </c>
      <c r="K54" s="29"/>
      <c r="L54" s="30"/>
      <c r="M54" s="30"/>
      <c r="N54" s="29" t="s">
        <v>587</v>
      </c>
      <c r="O54" s="30"/>
      <c r="P54" s="30"/>
      <c r="Q54" s="30"/>
      <c r="S54" s="29" t="s">
        <v>272</v>
      </c>
      <c r="T54" s="30"/>
      <c r="U54" s="30"/>
      <c r="V54" s="29" t="s">
        <v>275</v>
      </c>
      <c r="W54" s="29"/>
      <c r="X54" s="30"/>
      <c r="Y54" s="29" t="s">
        <v>273</v>
      </c>
      <c r="Z54" s="30"/>
    </row>
    <row r="55" spans="1:26" x14ac:dyDescent="0.3">
      <c r="A55" s="30" t="s">
        <v>198</v>
      </c>
      <c r="B55" s="30"/>
      <c r="C55" s="30"/>
      <c r="D55" s="30" t="s">
        <v>590</v>
      </c>
      <c r="E55" s="30"/>
      <c r="F55" s="30"/>
      <c r="G55" s="30" t="s">
        <v>194</v>
      </c>
      <c r="H55" s="30"/>
      <c r="I55" s="30"/>
      <c r="J55" s="30" t="s">
        <v>166</v>
      </c>
      <c r="K55" s="30"/>
      <c r="L55" s="30"/>
      <c r="M55" s="30"/>
      <c r="N55" s="30" t="s">
        <v>219</v>
      </c>
      <c r="O55" s="30"/>
      <c r="P55" s="30"/>
      <c r="Q55" s="30"/>
      <c r="S55" s="30" t="s">
        <v>39</v>
      </c>
      <c r="T55" s="30"/>
      <c r="U55" s="30"/>
      <c r="V55" s="30" t="s">
        <v>276</v>
      </c>
      <c r="W55" s="30"/>
      <c r="X55" s="30"/>
      <c r="Y55" s="30" t="s">
        <v>266</v>
      </c>
      <c r="Z55" s="30"/>
    </row>
    <row r="56" spans="1:26" x14ac:dyDescent="0.3">
      <c r="A56" s="30" t="s">
        <v>199</v>
      </c>
      <c r="B56" s="30"/>
      <c r="C56" s="30"/>
      <c r="D56" s="30" t="s">
        <v>215</v>
      </c>
      <c r="E56" s="30"/>
      <c r="F56" s="30"/>
      <c r="G56" s="30" t="s">
        <v>195</v>
      </c>
      <c r="H56" s="30"/>
      <c r="I56" s="30"/>
      <c r="J56" s="30" t="s">
        <v>249</v>
      </c>
      <c r="K56" s="30"/>
      <c r="L56" s="30"/>
      <c r="M56" s="30"/>
      <c r="N56" s="30" t="s">
        <v>588</v>
      </c>
      <c r="O56" s="30"/>
      <c r="P56" s="30"/>
      <c r="Q56" s="30"/>
      <c r="S56" s="30" t="s">
        <v>88</v>
      </c>
      <c r="T56" s="30"/>
      <c r="U56" s="30"/>
      <c r="V56" s="30" t="s">
        <v>277</v>
      </c>
      <c r="W56" s="30"/>
      <c r="X56" s="30"/>
      <c r="Y56" s="30" t="s">
        <v>256</v>
      </c>
      <c r="Z56" s="30"/>
    </row>
    <row r="57" spans="1:26" x14ac:dyDescent="0.3">
      <c r="A57" s="30" t="s">
        <v>37</v>
      </c>
      <c r="B57" s="30"/>
      <c r="C57" s="30"/>
      <c r="D57" s="30" t="s">
        <v>582</v>
      </c>
      <c r="E57" s="30"/>
      <c r="F57" s="30"/>
      <c r="G57" s="30"/>
      <c r="H57" s="30"/>
      <c r="I57" s="30"/>
      <c r="J57" s="30" t="s">
        <v>169</v>
      </c>
      <c r="K57" s="30"/>
      <c r="L57" s="30"/>
      <c r="M57" s="30"/>
      <c r="N57" s="30" t="s">
        <v>589</v>
      </c>
      <c r="O57" s="30"/>
      <c r="P57" s="30"/>
      <c r="Q57" s="30"/>
      <c r="S57" s="30" t="s">
        <v>37</v>
      </c>
      <c r="T57" s="30"/>
      <c r="U57" s="30"/>
      <c r="V57" s="30" t="s">
        <v>278</v>
      </c>
      <c r="W57" s="30"/>
      <c r="X57" s="30"/>
      <c r="Y57" s="30" t="s">
        <v>255</v>
      </c>
      <c r="Z57" s="30"/>
    </row>
    <row r="58" spans="1:26" x14ac:dyDescent="0.3">
      <c r="A58" s="30" t="s">
        <v>174</v>
      </c>
      <c r="B58" s="30"/>
      <c r="C58" s="30"/>
      <c r="D58" s="30" t="s">
        <v>216</v>
      </c>
      <c r="E58" s="30"/>
      <c r="F58" s="30"/>
      <c r="G58" s="30"/>
      <c r="H58" s="30"/>
      <c r="I58" s="30"/>
      <c r="J58" s="30" t="s">
        <v>153</v>
      </c>
      <c r="K58" s="30"/>
      <c r="L58" s="30"/>
      <c r="M58" s="30"/>
      <c r="N58" s="30"/>
      <c r="O58" s="30"/>
      <c r="P58" s="30"/>
      <c r="Q58" s="30"/>
      <c r="S58" s="30" t="s">
        <v>174</v>
      </c>
      <c r="T58" s="30"/>
      <c r="U58" s="30"/>
      <c r="V58" s="30" t="s">
        <v>279</v>
      </c>
      <c r="W58" s="30"/>
      <c r="X58" s="30"/>
      <c r="Y58" s="30" t="s">
        <v>88</v>
      </c>
      <c r="Z58" s="30"/>
    </row>
    <row r="59" spans="1:26" x14ac:dyDescent="0.3">
      <c r="A59" s="30" t="s">
        <v>59</v>
      </c>
      <c r="B59" s="30"/>
      <c r="C59" s="30"/>
      <c r="D59" s="30" t="s">
        <v>217</v>
      </c>
      <c r="E59" s="30"/>
      <c r="F59" s="30"/>
      <c r="G59" s="30"/>
      <c r="H59" s="30"/>
      <c r="I59" s="30"/>
      <c r="J59" s="30"/>
      <c r="K59" s="30"/>
      <c r="L59" s="30"/>
      <c r="M59" s="30"/>
      <c r="N59" s="30"/>
      <c r="O59" s="30"/>
      <c r="P59" s="30"/>
      <c r="Q59" s="30"/>
      <c r="S59" s="30" t="s">
        <v>12</v>
      </c>
      <c r="T59" s="30"/>
      <c r="U59" s="30"/>
      <c r="V59" s="30" t="s">
        <v>280</v>
      </c>
      <c r="W59" s="30"/>
      <c r="X59" s="30"/>
      <c r="Y59" s="30" t="s">
        <v>9</v>
      </c>
      <c r="Z59" s="30"/>
    </row>
    <row r="60" spans="1:26" x14ac:dyDescent="0.3">
      <c r="A60" s="30" t="s">
        <v>200</v>
      </c>
      <c r="B60" s="30"/>
      <c r="C60" s="30"/>
      <c r="D60" s="30" t="s">
        <v>287</v>
      </c>
      <c r="E60" s="30"/>
      <c r="F60" s="30"/>
      <c r="G60" s="30"/>
      <c r="H60" s="30"/>
      <c r="I60" s="30"/>
      <c r="J60" s="30"/>
      <c r="K60" s="30"/>
      <c r="L60" s="30"/>
      <c r="M60" s="30"/>
      <c r="N60" s="30"/>
      <c r="O60" s="30"/>
      <c r="P60" s="30"/>
      <c r="Q60" s="30"/>
      <c r="S60" s="30" t="s">
        <v>201</v>
      </c>
      <c r="T60" s="30"/>
      <c r="U60" s="30"/>
      <c r="V60" s="30" t="s">
        <v>281</v>
      </c>
      <c r="W60" s="30"/>
      <c r="X60" s="30"/>
      <c r="Y60" s="30" t="s">
        <v>11</v>
      </c>
      <c r="Z60" s="30"/>
    </row>
    <row r="61" spans="1:26" x14ac:dyDescent="0.3">
      <c r="A61" s="30" t="s">
        <v>201</v>
      </c>
      <c r="B61" s="30"/>
      <c r="C61" s="30"/>
      <c r="D61" s="30" t="s">
        <v>218</v>
      </c>
      <c r="E61" s="30"/>
      <c r="F61" s="30"/>
      <c r="G61" s="30"/>
      <c r="H61" s="30"/>
      <c r="I61" s="30"/>
      <c r="J61" s="30"/>
      <c r="K61" s="30"/>
      <c r="L61" s="30"/>
      <c r="M61" s="30"/>
      <c r="N61" s="30"/>
      <c r="O61" s="30"/>
      <c r="P61" s="30"/>
      <c r="Q61" s="30"/>
      <c r="S61" s="30" t="s">
        <v>202</v>
      </c>
      <c r="T61" s="30"/>
      <c r="U61" s="30"/>
      <c r="V61" s="30" t="s">
        <v>282</v>
      </c>
      <c r="W61" s="30"/>
      <c r="X61" s="30"/>
      <c r="Y61" s="30" t="s">
        <v>12</v>
      </c>
      <c r="Z61" s="30"/>
    </row>
    <row r="62" spans="1:26" x14ac:dyDescent="0.3">
      <c r="A62" s="30" t="s">
        <v>202</v>
      </c>
      <c r="B62" s="30"/>
      <c r="C62" s="30"/>
      <c r="D62" s="30" t="s">
        <v>583</v>
      </c>
      <c r="E62" s="30"/>
      <c r="F62" s="30"/>
      <c r="G62" s="30"/>
      <c r="H62" s="30"/>
      <c r="I62" s="30"/>
      <c r="J62" s="30"/>
      <c r="K62" s="30"/>
      <c r="L62" s="30"/>
      <c r="M62" s="30"/>
      <c r="N62" s="30"/>
      <c r="O62" s="30"/>
      <c r="P62" s="30"/>
      <c r="Q62" s="30"/>
      <c r="S62" s="30" t="s">
        <v>203</v>
      </c>
      <c r="T62" s="30"/>
      <c r="U62" s="30"/>
      <c r="V62" s="30" t="s">
        <v>283</v>
      </c>
      <c r="W62" s="30"/>
      <c r="X62" s="30"/>
      <c r="Y62" s="30" t="s">
        <v>119</v>
      </c>
      <c r="Z62" s="30"/>
    </row>
    <row r="63" spans="1:26" x14ac:dyDescent="0.3">
      <c r="A63" s="30" t="s">
        <v>203</v>
      </c>
      <c r="B63" s="30"/>
      <c r="C63" s="30"/>
      <c r="D63" s="30" t="s">
        <v>584</v>
      </c>
      <c r="E63" s="30"/>
      <c r="F63" s="30"/>
      <c r="G63" s="30"/>
      <c r="H63" s="30"/>
      <c r="I63" s="30"/>
      <c r="J63" s="30"/>
      <c r="K63" s="30"/>
      <c r="L63" s="30"/>
      <c r="M63" s="30"/>
      <c r="N63" s="30"/>
      <c r="O63" s="30"/>
      <c r="P63" s="30"/>
      <c r="Q63" s="30"/>
      <c r="S63" s="30" t="s">
        <v>49</v>
      </c>
      <c r="T63" s="30"/>
      <c r="U63" s="30"/>
      <c r="V63" s="30" t="s">
        <v>284</v>
      </c>
      <c r="W63" s="30"/>
      <c r="X63" s="30"/>
      <c r="Y63" s="30" t="s">
        <v>260</v>
      </c>
      <c r="Z63" s="30"/>
    </row>
    <row r="64" spans="1:26" x14ac:dyDescent="0.3">
      <c r="A64" s="30" t="s">
        <v>49</v>
      </c>
      <c r="B64" s="30"/>
      <c r="C64" s="30"/>
      <c r="D64" s="30" t="s">
        <v>586</v>
      </c>
      <c r="E64" s="30"/>
      <c r="F64" s="30"/>
      <c r="G64" s="30"/>
      <c r="H64" s="30"/>
      <c r="I64" s="30"/>
      <c r="J64" s="30"/>
      <c r="K64" s="30"/>
      <c r="L64" s="30"/>
      <c r="M64" s="30"/>
      <c r="N64" s="30"/>
      <c r="O64" s="30"/>
      <c r="P64" s="30"/>
      <c r="Q64" s="30"/>
      <c r="S64" s="30" t="s">
        <v>254</v>
      </c>
      <c r="T64" s="30"/>
      <c r="U64" s="30"/>
      <c r="V64" s="30"/>
      <c r="W64" s="30"/>
      <c r="X64" s="30"/>
      <c r="Y64" s="30" t="s">
        <v>259</v>
      </c>
      <c r="Z64" s="30"/>
    </row>
    <row r="65" spans="1:26" x14ac:dyDescent="0.3">
      <c r="A65" s="30" t="s">
        <v>204</v>
      </c>
      <c r="B65" s="30"/>
      <c r="C65" s="30"/>
      <c r="D65" s="30" t="s">
        <v>585</v>
      </c>
      <c r="E65" s="30"/>
      <c r="F65" s="30"/>
      <c r="G65" s="30"/>
      <c r="H65" s="30"/>
      <c r="I65" s="30"/>
      <c r="J65" s="30"/>
      <c r="K65" s="30"/>
      <c r="L65" s="30"/>
      <c r="M65" s="30"/>
      <c r="N65" s="30"/>
      <c r="O65" s="30"/>
      <c r="P65" s="30"/>
      <c r="Q65" s="30"/>
      <c r="S65" s="30" t="s">
        <v>204</v>
      </c>
      <c r="T65" s="30"/>
      <c r="U65" s="30"/>
      <c r="V65" s="30"/>
      <c r="W65" s="30"/>
      <c r="X65" s="30"/>
      <c r="Y65" s="30" t="s">
        <v>270</v>
      </c>
      <c r="Z65" s="30"/>
    </row>
    <row r="66" spans="1:26" x14ac:dyDescent="0.3">
      <c r="A66" s="30" t="s">
        <v>36</v>
      </c>
      <c r="B66" s="30"/>
      <c r="C66" s="30"/>
      <c r="D66" s="30"/>
      <c r="E66" s="30"/>
      <c r="F66" s="30"/>
      <c r="G66" s="30"/>
      <c r="H66" s="30"/>
      <c r="I66" s="30"/>
      <c r="J66" s="30"/>
      <c r="K66" s="30"/>
      <c r="L66" s="30"/>
      <c r="M66" s="30"/>
      <c r="N66" s="30"/>
      <c r="O66" s="30"/>
      <c r="P66" s="30"/>
      <c r="Q66" s="30"/>
      <c r="S66" s="30" t="s">
        <v>36</v>
      </c>
      <c r="T66" s="30"/>
      <c r="U66" s="30"/>
      <c r="V66" s="30"/>
      <c r="W66" s="30"/>
      <c r="X66" s="30"/>
      <c r="Y66" s="30" t="s">
        <v>18</v>
      </c>
      <c r="Z66" s="30"/>
    </row>
    <row r="67" spans="1:26" x14ac:dyDescent="0.3">
      <c r="A67" s="30" t="s">
        <v>34</v>
      </c>
      <c r="B67" s="30"/>
      <c r="C67" s="30"/>
      <c r="D67" s="30"/>
      <c r="E67" s="30"/>
      <c r="F67" s="30"/>
      <c r="G67" s="30"/>
      <c r="H67" s="30"/>
      <c r="I67" s="30"/>
      <c r="J67" s="30"/>
      <c r="K67" s="30"/>
      <c r="L67" s="30"/>
      <c r="M67" s="30"/>
      <c r="N67" s="30"/>
      <c r="O67" s="30"/>
      <c r="P67" s="30"/>
      <c r="Q67" s="30"/>
      <c r="S67" s="30" t="s">
        <v>34</v>
      </c>
      <c r="T67" s="30"/>
      <c r="U67" s="30"/>
      <c r="V67" s="30"/>
      <c r="W67" s="30"/>
      <c r="X67" s="30"/>
      <c r="Y67" s="30" t="s">
        <v>13</v>
      </c>
      <c r="Z67" s="30"/>
    </row>
    <row r="68" spans="1:26" x14ac:dyDescent="0.3">
      <c r="A68" s="30" t="s">
        <v>46</v>
      </c>
      <c r="B68" s="30"/>
      <c r="C68" s="30"/>
      <c r="D68" s="30"/>
      <c r="E68" s="30"/>
      <c r="F68" s="30"/>
      <c r="G68" s="30"/>
      <c r="H68" s="30"/>
      <c r="I68" s="30"/>
      <c r="J68" s="30"/>
      <c r="K68" s="30"/>
      <c r="L68" s="30"/>
      <c r="M68" s="30"/>
      <c r="N68" s="30"/>
      <c r="O68" s="30"/>
      <c r="P68" s="30"/>
      <c r="Q68" s="30"/>
      <c r="S68" s="30" t="s">
        <v>46</v>
      </c>
      <c r="T68" s="30"/>
      <c r="U68" s="30"/>
      <c r="V68" s="30"/>
      <c r="W68" s="30"/>
      <c r="X68" s="30"/>
      <c r="Y68" s="30" t="s">
        <v>20</v>
      </c>
      <c r="Z68" s="30"/>
    </row>
    <row r="69" spans="1:26" x14ac:dyDescent="0.3">
      <c r="A69" s="30" t="s">
        <v>205</v>
      </c>
      <c r="B69" s="30"/>
      <c r="C69" s="30"/>
      <c r="D69" s="30"/>
      <c r="E69" s="30"/>
      <c r="F69" s="30"/>
      <c r="G69" s="30"/>
      <c r="H69" s="30"/>
      <c r="I69" s="30"/>
      <c r="J69" s="30"/>
      <c r="K69" s="30"/>
      <c r="L69" s="30"/>
      <c r="M69" s="30"/>
      <c r="N69" s="30"/>
      <c r="O69" s="30"/>
      <c r="P69" s="30"/>
      <c r="Q69" s="30"/>
      <c r="S69" s="30" t="s">
        <v>20</v>
      </c>
      <c r="T69" s="30"/>
      <c r="U69" s="30"/>
      <c r="V69" s="30"/>
      <c r="W69" s="30"/>
      <c r="X69" s="30"/>
      <c r="Y69" s="30" t="s">
        <v>91</v>
      </c>
      <c r="Z69" s="30"/>
    </row>
    <row r="70" spans="1:26" x14ac:dyDescent="0.3">
      <c r="A70" s="30" t="s">
        <v>206</v>
      </c>
      <c r="B70" s="30"/>
      <c r="C70" s="30"/>
      <c r="D70" s="30"/>
      <c r="E70" s="30"/>
      <c r="F70" s="30"/>
      <c r="G70" s="30"/>
      <c r="H70" s="30"/>
      <c r="I70" s="30"/>
      <c r="J70" s="30"/>
      <c r="K70" s="30"/>
      <c r="L70" s="30"/>
      <c r="M70" s="30"/>
      <c r="N70" s="30"/>
      <c r="O70" s="30"/>
      <c r="P70" s="30"/>
      <c r="Q70" s="30"/>
      <c r="S70" s="30" t="s">
        <v>206</v>
      </c>
      <c r="T70" s="30"/>
      <c r="U70" s="30"/>
      <c r="V70" s="30"/>
      <c r="W70" s="30"/>
      <c r="X70" s="30"/>
      <c r="Y70" s="30" t="s">
        <v>118</v>
      </c>
      <c r="Z70" s="30"/>
    </row>
    <row r="71" spans="1:26" x14ac:dyDescent="0.3">
      <c r="A71" s="30" t="s">
        <v>54</v>
      </c>
      <c r="B71" s="30"/>
      <c r="C71" s="30"/>
      <c r="D71" s="30"/>
      <c r="E71" s="30"/>
      <c r="F71" s="30"/>
      <c r="G71" s="30"/>
      <c r="H71" s="30"/>
      <c r="I71" s="30"/>
      <c r="J71" s="30"/>
      <c r="K71" s="30"/>
      <c r="L71" s="30"/>
      <c r="M71" s="30"/>
      <c r="N71" s="30"/>
      <c r="O71" s="30"/>
      <c r="P71" s="30"/>
      <c r="Q71" s="30"/>
      <c r="S71" s="30" t="s">
        <v>54</v>
      </c>
      <c r="T71" s="30"/>
      <c r="U71" s="30"/>
      <c r="V71" s="30"/>
      <c r="W71" s="30"/>
      <c r="X71" s="30"/>
      <c r="Y71" s="30" t="s">
        <v>22</v>
      </c>
      <c r="Z71" s="30"/>
    </row>
    <row r="72" spans="1:26" x14ac:dyDescent="0.3">
      <c r="A72" s="30" t="s">
        <v>122</v>
      </c>
      <c r="B72" s="30"/>
      <c r="C72" s="30"/>
      <c r="D72" s="30"/>
      <c r="E72" s="30"/>
      <c r="F72" s="30"/>
      <c r="G72" s="30"/>
      <c r="H72" s="30"/>
      <c r="I72" s="30"/>
      <c r="J72" s="30"/>
      <c r="K72" s="30"/>
      <c r="L72" s="30"/>
      <c r="M72" s="30"/>
      <c r="N72" s="30"/>
      <c r="O72" s="30"/>
      <c r="P72" s="30"/>
      <c r="Q72" s="30"/>
      <c r="S72" s="30" t="s">
        <v>122</v>
      </c>
      <c r="T72" s="30"/>
      <c r="U72" s="30"/>
      <c r="V72" s="30"/>
      <c r="W72" s="30"/>
      <c r="X72" s="30"/>
      <c r="Y72" s="30" t="s">
        <v>23</v>
      </c>
      <c r="Z72" s="30"/>
    </row>
    <row r="73" spans="1:26" x14ac:dyDescent="0.3">
      <c r="A73" s="30" t="s">
        <v>45</v>
      </c>
      <c r="B73" s="30"/>
      <c r="C73" s="30"/>
      <c r="D73" s="30"/>
      <c r="E73" s="30"/>
      <c r="F73" s="30"/>
      <c r="G73" s="30"/>
      <c r="H73" s="30"/>
      <c r="I73" s="30"/>
      <c r="J73" s="30"/>
      <c r="K73" s="30"/>
      <c r="L73" s="30"/>
      <c r="M73" s="30"/>
      <c r="N73" s="30"/>
      <c r="O73" s="30"/>
      <c r="P73" s="30"/>
      <c r="Q73" s="30"/>
      <c r="S73" s="30" t="s">
        <v>45</v>
      </c>
      <c r="T73" s="30"/>
      <c r="U73" s="30"/>
      <c r="V73" s="30"/>
      <c r="W73" s="30"/>
      <c r="X73" s="30"/>
      <c r="Y73" s="30" t="s">
        <v>263</v>
      </c>
      <c r="Z73" s="30"/>
    </row>
    <row r="74" spans="1:26" x14ac:dyDescent="0.3">
      <c r="A74" s="30" t="s">
        <v>42</v>
      </c>
      <c r="B74" s="30"/>
      <c r="C74" s="30"/>
      <c r="D74" s="30"/>
      <c r="E74" s="30"/>
      <c r="F74" s="30"/>
      <c r="G74" s="30"/>
      <c r="H74" s="30"/>
      <c r="I74" s="30"/>
      <c r="J74" s="30"/>
      <c r="K74" s="30"/>
      <c r="L74" s="30"/>
      <c r="M74" s="30"/>
      <c r="N74" s="30"/>
      <c r="O74" s="30"/>
      <c r="P74" s="30"/>
      <c r="Q74" s="30"/>
      <c r="S74" s="30" t="s">
        <v>42</v>
      </c>
      <c r="T74" s="30"/>
      <c r="U74" s="30"/>
      <c r="V74" s="30"/>
      <c r="W74" s="30"/>
      <c r="X74" s="30"/>
      <c r="Y74" s="30" t="s">
        <v>265</v>
      </c>
      <c r="Z74" s="30"/>
    </row>
    <row r="75" spans="1:26" x14ac:dyDescent="0.3">
      <c r="A75" s="30" t="s">
        <v>78</v>
      </c>
      <c r="B75" s="30"/>
      <c r="C75" s="30"/>
      <c r="D75" s="30"/>
      <c r="E75" s="30"/>
      <c r="F75" s="30"/>
      <c r="G75" s="30"/>
      <c r="H75" s="30"/>
      <c r="I75" s="30"/>
      <c r="J75" s="30"/>
      <c r="K75" s="30"/>
      <c r="L75" s="30"/>
      <c r="M75" s="30"/>
      <c r="N75" s="30"/>
      <c r="O75" s="30"/>
      <c r="P75" s="30"/>
      <c r="Q75" s="30"/>
      <c r="S75" s="30" t="s">
        <v>78</v>
      </c>
      <c r="T75" s="30"/>
      <c r="U75" s="30"/>
      <c r="V75" s="30"/>
      <c r="W75" s="30"/>
      <c r="X75" s="30"/>
      <c r="Y75" s="30" t="s">
        <v>264</v>
      </c>
      <c r="Z75" s="30"/>
    </row>
    <row r="76" spans="1:26" x14ac:dyDescent="0.3">
      <c r="A76" s="30" t="s">
        <v>207</v>
      </c>
      <c r="B76" s="30"/>
      <c r="C76" s="30"/>
      <c r="D76" s="30"/>
      <c r="E76" s="30"/>
      <c r="F76" s="30"/>
      <c r="G76" s="30"/>
      <c r="H76" s="30"/>
      <c r="I76" s="30"/>
      <c r="J76" s="30"/>
      <c r="K76" s="30"/>
      <c r="L76" s="30"/>
      <c r="M76" s="30"/>
      <c r="N76" s="30"/>
      <c r="O76" s="30"/>
      <c r="P76" s="30"/>
      <c r="Q76" s="30"/>
      <c r="S76" s="30" t="s">
        <v>207</v>
      </c>
      <c r="T76" s="30"/>
      <c r="U76" s="30"/>
      <c r="V76" s="30"/>
      <c r="W76" s="30"/>
      <c r="X76" s="30"/>
      <c r="Y76" s="30" t="s">
        <v>262</v>
      </c>
      <c r="Z76" s="30"/>
    </row>
    <row r="77" spans="1:26" x14ac:dyDescent="0.3">
      <c r="A77" s="30" t="s">
        <v>105</v>
      </c>
      <c r="B77" s="30"/>
      <c r="C77" s="30"/>
      <c r="D77" s="30"/>
      <c r="E77" s="30"/>
      <c r="F77" s="30"/>
      <c r="G77" s="30"/>
      <c r="H77" s="30"/>
      <c r="I77" s="30"/>
      <c r="J77" s="30"/>
      <c r="K77" s="30"/>
      <c r="L77" s="30"/>
      <c r="M77" s="30"/>
      <c r="N77" s="30"/>
      <c r="O77" s="30"/>
      <c r="P77" s="30"/>
      <c r="Q77" s="30"/>
      <c r="S77" s="30" t="s">
        <v>105</v>
      </c>
      <c r="T77" s="30"/>
      <c r="U77" s="30"/>
      <c r="V77" s="30"/>
      <c r="W77" s="30"/>
      <c r="X77" s="30"/>
      <c r="Y77" s="30" t="s">
        <v>257</v>
      </c>
      <c r="Z77" s="30"/>
    </row>
    <row r="78" spans="1:26" x14ac:dyDescent="0.3">
      <c r="A78" s="30" t="s">
        <v>38</v>
      </c>
      <c r="B78" s="30"/>
      <c r="C78" s="30"/>
      <c r="D78" s="30"/>
      <c r="E78" s="30"/>
      <c r="F78" s="30"/>
      <c r="G78" s="30"/>
      <c r="H78" s="30"/>
      <c r="I78" s="30"/>
      <c r="J78" s="30"/>
      <c r="K78" s="30"/>
      <c r="L78" s="30"/>
      <c r="M78" s="30"/>
      <c r="N78" s="30"/>
      <c r="O78" s="30"/>
      <c r="P78" s="30"/>
      <c r="Q78" s="30"/>
      <c r="S78" s="30" t="s">
        <v>181</v>
      </c>
      <c r="T78" s="30"/>
      <c r="U78" s="30"/>
      <c r="V78" s="30"/>
      <c r="W78" s="30"/>
      <c r="X78" s="30"/>
      <c r="Y78" s="30" t="s">
        <v>257</v>
      </c>
      <c r="Z78" s="30"/>
    </row>
    <row r="79" spans="1:26" x14ac:dyDescent="0.3">
      <c r="A79" s="30" t="s">
        <v>181</v>
      </c>
      <c r="B79" s="30"/>
      <c r="C79" s="30"/>
      <c r="D79" s="30"/>
      <c r="E79" s="30"/>
      <c r="F79" s="30"/>
      <c r="G79" s="30"/>
      <c r="H79" s="30"/>
      <c r="I79" s="30"/>
      <c r="J79" s="30"/>
      <c r="K79" s="30"/>
      <c r="L79" s="30"/>
      <c r="M79" s="30"/>
      <c r="N79" s="30"/>
      <c r="O79" s="30"/>
      <c r="P79" s="30"/>
      <c r="Q79" s="30"/>
      <c r="S79" s="30" t="s">
        <v>35</v>
      </c>
      <c r="T79" s="30"/>
      <c r="U79" s="30"/>
      <c r="V79" s="30"/>
      <c r="W79" s="30"/>
      <c r="X79" s="30"/>
      <c r="Y79" s="30" t="s">
        <v>267</v>
      </c>
      <c r="Z79" s="30"/>
    </row>
    <row r="80" spans="1:26" x14ac:dyDescent="0.3">
      <c r="A80" s="30" t="s">
        <v>35</v>
      </c>
      <c r="B80" s="30"/>
      <c r="C80" s="30"/>
      <c r="D80" s="30"/>
      <c r="E80" s="30"/>
      <c r="F80" s="30"/>
      <c r="G80" s="30"/>
      <c r="H80" s="30"/>
      <c r="I80" s="30"/>
      <c r="J80" s="30"/>
      <c r="K80" s="30"/>
      <c r="L80" s="30"/>
      <c r="M80" s="30"/>
      <c r="N80" s="30"/>
      <c r="O80" s="30"/>
      <c r="P80" s="30"/>
      <c r="Q80" s="30"/>
      <c r="S80" s="30" t="s">
        <v>250</v>
      </c>
      <c r="T80" s="30"/>
      <c r="U80" s="30"/>
      <c r="V80" s="30"/>
      <c r="W80" s="30"/>
      <c r="X80" s="30"/>
      <c r="Y80" s="30" t="s">
        <v>186</v>
      </c>
      <c r="Z80" s="30"/>
    </row>
    <row r="81" spans="1:26" x14ac:dyDescent="0.3">
      <c r="A81" s="30" t="s">
        <v>184</v>
      </c>
      <c r="B81" s="30"/>
      <c r="C81" s="30"/>
      <c r="D81" s="30"/>
      <c r="E81" s="30"/>
      <c r="F81" s="30"/>
      <c r="G81" s="30"/>
      <c r="H81" s="30"/>
      <c r="I81" s="30"/>
      <c r="J81" s="30"/>
      <c r="K81" s="30"/>
      <c r="L81" s="30"/>
      <c r="M81" s="30"/>
      <c r="N81" s="30"/>
      <c r="O81" s="30"/>
      <c r="P81" s="30"/>
      <c r="Q81" s="30"/>
      <c r="S81" s="30" t="s">
        <v>184</v>
      </c>
      <c r="T81" s="30"/>
      <c r="U81" s="30"/>
      <c r="V81" s="30"/>
      <c r="W81" s="30"/>
      <c r="X81" s="30"/>
      <c r="Y81" s="30" t="s">
        <v>269</v>
      </c>
      <c r="Z81" s="30"/>
    </row>
    <row r="82" spans="1:26" x14ac:dyDescent="0.3">
      <c r="A82" s="30" t="s">
        <v>208</v>
      </c>
      <c r="B82" s="30"/>
      <c r="C82" s="30"/>
      <c r="D82" s="30"/>
      <c r="E82" s="30"/>
      <c r="F82" s="30"/>
      <c r="G82" s="30"/>
      <c r="H82" s="30"/>
      <c r="I82" s="30"/>
      <c r="J82" s="30"/>
      <c r="K82" s="30"/>
      <c r="L82" s="30"/>
      <c r="M82" s="30"/>
      <c r="N82" s="30"/>
      <c r="O82" s="30"/>
      <c r="P82" s="30"/>
      <c r="Q82" s="30"/>
      <c r="S82" s="30" t="s">
        <v>252</v>
      </c>
      <c r="T82" s="30"/>
      <c r="U82" s="30"/>
      <c r="V82" s="30"/>
      <c r="W82" s="30"/>
      <c r="X82" s="30"/>
      <c r="Y82" s="30" t="s">
        <v>268</v>
      </c>
      <c r="Z82" s="30"/>
    </row>
    <row r="83" spans="1:26" x14ac:dyDescent="0.3">
      <c r="A83" s="30" t="s">
        <v>209</v>
      </c>
      <c r="B83" s="30"/>
      <c r="C83" s="30"/>
      <c r="D83" s="30"/>
      <c r="E83" s="30"/>
      <c r="F83" s="30"/>
      <c r="G83" s="30"/>
      <c r="H83" s="30"/>
      <c r="I83" s="30"/>
      <c r="J83" s="30"/>
      <c r="K83" s="30"/>
      <c r="L83" s="30"/>
      <c r="M83" s="30"/>
      <c r="N83" s="30"/>
      <c r="O83" s="30"/>
      <c r="P83" s="30"/>
      <c r="Q83" s="30"/>
      <c r="S83" s="30" t="s">
        <v>209</v>
      </c>
      <c r="T83" s="30"/>
      <c r="U83" s="30"/>
      <c r="V83" s="30"/>
      <c r="W83" s="30"/>
      <c r="X83" s="30"/>
      <c r="Y83" s="30" t="s">
        <v>268</v>
      </c>
      <c r="Z83" s="30"/>
    </row>
    <row r="84" spans="1:26" x14ac:dyDescent="0.3">
      <c r="A84" s="30" t="s">
        <v>210</v>
      </c>
      <c r="B84" s="30"/>
      <c r="C84" s="30"/>
      <c r="D84" s="30"/>
      <c r="E84" s="30"/>
      <c r="F84" s="30"/>
      <c r="G84" s="30"/>
      <c r="H84" s="30"/>
      <c r="I84" s="30"/>
      <c r="J84" s="30"/>
      <c r="K84" s="30"/>
      <c r="L84" s="30"/>
      <c r="M84" s="30"/>
      <c r="N84" s="30"/>
      <c r="O84" s="30"/>
      <c r="P84" s="30"/>
      <c r="Q84" s="30"/>
      <c r="S84" s="30" t="s">
        <v>251</v>
      </c>
      <c r="T84" s="30"/>
      <c r="U84" s="30"/>
      <c r="V84" s="30"/>
      <c r="W84" s="30"/>
      <c r="X84" s="30"/>
      <c r="Y84" s="30" t="s">
        <v>258</v>
      </c>
      <c r="Z84" s="30"/>
    </row>
    <row r="85" spans="1:26" x14ac:dyDescent="0.3">
      <c r="A85" s="30" t="s">
        <v>211</v>
      </c>
      <c r="B85" s="30"/>
      <c r="C85" s="30"/>
      <c r="D85" s="30"/>
      <c r="E85" s="30"/>
      <c r="F85" s="30"/>
      <c r="G85" s="30"/>
      <c r="H85" s="30"/>
      <c r="I85" s="30"/>
      <c r="J85" s="30"/>
      <c r="K85" s="30"/>
      <c r="L85" s="30"/>
      <c r="M85" s="30"/>
      <c r="N85" s="30"/>
      <c r="O85" s="30"/>
      <c r="P85" s="30"/>
      <c r="Q85" s="30"/>
      <c r="S85" s="30" t="s">
        <v>253</v>
      </c>
      <c r="T85" s="30"/>
      <c r="U85" s="30"/>
      <c r="V85" s="30"/>
      <c r="W85" s="30"/>
      <c r="X85" s="30"/>
      <c r="Y85" s="30" t="s">
        <v>271</v>
      </c>
      <c r="Z85" s="30"/>
    </row>
    <row r="86" spans="1:26" x14ac:dyDescent="0.3">
      <c r="A86" s="30" t="s">
        <v>48</v>
      </c>
      <c r="B86" s="30"/>
      <c r="C86" s="30"/>
      <c r="D86" s="30"/>
      <c r="E86" s="30"/>
      <c r="F86" s="30"/>
      <c r="G86" s="30"/>
      <c r="H86" s="30"/>
      <c r="I86" s="30"/>
      <c r="J86" s="30"/>
      <c r="K86" s="30"/>
      <c r="L86" s="30"/>
      <c r="M86" s="30"/>
      <c r="N86" s="30"/>
      <c r="O86" s="30"/>
      <c r="P86" s="30"/>
      <c r="Q86" s="30"/>
      <c r="S86" s="30" t="s">
        <v>84</v>
      </c>
      <c r="T86" s="30"/>
      <c r="U86" s="30"/>
      <c r="V86" s="30"/>
      <c r="W86" s="30"/>
      <c r="X86" s="30"/>
      <c r="Y86" s="30" t="s">
        <v>81</v>
      </c>
      <c r="Z86" s="30"/>
    </row>
    <row r="87" spans="1:26" x14ac:dyDescent="0.3">
      <c r="A87" s="30" t="s">
        <v>84</v>
      </c>
      <c r="B87" s="30"/>
      <c r="C87" s="30"/>
      <c r="D87" s="30"/>
      <c r="E87" s="30"/>
      <c r="F87" s="30"/>
      <c r="G87" s="30"/>
      <c r="H87" s="30"/>
      <c r="I87" s="30"/>
      <c r="J87" s="30"/>
      <c r="K87" s="30"/>
      <c r="L87" s="30"/>
      <c r="M87" s="30"/>
      <c r="N87" s="30"/>
      <c r="O87" s="30"/>
      <c r="P87" s="30"/>
      <c r="Q87" s="30"/>
      <c r="S87" s="30" t="s">
        <v>212</v>
      </c>
      <c r="T87" s="30"/>
      <c r="U87" s="30"/>
      <c r="V87" s="30"/>
      <c r="W87" s="30"/>
      <c r="X87" s="30"/>
      <c r="Y87" s="30" t="s">
        <v>261</v>
      </c>
      <c r="Z87" s="30"/>
    </row>
    <row r="88" spans="1:26" x14ac:dyDescent="0.3">
      <c r="A88" s="30" t="s">
        <v>212</v>
      </c>
      <c r="B88" s="30"/>
      <c r="C88" s="30"/>
      <c r="D88" s="30"/>
      <c r="E88" s="30"/>
      <c r="F88" s="30"/>
      <c r="G88" s="30"/>
      <c r="H88" s="30"/>
      <c r="I88" s="30"/>
      <c r="J88" s="30"/>
      <c r="K88" s="30"/>
      <c r="L88" s="30"/>
      <c r="M88" s="30"/>
      <c r="N88" s="30"/>
      <c r="O88" s="30"/>
      <c r="P88" s="30"/>
      <c r="Q88" s="30"/>
      <c r="S88" s="30" t="s">
        <v>63</v>
      </c>
      <c r="T88" s="30"/>
      <c r="U88" s="30"/>
      <c r="V88" s="30"/>
      <c r="W88" s="30"/>
      <c r="X88" s="30"/>
      <c r="Y88" s="30" t="s">
        <v>40</v>
      </c>
      <c r="Z88" s="30"/>
    </row>
    <row r="89" spans="1:26" x14ac:dyDescent="0.3">
      <c r="A89" s="30" t="s">
        <v>63</v>
      </c>
      <c r="B89" s="30"/>
      <c r="C89" s="30"/>
      <c r="D89" s="30"/>
      <c r="E89" s="30"/>
      <c r="F89" s="30"/>
      <c r="G89" s="30"/>
      <c r="H89" s="30"/>
      <c r="I89" s="30"/>
      <c r="J89" s="30"/>
      <c r="K89" s="30"/>
      <c r="L89" s="30"/>
      <c r="M89" s="30"/>
      <c r="N89" s="30"/>
      <c r="O89" s="30"/>
      <c r="P89" s="30"/>
      <c r="Q89" s="30"/>
      <c r="S89" s="30" t="s">
        <v>213</v>
      </c>
      <c r="T89" s="30"/>
      <c r="U89" s="30"/>
      <c r="V89" s="30"/>
      <c r="W89" s="30"/>
      <c r="X89" s="30"/>
      <c r="Y89" s="30"/>
      <c r="Z89" s="30"/>
    </row>
    <row r="90" spans="1:26" x14ac:dyDescent="0.3">
      <c r="A90" s="30" t="s">
        <v>66</v>
      </c>
      <c r="B90" s="30"/>
      <c r="C90" s="30"/>
      <c r="D90" s="30"/>
      <c r="E90" s="30"/>
      <c r="F90" s="30"/>
      <c r="G90" s="30"/>
      <c r="H90" s="30"/>
      <c r="I90" s="30"/>
      <c r="J90" s="30"/>
      <c r="K90" s="30"/>
      <c r="L90" s="30"/>
      <c r="M90" s="30"/>
      <c r="N90" s="30"/>
      <c r="O90" s="30"/>
      <c r="P90" s="30"/>
      <c r="Q90" s="30"/>
    </row>
    <row r="91" spans="1:26" x14ac:dyDescent="0.3">
      <c r="A91" s="30" t="s">
        <v>57</v>
      </c>
      <c r="B91" s="30"/>
      <c r="C91" s="30"/>
      <c r="D91" s="30"/>
      <c r="E91" s="30"/>
      <c r="F91" s="30"/>
      <c r="G91" s="30"/>
      <c r="H91" s="30"/>
      <c r="I91" s="30"/>
      <c r="J91" s="30"/>
      <c r="K91" s="30"/>
      <c r="L91" s="30"/>
      <c r="M91" s="30"/>
      <c r="N91" s="30"/>
      <c r="O91" s="30"/>
      <c r="P91" s="30"/>
      <c r="Q91" s="30"/>
    </row>
    <row r="92" spans="1:26" x14ac:dyDescent="0.3">
      <c r="A92" s="30" t="s">
        <v>86</v>
      </c>
      <c r="B92" s="30"/>
      <c r="C92" s="30"/>
      <c r="D92" s="30"/>
      <c r="E92" s="30"/>
      <c r="F92" s="30"/>
      <c r="G92" s="30"/>
      <c r="H92" s="30"/>
      <c r="I92" s="30"/>
      <c r="J92" s="30"/>
      <c r="K92" s="30"/>
      <c r="L92" s="30"/>
      <c r="M92" s="30"/>
      <c r="N92" s="30"/>
      <c r="O92" s="30"/>
      <c r="P92" s="30"/>
      <c r="Q92" s="30"/>
    </row>
    <row r="93" spans="1:26" x14ac:dyDescent="0.3">
      <c r="A93" s="30" t="s">
        <v>213</v>
      </c>
      <c r="B93" s="30"/>
      <c r="C93" s="30"/>
      <c r="D93" s="30"/>
      <c r="E93" s="30"/>
      <c r="F93" s="30"/>
      <c r="G93" s="30"/>
      <c r="H93" s="30"/>
      <c r="I93" s="30"/>
      <c r="J93" s="30"/>
      <c r="K93" s="30"/>
      <c r="L93" s="30"/>
      <c r="M93" s="30"/>
      <c r="N93" s="30"/>
      <c r="O93" s="30"/>
      <c r="P93" s="30"/>
      <c r="Q93" s="30"/>
    </row>
    <row r="94" spans="1:26" x14ac:dyDescent="0.3">
      <c r="A94" s="30" t="s">
        <v>99</v>
      </c>
      <c r="B94" s="30"/>
      <c r="C94" s="30"/>
      <c r="D94" s="30"/>
      <c r="E94" s="30"/>
      <c r="F94" s="30"/>
      <c r="G94" s="30"/>
      <c r="H94" s="30"/>
      <c r="I94" s="30"/>
      <c r="J94" s="30"/>
      <c r="K94" s="30"/>
      <c r="L94" s="30"/>
      <c r="M94" s="30"/>
      <c r="N94" s="30"/>
      <c r="O94" s="30"/>
      <c r="P94" s="30"/>
      <c r="Q94" s="30"/>
    </row>
    <row r="95" spans="1:26" x14ac:dyDescent="0.3">
      <c r="A95" s="30"/>
      <c r="B95" s="30"/>
      <c r="C95" s="30"/>
      <c r="D95" s="30"/>
      <c r="E95" s="30"/>
      <c r="F95" s="30"/>
      <c r="G95" s="30"/>
      <c r="H95" s="30"/>
      <c r="I95" s="30"/>
      <c r="J95" s="30"/>
      <c r="K95" s="30"/>
      <c r="L95" s="30"/>
      <c r="M95" s="30"/>
      <c r="N95" s="30"/>
      <c r="O95" s="30"/>
      <c r="P95" s="30"/>
      <c r="Q95" s="30"/>
    </row>
  </sheetData>
  <mergeCells count="2">
    <mergeCell ref="A1:Q1"/>
    <mergeCell ref="A15:Q1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workbookViewId="0">
      <selection activeCell="S29" sqref="S29"/>
    </sheetView>
  </sheetViews>
  <sheetFormatPr defaultRowHeight="14.4" x14ac:dyDescent="0.3"/>
  <cols>
    <col min="1" max="1" width="15.5546875" customWidth="1"/>
    <col min="2" max="2" width="25.5546875" customWidth="1"/>
  </cols>
  <sheetData>
    <row r="1" spans="1:2" x14ac:dyDescent="0.3">
      <c r="A1" s="28" t="s">
        <v>289</v>
      </c>
      <c r="B1" s="28" t="s">
        <v>0</v>
      </c>
    </row>
    <row r="2" spans="1:2" x14ac:dyDescent="0.3">
      <c r="A2" t="s">
        <v>433</v>
      </c>
      <c r="B2" t="s">
        <v>434</v>
      </c>
    </row>
    <row r="3" spans="1:2" x14ac:dyDescent="0.3">
      <c r="A3" t="s">
        <v>373</v>
      </c>
      <c r="B3" t="s">
        <v>374</v>
      </c>
    </row>
    <row r="4" spans="1:2" x14ac:dyDescent="0.3">
      <c r="A4" t="s">
        <v>475</v>
      </c>
      <c r="B4" t="s">
        <v>476</v>
      </c>
    </row>
    <row r="5" spans="1:2" x14ac:dyDescent="0.3">
      <c r="A5" t="s">
        <v>330</v>
      </c>
      <c r="B5" t="s">
        <v>331</v>
      </c>
    </row>
    <row r="6" spans="1:2" x14ac:dyDescent="0.3">
      <c r="A6" t="s">
        <v>47</v>
      </c>
      <c r="B6" t="s">
        <v>577</v>
      </c>
    </row>
    <row r="7" spans="1:2" x14ac:dyDescent="0.3">
      <c r="A7" t="s">
        <v>67</v>
      </c>
      <c r="B7" t="s">
        <v>4</v>
      </c>
    </row>
    <row r="8" spans="1:2" x14ac:dyDescent="0.3">
      <c r="A8" t="s">
        <v>345</v>
      </c>
      <c r="B8" t="s">
        <v>346</v>
      </c>
    </row>
    <row r="9" spans="1:2" x14ac:dyDescent="0.3">
      <c r="A9" t="s">
        <v>291</v>
      </c>
      <c r="B9" t="s">
        <v>292</v>
      </c>
    </row>
    <row r="10" spans="1:2" x14ac:dyDescent="0.3">
      <c r="A10" t="s">
        <v>431</v>
      </c>
      <c r="B10" t="s">
        <v>432</v>
      </c>
    </row>
    <row r="11" spans="1:2" x14ac:dyDescent="0.3">
      <c r="A11" t="s">
        <v>39</v>
      </c>
      <c r="B11" t="s">
        <v>6</v>
      </c>
    </row>
    <row r="12" spans="1:2" x14ac:dyDescent="0.3">
      <c r="A12" t="s">
        <v>44</v>
      </c>
      <c r="B12" t="s">
        <v>5</v>
      </c>
    </row>
    <row r="13" spans="1:2" x14ac:dyDescent="0.3">
      <c r="A13" t="s">
        <v>127</v>
      </c>
      <c r="B13" t="s">
        <v>128</v>
      </c>
    </row>
    <row r="14" spans="1:2" x14ac:dyDescent="0.3">
      <c r="A14" t="s">
        <v>523</v>
      </c>
      <c r="B14" t="s">
        <v>524</v>
      </c>
    </row>
    <row r="15" spans="1:2" x14ac:dyDescent="0.3">
      <c r="A15" t="s">
        <v>52</v>
      </c>
      <c r="B15" t="s">
        <v>7</v>
      </c>
    </row>
    <row r="16" spans="1:2" x14ac:dyDescent="0.3">
      <c r="A16" t="s">
        <v>477</v>
      </c>
      <c r="B16" t="s">
        <v>478</v>
      </c>
    </row>
    <row r="17" spans="1:2" x14ac:dyDescent="0.3">
      <c r="A17" t="s">
        <v>521</v>
      </c>
      <c r="B17" t="s">
        <v>522</v>
      </c>
    </row>
    <row r="18" spans="1:2" x14ac:dyDescent="0.3">
      <c r="A18" t="s">
        <v>363</v>
      </c>
      <c r="B18" t="s">
        <v>364</v>
      </c>
    </row>
    <row r="19" spans="1:2" x14ac:dyDescent="0.3">
      <c r="A19" t="s">
        <v>103</v>
      </c>
      <c r="B19" t="s">
        <v>94</v>
      </c>
    </row>
    <row r="20" spans="1:2" x14ac:dyDescent="0.3">
      <c r="A20" t="s">
        <v>569</v>
      </c>
      <c r="B20" t="s">
        <v>570</v>
      </c>
    </row>
    <row r="21" spans="1:2" x14ac:dyDescent="0.3">
      <c r="A21" t="s">
        <v>435</v>
      </c>
      <c r="B21" t="s">
        <v>436</v>
      </c>
    </row>
    <row r="22" spans="1:2" x14ac:dyDescent="0.3">
      <c r="A22" t="s">
        <v>108</v>
      </c>
      <c r="B22" t="s">
        <v>107</v>
      </c>
    </row>
    <row r="23" spans="1:2" x14ac:dyDescent="0.3">
      <c r="A23" t="s">
        <v>109</v>
      </c>
      <c r="B23" t="s">
        <v>96</v>
      </c>
    </row>
    <row r="24" spans="1:2" x14ac:dyDescent="0.3">
      <c r="A24" t="s">
        <v>439</v>
      </c>
      <c r="B24" t="s">
        <v>440</v>
      </c>
    </row>
    <row r="25" spans="1:2" x14ac:dyDescent="0.3">
      <c r="A25" t="s">
        <v>441</v>
      </c>
      <c r="B25" t="s">
        <v>442</v>
      </c>
    </row>
    <row r="26" spans="1:2" x14ac:dyDescent="0.3">
      <c r="A26" t="s">
        <v>56</v>
      </c>
      <c r="B26" t="s">
        <v>8</v>
      </c>
    </row>
    <row r="27" spans="1:2" x14ac:dyDescent="0.3">
      <c r="A27" t="s">
        <v>90</v>
      </c>
      <c r="B27" t="s">
        <v>88</v>
      </c>
    </row>
    <row r="28" spans="1:2" x14ac:dyDescent="0.3">
      <c r="A28" t="s">
        <v>437</v>
      </c>
      <c r="B28" t="s">
        <v>438</v>
      </c>
    </row>
    <row r="29" spans="1:2" x14ac:dyDescent="0.3">
      <c r="A29" t="s">
        <v>357</v>
      </c>
      <c r="B29" t="s">
        <v>358</v>
      </c>
    </row>
    <row r="30" spans="1:2" x14ac:dyDescent="0.3">
      <c r="A30" t="s">
        <v>375</v>
      </c>
      <c r="B30" t="s">
        <v>376</v>
      </c>
    </row>
    <row r="31" spans="1:2" x14ac:dyDescent="0.3">
      <c r="A31" t="s">
        <v>479</v>
      </c>
      <c r="B31" t="s">
        <v>480</v>
      </c>
    </row>
    <row r="32" spans="1:2" x14ac:dyDescent="0.3">
      <c r="A32" t="s">
        <v>527</v>
      </c>
      <c r="B32" t="s">
        <v>528</v>
      </c>
    </row>
    <row r="33" spans="1:2" x14ac:dyDescent="0.3">
      <c r="A33" t="s">
        <v>37</v>
      </c>
      <c r="B33" t="s">
        <v>9</v>
      </c>
    </row>
    <row r="34" spans="1:2" x14ac:dyDescent="0.3">
      <c r="A34" t="s">
        <v>59</v>
      </c>
      <c r="B34" t="s">
        <v>10</v>
      </c>
    </row>
    <row r="35" spans="1:2" x14ac:dyDescent="0.3">
      <c r="A35" t="s">
        <v>64</v>
      </c>
      <c r="B35" t="s">
        <v>11</v>
      </c>
    </row>
    <row r="36" spans="1:2" x14ac:dyDescent="0.3">
      <c r="A36" t="s">
        <v>41</v>
      </c>
      <c r="B36" t="s">
        <v>355</v>
      </c>
    </row>
    <row r="37" spans="1:2" x14ac:dyDescent="0.3">
      <c r="A37" t="s">
        <v>485</v>
      </c>
      <c r="B37" t="s">
        <v>486</v>
      </c>
    </row>
    <row r="38" spans="1:2" x14ac:dyDescent="0.3">
      <c r="A38" t="s">
        <v>481</v>
      </c>
      <c r="B38" t="s">
        <v>482</v>
      </c>
    </row>
    <row r="39" spans="1:2" x14ac:dyDescent="0.3">
      <c r="A39" t="s">
        <v>487</v>
      </c>
      <c r="B39" t="s">
        <v>488</v>
      </c>
    </row>
    <row r="40" spans="1:2" x14ac:dyDescent="0.3">
      <c r="A40" t="s">
        <v>483</v>
      </c>
      <c r="B40" t="s">
        <v>484</v>
      </c>
    </row>
    <row r="41" spans="1:2" x14ac:dyDescent="0.3">
      <c r="A41" t="s">
        <v>55</v>
      </c>
      <c r="B41" t="s">
        <v>379</v>
      </c>
    </row>
    <row r="42" spans="1:2" x14ac:dyDescent="0.3">
      <c r="A42" t="s">
        <v>121</v>
      </c>
      <c r="B42" t="s">
        <v>119</v>
      </c>
    </row>
    <row r="43" spans="1:2" x14ac:dyDescent="0.3">
      <c r="A43" t="s">
        <v>531</v>
      </c>
      <c r="B43" t="s">
        <v>532</v>
      </c>
    </row>
    <row r="44" spans="1:2" x14ac:dyDescent="0.3">
      <c r="A44" t="s">
        <v>525</v>
      </c>
      <c r="B44" t="s">
        <v>526</v>
      </c>
    </row>
    <row r="45" spans="1:2" x14ac:dyDescent="0.3">
      <c r="A45" t="s">
        <v>139</v>
      </c>
      <c r="B45" t="s">
        <v>404</v>
      </c>
    </row>
    <row r="46" spans="1:2" x14ac:dyDescent="0.3">
      <c r="A46" t="s">
        <v>405</v>
      </c>
      <c r="B46" t="s">
        <v>406</v>
      </c>
    </row>
    <row r="47" spans="1:2" x14ac:dyDescent="0.3">
      <c r="A47" t="s">
        <v>419</v>
      </c>
      <c r="B47" t="s">
        <v>420</v>
      </c>
    </row>
    <row r="48" spans="1:2" x14ac:dyDescent="0.3">
      <c r="A48" t="s">
        <v>445</v>
      </c>
      <c r="B48" t="s">
        <v>446</v>
      </c>
    </row>
    <row r="49" spans="1:2" x14ac:dyDescent="0.3">
      <c r="A49" t="s">
        <v>324</v>
      </c>
      <c r="B49" t="s">
        <v>325</v>
      </c>
    </row>
    <row r="50" spans="1:2" x14ac:dyDescent="0.3">
      <c r="A50" t="s">
        <v>309</v>
      </c>
      <c r="B50" t="s">
        <v>310</v>
      </c>
    </row>
    <row r="51" spans="1:2" x14ac:dyDescent="0.3">
      <c r="A51" t="s">
        <v>203</v>
      </c>
      <c r="B51" t="s">
        <v>13</v>
      </c>
    </row>
    <row r="52" spans="1:2" x14ac:dyDescent="0.3">
      <c r="A52" t="s">
        <v>533</v>
      </c>
      <c r="B52" t="s">
        <v>534</v>
      </c>
    </row>
    <row r="53" spans="1:2" x14ac:dyDescent="0.3">
      <c r="A53" t="s">
        <v>447</v>
      </c>
      <c r="B53" t="s">
        <v>448</v>
      </c>
    </row>
    <row r="54" spans="1:2" x14ac:dyDescent="0.3">
      <c r="A54" t="s">
        <v>49</v>
      </c>
      <c r="B54" t="s">
        <v>14</v>
      </c>
    </row>
    <row r="55" spans="1:2" x14ac:dyDescent="0.3">
      <c r="A55" t="s">
        <v>407</v>
      </c>
      <c r="B55" t="s">
        <v>408</v>
      </c>
    </row>
    <row r="56" spans="1:2" x14ac:dyDescent="0.3">
      <c r="A56" t="s">
        <v>85</v>
      </c>
      <c r="B56" t="s">
        <v>82</v>
      </c>
    </row>
    <row r="57" spans="1:2" x14ac:dyDescent="0.3">
      <c r="A57" t="s">
        <v>409</v>
      </c>
      <c r="B57" t="s">
        <v>410</v>
      </c>
    </row>
    <row r="58" spans="1:2" x14ac:dyDescent="0.3">
      <c r="A58" t="s">
        <v>83</v>
      </c>
      <c r="B58" t="s">
        <v>79</v>
      </c>
    </row>
    <row r="59" spans="1:2" x14ac:dyDescent="0.3">
      <c r="A59" t="s">
        <v>489</v>
      </c>
      <c r="B59" t="s">
        <v>490</v>
      </c>
    </row>
    <row r="60" spans="1:2" x14ac:dyDescent="0.3">
      <c r="A60" t="s">
        <v>321</v>
      </c>
      <c r="B60" t="s">
        <v>16</v>
      </c>
    </row>
    <row r="61" spans="1:2" x14ac:dyDescent="0.3">
      <c r="A61" t="s">
        <v>60</v>
      </c>
      <c r="B61" t="s">
        <v>15</v>
      </c>
    </row>
    <row r="62" spans="1:2" x14ac:dyDescent="0.3">
      <c r="A62" t="s">
        <v>491</v>
      </c>
      <c r="B62" t="s">
        <v>492</v>
      </c>
    </row>
    <row r="63" spans="1:2" x14ac:dyDescent="0.3">
      <c r="A63" t="s">
        <v>36</v>
      </c>
      <c r="B63" t="s">
        <v>17</v>
      </c>
    </row>
    <row r="64" spans="1:2" x14ac:dyDescent="0.3">
      <c r="A64" t="s">
        <v>382</v>
      </c>
      <c r="B64" t="s">
        <v>383</v>
      </c>
    </row>
    <row r="65" spans="1:2" x14ac:dyDescent="0.3">
      <c r="A65" t="s">
        <v>449</v>
      </c>
      <c r="B65" t="s">
        <v>450</v>
      </c>
    </row>
    <row r="66" spans="1:2" x14ac:dyDescent="0.3">
      <c r="A66" t="s">
        <v>34</v>
      </c>
      <c r="B66" t="s">
        <v>18</v>
      </c>
    </row>
    <row r="67" spans="1:2" x14ac:dyDescent="0.3">
      <c r="A67" t="s">
        <v>493</v>
      </c>
      <c r="B67" t="s">
        <v>494</v>
      </c>
    </row>
    <row r="68" spans="1:2" x14ac:dyDescent="0.3">
      <c r="A68" t="s">
        <v>46</v>
      </c>
      <c r="B68" t="s">
        <v>308</v>
      </c>
    </row>
    <row r="69" spans="1:2" x14ac:dyDescent="0.3">
      <c r="A69" t="s">
        <v>347</v>
      </c>
      <c r="B69" t="s">
        <v>348</v>
      </c>
    </row>
    <row r="70" spans="1:2" x14ac:dyDescent="0.3">
      <c r="A70" t="s">
        <v>495</v>
      </c>
      <c r="B70" t="s">
        <v>496</v>
      </c>
    </row>
    <row r="71" spans="1:2" x14ac:dyDescent="0.3">
      <c r="A71" t="s">
        <v>334</v>
      </c>
      <c r="B71" t="s">
        <v>335</v>
      </c>
    </row>
    <row r="72" spans="1:2" x14ac:dyDescent="0.3">
      <c r="A72" t="s">
        <v>539</v>
      </c>
      <c r="B72" t="s">
        <v>540</v>
      </c>
    </row>
    <row r="73" spans="1:2" x14ac:dyDescent="0.3">
      <c r="A73" t="s">
        <v>455</v>
      </c>
      <c r="B73" t="s">
        <v>456</v>
      </c>
    </row>
    <row r="74" spans="1:2" x14ac:dyDescent="0.3">
      <c r="A74" t="s">
        <v>537</v>
      </c>
      <c r="B74" t="s">
        <v>538</v>
      </c>
    </row>
    <row r="75" spans="1:2" x14ac:dyDescent="0.3">
      <c r="A75" t="s">
        <v>541</v>
      </c>
      <c r="B75" t="s">
        <v>542</v>
      </c>
    </row>
    <row r="76" spans="1:2" x14ac:dyDescent="0.3">
      <c r="A76" t="s">
        <v>535</v>
      </c>
      <c r="B76" t="s">
        <v>536</v>
      </c>
    </row>
    <row r="77" spans="1:2" x14ac:dyDescent="0.3">
      <c r="A77" t="s">
        <v>58</v>
      </c>
      <c r="B77" t="s">
        <v>19</v>
      </c>
    </row>
    <row r="78" spans="1:2" x14ac:dyDescent="0.3">
      <c r="A78" t="s">
        <v>453</v>
      </c>
      <c r="B78" t="s">
        <v>454</v>
      </c>
    </row>
    <row r="79" spans="1:2" x14ac:dyDescent="0.3">
      <c r="A79" t="s">
        <v>138</v>
      </c>
      <c r="B79" t="s">
        <v>131</v>
      </c>
    </row>
    <row r="80" spans="1:2" x14ac:dyDescent="0.3">
      <c r="A80" t="s">
        <v>451</v>
      </c>
      <c r="B80" t="s">
        <v>452</v>
      </c>
    </row>
    <row r="81" spans="1:2" x14ac:dyDescent="0.3">
      <c r="A81" t="s">
        <v>293</v>
      </c>
      <c r="B81" t="s">
        <v>294</v>
      </c>
    </row>
    <row r="82" spans="1:2" x14ac:dyDescent="0.3">
      <c r="A82" t="s">
        <v>457</v>
      </c>
      <c r="B82" t="s">
        <v>458</v>
      </c>
    </row>
    <row r="83" spans="1:2" x14ac:dyDescent="0.3">
      <c r="A83" t="s">
        <v>353</v>
      </c>
      <c r="B83" t="s">
        <v>354</v>
      </c>
    </row>
    <row r="84" spans="1:2" x14ac:dyDescent="0.3">
      <c r="A84" t="s">
        <v>415</v>
      </c>
      <c r="B84" t="s">
        <v>416</v>
      </c>
    </row>
    <row r="85" spans="1:2" x14ac:dyDescent="0.3">
      <c r="A85" t="s">
        <v>322</v>
      </c>
      <c r="B85" t="s">
        <v>323</v>
      </c>
    </row>
    <row r="86" spans="1:2" x14ac:dyDescent="0.3">
      <c r="A86" t="s">
        <v>413</v>
      </c>
      <c r="B86" t="s">
        <v>414</v>
      </c>
    </row>
    <row r="87" spans="1:2" x14ac:dyDescent="0.3">
      <c r="A87" t="s">
        <v>311</v>
      </c>
      <c r="B87" t="s">
        <v>312</v>
      </c>
    </row>
    <row r="88" spans="1:2" x14ac:dyDescent="0.3">
      <c r="A88" t="s">
        <v>100</v>
      </c>
      <c r="B88" t="s">
        <v>91</v>
      </c>
    </row>
    <row r="89" spans="1:2" x14ac:dyDescent="0.3">
      <c r="A89" t="s">
        <v>43</v>
      </c>
      <c r="B89" t="s">
        <v>20</v>
      </c>
    </row>
    <row r="90" spans="1:2" x14ac:dyDescent="0.3">
      <c r="A90" t="s">
        <v>313</v>
      </c>
      <c r="B90" t="s">
        <v>314</v>
      </c>
    </row>
    <row r="91" spans="1:2" x14ac:dyDescent="0.3">
      <c r="A91" t="s">
        <v>76</v>
      </c>
      <c r="B91" t="s">
        <v>77</v>
      </c>
    </row>
    <row r="92" spans="1:2" x14ac:dyDescent="0.3">
      <c r="A92" t="s">
        <v>106</v>
      </c>
      <c r="B92" t="s">
        <v>97</v>
      </c>
    </row>
    <row r="93" spans="1:2" x14ac:dyDescent="0.3">
      <c r="A93" t="s">
        <v>54</v>
      </c>
      <c r="B93" t="s">
        <v>21</v>
      </c>
    </row>
    <row r="94" spans="1:2" x14ac:dyDescent="0.3">
      <c r="A94" t="s">
        <v>122</v>
      </c>
      <c r="B94" t="s">
        <v>118</v>
      </c>
    </row>
    <row r="95" spans="1:2" x14ac:dyDescent="0.3">
      <c r="A95" t="s">
        <v>45</v>
      </c>
      <c r="B95" t="s">
        <v>22</v>
      </c>
    </row>
    <row r="96" spans="1:2" x14ac:dyDescent="0.3">
      <c r="A96" t="s">
        <v>417</v>
      </c>
      <c r="B96" t="s">
        <v>418</v>
      </c>
    </row>
    <row r="97" spans="1:2" x14ac:dyDescent="0.3">
      <c r="A97" t="s">
        <v>571</v>
      </c>
      <c r="B97" t="s">
        <v>572</v>
      </c>
    </row>
    <row r="98" spans="1:2" x14ac:dyDescent="0.3">
      <c r="A98" t="s">
        <v>42</v>
      </c>
      <c r="B98" t="s">
        <v>23</v>
      </c>
    </row>
    <row r="99" spans="1:2" x14ac:dyDescent="0.3">
      <c r="A99" t="s">
        <v>343</v>
      </c>
      <c r="B99" t="s">
        <v>344</v>
      </c>
    </row>
    <row r="100" spans="1:2" x14ac:dyDescent="0.3">
      <c r="A100" t="s">
        <v>497</v>
      </c>
      <c r="B100" t="s">
        <v>498</v>
      </c>
    </row>
    <row r="101" spans="1:2" x14ac:dyDescent="0.3">
      <c r="A101" t="s">
        <v>349</v>
      </c>
      <c r="B101" t="s">
        <v>350</v>
      </c>
    </row>
    <row r="102" spans="1:2" x14ac:dyDescent="0.3">
      <c r="A102" t="s">
        <v>359</v>
      </c>
      <c r="B102" t="s">
        <v>360</v>
      </c>
    </row>
    <row r="103" spans="1:2" x14ac:dyDescent="0.3">
      <c r="A103" t="s">
        <v>386</v>
      </c>
      <c r="B103" t="s">
        <v>387</v>
      </c>
    </row>
    <row r="104" spans="1:2" x14ac:dyDescent="0.3">
      <c r="A104" t="s">
        <v>463</v>
      </c>
      <c r="B104" t="s">
        <v>464</v>
      </c>
    </row>
    <row r="105" spans="1:2" x14ac:dyDescent="0.3">
      <c r="A105" t="s">
        <v>78</v>
      </c>
      <c r="B105" t="s">
        <v>263</v>
      </c>
    </row>
    <row r="106" spans="1:2" x14ac:dyDescent="0.3">
      <c r="A106" t="s">
        <v>573</v>
      </c>
      <c r="B106" t="s">
        <v>574</v>
      </c>
    </row>
    <row r="107" spans="1:2" x14ac:dyDescent="0.3">
      <c r="A107" t="s">
        <v>361</v>
      </c>
      <c r="B107" t="s">
        <v>362</v>
      </c>
    </row>
    <row r="108" spans="1:2" x14ac:dyDescent="0.3">
      <c r="A108" t="s">
        <v>61</v>
      </c>
      <c r="B108" t="s">
        <v>24</v>
      </c>
    </row>
    <row r="109" spans="1:2" x14ac:dyDescent="0.3">
      <c r="A109" t="s">
        <v>545</v>
      </c>
      <c r="B109" t="s">
        <v>546</v>
      </c>
    </row>
    <row r="110" spans="1:2" x14ac:dyDescent="0.3">
      <c r="A110" t="s">
        <v>114</v>
      </c>
      <c r="B110" t="s">
        <v>113</v>
      </c>
    </row>
    <row r="111" spans="1:2" x14ac:dyDescent="0.3">
      <c r="A111" t="s">
        <v>465</v>
      </c>
      <c r="B111" t="s">
        <v>466</v>
      </c>
    </row>
    <row r="112" spans="1:2" x14ac:dyDescent="0.3">
      <c r="A112" t="s">
        <v>133</v>
      </c>
      <c r="B112" t="s">
        <v>130</v>
      </c>
    </row>
    <row r="113" spans="1:2" x14ac:dyDescent="0.3">
      <c r="A113" t="s">
        <v>543</v>
      </c>
      <c r="B113" t="s">
        <v>544</v>
      </c>
    </row>
    <row r="114" spans="1:2" x14ac:dyDescent="0.3">
      <c r="A114" t="s">
        <v>102</v>
      </c>
      <c r="B114" t="s">
        <v>93</v>
      </c>
    </row>
    <row r="115" spans="1:2" x14ac:dyDescent="0.3">
      <c r="A115" t="s">
        <v>315</v>
      </c>
      <c r="B115" t="s">
        <v>316</v>
      </c>
    </row>
    <row r="116" spans="1:2" x14ac:dyDescent="0.3">
      <c r="A116" t="s">
        <v>326</v>
      </c>
      <c r="B116" t="s">
        <v>327</v>
      </c>
    </row>
    <row r="117" spans="1:2" x14ac:dyDescent="0.3">
      <c r="A117" t="s">
        <v>377</v>
      </c>
      <c r="B117" t="s">
        <v>378</v>
      </c>
    </row>
    <row r="118" spans="1:2" x14ac:dyDescent="0.3">
      <c r="A118" t="s">
        <v>135</v>
      </c>
      <c r="B118" t="s">
        <v>134</v>
      </c>
    </row>
    <row r="119" spans="1:2" x14ac:dyDescent="0.3">
      <c r="A119" t="s">
        <v>302</v>
      </c>
      <c r="B119" t="s">
        <v>303</v>
      </c>
    </row>
    <row r="120" spans="1:2" x14ac:dyDescent="0.3">
      <c r="A120" t="s">
        <v>110</v>
      </c>
      <c r="B120" t="s">
        <v>337</v>
      </c>
    </row>
    <row r="121" spans="1:2" x14ac:dyDescent="0.3">
      <c r="A121" t="s">
        <v>547</v>
      </c>
      <c r="B121" t="s">
        <v>548</v>
      </c>
    </row>
    <row r="122" spans="1:2" x14ac:dyDescent="0.3">
      <c r="A122" t="s">
        <v>388</v>
      </c>
      <c r="B122" t="s">
        <v>389</v>
      </c>
    </row>
    <row r="123" spans="1:2" x14ac:dyDescent="0.3">
      <c r="A123" t="s">
        <v>105</v>
      </c>
      <c r="B123" t="s">
        <v>265</v>
      </c>
    </row>
    <row r="124" spans="1:2" x14ac:dyDescent="0.3">
      <c r="A124" t="s">
        <v>332</v>
      </c>
      <c r="B124" t="s">
        <v>333</v>
      </c>
    </row>
    <row r="125" spans="1:2" x14ac:dyDescent="0.3">
      <c r="A125" t="s">
        <v>551</v>
      </c>
      <c r="B125" t="s">
        <v>552</v>
      </c>
    </row>
    <row r="126" spans="1:2" x14ac:dyDescent="0.3">
      <c r="A126" t="s">
        <v>328</v>
      </c>
      <c r="B126" t="s">
        <v>329</v>
      </c>
    </row>
    <row r="127" spans="1:2" x14ac:dyDescent="0.3">
      <c r="A127" t="s">
        <v>89</v>
      </c>
      <c r="B127" t="s">
        <v>87</v>
      </c>
    </row>
    <row r="128" spans="1:2" x14ac:dyDescent="0.3">
      <c r="A128" t="s">
        <v>338</v>
      </c>
      <c r="B128" t="s">
        <v>339</v>
      </c>
    </row>
    <row r="129" spans="1:2" x14ac:dyDescent="0.3">
      <c r="A129" t="s">
        <v>369</v>
      </c>
      <c r="B129" t="s">
        <v>370</v>
      </c>
    </row>
    <row r="130" spans="1:2" x14ac:dyDescent="0.3">
      <c r="A130" t="s">
        <v>295</v>
      </c>
      <c r="B130" t="s">
        <v>296</v>
      </c>
    </row>
    <row r="131" spans="1:2" x14ac:dyDescent="0.3">
      <c r="A131" t="s">
        <v>501</v>
      </c>
      <c r="B131" t="s">
        <v>502</v>
      </c>
    </row>
    <row r="132" spans="1:2" x14ac:dyDescent="0.3">
      <c r="A132" t="s">
        <v>553</v>
      </c>
      <c r="B132" t="s">
        <v>554</v>
      </c>
    </row>
    <row r="133" spans="1:2" x14ac:dyDescent="0.3">
      <c r="A133" t="s">
        <v>461</v>
      </c>
      <c r="B133" t="s">
        <v>462</v>
      </c>
    </row>
    <row r="134" spans="1:2" x14ac:dyDescent="0.3">
      <c r="A134" t="s">
        <v>459</v>
      </c>
      <c r="B134" t="s">
        <v>460</v>
      </c>
    </row>
    <row r="135" spans="1:2" x14ac:dyDescent="0.3">
      <c r="A135" t="s">
        <v>499</v>
      </c>
      <c r="B135" t="s">
        <v>500</v>
      </c>
    </row>
    <row r="136" spans="1:2" x14ac:dyDescent="0.3">
      <c r="A136" t="s">
        <v>549</v>
      </c>
      <c r="B136" t="s">
        <v>550</v>
      </c>
    </row>
    <row r="137" spans="1:2" x14ac:dyDescent="0.3">
      <c r="A137" t="s">
        <v>38</v>
      </c>
      <c r="B137" t="s">
        <v>25</v>
      </c>
    </row>
    <row r="138" spans="1:2" x14ac:dyDescent="0.3">
      <c r="A138" t="s">
        <v>503</v>
      </c>
      <c r="B138" t="s">
        <v>504</v>
      </c>
    </row>
    <row r="139" spans="1:2" x14ac:dyDescent="0.3">
      <c r="A139" t="s">
        <v>390</v>
      </c>
      <c r="B139" t="s">
        <v>391</v>
      </c>
    </row>
    <row r="140" spans="1:2" x14ac:dyDescent="0.3">
      <c r="A140" t="s">
        <v>505</v>
      </c>
      <c r="B140" t="s">
        <v>506</v>
      </c>
    </row>
    <row r="141" spans="1:2" x14ac:dyDescent="0.3">
      <c r="A141" t="s">
        <v>125</v>
      </c>
      <c r="B141" t="s">
        <v>117</v>
      </c>
    </row>
    <row r="142" spans="1:2" x14ac:dyDescent="0.3">
      <c r="A142" t="s">
        <v>421</v>
      </c>
      <c r="B142" t="s">
        <v>422</v>
      </c>
    </row>
    <row r="143" spans="1:2" x14ac:dyDescent="0.3">
      <c r="A143" t="s">
        <v>50</v>
      </c>
      <c r="B143" t="s">
        <v>317</v>
      </c>
    </row>
    <row r="144" spans="1:2" x14ac:dyDescent="0.3">
      <c r="A144" t="s">
        <v>35</v>
      </c>
      <c r="B144" t="s">
        <v>26</v>
      </c>
    </row>
    <row r="145" spans="1:2" x14ac:dyDescent="0.3">
      <c r="A145" t="s">
        <v>371</v>
      </c>
      <c r="B145" t="s">
        <v>372</v>
      </c>
    </row>
    <row r="146" spans="1:2" x14ac:dyDescent="0.3">
      <c r="A146" t="s">
        <v>53</v>
      </c>
      <c r="B146" t="s">
        <v>301</v>
      </c>
    </row>
    <row r="147" spans="1:2" x14ac:dyDescent="0.3">
      <c r="A147" t="s">
        <v>74</v>
      </c>
      <c r="B147" t="s">
        <v>73</v>
      </c>
    </row>
    <row r="148" spans="1:2" x14ac:dyDescent="0.3">
      <c r="A148" t="s">
        <v>123</v>
      </c>
      <c r="B148" t="s">
        <v>115</v>
      </c>
    </row>
    <row r="149" spans="1:2" x14ac:dyDescent="0.3">
      <c r="A149" t="s">
        <v>423</v>
      </c>
      <c r="B149" t="s">
        <v>424</v>
      </c>
    </row>
    <row r="150" spans="1:2" x14ac:dyDescent="0.3">
      <c r="A150" t="s">
        <v>132</v>
      </c>
      <c r="B150" t="s">
        <v>129</v>
      </c>
    </row>
    <row r="151" spans="1:2" x14ac:dyDescent="0.3">
      <c r="A151" t="s">
        <v>48</v>
      </c>
      <c r="B151" t="s">
        <v>356</v>
      </c>
    </row>
    <row r="152" spans="1:2" x14ac:dyDescent="0.3">
      <c r="A152" t="s">
        <v>392</v>
      </c>
      <c r="B152" t="s">
        <v>393</v>
      </c>
    </row>
    <row r="153" spans="1:2" x14ac:dyDescent="0.3">
      <c r="A153" t="s">
        <v>394</v>
      </c>
      <c r="B153" t="s">
        <v>395</v>
      </c>
    </row>
    <row r="154" spans="1:2" x14ac:dyDescent="0.3">
      <c r="A154" t="s">
        <v>65</v>
      </c>
      <c r="B154" t="s">
        <v>27</v>
      </c>
    </row>
    <row r="155" spans="1:2" x14ac:dyDescent="0.3">
      <c r="A155" t="s">
        <v>297</v>
      </c>
      <c r="B155" t="s">
        <v>298</v>
      </c>
    </row>
    <row r="156" spans="1:2" x14ac:dyDescent="0.3">
      <c r="A156" t="s">
        <v>367</v>
      </c>
      <c r="B156" t="s">
        <v>368</v>
      </c>
    </row>
    <row r="157" spans="1:2" x14ac:dyDescent="0.3">
      <c r="A157" t="s">
        <v>318</v>
      </c>
      <c r="B157" t="s">
        <v>28</v>
      </c>
    </row>
    <row r="158" spans="1:2" x14ac:dyDescent="0.3">
      <c r="A158" t="s">
        <v>51</v>
      </c>
      <c r="B158" t="s">
        <v>29</v>
      </c>
    </row>
    <row r="159" spans="1:2" x14ac:dyDescent="0.3">
      <c r="A159" t="s">
        <v>384</v>
      </c>
      <c r="B159" t="s">
        <v>385</v>
      </c>
    </row>
    <row r="160" spans="1:2" x14ac:dyDescent="0.3">
      <c r="A160" t="s">
        <v>137</v>
      </c>
      <c r="B160" t="s">
        <v>136</v>
      </c>
    </row>
    <row r="161" spans="1:2" x14ac:dyDescent="0.3">
      <c r="A161" t="s">
        <v>555</v>
      </c>
      <c r="B161" t="s">
        <v>556</v>
      </c>
    </row>
    <row r="162" spans="1:2" x14ac:dyDescent="0.3">
      <c r="A162" t="s">
        <v>112</v>
      </c>
      <c r="B162" t="s">
        <v>111</v>
      </c>
    </row>
    <row r="163" spans="1:2" x14ac:dyDescent="0.3">
      <c r="A163" t="s">
        <v>84</v>
      </c>
      <c r="B163" t="s">
        <v>342</v>
      </c>
    </row>
    <row r="164" spans="1:2" x14ac:dyDescent="0.3">
      <c r="A164" t="s">
        <v>557</v>
      </c>
      <c r="B164" t="s">
        <v>558</v>
      </c>
    </row>
    <row r="165" spans="1:2" x14ac:dyDescent="0.3">
      <c r="A165" t="s">
        <v>104</v>
      </c>
      <c r="B165" t="s">
        <v>95</v>
      </c>
    </row>
    <row r="166" spans="1:2" x14ac:dyDescent="0.3">
      <c r="A166" t="s">
        <v>509</v>
      </c>
      <c r="B166" t="s">
        <v>510</v>
      </c>
    </row>
    <row r="167" spans="1:2" x14ac:dyDescent="0.3">
      <c r="A167" t="s">
        <v>507</v>
      </c>
      <c r="B167" t="s">
        <v>508</v>
      </c>
    </row>
    <row r="168" spans="1:2" x14ac:dyDescent="0.3">
      <c r="A168" t="s">
        <v>62</v>
      </c>
      <c r="B168" t="s">
        <v>31</v>
      </c>
    </row>
    <row r="169" spans="1:2" x14ac:dyDescent="0.3">
      <c r="A169" t="s">
        <v>398</v>
      </c>
      <c r="B169" t="s">
        <v>399</v>
      </c>
    </row>
    <row r="170" spans="1:2" x14ac:dyDescent="0.3">
      <c r="A170" t="s">
        <v>563</v>
      </c>
      <c r="B170" t="s">
        <v>564</v>
      </c>
    </row>
    <row r="171" spans="1:2" x14ac:dyDescent="0.3">
      <c r="A171" t="s">
        <v>411</v>
      </c>
      <c r="B171" t="s">
        <v>412</v>
      </c>
    </row>
    <row r="172" spans="1:2" x14ac:dyDescent="0.3">
      <c r="A172" t="s">
        <v>306</v>
      </c>
      <c r="B172" t="s">
        <v>307</v>
      </c>
    </row>
    <row r="173" spans="1:2" x14ac:dyDescent="0.3">
      <c r="A173" t="s">
        <v>565</v>
      </c>
      <c r="B173" t="s">
        <v>566</v>
      </c>
    </row>
    <row r="174" spans="1:2" x14ac:dyDescent="0.3">
      <c r="A174" t="s">
        <v>467</v>
      </c>
      <c r="B174" t="s">
        <v>468</v>
      </c>
    </row>
    <row r="175" spans="1:2" x14ac:dyDescent="0.3">
      <c r="A175" t="s">
        <v>340</v>
      </c>
      <c r="B175" t="s">
        <v>341</v>
      </c>
    </row>
    <row r="176" spans="1:2" x14ac:dyDescent="0.3">
      <c r="A176" t="s">
        <v>511</v>
      </c>
      <c r="B176" t="s">
        <v>512</v>
      </c>
    </row>
    <row r="177" spans="1:2" x14ac:dyDescent="0.3">
      <c r="A177" t="s">
        <v>559</v>
      </c>
      <c r="B177" t="s">
        <v>560</v>
      </c>
    </row>
    <row r="178" spans="1:2" x14ac:dyDescent="0.3">
      <c r="A178" t="s">
        <v>425</v>
      </c>
      <c r="B178" t="s">
        <v>426</v>
      </c>
    </row>
    <row r="179" spans="1:2" x14ac:dyDescent="0.3">
      <c r="A179" t="s">
        <v>319</v>
      </c>
      <c r="B179" t="s">
        <v>320</v>
      </c>
    </row>
    <row r="180" spans="1:2" x14ac:dyDescent="0.3">
      <c r="A180" t="s">
        <v>242</v>
      </c>
      <c r="B180" t="s">
        <v>241</v>
      </c>
    </row>
    <row r="181" spans="1:2" x14ac:dyDescent="0.3">
      <c r="A181" t="s">
        <v>63</v>
      </c>
      <c r="B181" t="s">
        <v>30</v>
      </c>
    </row>
    <row r="182" spans="1:2" x14ac:dyDescent="0.3">
      <c r="A182" t="s">
        <v>567</v>
      </c>
      <c r="B182" t="s">
        <v>568</v>
      </c>
    </row>
    <row r="183" spans="1:2" x14ac:dyDescent="0.3">
      <c r="A183" t="s">
        <v>561</v>
      </c>
      <c r="B183" t="s">
        <v>562</v>
      </c>
    </row>
    <row r="184" spans="1:2" x14ac:dyDescent="0.3">
      <c r="A184" t="s">
        <v>575</v>
      </c>
      <c r="B184" t="s">
        <v>576</v>
      </c>
    </row>
    <row r="185" spans="1:2" x14ac:dyDescent="0.3">
      <c r="A185" t="s">
        <v>471</v>
      </c>
      <c r="B185" t="s">
        <v>472</v>
      </c>
    </row>
    <row r="186" spans="1:2" x14ac:dyDescent="0.3">
      <c r="A186" t="s">
        <v>529</v>
      </c>
      <c r="B186" t="s">
        <v>530</v>
      </c>
    </row>
    <row r="187" spans="1:2" x14ac:dyDescent="0.3">
      <c r="A187" t="s">
        <v>513</v>
      </c>
      <c r="B187" t="s">
        <v>514</v>
      </c>
    </row>
    <row r="188" spans="1:2" x14ac:dyDescent="0.3">
      <c r="A188" t="s">
        <v>66</v>
      </c>
      <c r="B188" t="s">
        <v>32</v>
      </c>
    </row>
    <row r="189" spans="1:2" x14ac:dyDescent="0.3">
      <c r="A189" t="s">
        <v>351</v>
      </c>
      <c r="B189" t="s">
        <v>352</v>
      </c>
    </row>
    <row r="190" spans="1:2" x14ac:dyDescent="0.3">
      <c r="A190" t="s">
        <v>126</v>
      </c>
      <c r="B190" t="s">
        <v>116</v>
      </c>
    </row>
    <row r="191" spans="1:2" x14ac:dyDescent="0.3">
      <c r="A191" t="s">
        <v>380</v>
      </c>
      <c r="B191" t="s">
        <v>381</v>
      </c>
    </row>
    <row r="192" spans="1:2" x14ac:dyDescent="0.3">
      <c r="A192" t="s">
        <v>400</v>
      </c>
      <c r="B192" t="s">
        <v>401</v>
      </c>
    </row>
    <row r="193" spans="1:2" x14ac:dyDescent="0.3">
      <c r="A193" t="s">
        <v>427</v>
      </c>
      <c r="B193" t="s">
        <v>428</v>
      </c>
    </row>
    <row r="194" spans="1:2" x14ac:dyDescent="0.3">
      <c r="A194" t="s">
        <v>473</v>
      </c>
      <c r="B194" t="s">
        <v>474</v>
      </c>
    </row>
    <row r="195" spans="1:2" x14ac:dyDescent="0.3">
      <c r="A195" t="s">
        <v>57</v>
      </c>
      <c r="B195" t="s">
        <v>33</v>
      </c>
    </row>
    <row r="196" spans="1:2" x14ac:dyDescent="0.3">
      <c r="A196" t="s">
        <v>365</v>
      </c>
      <c r="B196" t="s">
        <v>366</v>
      </c>
    </row>
    <row r="197" spans="1:2" x14ac:dyDescent="0.3">
      <c r="A197" t="s">
        <v>515</v>
      </c>
      <c r="B197" t="s">
        <v>516</v>
      </c>
    </row>
    <row r="198" spans="1:2" x14ac:dyDescent="0.3">
      <c r="A198" t="s">
        <v>124</v>
      </c>
      <c r="B198" t="s">
        <v>120</v>
      </c>
    </row>
    <row r="199" spans="1:2" x14ac:dyDescent="0.3">
      <c r="A199" t="s">
        <v>86</v>
      </c>
      <c r="B199" t="s">
        <v>80</v>
      </c>
    </row>
    <row r="200" spans="1:2" x14ac:dyDescent="0.3">
      <c r="A200" t="s">
        <v>238</v>
      </c>
      <c r="B200" t="s">
        <v>237</v>
      </c>
    </row>
    <row r="201" spans="1:2" x14ac:dyDescent="0.3">
      <c r="A201" t="s">
        <v>40</v>
      </c>
      <c r="B201" t="s">
        <v>290</v>
      </c>
    </row>
    <row r="202" spans="1:2" x14ac:dyDescent="0.3">
      <c r="A202" t="s">
        <v>101</v>
      </c>
      <c r="B202" t="s">
        <v>92</v>
      </c>
    </row>
    <row r="203" spans="1:2" x14ac:dyDescent="0.3">
      <c r="A203" t="s">
        <v>304</v>
      </c>
      <c r="B203" t="s">
        <v>305</v>
      </c>
    </row>
    <row r="204" spans="1:2" x14ac:dyDescent="0.3">
      <c r="A204" t="s">
        <v>469</v>
      </c>
      <c r="B204" t="s">
        <v>470</v>
      </c>
    </row>
    <row r="205" spans="1:2" x14ac:dyDescent="0.3">
      <c r="A205" t="s">
        <v>429</v>
      </c>
      <c r="B205" t="s">
        <v>430</v>
      </c>
    </row>
    <row r="206" spans="1:2" x14ac:dyDescent="0.3">
      <c r="A206" t="s">
        <v>443</v>
      </c>
      <c r="B206" t="s">
        <v>444</v>
      </c>
    </row>
    <row r="207" spans="1:2" x14ac:dyDescent="0.3">
      <c r="A207" t="s">
        <v>299</v>
      </c>
      <c r="B207" t="s">
        <v>300</v>
      </c>
    </row>
    <row r="208" spans="1:2" x14ac:dyDescent="0.3">
      <c r="A208" t="s">
        <v>99</v>
      </c>
      <c r="B208" t="s">
        <v>98</v>
      </c>
    </row>
    <row r="209" spans="1:2" x14ac:dyDescent="0.3">
      <c r="A209" t="s">
        <v>402</v>
      </c>
      <c r="B209" t="s">
        <v>403</v>
      </c>
    </row>
    <row r="210" spans="1:2" x14ac:dyDescent="0.3">
      <c r="A210" t="s">
        <v>396</v>
      </c>
      <c r="B210" t="s">
        <v>397</v>
      </c>
    </row>
    <row r="211" spans="1:2" x14ac:dyDescent="0.3">
      <c r="A211" t="s">
        <v>240</v>
      </c>
      <c r="B211" t="s">
        <v>336</v>
      </c>
    </row>
    <row r="212" spans="1:2" x14ac:dyDescent="0.3">
      <c r="A212" t="s">
        <v>578</v>
      </c>
      <c r="B212" t="s">
        <v>579</v>
      </c>
    </row>
    <row r="213" spans="1:2" x14ac:dyDescent="0.3">
      <c r="A213" t="s">
        <v>75</v>
      </c>
      <c r="B213" t="s">
        <v>81</v>
      </c>
    </row>
    <row r="214" spans="1:2" x14ac:dyDescent="0.3">
      <c r="A214" t="s">
        <v>517</v>
      </c>
      <c r="B214" t="s">
        <v>518</v>
      </c>
    </row>
    <row r="215" spans="1:2" x14ac:dyDescent="0.3">
      <c r="A215" t="s">
        <v>519</v>
      </c>
      <c r="B215" t="s">
        <v>520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2160"/>
  <sheetViews>
    <sheetView zoomScale="70" zoomScaleNormal="70" zoomScalePageLayoutView="80" workbookViewId="0">
      <pane xSplit="1" ySplit="2" topLeftCell="B1895" activePane="bottomRight" state="frozen"/>
      <selection pane="topRight" activeCell="B1" sqref="B1"/>
      <selection pane="bottomLeft" activeCell="A3" sqref="A3"/>
      <selection pane="bottomRight"/>
    </sheetView>
  </sheetViews>
  <sheetFormatPr defaultColWidth="0" defaultRowHeight="18.75" customHeight="1" x14ac:dyDescent="0.3"/>
  <cols>
    <col min="1" max="1" width="16.44140625" style="2" customWidth="1"/>
    <col min="2" max="2" width="230" style="2" customWidth="1"/>
    <col min="3" max="3" width="10.44140625" style="2" hidden="1"/>
    <col min="4" max="16371" width="0" style="2" hidden="1"/>
    <col min="16372" max="16384" width="10.44140625" style="2" hidden="1"/>
  </cols>
  <sheetData>
    <row r="1" spans="1:16362" s="4" customFormat="1" ht="33" customHeight="1" x14ac:dyDescent="0.3">
      <c r="A1" s="41" t="s">
        <v>658</v>
      </c>
    </row>
    <row r="2" spans="1:16362" s="15" customFormat="1" ht="33" customHeight="1" x14ac:dyDescent="0.3">
      <c r="A2" s="40" t="s">
        <v>5059</v>
      </c>
      <c r="B2" s="40" t="s">
        <v>5060</v>
      </c>
    </row>
    <row r="3" spans="1:16362" s="1" customFormat="1" ht="18" customHeight="1" x14ac:dyDescent="0.3">
      <c r="A3" s="1">
        <v>1</v>
      </c>
      <c r="B3" s="1" t="s">
        <v>5061</v>
      </c>
    </row>
    <row r="4" spans="1:16362" s="1" customFormat="1" ht="18" customHeight="1" x14ac:dyDescent="0.3">
      <c r="A4" s="1">
        <v>2</v>
      </c>
      <c r="B4" s="1" t="s">
        <v>5062</v>
      </c>
    </row>
    <row r="5" spans="1:16362" s="1" customFormat="1" ht="18" customHeight="1" x14ac:dyDescent="0.3">
      <c r="A5" s="1">
        <v>3</v>
      </c>
      <c r="B5" s="1" t="s">
        <v>5063</v>
      </c>
    </row>
    <row r="6" spans="1:16362" s="1" customFormat="1" ht="18" customHeight="1" x14ac:dyDescent="0.3">
      <c r="A6" s="16">
        <v>4</v>
      </c>
      <c r="B6" s="1" t="s">
        <v>5064</v>
      </c>
    </row>
    <row r="7" spans="1:16362" s="1" customFormat="1" ht="18" customHeight="1" x14ac:dyDescent="0.3">
      <c r="A7" s="1">
        <v>5</v>
      </c>
      <c r="B7" s="1" t="s">
        <v>5065</v>
      </c>
    </row>
    <row r="8" spans="1:16362" s="1" customFormat="1" ht="18" customHeight="1" x14ac:dyDescent="0.3">
      <c r="A8" s="1">
        <v>6</v>
      </c>
      <c r="B8" s="1" t="s">
        <v>5066</v>
      </c>
    </row>
    <row r="9" spans="1:16362" s="1" customFormat="1" ht="18" customHeight="1" x14ac:dyDescent="0.3">
      <c r="A9" s="1">
        <v>7</v>
      </c>
      <c r="B9" s="1" t="s">
        <v>5067</v>
      </c>
    </row>
    <row r="10" spans="1:16362" s="1" customFormat="1" ht="18" customHeight="1" x14ac:dyDescent="0.3">
      <c r="A10" s="16">
        <v>8</v>
      </c>
      <c r="B10" s="1" t="s">
        <v>5068</v>
      </c>
    </row>
    <row r="11" spans="1:16362" s="1" customFormat="1" ht="18" customHeight="1" x14ac:dyDescent="0.3">
      <c r="A11" s="1">
        <v>9</v>
      </c>
      <c r="B11" s="1" t="s">
        <v>5069</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c r="AML11" s="16"/>
      <c r="AMM11" s="16"/>
      <c r="AMN11" s="16"/>
      <c r="AMO11" s="16"/>
      <c r="AMP11" s="16"/>
      <c r="AMQ11" s="16"/>
      <c r="AMR11" s="16"/>
      <c r="AMS11" s="16"/>
      <c r="AMT11" s="16"/>
      <c r="AMU11" s="16"/>
      <c r="AMV11" s="16"/>
      <c r="AMW11" s="16"/>
      <c r="AMX11" s="16"/>
      <c r="AMY11" s="16"/>
      <c r="AMZ11" s="16"/>
      <c r="ANA11" s="16"/>
      <c r="ANB11" s="16"/>
      <c r="ANC11" s="16"/>
      <c r="AND11" s="16"/>
      <c r="ANE11" s="16"/>
      <c r="ANF11" s="16"/>
      <c r="ANG11" s="16"/>
      <c r="ANH11" s="16"/>
      <c r="ANI11" s="16"/>
      <c r="ANJ11" s="16"/>
      <c r="ANK11" s="16"/>
      <c r="ANL11" s="16"/>
      <c r="ANM11" s="16"/>
      <c r="ANN11" s="16"/>
      <c r="ANO11" s="16"/>
      <c r="ANP11" s="16"/>
      <c r="ANQ11" s="16"/>
      <c r="ANR11" s="16"/>
      <c r="ANS11" s="16"/>
      <c r="ANT11" s="16"/>
      <c r="ANU11" s="16"/>
      <c r="ANV11" s="16"/>
      <c r="ANW11" s="16"/>
      <c r="ANX11" s="16"/>
      <c r="ANY11" s="16"/>
      <c r="ANZ11" s="16"/>
      <c r="AOA11" s="16"/>
      <c r="AOB11" s="16"/>
      <c r="AOC11" s="16"/>
      <c r="AOD11" s="16"/>
      <c r="AOE11" s="16"/>
      <c r="AOF11" s="16"/>
      <c r="AOG11" s="16"/>
      <c r="AOH11" s="16"/>
      <c r="AOI11" s="16"/>
      <c r="AOJ11" s="16"/>
      <c r="AOK11" s="16"/>
      <c r="AOL11" s="16"/>
      <c r="AOM11" s="16"/>
      <c r="AON11" s="16"/>
      <c r="AOO11" s="16"/>
      <c r="AOP11" s="16"/>
      <c r="AOQ11" s="16"/>
      <c r="AOR11" s="16"/>
      <c r="AOS11" s="16"/>
      <c r="AOT11" s="16"/>
      <c r="AOU11" s="16"/>
      <c r="AOV11" s="16"/>
      <c r="AOW11" s="16"/>
      <c r="AOX11" s="16"/>
      <c r="AOY11" s="16"/>
      <c r="AOZ11" s="16"/>
      <c r="APA11" s="16"/>
      <c r="APB11" s="16"/>
      <c r="APC11" s="16"/>
      <c r="APD11" s="16"/>
      <c r="APE11" s="16"/>
      <c r="APF11" s="16"/>
      <c r="APG11" s="16"/>
      <c r="APH11" s="16"/>
      <c r="API11" s="16"/>
      <c r="APJ11" s="16"/>
      <c r="APK11" s="16"/>
      <c r="APL11" s="16"/>
      <c r="APM11" s="16"/>
      <c r="APN11" s="16"/>
      <c r="APO11" s="16"/>
      <c r="APP11" s="16"/>
      <c r="APQ11" s="16"/>
      <c r="APR11" s="16"/>
      <c r="APS11" s="16"/>
      <c r="APT11" s="16"/>
      <c r="APU11" s="16"/>
      <c r="APV11" s="16"/>
      <c r="APW11" s="16"/>
      <c r="APX11" s="16"/>
      <c r="APY11" s="16"/>
      <c r="APZ11" s="16"/>
      <c r="AQA11" s="16"/>
      <c r="AQB11" s="16"/>
      <c r="AQC11" s="16"/>
      <c r="AQD11" s="16"/>
      <c r="AQE11" s="16"/>
      <c r="AQF11" s="16"/>
      <c r="AQG11" s="16"/>
      <c r="AQH11" s="16"/>
      <c r="AQI11" s="16"/>
      <c r="AQJ11" s="16"/>
      <c r="AQK11" s="16"/>
      <c r="AQL11" s="16"/>
      <c r="AQM11" s="16"/>
      <c r="AQN11" s="16"/>
      <c r="AQO11" s="16"/>
      <c r="AQP11" s="16"/>
      <c r="AQQ11" s="16"/>
      <c r="AQR11" s="16"/>
      <c r="AQS11" s="16"/>
      <c r="AQT11" s="16"/>
      <c r="AQU11" s="16"/>
      <c r="AQV11" s="16"/>
      <c r="AQW11" s="16"/>
      <c r="AQX11" s="16"/>
      <c r="AQY11" s="16"/>
      <c r="AQZ11" s="16"/>
      <c r="ARA11" s="16"/>
      <c r="ARB11" s="16"/>
      <c r="ARC11" s="16"/>
      <c r="ARD11" s="16"/>
      <c r="ARE11" s="16"/>
      <c r="ARF11" s="16"/>
      <c r="ARG11" s="16"/>
      <c r="ARH11" s="16"/>
      <c r="ARI11" s="16"/>
      <c r="ARJ11" s="16"/>
      <c r="ARK11" s="16"/>
      <c r="ARL11" s="16"/>
      <c r="ARM11" s="16"/>
      <c r="ARN11" s="16"/>
      <c r="ARO11" s="16"/>
      <c r="ARP11" s="16"/>
      <c r="ARQ11" s="16"/>
      <c r="ARR11" s="16"/>
      <c r="ARS11" s="16"/>
      <c r="ART11" s="16"/>
      <c r="ARU11" s="16"/>
      <c r="ARV11" s="16"/>
      <c r="ARW11" s="16"/>
      <c r="ARX11" s="16"/>
      <c r="ARY11" s="16"/>
      <c r="ARZ11" s="16"/>
      <c r="ASA11" s="16"/>
      <c r="ASB11" s="16"/>
      <c r="ASC11" s="16"/>
      <c r="ASD11" s="16"/>
      <c r="ASE11" s="16"/>
      <c r="ASF11" s="16"/>
      <c r="ASG11" s="16"/>
      <c r="ASH11" s="16"/>
      <c r="ASI11" s="16"/>
      <c r="ASJ11" s="16"/>
      <c r="ASK11" s="16"/>
      <c r="ASL11" s="16"/>
      <c r="ASM11" s="16"/>
      <c r="ASN11" s="16"/>
      <c r="ASO11" s="16"/>
      <c r="ASP11" s="16"/>
      <c r="ASQ11" s="16"/>
      <c r="ASR11" s="16"/>
      <c r="ASS11" s="16"/>
      <c r="AST11" s="16"/>
      <c r="ASU11" s="16"/>
      <c r="ASV11" s="16"/>
      <c r="ASW11" s="16"/>
      <c r="ASX11" s="16"/>
      <c r="ASY11" s="16"/>
      <c r="ASZ11" s="16"/>
      <c r="ATA11" s="16"/>
      <c r="ATB11" s="16"/>
      <c r="ATC11" s="16"/>
      <c r="ATD11" s="16"/>
      <c r="ATE11" s="16"/>
      <c r="ATF11" s="16"/>
      <c r="ATG11" s="16"/>
      <c r="ATH11" s="16"/>
      <c r="ATI11" s="16"/>
      <c r="ATJ11" s="16"/>
      <c r="ATK11" s="16"/>
      <c r="ATL11" s="16"/>
      <c r="ATM11" s="16"/>
      <c r="ATN11" s="16"/>
      <c r="ATO11" s="16"/>
      <c r="ATP11" s="16"/>
      <c r="ATQ11" s="16"/>
      <c r="ATR11" s="16"/>
      <c r="ATS11" s="16"/>
      <c r="ATT11" s="16"/>
      <c r="ATU11" s="16"/>
      <c r="ATV11" s="16"/>
      <c r="ATW11" s="16"/>
      <c r="ATX11" s="16"/>
      <c r="ATY11" s="16"/>
      <c r="ATZ11" s="16"/>
      <c r="AUA11" s="16"/>
      <c r="AUB11" s="16"/>
      <c r="AUC11" s="16"/>
      <c r="AUD11" s="16"/>
      <c r="AUE11" s="16"/>
      <c r="AUF11" s="16"/>
      <c r="AUG11" s="16"/>
      <c r="AUH11" s="16"/>
      <c r="AUI11" s="16"/>
      <c r="AUJ11" s="16"/>
      <c r="AUK11" s="16"/>
      <c r="AUL11" s="16"/>
      <c r="AUM11" s="16"/>
      <c r="AUN11" s="16"/>
      <c r="AUO11" s="16"/>
      <c r="AUP11" s="16"/>
      <c r="AUQ11" s="16"/>
      <c r="AUR11" s="16"/>
      <c r="AUS11" s="16"/>
      <c r="AUT11" s="16"/>
      <c r="AUU11" s="16"/>
      <c r="AUV11" s="16"/>
      <c r="AUW11" s="16"/>
      <c r="AUX11" s="16"/>
      <c r="AUY11" s="16"/>
      <c r="AUZ11" s="16"/>
      <c r="AVA11" s="16"/>
      <c r="AVB11" s="16"/>
      <c r="AVC11" s="16"/>
      <c r="AVD11" s="16"/>
      <c r="AVE11" s="16"/>
      <c r="AVF11" s="16"/>
      <c r="AVG11" s="16"/>
      <c r="AVH11" s="16"/>
      <c r="AVI11" s="16"/>
      <c r="AVJ11" s="16"/>
      <c r="AVK11" s="16"/>
      <c r="AVL11" s="16"/>
      <c r="AVM11" s="16"/>
      <c r="AVN11" s="16"/>
      <c r="AVO11" s="16"/>
      <c r="AVP11" s="16"/>
      <c r="AVQ11" s="16"/>
      <c r="AVR11" s="16"/>
      <c r="AVS11" s="16"/>
      <c r="AVT11" s="16"/>
      <c r="AVU11" s="16"/>
      <c r="AVV11" s="16"/>
      <c r="AVW11" s="16"/>
      <c r="AVX11" s="16"/>
      <c r="AVY11" s="16"/>
      <c r="AVZ11" s="16"/>
      <c r="AWA11" s="16"/>
      <c r="AWB11" s="16"/>
      <c r="AWC11" s="16"/>
      <c r="AWD11" s="16"/>
      <c r="AWE11" s="16"/>
      <c r="AWF11" s="16"/>
      <c r="AWG11" s="16"/>
      <c r="AWH11" s="16"/>
      <c r="AWI11" s="16"/>
      <c r="AWJ11" s="16"/>
      <c r="AWK11" s="16"/>
      <c r="AWL11" s="16"/>
      <c r="AWM11" s="16"/>
      <c r="AWN11" s="16"/>
      <c r="AWO11" s="16"/>
      <c r="AWP11" s="16"/>
      <c r="AWQ11" s="16"/>
      <c r="AWR11" s="16"/>
      <c r="AWS11" s="16"/>
      <c r="AWT11" s="16"/>
      <c r="AWU11" s="16"/>
      <c r="AWV11" s="16"/>
      <c r="AWW11" s="16"/>
      <c r="AWX11" s="16"/>
      <c r="AWY11" s="16"/>
      <c r="AWZ11" s="16"/>
      <c r="AXA11" s="16"/>
      <c r="AXB11" s="16"/>
      <c r="AXC11" s="16"/>
      <c r="AXD11" s="16"/>
      <c r="AXE11" s="16"/>
      <c r="AXF11" s="16"/>
      <c r="AXG11" s="16"/>
      <c r="AXH11" s="16"/>
      <c r="AXI11" s="16"/>
      <c r="AXJ11" s="16"/>
      <c r="AXK11" s="16"/>
      <c r="AXL11" s="16"/>
      <c r="AXM11" s="16"/>
      <c r="AXN11" s="16"/>
      <c r="AXO11" s="16"/>
      <c r="AXP11" s="16"/>
      <c r="AXQ11" s="16"/>
      <c r="AXR11" s="16"/>
      <c r="AXS11" s="16"/>
      <c r="AXT11" s="16"/>
      <c r="AXU11" s="16"/>
      <c r="AXV11" s="16"/>
      <c r="AXW11" s="16"/>
      <c r="AXX11" s="16"/>
      <c r="AXY11" s="16"/>
      <c r="AXZ11" s="16"/>
      <c r="AYA11" s="16"/>
      <c r="AYB11" s="16"/>
      <c r="AYC11" s="16"/>
      <c r="AYD11" s="16"/>
      <c r="AYE11" s="16"/>
      <c r="AYF11" s="16"/>
      <c r="AYG11" s="16"/>
      <c r="AYH11" s="16"/>
      <c r="AYI11" s="16"/>
      <c r="AYJ11" s="16"/>
      <c r="AYK11" s="16"/>
      <c r="AYL11" s="16"/>
      <c r="AYM11" s="16"/>
      <c r="AYN11" s="16"/>
      <c r="AYO11" s="16"/>
      <c r="AYP11" s="16"/>
      <c r="AYQ11" s="16"/>
      <c r="AYR11" s="16"/>
      <c r="AYS11" s="16"/>
      <c r="AYT11" s="16"/>
      <c r="AYU11" s="16"/>
      <c r="AYV11" s="16"/>
      <c r="AYW11" s="16"/>
      <c r="AYX11" s="16"/>
      <c r="AYY11" s="16"/>
      <c r="AYZ11" s="16"/>
      <c r="AZA11" s="16"/>
      <c r="AZB11" s="16"/>
      <c r="AZC11" s="16"/>
      <c r="AZD11" s="16"/>
      <c r="AZE11" s="16"/>
      <c r="AZF11" s="16"/>
      <c r="AZG11" s="16"/>
      <c r="AZH11" s="16"/>
      <c r="AZI11" s="16"/>
      <c r="AZJ11" s="16"/>
      <c r="AZK11" s="16"/>
      <c r="AZL11" s="16"/>
      <c r="AZM11" s="16"/>
      <c r="AZN11" s="16"/>
      <c r="AZO11" s="16"/>
      <c r="AZP11" s="16"/>
      <c r="AZQ11" s="16"/>
      <c r="AZR11" s="16"/>
      <c r="AZS11" s="16"/>
      <c r="AZT11" s="16"/>
      <c r="AZU11" s="16"/>
      <c r="AZV11" s="16"/>
      <c r="AZW11" s="16"/>
      <c r="AZX11" s="16"/>
      <c r="AZY11" s="16"/>
      <c r="AZZ11" s="16"/>
      <c r="BAA11" s="16"/>
      <c r="BAB11" s="16"/>
      <c r="BAC11" s="16"/>
      <c r="BAD11" s="16"/>
      <c r="BAE11" s="16"/>
      <c r="BAF11" s="16"/>
      <c r="BAG11" s="16"/>
      <c r="BAH11" s="16"/>
      <c r="BAI11" s="16"/>
      <c r="BAJ11" s="16"/>
      <c r="BAK11" s="16"/>
      <c r="BAL11" s="16"/>
      <c r="BAM11" s="16"/>
      <c r="BAN11" s="16"/>
      <c r="BAO11" s="16"/>
      <c r="BAP11" s="16"/>
      <c r="BAQ11" s="16"/>
      <c r="BAR11" s="16"/>
      <c r="BAS11" s="16"/>
      <c r="BAT11" s="16"/>
      <c r="BAU11" s="16"/>
      <c r="BAV11" s="16"/>
      <c r="BAW11" s="16"/>
      <c r="BAX11" s="16"/>
      <c r="BAY11" s="16"/>
      <c r="BAZ11" s="16"/>
      <c r="BBA11" s="16"/>
      <c r="BBB11" s="16"/>
      <c r="BBC11" s="16"/>
      <c r="BBD11" s="16"/>
      <c r="BBE11" s="16"/>
      <c r="BBF11" s="16"/>
      <c r="BBG11" s="16"/>
      <c r="BBH11" s="16"/>
      <c r="BBI11" s="16"/>
      <c r="BBJ11" s="16"/>
      <c r="BBK11" s="16"/>
      <c r="BBL11" s="16"/>
      <c r="BBM11" s="16"/>
      <c r="BBN11" s="16"/>
      <c r="BBO11" s="16"/>
      <c r="BBP11" s="16"/>
      <c r="BBQ11" s="16"/>
      <c r="BBR11" s="16"/>
      <c r="BBS11" s="16"/>
      <c r="BBT11" s="16"/>
      <c r="BBU11" s="16"/>
      <c r="BBV11" s="16"/>
      <c r="BBW11" s="16"/>
      <c r="BBX11" s="16"/>
      <c r="BBY11" s="16"/>
      <c r="BBZ11" s="16"/>
      <c r="BCA11" s="16"/>
      <c r="BCB11" s="16"/>
      <c r="BCC11" s="16"/>
      <c r="BCD11" s="16"/>
      <c r="BCE11" s="16"/>
      <c r="BCF11" s="16"/>
      <c r="BCG11" s="16"/>
      <c r="BCH11" s="16"/>
      <c r="BCI11" s="16"/>
      <c r="BCJ11" s="16"/>
      <c r="BCK11" s="16"/>
      <c r="BCL11" s="16"/>
      <c r="BCM11" s="16"/>
      <c r="BCN11" s="16"/>
      <c r="BCO11" s="16"/>
      <c r="BCP11" s="16"/>
      <c r="BCQ11" s="16"/>
      <c r="BCR11" s="16"/>
      <c r="BCS11" s="16"/>
      <c r="BCT11" s="16"/>
      <c r="BCU11" s="16"/>
      <c r="BCV11" s="16"/>
      <c r="BCW11" s="16"/>
      <c r="BCX11" s="16"/>
      <c r="BCY11" s="16"/>
      <c r="BCZ11" s="16"/>
      <c r="BDA11" s="16"/>
      <c r="BDB11" s="16"/>
      <c r="BDC11" s="16"/>
      <c r="BDD11" s="16"/>
      <c r="BDE11" s="16"/>
      <c r="BDF11" s="16"/>
      <c r="BDG11" s="16"/>
      <c r="BDH11" s="16"/>
      <c r="BDI11" s="16"/>
      <c r="BDJ11" s="16"/>
      <c r="BDK11" s="16"/>
      <c r="BDL11" s="16"/>
      <c r="BDM11" s="16"/>
      <c r="BDN11" s="16"/>
      <c r="BDO11" s="16"/>
      <c r="BDP11" s="16"/>
      <c r="BDQ11" s="16"/>
      <c r="BDR11" s="16"/>
      <c r="BDS11" s="16"/>
      <c r="BDT11" s="16"/>
      <c r="BDU11" s="16"/>
      <c r="BDV11" s="16"/>
      <c r="BDW11" s="16"/>
      <c r="BDX11" s="16"/>
      <c r="BDY11" s="16"/>
      <c r="BDZ11" s="16"/>
      <c r="BEA11" s="16"/>
      <c r="BEB11" s="16"/>
      <c r="BEC11" s="16"/>
      <c r="BED11" s="16"/>
      <c r="BEE11" s="16"/>
      <c r="BEF11" s="16"/>
      <c r="BEG11" s="16"/>
      <c r="BEH11" s="16"/>
      <c r="BEI11" s="16"/>
      <c r="BEJ11" s="16"/>
      <c r="BEK11" s="16"/>
      <c r="BEL11" s="16"/>
      <c r="BEM11" s="16"/>
      <c r="BEN11" s="16"/>
      <c r="BEO11" s="16"/>
      <c r="BEP11" s="16"/>
      <c r="BEQ11" s="16"/>
      <c r="BER11" s="16"/>
      <c r="BES11" s="16"/>
      <c r="BET11" s="16"/>
      <c r="BEU11" s="16"/>
      <c r="BEV11" s="16"/>
      <c r="BEW11" s="16"/>
      <c r="BEX11" s="16"/>
      <c r="BEY11" s="16"/>
      <c r="BEZ11" s="16"/>
      <c r="BFA11" s="16"/>
      <c r="BFB11" s="16"/>
      <c r="BFC11" s="16"/>
      <c r="BFD11" s="16"/>
      <c r="BFE11" s="16"/>
      <c r="BFF11" s="16"/>
      <c r="BFG11" s="16"/>
      <c r="BFH11" s="16"/>
      <c r="BFI11" s="16"/>
      <c r="BFJ11" s="16"/>
      <c r="BFK11" s="16"/>
      <c r="BFL11" s="16"/>
      <c r="BFM11" s="16"/>
      <c r="BFN11" s="16"/>
      <c r="BFO11" s="16"/>
      <c r="BFP11" s="16"/>
      <c r="BFQ11" s="16"/>
      <c r="BFR11" s="16"/>
      <c r="BFS11" s="16"/>
      <c r="BFT11" s="16"/>
      <c r="BFU11" s="16"/>
      <c r="BFV11" s="16"/>
      <c r="BFW11" s="16"/>
      <c r="BFX11" s="16"/>
      <c r="BFY11" s="16"/>
      <c r="BFZ11" s="16"/>
      <c r="BGA11" s="16"/>
      <c r="BGB11" s="16"/>
      <c r="BGC11" s="16"/>
      <c r="BGD11" s="16"/>
      <c r="BGE11" s="16"/>
      <c r="BGF11" s="16"/>
      <c r="BGG11" s="16"/>
      <c r="BGH11" s="16"/>
      <c r="BGI11" s="16"/>
      <c r="BGJ11" s="16"/>
      <c r="BGK11" s="16"/>
      <c r="BGL11" s="16"/>
      <c r="BGM11" s="16"/>
      <c r="BGN11" s="16"/>
      <c r="BGO11" s="16"/>
      <c r="BGP11" s="16"/>
      <c r="BGQ11" s="16"/>
      <c r="BGR11" s="16"/>
      <c r="BGS11" s="16"/>
      <c r="BGT11" s="16"/>
      <c r="BGU11" s="16"/>
      <c r="BGV11" s="16"/>
      <c r="BGW11" s="16"/>
      <c r="BGX11" s="16"/>
      <c r="BGY11" s="16"/>
      <c r="BGZ11" s="16"/>
      <c r="BHA11" s="16"/>
      <c r="BHB11" s="16"/>
      <c r="BHC11" s="16"/>
      <c r="BHD11" s="16"/>
      <c r="BHE11" s="16"/>
      <c r="BHF11" s="16"/>
      <c r="BHG11" s="16"/>
      <c r="BHH11" s="16"/>
      <c r="BHI11" s="16"/>
      <c r="BHJ11" s="16"/>
      <c r="BHK11" s="16"/>
      <c r="BHL11" s="16"/>
      <c r="BHM11" s="16"/>
      <c r="BHN11" s="16"/>
      <c r="BHO11" s="16"/>
      <c r="BHP11" s="16"/>
      <c r="BHQ11" s="16"/>
      <c r="BHR11" s="16"/>
      <c r="BHS11" s="16"/>
      <c r="BHT11" s="16"/>
      <c r="BHU11" s="16"/>
      <c r="BHV11" s="16"/>
      <c r="BHW11" s="16"/>
      <c r="BHX11" s="16"/>
      <c r="BHY11" s="16"/>
      <c r="BHZ11" s="16"/>
      <c r="BIA11" s="16"/>
      <c r="BIB11" s="16"/>
      <c r="BIC11" s="16"/>
      <c r="BID11" s="16"/>
      <c r="BIE11" s="16"/>
      <c r="BIF11" s="16"/>
      <c r="BIG11" s="16"/>
      <c r="BIH11" s="16"/>
      <c r="BII11" s="16"/>
      <c r="BIJ11" s="16"/>
      <c r="BIK11" s="16"/>
      <c r="BIL11" s="16"/>
      <c r="BIM11" s="16"/>
      <c r="BIN11" s="16"/>
      <c r="BIO11" s="16"/>
      <c r="BIP11" s="16"/>
      <c r="BIQ11" s="16"/>
      <c r="BIR11" s="16"/>
      <c r="BIS11" s="16"/>
      <c r="BIT11" s="16"/>
      <c r="BIU11" s="16"/>
      <c r="BIV11" s="16"/>
      <c r="BIW11" s="16"/>
      <c r="BIX11" s="16"/>
      <c r="BIY11" s="16"/>
      <c r="BIZ11" s="16"/>
      <c r="BJA11" s="16"/>
      <c r="BJB11" s="16"/>
      <c r="BJC11" s="16"/>
      <c r="BJD11" s="16"/>
      <c r="BJE11" s="16"/>
      <c r="BJF11" s="16"/>
      <c r="BJG11" s="16"/>
      <c r="BJH11" s="16"/>
      <c r="BJI11" s="16"/>
      <c r="BJJ11" s="16"/>
      <c r="BJK11" s="16"/>
      <c r="BJL11" s="16"/>
      <c r="BJM11" s="16"/>
      <c r="BJN11" s="16"/>
      <c r="BJO11" s="16"/>
      <c r="BJP11" s="16"/>
      <c r="BJQ11" s="16"/>
      <c r="BJR11" s="16"/>
      <c r="BJS11" s="16"/>
      <c r="BJT11" s="16"/>
      <c r="BJU11" s="16"/>
      <c r="BJV11" s="16"/>
      <c r="BJW11" s="16"/>
      <c r="BJX11" s="16"/>
      <c r="BJY11" s="16"/>
      <c r="BJZ11" s="16"/>
      <c r="BKA11" s="16"/>
      <c r="BKB11" s="16"/>
      <c r="BKC11" s="16"/>
      <c r="BKD11" s="16"/>
      <c r="BKE11" s="16"/>
      <c r="BKF11" s="16"/>
      <c r="BKG11" s="16"/>
      <c r="BKH11" s="16"/>
      <c r="BKI11" s="16"/>
      <c r="BKJ11" s="16"/>
      <c r="BKK11" s="16"/>
      <c r="BKL11" s="16"/>
      <c r="BKM11" s="16"/>
      <c r="BKN11" s="16"/>
      <c r="BKO11" s="16"/>
      <c r="BKP11" s="16"/>
      <c r="BKQ11" s="16"/>
      <c r="BKR11" s="16"/>
      <c r="BKS11" s="16"/>
      <c r="BKT11" s="16"/>
      <c r="BKU11" s="16"/>
      <c r="BKV11" s="16"/>
      <c r="BKW11" s="16"/>
      <c r="BKX11" s="16"/>
      <c r="BKY11" s="16"/>
      <c r="BKZ11" s="16"/>
      <c r="BLA11" s="16"/>
      <c r="BLB11" s="16"/>
      <c r="BLC11" s="16"/>
      <c r="BLD11" s="16"/>
      <c r="BLE11" s="16"/>
      <c r="BLF11" s="16"/>
      <c r="BLG11" s="16"/>
      <c r="BLH11" s="16"/>
      <c r="BLI11" s="16"/>
      <c r="BLJ11" s="16"/>
      <c r="BLK11" s="16"/>
      <c r="BLL11" s="16"/>
      <c r="BLM11" s="16"/>
      <c r="BLN11" s="16"/>
      <c r="BLO11" s="16"/>
      <c r="BLP11" s="16"/>
      <c r="BLQ11" s="16"/>
      <c r="BLR11" s="16"/>
      <c r="BLS11" s="16"/>
      <c r="BLT11" s="16"/>
      <c r="BLU11" s="16"/>
      <c r="BLV11" s="16"/>
      <c r="BLW11" s="16"/>
      <c r="BLX11" s="16"/>
      <c r="BLY11" s="16"/>
      <c r="BLZ11" s="16"/>
      <c r="BMA11" s="16"/>
      <c r="BMB11" s="16"/>
      <c r="BMC11" s="16"/>
      <c r="BMD11" s="16"/>
      <c r="BME11" s="16"/>
      <c r="BMF11" s="16"/>
      <c r="BMG11" s="16"/>
      <c r="BMH11" s="16"/>
      <c r="BMI11" s="16"/>
      <c r="BMJ11" s="16"/>
      <c r="BMK11" s="16"/>
      <c r="BML11" s="16"/>
      <c r="BMM11" s="16"/>
      <c r="BMN11" s="16"/>
      <c r="BMO11" s="16"/>
      <c r="BMP11" s="16"/>
      <c r="BMQ11" s="16"/>
      <c r="BMR11" s="16"/>
      <c r="BMS11" s="16"/>
      <c r="BMT11" s="16"/>
      <c r="BMU11" s="16"/>
      <c r="BMV11" s="16"/>
      <c r="BMW11" s="16"/>
      <c r="BMX11" s="16"/>
      <c r="BMY11" s="16"/>
      <c r="BMZ11" s="16"/>
      <c r="BNA11" s="16"/>
      <c r="BNB11" s="16"/>
      <c r="BNC11" s="16"/>
      <c r="BND11" s="16"/>
      <c r="BNE11" s="16"/>
      <c r="BNF11" s="16"/>
      <c r="BNG11" s="16"/>
      <c r="BNH11" s="16"/>
      <c r="BNI11" s="16"/>
      <c r="BNJ11" s="16"/>
      <c r="BNK11" s="16"/>
      <c r="BNL11" s="16"/>
      <c r="BNM11" s="16"/>
      <c r="BNN11" s="16"/>
      <c r="BNO11" s="16"/>
      <c r="BNP11" s="16"/>
      <c r="BNQ11" s="16"/>
      <c r="BNR11" s="16"/>
      <c r="BNS11" s="16"/>
      <c r="BNT11" s="16"/>
      <c r="BNU11" s="16"/>
      <c r="BNV11" s="16"/>
      <c r="BNW11" s="16"/>
      <c r="BNX11" s="16"/>
      <c r="BNY11" s="16"/>
      <c r="BNZ11" s="16"/>
      <c r="BOA11" s="16"/>
      <c r="BOB11" s="16"/>
      <c r="BOC11" s="16"/>
      <c r="BOD11" s="16"/>
      <c r="BOE11" s="16"/>
      <c r="BOF11" s="16"/>
      <c r="BOG11" s="16"/>
      <c r="BOH11" s="16"/>
      <c r="BOI11" s="16"/>
      <c r="BOJ11" s="16"/>
      <c r="BOK11" s="16"/>
      <c r="BOL11" s="16"/>
      <c r="BOM11" s="16"/>
      <c r="BON11" s="16"/>
      <c r="BOO11" s="16"/>
      <c r="BOP11" s="16"/>
      <c r="BOQ11" s="16"/>
      <c r="BOR11" s="16"/>
      <c r="BOS11" s="16"/>
      <c r="BOT11" s="16"/>
      <c r="BOU11" s="16"/>
      <c r="BOV11" s="16"/>
      <c r="BOW11" s="16"/>
      <c r="BOX11" s="16"/>
      <c r="BOY11" s="16"/>
      <c r="BOZ11" s="16"/>
      <c r="BPA11" s="16"/>
      <c r="BPB11" s="16"/>
      <c r="BPC11" s="16"/>
      <c r="BPD11" s="16"/>
      <c r="BPE11" s="16"/>
      <c r="BPF11" s="16"/>
      <c r="BPG11" s="16"/>
      <c r="BPH11" s="16"/>
      <c r="BPI11" s="16"/>
      <c r="BPJ11" s="16"/>
      <c r="BPK11" s="16"/>
      <c r="BPL11" s="16"/>
      <c r="BPM11" s="16"/>
      <c r="BPN11" s="16"/>
      <c r="BPO11" s="16"/>
      <c r="BPP11" s="16"/>
      <c r="BPQ11" s="16"/>
      <c r="BPR11" s="16"/>
      <c r="BPS11" s="16"/>
      <c r="BPT11" s="16"/>
      <c r="BPU11" s="16"/>
      <c r="BPV11" s="16"/>
      <c r="BPW11" s="16"/>
      <c r="BPX11" s="16"/>
      <c r="BPY11" s="16"/>
      <c r="BPZ11" s="16"/>
      <c r="BQA11" s="16"/>
      <c r="BQB11" s="16"/>
      <c r="BQC11" s="16"/>
      <c r="BQD11" s="16"/>
      <c r="BQE11" s="16"/>
      <c r="BQF11" s="16"/>
      <c r="BQG11" s="16"/>
      <c r="BQH11" s="16"/>
      <c r="BQI11" s="16"/>
      <c r="BQJ11" s="16"/>
      <c r="BQK11" s="16"/>
      <c r="BQL11" s="16"/>
      <c r="BQM11" s="16"/>
      <c r="BQN11" s="16"/>
      <c r="BQO11" s="16"/>
      <c r="BQP11" s="16"/>
      <c r="BQQ11" s="16"/>
      <c r="BQR11" s="16"/>
      <c r="BQS11" s="16"/>
      <c r="BQT11" s="16"/>
      <c r="BQU11" s="16"/>
      <c r="BQV11" s="16"/>
      <c r="BQW11" s="16"/>
      <c r="BQX11" s="16"/>
      <c r="BQY11" s="16"/>
      <c r="BQZ11" s="16"/>
      <c r="BRA11" s="16"/>
      <c r="BRB11" s="16"/>
      <c r="BRC11" s="16"/>
      <c r="BRD11" s="16"/>
      <c r="BRE11" s="16"/>
      <c r="BRF11" s="16"/>
      <c r="BRG11" s="16"/>
      <c r="BRH11" s="16"/>
      <c r="BRI11" s="16"/>
      <c r="BRJ11" s="16"/>
      <c r="BRK11" s="16"/>
      <c r="BRL11" s="16"/>
      <c r="BRM11" s="16"/>
      <c r="BRN11" s="16"/>
      <c r="BRO11" s="16"/>
      <c r="BRP11" s="16"/>
      <c r="BRQ11" s="16"/>
      <c r="BRR11" s="16"/>
      <c r="BRS11" s="16"/>
      <c r="BRT11" s="16"/>
      <c r="BRU11" s="16"/>
      <c r="BRV11" s="16"/>
      <c r="BRW11" s="16"/>
      <c r="BRX11" s="16"/>
      <c r="BRY11" s="16"/>
      <c r="BRZ11" s="16"/>
      <c r="BSA11" s="16"/>
      <c r="BSB11" s="16"/>
      <c r="BSC11" s="16"/>
      <c r="BSD11" s="16"/>
      <c r="BSE11" s="16"/>
      <c r="BSF11" s="16"/>
      <c r="BSG11" s="16"/>
      <c r="BSH11" s="16"/>
      <c r="BSI11" s="16"/>
      <c r="BSJ11" s="16"/>
      <c r="BSK11" s="16"/>
      <c r="BSL11" s="16"/>
      <c r="BSM11" s="16"/>
      <c r="BSN11" s="16"/>
      <c r="BSO11" s="16"/>
      <c r="BSP11" s="16"/>
      <c r="BSQ11" s="16"/>
      <c r="BSR11" s="16"/>
      <c r="BSS11" s="16"/>
      <c r="BST11" s="16"/>
      <c r="BSU11" s="16"/>
      <c r="BSV11" s="16"/>
      <c r="BSW11" s="16"/>
      <c r="BSX11" s="16"/>
      <c r="BSY11" s="16"/>
      <c r="BSZ11" s="16"/>
      <c r="BTA11" s="16"/>
      <c r="BTB11" s="16"/>
      <c r="BTC11" s="16"/>
      <c r="BTD11" s="16"/>
      <c r="BTE11" s="16"/>
      <c r="BTF11" s="16"/>
      <c r="BTG11" s="16"/>
      <c r="BTH11" s="16"/>
      <c r="BTI11" s="16"/>
      <c r="BTJ11" s="16"/>
      <c r="BTK11" s="16"/>
      <c r="BTL11" s="16"/>
      <c r="BTM11" s="16"/>
      <c r="BTN11" s="16"/>
      <c r="BTO11" s="16"/>
      <c r="BTP11" s="16"/>
      <c r="BTQ11" s="16"/>
      <c r="BTR11" s="16"/>
      <c r="BTS11" s="16"/>
      <c r="BTT11" s="16"/>
      <c r="BTU11" s="16"/>
      <c r="BTV11" s="16"/>
      <c r="BTW11" s="16"/>
      <c r="BTX11" s="16"/>
      <c r="BTY11" s="16"/>
      <c r="BTZ11" s="16"/>
      <c r="BUA11" s="16"/>
      <c r="BUB11" s="16"/>
      <c r="BUC11" s="16"/>
      <c r="BUD11" s="16"/>
      <c r="BUE11" s="16"/>
      <c r="BUF11" s="16"/>
      <c r="BUG11" s="16"/>
      <c r="BUH11" s="16"/>
      <c r="BUI11" s="16"/>
      <c r="BUJ11" s="16"/>
      <c r="BUK11" s="16"/>
      <c r="BUL11" s="16"/>
      <c r="BUM11" s="16"/>
      <c r="BUN11" s="16"/>
      <c r="BUO11" s="16"/>
      <c r="BUP11" s="16"/>
      <c r="BUQ11" s="16"/>
      <c r="BUR11" s="16"/>
      <c r="BUS11" s="16"/>
      <c r="BUT11" s="16"/>
      <c r="BUU11" s="16"/>
      <c r="BUV11" s="16"/>
      <c r="BUW11" s="16"/>
      <c r="BUX11" s="16"/>
      <c r="BUY11" s="16"/>
      <c r="BUZ11" s="16"/>
      <c r="BVA11" s="16"/>
      <c r="BVB11" s="16"/>
      <c r="BVC11" s="16"/>
      <c r="BVD11" s="16"/>
      <c r="BVE11" s="16"/>
      <c r="BVF11" s="16"/>
      <c r="BVG11" s="16"/>
      <c r="BVH11" s="16"/>
      <c r="BVI11" s="16"/>
      <c r="BVJ11" s="16"/>
      <c r="BVK11" s="16"/>
      <c r="BVL11" s="16"/>
      <c r="BVM11" s="16"/>
      <c r="BVN11" s="16"/>
      <c r="BVO11" s="16"/>
      <c r="BVP11" s="16"/>
      <c r="BVQ11" s="16"/>
      <c r="BVR11" s="16"/>
      <c r="BVS11" s="16"/>
      <c r="BVT11" s="16"/>
      <c r="BVU11" s="16"/>
      <c r="BVV11" s="16"/>
      <c r="BVW11" s="16"/>
      <c r="BVX11" s="16"/>
      <c r="BVY11" s="16"/>
      <c r="BVZ11" s="16"/>
      <c r="BWA11" s="16"/>
      <c r="BWB11" s="16"/>
      <c r="BWC11" s="16"/>
      <c r="BWD11" s="16"/>
      <c r="BWE11" s="16"/>
      <c r="BWF11" s="16"/>
      <c r="BWG11" s="16"/>
      <c r="BWH11" s="16"/>
      <c r="BWI11" s="16"/>
      <c r="BWJ11" s="16"/>
      <c r="BWK11" s="16"/>
      <c r="BWL11" s="16"/>
      <c r="BWM11" s="16"/>
      <c r="BWN11" s="16"/>
      <c r="BWO11" s="16"/>
      <c r="BWP11" s="16"/>
      <c r="BWQ11" s="16"/>
      <c r="BWR11" s="16"/>
      <c r="BWS11" s="16"/>
      <c r="BWT11" s="16"/>
      <c r="BWU11" s="16"/>
      <c r="BWV11" s="16"/>
      <c r="BWW11" s="16"/>
      <c r="BWX11" s="16"/>
      <c r="BWY11" s="16"/>
      <c r="BWZ11" s="16"/>
      <c r="BXA11" s="16"/>
      <c r="BXB11" s="16"/>
      <c r="BXC11" s="16"/>
      <c r="BXD11" s="16"/>
      <c r="BXE11" s="16"/>
      <c r="BXF11" s="16"/>
      <c r="BXG11" s="16"/>
      <c r="BXH11" s="16"/>
      <c r="BXI11" s="16"/>
      <c r="BXJ11" s="16"/>
      <c r="BXK11" s="16"/>
      <c r="BXL11" s="16"/>
      <c r="BXM11" s="16"/>
      <c r="BXN11" s="16"/>
      <c r="BXO11" s="16"/>
      <c r="BXP11" s="16"/>
      <c r="BXQ11" s="16"/>
      <c r="BXR11" s="16"/>
      <c r="BXS11" s="16"/>
      <c r="BXT11" s="16"/>
      <c r="BXU11" s="16"/>
      <c r="BXV11" s="16"/>
      <c r="BXW11" s="16"/>
      <c r="BXX11" s="16"/>
      <c r="BXY11" s="16"/>
      <c r="BXZ11" s="16"/>
      <c r="BYA11" s="16"/>
      <c r="BYB11" s="16"/>
      <c r="BYC11" s="16"/>
      <c r="BYD11" s="16"/>
      <c r="BYE11" s="16"/>
      <c r="BYF11" s="16"/>
      <c r="BYG11" s="16"/>
      <c r="BYH11" s="16"/>
      <c r="BYI11" s="16"/>
      <c r="BYJ11" s="16"/>
      <c r="BYK11" s="16"/>
      <c r="BYL11" s="16"/>
      <c r="BYM11" s="16"/>
      <c r="BYN11" s="16"/>
      <c r="BYO11" s="16"/>
      <c r="BYP11" s="16"/>
      <c r="BYQ11" s="16"/>
      <c r="BYR11" s="16"/>
      <c r="BYS11" s="16"/>
      <c r="BYT11" s="16"/>
      <c r="BYU11" s="16"/>
      <c r="BYV11" s="16"/>
      <c r="BYW11" s="16"/>
      <c r="BYX11" s="16"/>
      <c r="BYY11" s="16"/>
      <c r="BYZ11" s="16"/>
      <c r="BZA11" s="16"/>
      <c r="BZB11" s="16"/>
      <c r="BZC11" s="16"/>
      <c r="BZD11" s="16"/>
      <c r="BZE11" s="16"/>
      <c r="BZF11" s="16"/>
      <c r="BZG11" s="16"/>
      <c r="BZH11" s="16"/>
      <c r="BZI11" s="16"/>
      <c r="BZJ11" s="16"/>
      <c r="BZK11" s="16"/>
      <c r="BZL11" s="16"/>
      <c r="BZM11" s="16"/>
      <c r="BZN11" s="16"/>
      <c r="BZO11" s="16"/>
      <c r="BZP11" s="16"/>
      <c r="BZQ11" s="16"/>
      <c r="BZR11" s="16"/>
      <c r="BZS11" s="16"/>
      <c r="BZT11" s="16"/>
      <c r="BZU11" s="16"/>
      <c r="BZV11" s="16"/>
      <c r="BZW11" s="16"/>
      <c r="BZX11" s="16"/>
      <c r="BZY11" s="16"/>
      <c r="BZZ11" s="16"/>
      <c r="CAA11" s="16"/>
      <c r="CAB11" s="16"/>
      <c r="CAC11" s="16"/>
      <c r="CAD11" s="16"/>
      <c r="CAE11" s="16"/>
      <c r="CAF11" s="16"/>
      <c r="CAG11" s="16"/>
      <c r="CAH11" s="16"/>
      <c r="CAI11" s="16"/>
      <c r="CAJ11" s="16"/>
      <c r="CAK11" s="16"/>
      <c r="CAL11" s="16"/>
      <c r="CAM11" s="16"/>
      <c r="CAN11" s="16"/>
      <c r="CAO11" s="16"/>
      <c r="CAP11" s="16"/>
      <c r="CAQ11" s="16"/>
      <c r="CAR11" s="16"/>
      <c r="CAS11" s="16"/>
      <c r="CAT11" s="16"/>
      <c r="CAU11" s="16"/>
      <c r="CAV11" s="16"/>
      <c r="CAW11" s="16"/>
      <c r="CAX11" s="16"/>
      <c r="CAY11" s="16"/>
      <c r="CAZ11" s="16"/>
      <c r="CBA11" s="16"/>
      <c r="CBB11" s="16"/>
      <c r="CBC11" s="16"/>
      <c r="CBD11" s="16"/>
      <c r="CBE11" s="16"/>
      <c r="CBF11" s="16"/>
      <c r="CBG11" s="16"/>
      <c r="CBH11" s="16"/>
      <c r="CBI11" s="16"/>
      <c r="CBJ11" s="16"/>
      <c r="CBK11" s="16"/>
      <c r="CBL11" s="16"/>
      <c r="CBM11" s="16"/>
      <c r="CBN11" s="16"/>
      <c r="CBO11" s="16"/>
      <c r="CBP11" s="16"/>
      <c r="CBQ11" s="16"/>
      <c r="CBR11" s="16"/>
      <c r="CBS11" s="16"/>
      <c r="CBT11" s="16"/>
      <c r="CBU11" s="16"/>
      <c r="CBV11" s="16"/>
      <c r="CBW11" s="16"/>
      <c r="CBX11" s="16"/>
      <c r="CBY11" s="16"/>
      <c r="CBZ11" s="16"/>
      <c r="CCA11" s="16"/>
      <c r="CCB11" s="16"/>
      <c r="CCC11" s="16"/>
      <c r="CCD11" s="16"/>
      <c r="CCE11" s="16"/>
      <c r="CCF11" s="16"/>
      <c r="CCG11" s="16"/>
      <c r="CCH11" s="16"/>
      <c r="CCI11" s="16"/>
      <c r="CCJ11" s="16"/>
      <c r="CCK11" s="16"/>
      <c r="CCL11" s="16"/>
      <c r="CCM11" s="16"/>
      <c r="CCN11" s="16"/>
      <c r="CCO11" s="16"/>
      <c r="CCP11" s="16"/>
      <c r="CCQ11" s="16"/>
      <c r="CCR11" s="16"/>
      <c r="CCS11" s="16"/>
      <c r="CCT11" s="16"/>
      <c r="CCU11" s="16"/>
      <c r="CCV11" s="16"/>
      <c r="CCW11" s="16"/>
      <c r="CCX11" s="16"/>
      <c r="CCY11" s="16"/>
      <c r="CCZ11" s="16"/>
      <c r="CDA11" s="16"/>
      <c r="CDB11" s="16"/>
      <c r="CDC11" s="16"/>
      <c r="CDD11" s="16"/>
      <c r="CDE11" s="16"/>
      <c r="CDF11" s="16"/>
      <c r="CDG11" s="16"/>
      <c r="CDH11" s="16"/>
      <c r="CDI11" s="16"/>
      <c r="CDJ11" s="16"/>
      <c r="CDK11" s="16"/>
      <c r="CDL11" s="16"/>
      <c r="CDM11" s="16"/>
      <c r="CDN11" s="16"/>
      <c r="CDO11" s="16"/>
      <c r="CDP11" s="16"/>
      <c r="CDQ11" s="16"/>
      <c r="CDR11" s="16"/>
      <c r="CDS11" s="16"/>
      <c r="CDT11" s="16"/>
      <c r="CDU11" s="16"/>
      <c r="CDV11" s="16"/>
      <c r="CDW11" s="16"/>
      <c r="CDX11" s="16"/>
      <c r="CDY11" s="16"/>
      <c r="CDZ11" s="16"/>
      <c r="CEA11" s="16"/>
      <c r="CEB11" s="16"/>
      <c r="CEC11" s="16"/>
      <c r="CED11" s="16"/>
      <c r="CEE11" s="16"/>
      <c r="CEF11" s="16"/>
      <c r="CEG11" s="16"/>
      <c r="CEH11" s="16"/>
      <c r="CEI11" s="16"/>
      <c r="CEJ11" s="16"/>
      <c r="CEK11" s="16"/>
      <c r="CEL11" s="16"/>
      <c r="CEM11" s="16"/>
      <c r="CEN11" s="16"/>
      <c r="CEO11" s="16"/>
      <c r="CEP11" s="16"/>
      <c r="CEQ11" s="16"/>
      <c r="CER11" s="16"/>
      <c r="CES11" s="16"/>
      <c r="CET11" s="16"/>
      <c r="CEU11" s="16"/>
      <c r="CEV11" s="16"/>
      <c r="CEW11" s="16"/>
      <c r="CEX11" s="16"/>
      <c r="CEY11" s="16"/>
      <c r="CEZ11" s="16"/>
      <c r="CFA11" s="16"/>
      <c r="CFB11" s="16"/>
      <c r="CFC11" s="16"/>
      <c r="CFD11" s="16"/>
      <c r="CFE11" s="16"/>
      <c r="CFF11" s="16"/>
      <c r="CFG11" s="16"/>
      <c r="CFH11" s="16"/>
      <c r="CFI11" s="16"/>
      <c r="CFJ11" s="16"/>
      <c r="CFK11" s="16"/>
      <c r="CFL11" s="16"/>
      <c r="CFM11" s="16"/>
      <c r="CFN11" s="16"/>
      <c r="CFO11" s="16"/>
      <c r="CFP11" s="16"/>
      <c r="CFQ11" s="16"/>
      <c r="CFR11" s="16"/>
      <c r="CFS11" s="16"/>
      <c r="CFT11" s="16"/>
      <c r="CFU11" s="16"/>
      <c r="CFV11" s="16"/>
      <c r="CFW11" s="16"/>
      <c r="CFX11" s="16"/>
      <c r="CFY11" s="16"/>
      <c r="CFZ11" s="16"/>
      <c r="CGA11" s="16"/>
      <c r="CGB11" s="16"/>
      <c r="CGC11" s="16"/>
      <c r="CGD11" s="16"/>
      <c r="CGE11" s="16"/>
      <c r="CGF11" s="16"/>
      <c r="CGG11" s="16"/>
      <c r="CGH11" s="16"/>
      <c r="CGI11" s="16"/>
      <c r="CGJ11" s="16"/>
      <c r="CGK11" s="16"/>
      <c r="CGL11" s="16"/>
      <c r="CGM11" s="16"/>
      <c r="CGN11" s="16"/>
      <c r="CGO11" s="16"/>
      <c r="CGP11" s="16"/>
      <c r="CGQ11" s="16"/>
      <c r="CGR11" s="16"/>
      <c r="CGS11" s="16"/>
      <c r="CGT11" s="16"/>
      <c r="CGU11" s="16"/>
      <c r="CGV11" s="16"/>
      <c r="CGW11" s="16"/>
      <c r="CGX11" s="16"/>
      <c r="CGY11" s="16"/>
      <c r="CGZ11" s="16"/>
      <c r="CHA11" s="16"/>
      <c r="CHB11" s="16"/>
      <c r="CHC11" s="16"/>
      <c r="CHD11" s="16"/>
      <c r="CHE11" s="16"/>
      <c r="CHF11" s="16"/>
      <c r="CHG11" s="16"/>
      <c r="CHH11" s="16"/>
      <c r="CHI11" s="16"/>
      <c r="CHJ11" s="16"/>
      <c r="CHK11" s="16"/>
      <c r="CHL11" s="16"/>
      <c r="CHM11" s="16"/>
      <c r="CHN11" s="16"/>
      <c r="CHO11" s="16"/>
      <c r="CHP11" s="16"/>
      <c r="CHQ11" s="16"/>
      <c r="CHR11" s="16"/>
      <c r="CHS11" s="16"/>
      <c r="CHT11" s="16"/>
      <c r="CHU11" s="16"/>
      <c r="CHV11" s="16"/>
      <c r="CHW11" s="16"/>
      <c r="CHX11" s="16"/>
      <c r="CHY11" s="16"/>
      <c r="CHZ11" s="16"/>
      <c r="CIA11" s="16"/>
      <c r="CIB11" s="16"/>
      <c r="CIC11" s="16"/>
      <c r="CID11" s="16"/>
      <c r="CIE11" s="16"/>
      <c r="CIF11" s="16"/>
      <c r="CIG11" s="16"/>
      <c r="CIH11" s="16"/>
      <c r="CII11" s="16"/>
      <c r="CIJ11" s="16"/>
      <c r="CIK11" s="16"/>
      <c r="CIL11" s="16"/>
      <c r="CIM11" s="16"/>
      <c r="CIN11" s="16"/>
      <c r="CIO11" s="16"/>
      <c r="CIP11" s="16"/>
      <c r="CIQ11" s="16"/>
      <c r="CIR11" s="16"/>
      <c r="CIS11" s="16"/>
      <c r="CIT11" s="16"/>
      <c r="CIU11" s="16"/>
      <c r="CIV11" s="16"/>
      <c r="CIW11" s="16"/>
      <c r="CIX11" s="16"/>
      <c r="CIY11" s="16"/>
      <c r="CIZ11" s="16"/>
      <c r="CJA11" s="16"/>
      <c r="CJB11" s="16"/>
      <c r="CJC11" s="16"/>
      <c r="CJD11" s="16"/>
      <c r="CJE11" s="16"/>
      <c r="CJF11" s="16"/>
      <c r="CJG11" s="16"/>
      <c r="CJH11" s="16"/>
      <c r="CJI11" s="16"/>
      <c r="CJJ11" s="16"/>
      <c r="CJK11" s="16"/>
      <c r="CJL11" s="16"/>
      <c r="CJM11" s="16"/>
      <c r="CJN11" s="16"/>
      <c r="CJO11" s="16"/>
      <c r="CJP11" s="16"/>
      <c r="CJQ11" s="16"/>
      <c r="CJR11" s="16"/>
      <c r="CJS11" s="16"/>
      <c r="CJT11" s="16"/>
      <c r="CJU11" s="16"/>
      <c r="CJV11" s="16"/>
      <c r="CJW11" s="16"/>
      <c r="CJX11" s="16"/>
      <c r="CJY11" s="16"/>
      <c r="CJZ11" s="16"/>
      <c r="CKA11" s="16"/>
      <c r="CKB11" s="16"/>
      <c r="CKC11" s="16"/>
      <c r="CKD11" s="16"/>
      <c r="CKE11" s="16"/>
      <c r="CKF11" s="16"/>
      <c r="CKG11" s="16"/>
      <c r="CKH11" s="16"/>
      <c r="CKI11" s="16"/>
      <c r="CKJ11" s="16"/>
      <c r="CKK11" s="16"/>
      <c r="CKL11" s="16"/>
      <c r="CKM11" s="16"/>
      <c r="CKN11" s="16"/>
      <c r="CKO11" s="16"/>
      <c r="CKP11" s="16"/>
      <c r="CKQ11" s="16"/>
      <c r="CKR11" s="16"/>
      <c r="CKS11" s="16"/>
      <c r="CKT11" s="16"/>
      <c r="CKU11" s="16"/>
      <c r="CKV11" s="16"/>
      <c r="CKW11" s="16"/>
      <c r="CKX11" s="16"/>
      <c r="CKY11" s="16"/>
      <c r="CKZ11" s="16"/>
      <c r="CLA11" s="16"/>
      <c r="CLB11" s="16"/>
      <c r="CLC11" s="16"/>
      <c r="CLD11" s="16"/>
      <c r="CLE11" s="16"/>
      <c r="CLF11" s="16"/>
      <c r="CLG11" s="16"/>
      <c r="CLH11" s="16"/>
      <c r="CLI11" s="16"/>
      <c r="CLJ11" s="16"/>
      <c r="CLK11" s="16"/>
      <c r="CLL11" s="16"/>
      <c r="CLM11" s="16"/>
      <c r="CLN11" s="16"/>
      <c r="CLO11" s="16"/>
      <c r="CLP11" s="16"/>
      <c r="CLQ11" s="16"/>
      <c r="CLR11" s="16"/>
      <c r="CLS11" s="16"/>
      <c r="CLT11" s="16"/>
      <c r="CLU11" s="16"/>
      <c r="CLV11" s="16"/>
      <c r="CLW11" s="16"/>
      <c r="CLX11" s="16"/>
      <c r="CLY11" s="16"/>
      <c r="CLZ11" s="16"/>
      <c r="CMA11" s="16"/>
      <c r="CMB11" s="16"/>
      <c r="CMC11" s="16"/>
      <c r="CMD11" s="16"/>
      <c r="CME11" s="16"/>
      <c r="CMF11" s="16"/>
      <c r="CMG11" s="16"/>
      <c r="CMH11" s="16"/>
      <c r="CMI11" s="16"/>
      <c r="CMJ11" s="16"/>
      <c r="CMK11" s="16"/>
      <c r="CML11" s="16"/>
      <c r="CMM11" s="16"/>
      <c r="CMN11" s="16"/>
      <c r="CMO11" s="16"/>
      <c r="CMP11" s="16"/>
      <c r="CMQ11" s="16"/>
      <c r="CMR11" s="16"/>
      <c r="CMS11" s="16"/>
      <c r="CMT11" s="16"/>
      <c r="CMU11" s="16"/>
      <c r="CMV11" s="16"/>
      <c r="CMW11" s="16"/>
      <c r="CMX11" s="16"/>
      <c r="CMY11" s="16"/>
      <c r="CMZ11" s="16"/>
      <c r="CNA11" s="16"/>
      <c r="CNB11" s="16"/>
      <c r="CNC11" s="16"/>
      <c r="CND11" s="16"/>
      <c r="CNE11" s="16"/>
      <c r="CNF11" s="16"/>
      <c r="CNG11" s="16"/>
      <c r="CNH11" s="16"/>
      <c r="CNI11" s="16"/>
      <c r="CNJ11" s="16"/>
      <c r="CNK11" s="16"/>
      <c r="CNL11" s="16"/>
      <c r="CNM11" s="16"/>
      <c r="CNN11" s="16"/>
      <c r="CNO11" s="16"/>
      <c r="CNP11" s="16"/>
      <c r="CNQ11" s="16"/>
      <c r="CNR11" s="16"/>
      <c r="CNS11" s="16"/>
      <c r="CNT11" s="16"/>
      <c r="CNU11" s="16"/>
      <c r="CNV11" s="16"/>
      <c r="CNW11" s="16"/>
      <c r="CNX11" s="16"/>
      <c r="CNY11" s="16"/>
      <c r="CNZ11" s="16"/>
      <c r="COA11" s="16"/>
      <c r="COB11" s="16"/>
      <c r="COC11" s="16"/>
      <c r="COD11" s="16"/>
      <c r="COE11" s="16"/>
      <c r="COF11" s="16"/>
      <c r="COG11" s="16"/>
      <c r="COH11" s="16"/>
      <c r="COI11" s="16"/>
      <c r="COJ11" s="16"/>
      <c r="COK11" s="16"/>
      <c r="COL11" s="16"/>
      <c r="COM11" s="16"/>
      <c r="CON11" s="16"/>
      <c r="COO11" s="16"/>
      <c r="COP11" s="16"/>
      <c r="COQ11" s="16"/>
      <c r="COR11" s="16"/>
      <c r="COS11" s="16"/>
      <c r="COT11" s="16"/>
      <c r="COU11" s="16"/>
      <c r="COV11" s="16"/>
      <c r="COW11" s="16"/>
      <c r="COX11" s="16"/>
      <c r="COY11" s="16"/>
      <c r="COZ11" s="16"/>
      <c r="CPA11" s="16"/>
      <c r="CPB11" s="16"/>
      <c r="CPC11" s="16"/>
      <c r="CPD11" s="16"/>
      <c r="CPE11" s="16"/>
      <c r="CPF11" s="16"/>
      <c r="CPG11" s="16"/>
      <c r="CPH11" s="16"/>
      <c r="CPI11" s="16"/>
      <c r="CPJ11" s="16"/>
      <c r="CPK11" s="16"/>
      <c r="CPL11" s="16"/>
      <c r="CPM11" s="16"/>
      <c r="CPN11" s="16"/>
      <c r="CPO11" s="16"/>
      <c r="CPP11" s="16"/>
      <c r="CPQ11" s="16"/>
      <c r="CPR11" s="16"/>
      <c r="CPS11" s="16"/>
      <c r="CPT11" s="16"/>
      <c r="CPU11" s="16"/>
      <c r="CPV11" s="16"/>
      <c r="CPW11" s="16"/>
      <c r="CPX11" s="16"/>
      <c r="CPY11" s="16"/>
      <c r="CPZ11" s="16"/>
      <c r="CQA11" s="16"/>
      <c r="CQB11" s="16"/>
      <c r="CQC11" s="16"/>
      <c r="CQD11" s="16"/>
      <c r="CQE11" s="16"/>
      <c r="CQF11" s="16"/>
      <c r="CQG11" s="16"/>
      <c r="CQH11" s="16"/>
      <c r="CQI11" s="16"/>
      <c r="CQJ11" s="16"/>
      <c r="CQK11" s="16"/>
      <c r="CQL11" s="16"/>
      <c r="CQM11" s="16"/>
      <c r="CQN11" s="16"/>
      <c r="CQO11" s="16"/>
      <c r="CQP11" s="16"/>
      <c r="CQQ11" s="16"/>
      <c r="CQR11" s="16"/>
      <c r="CQS11" s="16"/>
      <c r="CQT11" s="16"/>
      <c r="CQU11" s="16"/>
      <c r="CQV11" s="16"/>
      <c r="CQW11" s="16"/>
      <c r="CQX11" s="16"/>
      <c r="CQY11" s="16"/>
      <c r="CQZ11" s="16"/>
      <c r="CRA11" s="16"/>
      <c r="CRB11" s="16"/>
      <c r="CRC11" s="16"/>
      <c r="CRD11" s="16"/>
      <c r="CRE11" s="16"/>
      <c r="CRF11" s="16"/>
      <c r="CRG11" s="16"/>
      <c r="CRH11" s="16"/>
      <c r="CRI11" s="16"/>
      <c r="CRJ11" s="16"/>
      <c r="CRK11" s="16"/>
      <c r="CRL11" s="16"/>
      <c r="CRM11" s="16"/>
      <c r="CRN11" s="16"/>
      <c r="CRO11" s="16"/>
      <c r="CRP11" s="16"/>
      <c r="CRQ11" s="16"/>
      <c r="CRR11" s="16"/>
      <c r="CRS11" s="16"/>
      <c r="CRT11" s="16"/>
      <c r="CRU11" s="16"/>
      <c r="CRV11" s="16"/>
      <c r="CRW11" s="16"/>
      <c r="CRX11" s="16"/>
      <c r="CRY11" s="16"/>
      <c r="CRZ11" s="16"/>
      <c r="CSA11" s="16"/>
      <c r="CSB11" s="16"/>
      <c r="CSC11" s="16"/>
      <c r="CSD11" s="16"/>
      <c r="CSE11" s="16"/>
      <c r="CSF11" s="16"/>
      <c r="CSG11" s="16"/>
      <c r="CSH11" s="16"/>
      <c r="CSI11" s="16"/>
      <c r="CSJ11" s="16"/>
      <c r="CSK11" s="16"/>
      <c r="CSL11" s="16"/>
      <c r="CSM11" s="16"/>
      <c r="CSN11" s="16"/>
      <c r="CSO11" s="16"/>
      <c r="CSP11" s="16"/>
      <c r="CSQ11" s="16"/>
      <c r="CSR11" s="16"/>
      <c r="CSS11" s="16"/>
      <c r="CST11" s="16"/>
      <c r="CSU11" s="16"/>
      <c r="CSV11" s="16"/>
      <c r="CSW11" s="16"/>
      <c r="CSX11" s="16"/>
      <c r="CSY11" s="16"/>
      <c r="CSZ11" s="16"/>
      <c r="CTA11" s="16"/>
      <c r="CTB11" s="16"/>
      <c r="CTC11" s="16"/>
      <c r="CTD11" s="16"/>
      <c r="CTE11" s="16"/>
      <c r="CTF11" s="16"/>
      <c r="CTG11" s="16"/>
      <c r="CTH11" s="16"/>
      <c r="CTI11" s="16"/>
      <c r="CTJ11" s="16"/>
      <c r="CTK11" s="16"/>
      <c r="CTL11" s="16"/>
      <c r="CTM11" s="16"/>
      <c r="CTN11" s="16"/>
      <c r="CTO11" s="16"/>
      <c r="CTP11" s="16"/>
      <c r="CTQ11" s="16"/>
      <c r="CTR11" s="16"/>
      <c r="CTS11" s="16"/>
      <c r="CTT11" s="16"/>
      <c r="CTU11" s="16"/>
      <c r="CTV11" s="16"/>
      <c r="CTW11" s="16"/>
      <c r="CTX11" s="16"/>
      <c r="CTY11" s="16"/>
      <c r="CTZ11" s="16"/>
      <c r="CUA11" s="16"/>
      <c r="CUB11" s="16"/>
      <c r="CUC11" s="16"/>
      <c r="CUD11" s="16"/>
      <c r="CUE11" s="16"/>
      <c r="CUF11" s="16"/>
      <c r="CUG11" s="16"/>
      <c r="CUH11" s="16"/>
      <c r="CUI11" s="16"/>
      <c r="CUJ11" s="16"/>
      <c r="CUK11" s="16"/>
      <c r="CUL11" s="16"/>
      <c r="CUM11" s="16"/>
      <c r="CUN11" s="16"/>
      <c r="CUO11" s="16"/>
      <c r="CUP11" s="16"/>
      <c r="CUQ11" s="16"/>
      <c r="CUR11" s="16"/>
      <c r="CUS11" s="16"/>
      <c r="CUT11" s="16"/>
      <c r="CUU11" s="16"/>
      <c r="CUV11" s="16"/>
      <c r="CUW11" s="16"/>
      <c r="CUX11" s="16"/>
      <c r="CUY11" s="16"/>
      <c r="CUZ11" s="16"/>
      <c r="CVA11" s="16"/>
      <c r="CVB11" s="16"/>
      <c r="CVC11" s="16"/>
      <c r="CVD11" s="16"/>
      <c r="CVE11" s="16"/>
      <c r="CVF11" s="16"/>
      <c r="CVG11" s="16"/>
      <c r="CVH11" s="16"/>
      <c r="CVI11" s="16"/>
      <c r="CVJ11" s="16"/>
      <c r="CVK11" s="16"/>
      <c r="CVL11" s="16"/>
      <c r="CVM11" s="16"/>
      <c r="CVN11" s="16"/>
      <c r="CVO11" s="16"/>
      <c r="CVP11" s="16"/>
      <c r="CVQ11" s="16"/>
      <c r="CVR11" s="16"/>
      <c r="CVS11" s="16"/>
      <c r="CVT11" s="16"/>
      <c r="CVU11" s="16"/>
      <c r="CVV11" s="16"/>
      <c r="CVW11" s="16"/>
      <c r="CVX11" s="16"/>
      <c r="CVY11" s="16"/>
      <c r="CVZ11" s="16"/>
      <c r="CWA11" s="16"/>
      <c r="CWB11" s="16"/>
      <c r="CWC11" s="16"/>
      <c r="CWD11" s="16"/>
      <c r="CWE11" s="16"/>
      <c r="CWF11" s="16"/>
      <c r="CWG11" s="16"/>
      <c r="CWH11" s="16"/>
      <c r="CWI11" s="16"/>
      <c r="CWJ11" s="16"/>
      <c r="CWK11" s="16"/>
      <c r="CWL11" s="16"/>
      <c r="CWM11" s="16"/>
      <c r="CWN11" s="16"/>
      <c r="CWO11" s="16"/>
      <c r="CWP11" s="16"/>
      <c r="CWQ11" s="16"/>
      <c r="CWR11" s="16"/>
      <c r="CWS11" s="16"/>
      <c r="CWT11" s="16"/>
      <c r="CWU11" s="16"/>
      <c r="CWV11" s="16"/>
      <c r="CWW11" s="16"/>
      <c r="CWX11" s="16"/>
      <c r="CWY11" s="16"/>
      <c r="CWZ11" s="16"/>
      <c r="CXA11" s="16"/>
      <c r="CXB11" s="16"/>
      <c r="CXC11" s="16"/>
      <c r="CXD11" s="16"/>
      <c r="CXE11" s="16"/>
      <c r="CXF11" s="16"/>
      <c r="CXG11" s="16"/>
      <c r="CXH11" s="16"/>
      <c r="CXI11" s="16"/>
      <c r="CXJ11" s="16"/>
      <c r="CXK11" s="16"/>
      <c r="CXL11" s="16"/>
      <c r="CXM11" s="16"/>
      <c r="CXN11" s="16"/>
      <c r="CXO11" s="16"/>
      <c r="CXP11" s="16"/>
      <c r="CXQ11" s="16"/>
      <c r="CXR11" s="16"/>
      <c r="CXS11" s="16"/>
      <c r="CXT11" s="16"/>
      <c r="CXU11" s="16"/>
      <c r="CXV11" s="16"/>
      <c r="CXW11" s="16"/>
      <c r="CXX11" s="16"/>
      <c r="CXY11" s="16"/>
      <c r="CXZ11" s="16"/>
      <c r="CYA11" s="16"/>
      <c r="CYB11" s="16"/>
      <c r="CYC11" s="16"/>
      <c r="CYD11" s="16"/>
      <c r="CYE11" s="16"/>
      <c r="CYF11" s="16"/>
      <c r="CYG11" s="16"/>
      <c r="CYH11" s="16"/>
      <c r="CYI11" s="16"/>
      <c r="CYJ11" s="16"/>
      <c r="CYK11" s="16"/>
      <c r="CYL11" s="16"/>
      <c r="CYM11" s="16"/>
      <c r="CYN11" s="16"/>
      <c r="CYO11" s="16"/>
      <c r="CYP11" s="16"/>
      <c r="CYQ11" s="16"/>
      <c r="CYR11" s="16"/>
      <c r="CYS11" s="16"/>
      <c r="CYT11" s="16"/>
      <c r="CYU11" s="16"/>
      <c r="CYV11" s="16"/>
      <c r="CYW11" s="16"/>
      <c r="CYX11" s="16"/>
      <c r="CYY11" s="16"/>
      <c r="CYZ11" s="16"/>
      <c r="CZA11" s="16"/>
      <c r="CZB11" s="16"/>
      <c r="CZC11" s="16"/>
      <c r="CZD11" s="16"/>
      <c r="CZE11" s="16"/>
      <c r="CZF11" s="16"/>
      <c r="CZG11" s="16"/>
      <c r="CZH11" s="16"/>
      <c r="CZI11" s="16"/>
      <c r="CZJ11" s="16"/>
      <c r="CZK11" s="16"/>
      <c r="CZL11" s="16"/>
      <c r="CZM11" s="16"/>
      <c r="CZN11" s="16"/>
      <c r="CZO11" s="16"/>
      <c r="CZP11" s="16"/>
      <c r="CZQ11" s="16"/>
      <c r="CZR11" s="16"/>
      <c r="CZS11" s="16"/>
      <c r="CZT11" s="16"/>
      <c r="CZU11" s="16"/>
      <c r="CZV11" s="16"/>
      <c r="CZW11" s="16"/>
      <c r="CZX11" s="16"/>
      <c r="CZY11" s="16"/>
      <c r="CZZ11" s="16"/>
      <c r="DAA11" s="16"/>
      <c r="DAB11" s="16"/>
      <c r="DAC11" s="16"/>
      <c r="DAD11" s="16"/>
      <c r="DAE11" s="16"/>
      <c r="DAF11" s="16"/>
      <c r="DAG11" s="16"/>
      <c r="DAH11" s="16"/>
      <c r="DAI11" s="16"/>
      <c r="DAJ11" s="16"/>
      <c r="DAK11" s="16"/>
      <c r="DAL11" s="16"/>
      <c r="DAM11" s="16"/>
      <c r="DAN11" s="16"/>
      <c r="DAO11" s="16"/>
      <c r="DAP11" s="16"/>
      <c r="DAQ11" s="16"/>
      <c r="DAR11" s="16"/>
      <c r="DAS11" s="16"/>
      <c r="DAT11" s="16"/>
      <c r="DAU11" s="16"/>
      <c r="DAV11" s="16"/>
      <c r="DAW11" s="16"/>
      <c r="DAX11" s="16"/>
      <c r="DAY11" s="16"/>
      <c r="DAZ11" s="16"/>
      <c r="DBA11" s="16"/>
      <c r="DBB11" s="16"/>
      <c r="DBC11" s="16"/>
      <c r="DBD11" s="16"/>
      <c r="DBE11" s="16"/>
      <c r="DBF11" s="16"/>
      <c r="DBG11" s="16"/>
      <c r="DBH11" s="16"/>
      <c r="DBI11" s="16"/>
      <c r="DBJ11" s="16"/>
      <c r="DBK11" s="16"/>
      <c r="DBL11" s="16"/>
      <c r="DBM11" s="16"/>
      <c r="DBN11" s="16"/>
      <c r="DBO11" s="16"/>
      <c r="DBP11" s="16"/>
      <c r="DBQ11" s="16"/>
      <c r="DBR11" s="16"/>
      <c r="DBS11" s="16"/>
      <c r="DBT11" s="16"/>
      <c r="DBU11" s="16"/>
      <c r="DBV11" s="16"/>
      <c r="DBW11" s="16"/>
      <c r="DBX11" s="16"/>
      <c r="DBY11" s="16"/>
      <c r="DBZ11" s="16"/>
      <c r="DCA11" s="16"/>
      <c r="DCB11" s="16"/>
      <c r="DCC11" s="16"/>
      <c r="DCD11" s="16"/>
      <c r="DCE11" s="16"/>
      <c r="DCF11" s="16"/>
      <c r="DCG11" s="16"/>
      <c r="DCH11" s="16"/>
      <c r="DCI11" s="16"/>
      <c r="DCJ11" s="16"/>
      <c r="DCK11" s="16"/>
      <c r="DCL11" s="16"/>
      <c r="DCM11" s="16"/>
      <c r="DCN11" s="16"/>
      <c r="DCO11" s="16"/>
      <c r="DCP11" s="16"/>
      <c r="DCQ11" s="16"/>
      <c r="DCR11" s="16"/>
      <c r="DCS11" s="16"/>
      <c r="DCT11" s="16"/>
      <c r="DCU11" s="16"/>
      <c r="DCV11" s="16"/>
      <c r="DCW11" s="16"/>
      <c r="DCX11" s="16"/>
      <c r="DCY11" s="16"/>
      <c r="DCZ11" s="16"/>
      <c r="DDA11" s="16"/>
      <c r="DDB11" s="16"/>
      <c r="DDC11" s="16"/>
      <c r="DDD11" s="16"/>
      <c r="DDE11" s="16"/>
      <c r="DDF11" s="16"/>
      <c r="DDG11" s="16"/>
      <c r="DDH11" s="16"/>
      <c r="DDI11" s="16"/>
      <c r="DDJ11" s="16"/>
      <c r="DDK11" s="16"/>
      <c r="DDL11" s="16"/>
      <c r="DDM11" s="16"/>
      <c r="DDN11" s="16"/>
      <c r="DDO11" s="16"/>
      <c r="DDP11" s="16"/>
      <c r="DDQ11" s="16"/>
      <c r="DDR11" s="16"/>
      <c r="DDS11" s="16"/>
      <c r="DDT11" s="16"/>
      <c r="DDU11" s="16"/>
      <c r="DDV11" s="16"/>
      <c r="DDW11" s="16"/>
      <c r="DDX11" s="16"/>
      <c r="DDY11" s="16"/>
      <c r="DDZ11" s="16"/>
      <c r="DEA11" s="16"/>
      <c r="DEB11" s="16"/>
      <c r="DEC11" s="16"/>
      <c r="DED11" s="16"/>
      <c r="DEE11" s="16"/>
      <c r="DEF11" s="16"/>
      <c r="DEG11" s="16"/>
      <c r="DEH11" s="16"/>
      <c r="DEI11" s="16"/>
      <c r="DEJ11" s="16"/>
      <c r="DEK11" s="16"/>
      <c r="DEL11" s="16"/>
      <c r="DEM11" s="16"/>
      <c r="DEN11" s="16"/>
      <c r="DEO11" s="16"/>
      <c r="DEP11" s="16"/>
      <c r="DEQ11" s="16"/>
      <c r="DER11" s="16"/>
      <c r="DES11" s="16"/>
      <c r="DET11" s="16"/>
      <c r="DEU11" s="16"/>
      <c r="DEV11" s="16"/>
      <c r="DEW11" s="16"/>
      <c r="DEX11" s="16"/>
      <c r="DEY11" s="16"/>
      <c r="DEZ11" s="16"/>
      <c r="DFA11" s="16"/>
      <c r="DFB11" s="16"/>
      <c r="DFC11" s="16"/>
      <c r="DFD11" s="16"/>
      <c r="DFE11" s="16"/>
      <c r="DFF11" s="16"/>
      <c r="DFG11" s="16"/>
      <c r="DFH11" s="16"/>
      <c r="DFI11" s="16"/>
      <c r="DFJ11" s="16"/>
      <c r="DFK11" s="16"/>
      <c r="DFL11" s="16"/>
      <c r="DFM11" s="16"/>
      <c r="DFN11" s="16"/>
      <c r="DFO11" s="16"/>
      <c r="DFP11" s="16"/>
      <c r="DFQ11" s="16"/>
      <c r="DFR11" s="16"/>
      <c r="DFS11" s="16"/>
      <c r="DFT11" s="16"/>
      <c r="DFU11" s="16"/>
      <c r="DFV11" s="16"/>
      <c r="DFW11" s="16"/>
      <c r="DFX11" s="16"/>
      <c r="DFY11" s="16"/>
      <c r="DFZ11" s="16"/>
      <c r="DGA11" s="16"/>
      <c r="DGB11" s="16"/>
      <c r="DGC11" s="16"/>
      <c r="DGD11" s="16"/>
      <c r="DGE11" s="16"/>
      <c r="DGF11" s="16"/>
      <c r="DGG11" s="16"/>
      <c r="DGH11" s="16"/>
      <c r="DGI11" s="16"/>
      <c r="DGJ11" s="16"/>
      <c r="DGK11" s="16"/>
      <c r="DGL11" s="16"/>
      <c r="DGM11" s="16"/>
      <c r="DGN11" s="16"/>
      <c r="DGO11" s="16"/>
      <c r="DGP11" s="16"/>
      <c r="DGQ11" s="16"/>
      <c r="DGR11" s="16"/>
      <c r="DGS11" s="16"/>
      <c r="DGT11" s="16"/>
      <c r="DGU11" s="16"/>
      <c r="DGV11" s="16"/>
      <c r="DGW11" s="16"/>
      <c r="DGX11" s="16"/>
      <c r="DGY11" s="16"/>
      <c r="DGZ11" s="16"/>
      <c r="DHA11" s="16"/>
      <c r="DHB11" s="16"/>
      <c r="DHC11" s="16"/>
      <c r="DHD11" s="16"/>
      <c r="DHE11" s="16"/>
      <c r="DHF11" s="16"/>
      <c r="DHG11" s="16"/>
      <c r="DHH11" s="16"/>
      <c r="DHI11" s="16"/>
      <c r="DHJ11" s="16"/>
      <c r="DHK11" s="16"/>
      <c r="DHL11" s="16"/>
      <c r="DHM11" s="16"/>
      <c r="DHN11" s="16"/>
      <c r="DHO11" s="16"/>
      <c r="DHP11" s="16"/>
      <c r="DHQ11" s="16"/>
      <c r="DHR11" s="16"/>
      <c r="DHS11" s="16"/>
      <c r="DHT11" s="16"/>
      <c r="DHU11" s="16"/>
      <c r="DHV11" s="16"/>
      <c r="DHW11" s="16"/>
      <c r="DHX11" s="16"/>
      <c r="DHY11" s="16"/>
      <c r="DHZ11" s="16"/>
      <c r="DIA11" s="16"/>
      <c r="DIB11" s="16"/>
      <c r="DIC11" s="16"/>
      <c r="DID11" s="16"/>
      <c r="DIE11" s="16"/>
      <c r="DIF11" s="16"/>
      <c r="DIG11" s="16"/>
      <c r="DIH11" s="16"/>
      <c r="DII11" s="16"/>
      <c r="DIJ11" s="16"/>
      <c r="DIK11" s="16"/>
      <c r="DIL11" s="16"/>
      <c r="DIM11" s="16"/>
      <c r="DIN11" s="16"/>
      <c r="DIO11" s="16"/>
      <c r="DIP11" s="16"/>
      <c r="DIQ11" s="16"/>
      <c r="DIR11" s="16"/>
      <c r="DIS11" s="16"/>
      <c r="DIT11" s="16"/>
      <c r="DIU11" s="16"/>
      <c r="DIV11" s="16"/>
      <c r="DIW11" s="16"/>
      <c r="DIX11" s="16"/>
      <c r="DIY11" s="16"/>
      <c r="DIZ11" s="16"/>
      <c r="DJA11" s="16"/>
      <c r="DJB11" s="16"/>
      <c r="DJC11" s="16"/>
      <c r="DJD11" s="16"/>
      <c r="DJE11" s="16"/>
      <c r="DJF11" s="16"/>
      <c r="DJG11" s="16"/>
      <c r="DJH11" s="16"/>
      <c r="DJI11" s="16"/>
      <c r="DJJ11" s="16"/>
      <c r="DJK11" s="16"/>
      <c r="DJL11" s="16"/>
      <c r="DJM11" s="16"/>
      <c r="DJN11" s="16"/>
      <c r="DJO11" s="16"/>
      <c r="DJP11" s="16"/>
      <c r="DJQ11" s="16"/>
      <c r="DJR11" s="16"/>
      <c r="DJS11" s="16"/>
      <c r="DJT11" s="16"/>
      <c r="DJU11" s="16"/>
      <c r="DJV11" s="16"/>
      <c r="DJW11" s="16"/>
      <c r="DJX11" s="16"/>
      <c r="DJY11" s="16"/>
      <c r="DJZ11" s="16"/>
      <c r="DKA11" s="16"/>
      <c r="DKB11" s="16"/>
      <c r="DKC11" s="16"/>
      <c r="DKD11" s="16"/>
      <c r="DKE11" s="16"/>
      <c r="DKF11" s="16"/>
      <c r="DKG11" s="16"/>
      <c r="DKH11" s="16"/>
      <c r="DKI11" s="16"/>
      <c r="DKJ11" s="16"/>
      <c r="DKK11" s="16"/>
      <c r="DKL11" s="16"/>
      <c r="DKM11" s="16"/>
      <c r="DKN11" s="16"/>
      <c r="DKO11" s="16"/>
      <c r="DKP11" s="16"/>
      <c r="DKQ11" s="16"/>
      <c r="DKR11" s="16"/>
      <c r="DKS11" s="16"/>
      <c r="DKT11" s="16"/>
      <c r="DKU11" s="16"/>
      <c r="DKV11" s="16"/>
      <c r="DKW11" s="16"/>
      <c r="DKX11" s="16"/>
      <c r="DKY11" s="16"/>
      <c r="DKZ11" s="16"/>
      <c r="DLA11" s="16"/>
      <c r="DLB11" s="16"/>
      <c r="DLC11" s="16"/>
      <c r="DLD11" s="16"/>
      <c r="DLE11" s="16"/>
      <c r="DLF11" s="16"/>
      <c r="DLG11" s="16"/>
      <c r="DLH11" s="16"/>
      <c r="DLI11" s="16"/>
      <c r="DLJ11" s="16"/>
      <c r="DLK11" s="16"/>
      <c r="DLL11" s="16"/>
      <c r="DLM11" s="16"/>
      <c r="DLN11" s="16"/>
      <c r="DLO11" s="16"/>
      <c r="DLP11" s="16"/>
      <c r="DLQ11" s="16"/>
      <c r="DLR11" s="16"/>
      <c r="DLS11" s="16"/>
      <c r="DLT11" s="16"/>
      <c r="DLU11" s="16"/>
      <c r="DLV11" s="16"/>
      <c r="DLW11" s="16"/>
      <c r="DLX11" s="16"/>
      <c r="DLY11" s="16"/>
      <c r="DLZ11" s="16"/>
      <c r="DMA11" s="16"/>
      <c r="DMB11" s="16"/>
      <c r="DMC11" s="16"/>
      <c r="DMD11" s="16"/>
      <c r="DME11" s="16"/>
      <c r="DMF11" s="16"/>
      <c r="DMG11" s="16"/>
      <c r="DMH11" s="16"/>
      <c r="DMI11" s="16"/>
      <c r="DMJ11" s="16"/>
      <c r="DMK11" s="16"/>
      <c r="DML11" s="16"/>
      <c r="DMM11" s="16"/>
      <c r="DMN11" s="16"/>
      <c r="DMO11" s="16"/>
      <c r="DMP11" s="16"/>
      <c r="DMQ11" s="16"/>
      <c r="DMR11" s="16"/>
      <c r="DMS11" s="16"/>
      <c r="DMT11" s="16"/>
      <c r="DMU11" s="16"/>
      <c r="DMV11" s="16"/>
      <c r="DMW11" s="16"/>
      <c r="DMX11" s="16"/>
      <c r="DMY11" s="16"/>
      <c r="DMZ11" s="16"/>
      <c r="DNA11" s="16"/>
      <c r="DNB11" s="16"/>
      <c r="DNC11" s="16"/>
      <c r="DND11" s="16"/>
      <c r="DNE11" s="16"/>
      <c r="DNF11" s="16"/>
      <c r="DNG11" s="16"/>
      <c r="DNH11" s="16"/>
      <c r="DNI11" s="16"/>
      <c r="DNJ11" s="16"/>
      <c r="DNK11" s="16"/>
      <c r="DNL11" s="16"/>
      <c r="DNM11" s="16"/>
      <c r="DNN11" s="16"/>
      <c r="DNO11" s="16"/>
      <c r="DNP11" s="16"/>
      <c r="DNQ11" s="16"/>
      <c r="DNR11" s="16"/>
      <c r="DNS11" s="16"/>
      <c r="DNT11" s="16"/>
      <c r="DNU11" s="16"/>
      <c r="DNV11" s="16"/>
      <c r="DNW11" s="16"/>
      <c r="DNX11" s="16"/>
      <c r="DNY11" s="16"/>
      <c r="DNZ11" s="16"/>
      <c r="DOA11" s="16"/>
      <c r="DOB11" s="16"/>
      <c r="DOC11" s="16"/>
      <c r="DOD11" s="16"/>
      <c r="DOE11" s="16"/>
      <c r="DOF11" s="16"/>
      <c r="DOG11" s="16"/>
      <c r="DOH11" s="16"/>
      <c r="DOI11" s="16"/>
      <c r="DOJ11" s="16"/>
      <c r="DOK11" s="16"/>
      <c r="DOL11" s="16"/>
      <c r="DOM11" s="16"/>
      <c r="DON11" s="16"/>
      <c r="DOO11" s="16"/>
      <c r="DOP11" s="16"/>
      <c r="DOQ11" s="16"/>
      <c r="DOR11" s="16"/>
      <c r="DOS11" s="16"/>
      <c r="DOT11" s="16"/>
      <c r="DOU11" s="16"/>
      <c r="DOV11" s="16"/>
      <c r="DOW11" s="16"/>
      <c r="DOX11" s="16"/>
      <c r="DOY11" s="16"/>
      <c r="DOZ11" s="16"/>
      <c r="DPA11" s="16"/>
      <c r="DPB11" s="16"/>
      <c r="DPC11" s="16"/>
      <c r="DPD11" s="16"/>
      <c r="DPE11" s="16"/>
      <c r="DPF11" s="16"/>
      <c r="DPG11" s="16"/>
      <c r="DPH11" s="16"/>
      <c r="DPI11" s="16"/>
      <c r="DPJ11" s="16"/>
      <c r="DPK11" s="16"/>
      <c r="DPL11" s="16"/>
      <c r="DPM11" s="16"/>
      <c r="DPN11" s="16"/>
      <c r="DPO11" s="16"/>
      <c r="DPP11" s="16"/>
      <c r="DPQ11" s="16"/>
      <c r="DPR11" s="16"/>
      <c r="DPS11" s="16"/>
      <c r="DPT11" s="16"/>
      <c r="DPU11" s="16"/>
      <c r="DPV11" s="16"/>
      <c r="DPW11" s="16"/>
      <c r="DPX11" s="16"/>
      <c r="DPY11" s="16"/>
      <c r="DPZ11" s="16"/>
      <c r="DQA11" s="16"/>
      <c r="DQB11" s="16"/>
      <c r="DQC11" s="16"/>
      <c r="DQD11" s="16"/>
      <c r="DQE11" s="16"/>
      <c r="DQF11" s="16"/>
      <c r="DQG11" s="16"/>
      <c r="DQH11" s="16"/>
      <c r="DQI11" s="16"/>
      <c r="DQJ11" s="16"/>
      <c r="DQK11" s="16"/>
      <c r="DQL11" s="16"/>
      <c r="DQM11" s="16"/>
      <c r="DQN11" s="16"/>
      <c r="DQO11" s="16"/>
      <c r="DQP11" s="16"/>
      <c r="DQQ11" s="16"/>
      <c r="DQR11" s="16"/>
      <c r="DQS11" s="16"/>
      <c r="DQT11" s="16"/>
      <c r="DQU11" s="16"/>
      <c r="DQV11" s="16"/>
      <c r="DQW11" s="16"/>
      <c r="DQX11" s="16"/>
      <c r="DQY11" s="16"/>
      <c r="DQZ11" s="16"/>
      <c r="DRA11" s="16"/>
      <c r="DRB11" s="16"/>
      <c r="DRC11" s="16"/>
      <c r="DRD11" s="16"/>
      <c r="DRE11" s="16"/>
      <c r="DRF11" s="16"/>
      <c r="DRG11" s="16"/>
      <c r="DRH11" s="16"/>
      <c r="DRI11" s="16"/>
      <c r="DRJ11" s="16"/>
      <c r="DRK11" s="16"/>
      <c r="DRL11" s="16"/>
      <c r="DRM11" s="16"/>
      <c r="DRN11" s="16"/>
      <c r="DRO11" s="16"/>
      <c r="DRP11" s="16"/>
      <c r="DRQ11" s="16"/>
      <c r="DRR11" s="16"/>
      <c r="DRS11" s="16"/>
      <c r="DRT11" s="16"/>
      <c r="DRU11" s="16"/>
      <c r="DRV11" s="16"/>
      <c r="DRW11" s="16"/>
      <c r="DRX11" s="16"/>
      <c r="DRY11" s="16"/>
      <c r="DRZ11" s="16"/>
      <c r="DSA11" s="16"/>
      <c r="DSB11" s="16"/>
      <c r="DSC11" s="16"/>
      <c r="DSD11" s="16"/>
      <c r="DSE11" s="16"/>
      <c r="DSF11" s="16"/>
      <c r="DSG11" s="16"/>
      <c r="DSH11" s="16"/>
      <c r="DSI11" s="16"/>
      <c r="DSJ11" s="16"/>
      <c r="DSK11" s="16"/>
      <c r="DSL11" s="16"/>
      <c r="DSM11" s="16"/>
      <c r="DSN11" s="16"/>
      <c r="DSO11" s="16"/>
      <c r="DSP11" s="16"/>
      <c r="DSQ11" s="16"/>
      <c r="DSR11" s="16"/>
      <c r="DSS11" s="16"/>
      <c r="DST11" s="16"/>
      <c r="DSU11" s="16"/>
      <c r="DSV11" s="16"/>
      <c r="DSW11" s="16"/>
      <c r="DSX11" s="16"/>
      <c r="DSY11" s="16"/>
      <c r="DSZ11" s="16"/>
      <c r="DTA11" s="16"/>
      <c r="DTB11" s="16"/>
      <c r="DTC11" s="16"/>
      <c r="DTD11" s="16"/>
      <c r="DTE11" s="16"/>
      <c r="DTF11" s="16"/>
      <c r="DTG11" s="16"/>
      <c r="DTH11" s="16"/>
      <c r="DTI11" s="16"/>
      <c r="DTJ11" s="16"/>
      <c r="DTK11" s="16"/>
      <c r="DTL11" s="16"/>
      <c r="DTM11" s="16"/>
      <c r="DTN11" s="16"/>
      <c r="DTO11" s="16"/>
      <c r="DTP11" s="16"/>
      <c r="DTQ11" s="16"/>
      <c r="DTR11" s="16"/>
      <c r="DTS11" s="16"/>
      <c r="DTT11" s="16"/>
      <c r="DTU11" s="16"/>
      <c r="DTV11" s="16"/>
      <c r="DTW11" s="16"/>
      <c r="DTX11" s="16"/>
      <c r="DTY11" s="16"/>
      <c r="DTZ11" s="16"/>
      <c r="DUA11" s="16"/>
      <c r="DUB11" s="16"/>
      <c r="DUC11" s="16"/>
      <c r="DUD11" s="16"/>
      <c r="DUE11" s="16"/>
      <c r="DUF11" s="16"/>
      <c r="DUG11" s="16"/>
      <c r="DUH11" s="16"/>
      <c r="DUI11" s="16"/>
      <c r="DUJ11" s="16"/>
      <c r="DUK11" s="16"/>
      <c r="DUL11" s="16"/>
      <c r="DUM11" s="16"/>
      <c r="DUN11" s="16"/>
      <c r="DUO11" s="16"/>
      <c r="DUP11" s="16"/>
      <c r="DUQ11" s="16"/>
      <c r="DUR11" s="16"/>
      <c r="DUS11" s="16"/>
      <c r="DUT11" s="16"/>
      <c r="DUU11" s="16"/>
      <c r="DUV11" s="16"/>
      <c r="DUW11" s="16"/>
      <c r="DUX11" s="16"/>
      <c r="DUY11" s="16"/>
      <c r="DUZ11" s="16"/>
      <c r="DVA11" s="16"/>
      <c r="DVB11" s="16"/>
      <c r="DVC11" s="16"/>
      <c r="DVD11" s="16"/>
      <c r="DVE11" s="16"/>
      <c r="DVF11" s="16"/>
      <c r="DVG11" s="16"/>
      <c r="DVH11" s="16"/>
      <c r="DVI11" s="16"/>
      <c r="DVJ11" s="16"/>
      <c r="DVK11" s="16"/>
      <c r="DVL11" s="16"/>
      <c r="DVM11" s="16"/>
      <c r="DVN11" s="16"/>
      <c r="DVO11" s="16"/>
      <c r="DVP11" s="16"/>
      <c r="DVQ11" s="16"/>
      <c r="DVR11" s="16"/>
      <c r="DVS11" s="16"/>
      <c r="DVT11" s="16"/>
      <c r="DVU11" s="16"/>
      <c r="DVV11" s="16"/>
      <c r="DVW11" s="16"/>
      <c r="DVX11" s="16"/>
      <c r="DVY11" s="16"/>
      <c r="DVZ11" s="16"/>
      <c r="DWA11" s="16"/>
      <c r="DWB11" s="16"/>
      <c r="DWC11" s="16"/>
      <c r="DWD11" s="16"/>
      <c r="DWE11" s="16"/>
      <c r="DWF11" s="16"/>
      <c r="DWG11" s="16"/>
      <c r="DWH11" s="16"/>
      <c r="DWI11" s="16"/>
      <c r="DWJ11" s="16"/>
      <c r="DWK11" s="16"/>
      <c r="DWL11" s="16"/>
      <c r="DWM11" s="16"/>
      <c r="DWN11" s="16"/>
      <c r="DWO11" s="16"/>
      <c r="DWP11" s="16"/>
      <c r="DWQ11" s="16"/>
      <c r="DWR11" s="16"/>
      <c r="DWS11" s="16"/>
      <c r="DWT11" s="16"/>
      <c r="DWU11" s="16"/>
      <c r="DWV11" s="16"/>
      <c r="DWW11" s="16"/>
      <c r="DWX11" s="16"/>
      <c r="DWY11" s="16"/>
      <c r="DWZ11" s="16"/>
      <c r="DXA11" s="16"/>
      <c r="DXB11" s="16"/>
      <c r="DXC11" s="16"/>
      <c r="DXD11" s="16"/>
      <c r="DXE11" s="16"/>
      <c r="DXF11" s="16"/>
      <c r="DXG11" s="16"/>
      <c r="DXH11" s="16"/>
      <c r="DXI11" s="16"/>
      <c r="DXJ11" s="16"/>
      <c r="DXK11" s="16"/>
      <c r="DXL11" s="16"/>
      <c r="DXM11" s="16"/>
      <c r="DXN11" s="16"/>
      <c r="DXO11" s="16"/>
      <c r="DXP11" s="16"/>
      <c r="DXQ11" s="16"/>
      <c r="DXR11" s="16"/>
      <c r="DXS11" s="16"/>
      <c r="DXT11" s="16"/>
      <c r="DXU11" s="16"/>
      <c r="DXV11" s="16"/>
      <c r="DXW11" s="16"/>
      <c r="DXX11" s="16"/>
      <c r="DXY11" s="16"/>
      <c r="DXZ11" s="16"/>
      <c r="DYA11" s="16"/>
      <c r="DYB11" s="16"/>
      <c r="DYC11" s="16"/>
      <c r="DYD11" s="16"/>
      <c r="DYE11" s="16"/>
      <c r="DYF11" s="16"/>
      <c r="DYG11" s="16"/>
      <c r="DYH11" s="16"/>
      <c r="DYI11" s="16"/>
      <c r="DYJ11" s="16"/>
      <c r="DYK11" s="16"/>
      <c r="DYL11" s="16"/>
      <c r="DYM11" s="16"/>
      <c r="DYN11" s="16"/>
      <c r="DYO11" s="16"/>
      <c r="DYP11" s="16"/>
      <c r="DYQ11" s="16"/>
      <c r="DYR11" s="16"/>
      <c r="DYS11" s="16"/>
      <c r="DYT11" s="16"/>
      <c r="DYU11" s="16"/>
      <c r="DYV11" s="16"/>
      <c r="DYW11" s="16"/>
      <c r="DYX11" s="16"/>
      <c r="DYY11" s="16"/>
      <c r="DYZ11" s="16"/>
      <c r="DZA11" s="16"/>
      <c r="DZB11" s="16"/>
      <c r="DZC11" s="16"/>
      <c r="DZD11" s="16"/>
      <c r="DZE11" s="16"/>
      <c r="DZF11" s="16"/>
      <c r="DZG11" s="16"/>
      <c r="DZH11" s="16"/>
      <c r="DZI11" s="16"/>
      <c r="DZJ11" s="16"/>
      <c r="DZK11" s="16"/>
      <c r="DZL11" s="16"/>
      <c r="DZM11" s="16"/>
      <c r="DZN11" s="16"/>
      <c r="DZO11" s="16"/>
      <c r="DZP11" s="16"/>
      <c r="DZQ11" s="16"/>
      <c r="DZR11" s="16"/>
      <c r="DZS11" s="16"/>
      <c r="DZT11" s="16"/>
      <c r="DZU11" s="16"/>
      <c r="DZV11" s="16"/>
      <c r="DZW11" s="16"/>
      <c r="DZX11" s="16"/>
      <c r="DZY11" s="16"/>
      <c r="DZZ11" s="16"/>
      <c r="EAA11" s="16"/>
      <c r="EAB11" s="16"/>
      <c r="EAC11" s="16"/>
      <c r="EAD11" s="16"/>
      <c r="EAE11" s="16"/>
      <c r="EAF11" s="16"/>
      <c r="EAG11" s="16"/>
      <c r="EAH11" s="16"/>
      <c r="EAI11" s="16"/>
      <c r="EAJ11" s="16"/>
      <c r="EAK11" s="16"/>
      <c r="EAL11" s="16"/>
      <c r="EAM11" s="16"/>
      <c r="EAN11" s="16"/>
      <c r="EAO11" s="16"/>
      <c r="EAP11" s="16"/>
      <c r="EAQ11" s="16"/>
      <c r="EAR11" s="16"/>
      <c r="EAS11" s="16"/>
      <c r="EAT11" s="16"/>
      <c r="EAU11" s="16"/>
      <c r="EAV11" s="16"/>
      <c r="EAW11" s="16"/>
      <c r="EAX11" s="16"/>
      <c r="EAY11" s="16"/>
      <c r="EAZ11" s="16"/>
      <c r="EBA11" s="16"/>
      <c r="EBB11" s="16"/>
      <c r="EBC11" s="16"/>
      <c r="EBD11" s="16"/>
      <c r="EBE11" s="16"/>
      <c r="EBF11" s="16"/>
      <c r="EBG11" s="16"/>
      <c r="EBH11" s="16"/>
      <c r="EBI11" s="16"/>
      <c r="EBJ11" s="16"/>
      <c r="EBK11" s="16"/>
      <c r="EBL11" s="16"/>
      <c r="EBM11" s="16"/>
      <c r="EBN11" s="16"/>
      <c r="EBO11" s="16"/>
      <c r="EBP11" s="16"/>
      <c r="EBQ11" s="16"/>
      <c r="EBR11" s="16"/>
      <c r="EBS11" s="16"/>
      <c r="EBT11" s="16"/>
      <c r="EBU11" s="16"/>
      <c r="EBV11" s="16"/>
      <c r="EBW11" s="16"/>
      <c r="EBX11" s="16"/>
      <c r="EBY11" s="16"/>
      <c r="EBZ11" s="16"/>
      <c r="ECA11" s="16"/>
      <c r="ECB11" s="16"/>
      <c r="ECC11" s="16"/>
      <c r="ECD11" s="16"/>
      <c r="ECE11" s="16"/>
      <c r="ECF11" s="16"/>
      <c r="ECG11" s="16"/>
      <c r="ECH11" s="16"/>
      <c r="ECI11" s="16"/>
      <c r="ECJ11" s="16"/>
      <c r="ECK11" s="16"/>
      <c r="ECL11" s="16"/>
      <c r="ECM11" s="16"/>
      <c r="ECN11" s="16"/>
      <c r="ECO11" s="16"/>
      <c r="ECP11" s="16"/>
      <c r="ECQ11" s="16"/>
      <c r="ECR11" s="16"/>
      <c r="ECS11" s="16"/>
      <c r="ECT11" s="16"/>
      <c r="ECU11" s="16"/>
      <c r="ECV11" s="16"/>
      <c r="ECW11" s="16"/>
      <c r="ECX11" s="16"/>
      <c r="ECY11" s="16"/>
      <c r="ECZ11" s="16"/>
      <c r="EDA11" s="16"/>
      <c r="EDB11" s="16"/>
      <c r="EDC11" s="16"/>
      <c r="EDD11" s="16"/>
      <c r="EDE11" s="16"/>
      <c r="EDF11" s="16"/>
      <c r="EDG11" s="16"/>
      <c r="EDH11" s="16"/>
      <c r="EDI11" s="16"/>
      <c r="EDJ11" s="16"/>
      <c r="EDK11" s="16"/>
      <c r="EDL11" s="16"/>
      <c r="EDM11" s="16"/>
      <c r="EDN11" s="16"/>
      <c r="EDO11" s="16"/>
      <c r="EDP11" s="16"/>
      <c r="EDQ11" s="16"/>
      <c r="EDR11" s="16"/>
      <c r="EDS11" s="16"/>
      <c r="EDT11" s="16"/>
      <c r="EDU11" s="16"/>
      <c r="EDV11" s="16"/>
      <c r="EDW11" s="16"/>
      <c r="EDX11" s="16"/>
      <c r="EDY11" s="16"/>
      <c r="EDZ11" s="16"/>
      <c r="EEA11" s="16"/>
      <c r="EEB11" s="16"/>
      <c r="EEC11" s="16"/>
      <c r="EED11" s="16"/>
      <c r="EEE11" s="16"/>
      <c r="EEF11" s="16"/>
      <c r="EEG11" s="16"/>
      <c r="EEH11" s="16"/>
      <c r="EEI11" s="16"/>
      <c r="EEJ11" s="16"/>
      <c r="EEK11" s="16"/>
      <c r="EEL11" s="16"/>
      <c r="EEM11" s="16"/>
      <c r="EEN11" s="16"/>
      <c r="EEO11" s="16"/>
      <c r="EEP11" s="16"/>
      <c r="EEQ11" s="16"/>
      <c r="EER11" s="16"/>
      <c r="EES11" s="16"/>
      <c r="EET11" s="16"/>
      <c r="EEU11" s="16"/>
      <c r="EEV11" s="16"/>
      <c r="EEW11" s="16"/>
      <c r="EEX11" s="16"/>
      <c r="EEY11" s="16"/>
      <c r="EEZ11" s="16"/>
      <c r="EFA11" s="16"/>
      <c r="EFB11" s="16"/>
      <c r="EFC11" s="16"/>
      <c r="EFD11" s="16"/>
      <c r="EFE11" s="16"/>
      <c r="EFF11" s="16"/>
      <c r="EFG11" s="16"/>
      <c r="EFH11" s="16"/>
      <c r="EFI11" s="16"/>
      <c r="EFJ11" s="16"/>
      <c r="EFK11" s="16"/>
      <c r="EFL11" s="16"/>
      <c r="EFM11" s="16"/>
      <c r="EFN11" s="16"/>
      <c r="EFO11" s="16"/>
      <c r="EFP11" s="16"/>
      <c r="EFQ11" s="16"/>
      <c r="EFR11" s="16"/>
      <c r="EFS11" s="16"/>
      <c r="EFT11" s="16"/>
      <c r="EFU11" s="16"/>
      <c r="EFV11" s="16"/>
      <c r="EFW11" s="16"/>
      <c r="EFX11" s="16"/>
      <c r="EFY11" s="16"/>
      <c r="EFZ11" s="16"/>
      <c r="EGA11" s="16"/>
      <c r="EGB11" s="16"/>
      <c r="EGC11" s="16"/>
      <c r="EGD11" s="16"/>
      <c r="EGE11" s="16"/>
      <c r="EGF11" s="16"/>
      <c r="EGG11" s="16"/>
      <c r="EGH11" s="16"/>
      <c r="EGI11" s="16"/>
      <c r="EGJ11" s="16"/>
      <c r="EGK11" s="16"/>
      <c r="EGL11" s="16"/>
      <c r="EGM11" s="16"/>
      <c r="EGN11" s="16"/>
      <c r="EGO11" s="16"/>
      <c r="EGP11" s="16"/>
      <c r="EGQ11" s="16"/>
      <c r="EGR11" s="16"/>
      <c r="EGS11" s="16"/>
      <c r="EGT11" s="16"/>
      <c r="EGU11" s="16"/>
      <c r="EGV11" s="16"/>
      <c r="EGW11" s="16"/>
      <c r="EGX11" s="16"/>
      <c r="EGY11" s="16"/>
      <c r="EGZ11" s="16"/>
      <c r="EHA11" s="16"/>
      <c r="EHB11" s="16"/>
      <c r="EHC11" s="16"/>
      <c r="EHD11" s="16"/>
      <c r="EHE11" s="16"/>
      <c r="EHF11" s="16"/>
      <c r="EHG11" s="16"/>
      <c r="EHH11" s="16"/>
      <c r="EHI11" s="16"/>
      <c r="EHJ11" s="16"/>
      <c r="EHK11" s="16"/>
      <c r="EHL11" s="16"/>
      <c r="EHM11" s="16"/>
      <c r="EHN11" s="16"/>
      <c r="EHO11" s="16"/>
      <c r="EHP11" s="16"/>
      <c r="EHQ11" s="16"/>
      <c r="EHR11" s="16"/>
      <c r="EHS11" s="16"/>
      <c r="EHT11" s="16"/>
      <c r="EHU11" s="16"/>
      <c r="EHV11" s="16"/>
      <c r="EHW11" s="16"/>
      <c r="EHX11" s="16"/>
      <c r="EHY11" s="16"/>
      <c r="EHZ11" s="16"/>
      <c r="EIA11" s="16"/>
      <c r="EIB11" s="16"/>
      <c r="EIC11" s="16"/>
      <c r="EID11" s="16"/>
      <c r="EIE11" s="16"/>
      <c r="EIF11" s="16"/>
      <c r="EIG11" s="16"/>
      <c r="EIH11" s="16"/>
      <c r="EII11" s="16"/>
      <c r="EIJ11" s="16"/>
      <c r="EIK11" s="16"/>
      <c r="EIL11" s="16"/>
      <c r="EIM11" s="16"/>
      <c r="EIN11" s="16"/>
      <c r="EIO11" s="16"/>
      <c r="EIP11" s="16"/>
      <c r="EIQ11" s="16"/>
      <c r="EIR11" s="16"/>
      <c r="EIS11" s="16"/>
      <c r="EIT11" s="16"/>
      <c r="EIU11" s="16"/>
      <c r="EIV11" s="16"/>
      <c r="EIW11" s="16"/>
      <c r="EIX11" s="16"/>
      <c r="EIY11" s="16"/>
      <c r="EIZ11" s="16"/>
      <c r="EJA11" s="16"/>
      <c r="EJB11" s="16"/>
      <c r="EJC11" s="16"/>
      <c r="EJD11" s="16"/>
      <c r="EJE11" s="16"/>
      <c r="EJF11" s="16"/>
      <c r="EJG11" s="16"/>
      <c r="EJH11" s="16"/>
      <c r="EJI11" s="16"/>
      <c r="EJJ11" s="16"/>
      <c r="EJK11" s="16"/>
      <c r="EJL11" s="16"/>
      <c r="EJM11" s="16"/>
      <c r="EJN11" s="16"/>
      <c r="EJO11" s="16"/>
      <c r="EJP11" s="16"/>
      <c r="EJQ11" s="16"/>
      <c r="EJR11" s="16"/>
      <c r="EJS11" s="16"/>
      <c r="EJT11" s="16"/>
      <c r="EJU11" s="16"/>
      <c r="EJV11" s="16"/>
      <c r="EJW11" s="16"/>
      <c r="EJX11" s="16"/>
      <c r="EJY11" s="16"/>
      <c r="EJZ11" s="16"/>
      <c r="EKA11" s="16"/>
      <c r="EKB11" s="16"/>
      <c r="EKC11" s="16"/>
      <c r="EKD11" s="16"/>
      <c r="EKE11" s="16"/>
      <c r="EKF11" s="16"/>
      <c r="EKG11" s="16"/>
      <c r="EKH11" s="16"/>
      <c r="EKI11" s="16"/>
      <c r="EKJ11" s="16"/>
      <c r="EKK11" s="16"/>
      <c r="EKL11" s="16"/>
      <c r="EKM11" s="16"/>
      <c r="EKN11" s="16"/>
      <c r="EKO11" s="16"/>
      <c r="EKP11" s="16"/>
      <c r="EKQ11" s="16"/>
      <c r="EKR11" s="16"/>
      <c r="EKS11" s="16"/>
      <c r="EKT11" s="16"/>
      <c r="EKU11" s="16"/>
      <c r="EKV11" s="16"/>
      <c r="EKW11" s="16"/>
      <c r="EKX11" s="16"/>
      <c r="EKY11" s="16"/>
      <c r="EKZ11" s="16"/>
      <c r="ELA11" s="16"/>
      <c r="ELB11" s="16"/>
      <c r="ELC11" s="16"/>
      <c r="ELD11" s="16"/>
      <c r="ELE11" s="16"/>
      <c r="ELF11" s="16"/>
      <c r="ELG11" s="16"/>
      <c r="ELH11" s="16"/>
      <c r="ELI11" s="16"/>
      <c r="ELJ11" s="16"/>
      <c r="ELK11" s="16"/>
      <c r="ELL11" s="16"/>
      <c r="ELM11" s="16"/>
      <c r="ELN11" s="16"/>
      <c r="ELO11" s="16"/>
      <c r="ELP11" s="16"/>
      <c r="ELQ11" s="16"/>
      <c r="ELR11" s="16"/>
      <c r="ELS11" s="16"/>
      <c r="ELT11" s="16"/>
      <c r="ELU11" s="16"/>
      <c r="ELV11" s="16"/>
      <c r="ELW11" s="16"/>
      <c r="ELX11" s="16"/>
      <c r="ELY11" s="16"/>
      <c r="ELZ11" s="16"/>
      <c r="EMA11" s="16"/>
      <c r="EMB11" s="16"/>
      <c r="EMC11" s="16"/>
      <c r="EMD11" s="16"/>
      <c r="EME11" s="16"/>
      <c r="EMF11" s="16"/>
      <c r="EMG11" s="16"/>
      <c r="EMH11" s="16"/>
      <c r="EMI11" s="16"/>
      <c r="EMJ11" s="16"/>
      <c r="EMK11" s="16"/>
      <c r="EML11" s="16"/>
      <c r="EMM11" s="16"/>
      <c r="EMN11" s="16"/>
      <c r="EMO11" s="16"/>
      <c r="EMP11" s="16"/>
      <c r="EMQ11" s="16"/>
      <c r="EMR11" s="16"/>
      <c r="EMS11" s="16"/>
      <c r="EMT11" s="16"/>
      <c r="EMU11" s="16"/>
      <c r="EMV11" s="16"/>
      <c r="EMW11" s="16"/>
      <c r="EMX11" s="16"/>
      <c r="EMY11" s="16"/>
      <c r="EMZ11" s="16"/>
      <c r="ENA11" s="16"/>
      <c r="ENB11" s="16"/>
      <c r="ENC11" s="16"/>
      <c r="END11" s="16"/>
      <c r="ENE11" s="16"/>
      <c r="ENF11" s="16"/>
      <c r="ENG11" s="16"/>
      <c r="ENH11" s="16"/>
      <c r="ENI11" s="16"/>
      <c r="ENJ11" s="16"/>
      <c r="ENK11" s="16"/>
      <c r="ENL11" s="16"/>
      <c r="ENM11" s="16"/>
      <c r="ENN11" s="16"/>
      <c r="ENO11" s="16"/>
      <c r="ENP11" s="16"/>
      <c r="ENQ11" s="16"/>
      <c r="ENR11" s="16"/>
      <c r="ENS11" s="16"/>
      <c r="ENT11" s="16"/>
      <c r="ENU11" s="16"/>
      <c r="ENV11" s="16"/>
      <c r="ENW11" s="16"/>
      <c r="ENX11" s="16"/>
      <c r="ENY11" s="16"/>
      <c r="ENZ11" s="16"/>
      <c r="EOA11" s="16"/>
      <c r="EOB11" s="16"/>
      <c r="EOC11" s="16"/>
      <c r="EOD11" s="16"/>
      <c r="EOE11" s="16"/>
      <c r="EOF11" s="16"/>
      <c r="EOG11" s="16"/>
      <c r="EOH11" s="16"/>
      <c r="EOI11" s="16"/>
      <c r="EOJ11" s="16"/>
      <c r="EOK11" s="16"/>
      <c r="EOL11" s="16"/>
      <c r="EOM11" s="16"/>
      <c r="EON11" s="16"/>
      <c r="EOO11" s="16"/>
      <c r="EOP11" s="16"/>
      <c r="EOQ11" s="16"/>
      <c r="EOR11" s="16"/>
      <c r="EOS11" s="16"/>
      <c r="EOT11" s="16"/>
      <c r="EOU11" s="16"/>
      <c r="EOV11" s="16"/>
      <c r="EOW11" s="16"/>
      <c r="EOX11" s="16"/>
      <c r="EOY11" s="16"/>
      <c r="EOZ11" s="16"/>
      <c r="EPA11" s="16"/>
      <c r="EPB11" s="16"/>
      <c r="EPC11" s="16"/>
      <c r="EPD11" s="16"/>
      <c r="EPE11" s="16"/>
      <c r="EPF11" s="16"/>
      <c r="EPG11" s="16"/>
      <c r="EPH11" s="16"/>
      <c r="EPI11" s="16"/>
      <c r="EPJ11" s="16"/>
      <c r="EPK11" s="16"/>
      <c r="EPL11" s="16"/>
      <c r="EPM11" s="16"/>
      <c r="EPN11" s="16"/>
      <c r="EPO11" s="16"/>
      <c r="EPP11" s="16"/>
      <c r="EPQ11" s="16"/>
      <c r="EPR11" s="16"/>
      <c r="EPS11" s="16"/>
      <c r="EPT11" s="16"/>
      <c r="EPU11" s="16"/>
      <c r="EPV11" s="16"/>
      <c r="EPW11" s="16"/>
      <c r="EPX11" s="16"/>
      <c r="EPY11" s="16"/>
      <c r="EPZ11" s="16"/>
      <c r="EQA11" s="16"/>
      <c r="EQB11" s="16"/>
      <c r="EQC11" s="16"/>
      <c r="EQD11" s="16"/>
      <c r="EQE11" s="16"/>
      <c r="EQF11" s="16"/>
      <c r="EQG11" s="16"/>
      <c r="EQH11" s="16"/>
      <c r="EQI11" s="16"/>
      <c r="EQJ11" s="16"/>
      <c r="EQK11" s="16"/>
      <c r="EQL11" s="16"/>
      <c r="EQM11" s="16"/>
      <c r="EQN11" s="16"/>
      <c r="EQO11" s="16"/>
      <c r="EQP11" s="16"/>
      <c r="EQQ11" s="16"/>
      <c r="EQR11" s="16"/>
      <c r="EQS11" s="16"/>
      <c r="EQT11" s="16"/>
      <c r="EQU11" s="16"/>
      <c r="EQV11" s="16"/>
      <c r="EQW11" s="16"/>
      <c r="EQX11" s="16"/>
      <c r="EQY11" s="16"/>
      <c r="EQZ11" s="16"/>
      <c r="ERA11" s="16"/>
      <c r="ERB11" s="16"/>
      <c r="ERC11" s="16"/>
      <c r="ERD11" s="16"/>
      <c r="ERE11" s="16"/>
      <c r="ERF11" s="16"/>
      <c r="ERG11" s="16"/>
      <c r="ERH11" s="16"/>
      <c r="ERI11" s="16"/>
      <c r="ERJ11" s="16"/>
      <c r="ERK11" s="16"/>
      <c r="ERL11" s="16"/>
      <c r="ERM11" s="16"/>
      <c r="ERN11" s="16"/>
      <c r="ERO11" s="16"/>
      <c r="ERP11" s="16"/>
      <c r="ERQ11" s="16"/>
      <c r="ERR11" s="16"/>
      <c r="ERS11" s="16"/>
      <c r="ERT11" s="16"/>
      <c r="ERU11" s="16"/>
      <c r="ERV11" s="16"/>
      <c r="ERW11" s="16"/>
      <c r="ERX11" s="16"/>
      <c r="ERY11" s="16"/>
      <c r="ERZ11" s="16"/>
      <c r="ESA11" s="16"/>
      <c r="ESB11" s="16"/>
      <c r="ESC11" s="16"/>
      <c r="ESD11" s="16"/>
      <c r="ESE11" s="16"/>
      <c r="ESF11" s="16"/>
      <c r="ESG11" s="16"/>
      <c r="ESH11" s="16"/>
      <c r="ESI11" s="16"/>
      <c r="ESJ11" s="16"/>
      <c r="ESK11" s="16"/>
      <c r="ESL11" s="16"/>
      <c r="ESM11" s="16"/>
      <c r="ESN11" s="16"/>
      <c r="ESO11" s="16"/>
      <c r="ESP11" s="16"/>
      <c r="ESQ11" s="16"/>
      <c r="ESR11" s="16"/>
      <c r="ESS11" s="16"/>
      <c r="EST11" s="16"/>
      <c r="ESU11" s="16"/>
      <c r="ESV11" s="16"/>
      <c r="ESW11" s="16"/>
      <c r="ESX11" s="16"/>
      <c r="ESY11" s="16"/>
      <c r="ESZ11" s="16"/>
      <c r="ETA11" s="16"/>
      <c r="ETB11" s="16"/>
      <c r="ETC11" s="16"/>
      <c r="ETD11" s="16"/>
      <c r="ETE11" s="16"/>
      <c r="ETF11" s="16"/>
      <c r="ETG11" s="16"/>
      <c r="ETH11" s="16"/>
      <c r="ETI11" s="16"/>
      <c r="ETJ11" s="16"/>
      <c r="ETK11" s="16"/>
      <c r="ETL11" s="16"/>
      <c r="ETM11" s="16"/>
      <c r="ETN11" s="16"/>
      <c r="ETO11" s="16"/>
      <c r="ETP11" s="16"/>
      <c r="ETQ11" s="16"/>
      <c r="ETR11" s="16"/>
      <c r="ETS11" s="16"/>
      <c r="ETT11" s="16"/>
      <c r="ETU11" s="16"/>
      <c r="ETV11" s="16"/>
      <c r="ETW11" s="16"/>
      <c r="ETX11" s="16"/>
      <c r="ETY11" s="16"/>
      <c r="ETZ11" s="16"/>
      <c r="EUA11" s="16"/>
      <c r="EUB11" s="16"/>
      <c r="EUC11" s="16"/>
      <c r="EUD11" s="16"/>
      <c r="EUE11" s="16"/>
      <c r="EUF11" s="16"/>
      <c r="EUG11" s="16"/>
      <c r="EUH11" s="16"/>
      <c r="EUI11" s="16"/>
      <c r="EUJ11" s="16"/>
      <c r="EUK11" s="16"/>
      <c r="EUL11" s="16"/>
      <c r="EUM11" s="16"/>
      <c r="EUN11" s="16"/>
      <c r="EUO11" s="16"/>
      <c r="EUP11" s="16"/>
      <c r="EUQ11" s="16"/>
      <c r="EUR11" s="16"/>
      <c r="EUS11" s="16"/>
      <c r="EUT11" s="16"/>
      <c r="EUU11" s="16"/>
      <c r="EUV11" s="16"/>
      <c r="EUW11" s="16"/>
      <c r="EUX11" s="16"/>
      <c r="EUY11" s="16"/>
      <c r="EUZ11" s="16"/>
      <c r="EVA11" s="16"/>
      <c r="EVB11" s="16"/>
      <c r="EVC11" s="16"/>
      <c r="EVD11" s="16"/>
      <c r="EVE11" s="16"/>
      <c r="EVF11" s="16"/>
      <c r="EVG11" s="16"/>
      <c r="EVH11" s="16"/>
      <c r="EVI11" s="16"/>
      <c r="EVJ11" s="16"/>
      <c r="EVK11" s="16"/>
      <c r="EVL11" s="16"/>
      <c r="EVM11" s="16"/>
      <c r="EVN11" s="16"/>
      <c r="EVO11" s="16"/>
      <c r="EVP11" s="16"/>
      <c r="EVQ11" s="16"/>
      <c r="EVR11" s="16"/>
      <c r="EVS11" s="16"/>
      <c r="EVT11" s="16"/>
      <c r="EVU11" s="16"/>
      <c r="EVV11" s="16"/>
      <c r="EVW11" s="16"/>
      <c r="EVX11" s="16"/>
      <c r="EVY11" s="16"/>
      <c r="EVZ11" s="16"/>
      <c r="EWA11" s="16"/>
      <c r="EWB11" s="16"/>
      <c r="EWC11" s="16"/>
      <c r="EWD11" s="16"/>
      <c r="EWE11" s="16"/>
      <c r="EWF11" s="16"/>
      <c r="EWG11" s="16"/>
      <c r="EWH11" s="16"/>
      <c r="EWI11" s="16"/>
      <c r="EWJ11" s="16"/>
      <c r="EWK11" s="16"/>
      <c r="EWL11" s="16"/>
      <c r="EWM11" s="16"/>
      <c r="EWN11" s="16"/>
      <c r="EWO11" s="16"/>
      <c r="EWP11" s="16"/>
      <c r="EWQ11" s="16"/>
      <c r="EWR11" s="16"/>
      <c r="EWS11" s="16"/>
      <c r="EWT11" s="16"/>
      <c r="EWU11" s="16"/>
      <c r="EWV11" s="16"/>
      <c r="EWW11" s="16"/>
      <c r="EWX11" s="16"/>
      <c r="EWY11" s="16"/>
      <c r="EWZ11" s="16"/>
      <c r="EXA11" s="16"/>
      <c r="EXB11" s="16"/>
      <c r="EXC11" s="16"/>
      <c r="EXD11" s="16"/>
      <c r="EXE11" s="16"/>
      <c r="EXF11" s="16"/>
      <c r="EXG11" s="16"/>
      <c r="EXH11" s="16"/>
      <c r="EXI11" s="16"/>
      <c r="EXJ11" s="16"/>
      <c r="EXK11" s="16"/>
      <c r="EXL11" s="16"/>
      <c r="EXM11" s="16"/>
      <c r="EXN11" s="16"/>
      <c r="EXO11" s="16"/>
      <c r="EXP11" s="16"/>
      <c r="EXQ11" s="16"/>
      <c r="EXR11" s="16"/>
      <c r="EXS11" s="16"/>
      <c r="EXT11" s="16"/>
      <c r="EXU11" s="16"/>
      <c r="EXV11" s="16"/>
      <c r="EXW11" s="16"/>
      <c r="EXX11" s="16"/>
      <c r="EXY11" s="16"/>
      <c r="EXZ11" s="16"/>
      <c r="EYA11" s="16"/>
      <c r="EYB11" s="16"/>
      <c r="EYC11" s="16"/>
      <c r="EYD11" s="16"/>
      <c r="EYE11" s="16"/>
      <c r="EYF11" s="16"/>
      <c r="EYG11" s="16"/>
      <c r="EYH11" s="16"/>
      <c r="EYI11" s="16"/>
      <c r="EYJ11" s="16"/>
      <c r="EYK11" s="16"/>
      <c r="EYL11" s="16"/>
      <c r="EYM11" s="16"/>
      <c r="EYN11" s="16"/>
      <c r="EYO11" s="16"/>
      <c r="EYP11" s="16"/>
      <c r="EYQ11" s="16"/>
      <c r="EYR11" s="16"/>
      <c r="EYS11" s="16"/>
      <c r="EYT11" s="16"/>
      <c r="EYU11" s="16"/>
      <c r="EYV11" s="16"/>
      <c r="EYW11" s="16"/>
      <c r="EYX11" s="16"/>
      <c r="EYY11" s="16"/>
      <c r="EYZ11" s="16"/>
      <c r="EZA11" s="16"/>
      <c r="EZB11" s="16"/>
      <c r="EZC11" s="16"/>
      <c r="EZD11" s="16"/>
      <c r="EZE11" s="16"/>
      <c r="EZF11" s="16"/>
      <c r="EZG11" s="16"/>
      <c r="EZH11" s="16"/>
      <c r="EZI11" s="16"/>
      <c r="EZJ11" s="16"/>
      <c r="EZK11" s="16"/>
      <c r="EZL11" s="16"/>
      <c r="EZM11" s="16"/>
      <c r="EZN11" s="16"/>
      <c r="EZO11" s="16"/>
      <c r="EZP11" s="16"/>
      <c r="EZQ11" s="16"/>
      <c r="EZR11" s="16"/>
      <c r="EZS11" s="16"/>
      <c r="EZT11" s="16"/>
      <c r="EZU11" s="16"/>
      <c r="EZV11" s="16"/>
      <c r="EZW11" s="16"/>
      <c r="EZX11" s="16"/>
      <c r="EZY11" s="16"/>
      <c r="EZZ11" s="16"/>
      <c r="FAA11" s="16"/>
      <c r="FAB11" s="16"/>
      <c r="FAC11" s="16"/>
      <c r="FAD11" s="16"/>
      <c r="FAE11" s="16"/>
      <c r="FAF11" s="16"/>
      <c r="FAG11" s="16"/>
      <c r="FAH11" s="16"/>
      <c r="FAI11" s="16"/>
      <c r="FAJ11" s="16"/>
      <c r="FAK11" s="16"/>
      <c r="FAL11" s="16"/>
      <c r="FAM11" s="16"/>
      <c r="FAN11" s="16"/>
      <c r="FAO11" s="16"/>
      <c r="FAP11" s="16"/>
      <c r="FAQ11" s="16"/>
      <c r="FAR11" s="16"/>
      <c r="FAS11" s="16"/>
      <c r="FAT11" s="16"/>
      <c r="FAU11" s="16"/>
      <c r="FAV11" s="16"/>
      <c r="FAW11" s="16"/>
      <c r="FAX11" s="16"/>
      <c r="FAY11" s="16"/>
      <c r="FAZ11" s="16"/>
      <c r="FBA11" s="16"/>
      <c r="FBB11" s="16"/>
      <c r="FBC11" s="16"/>
      <c r="FBD11" s="16"/>
      <c r="FBE11" s="16"/>
      <c r="FBF11" s="16"/>
      <c r="FBG11" s="16"/>
      <c r="FBH11" s="16"/>
      <c r="FBI11" s="16"/>
      <c r="FBJ11" s="16"/>
      <c r="FBK11" s="16"/>
      <c r="FBL11" s="16"/>
      <c r="FBM11" s="16"/>
      <c r="FBN11" s="16"/>
      <c r="FBO11" s="16"/>
      <c r="FBP11" s="16"/>
      <c r="FBQ11" s="16"/>
      <c r="FBR11" s="16"/>
      <c r="FBS11" s="16"/>
      <c r="FBT11" s="16"/>
      <c r="FBU11" s="16"/>
      <c r="FBV11" s="16"/>
      <c r="FBW11" s="16"/>
      <c r="FBX11" s="16"/>
      <c r="FBY11" s="16"/>
      <c r="FBZ11" s="16"/>
      <c r="FCA11" s="16"/>
      <c r="FCB11" s="16"/>
      <c r="FCC11" s="16"/>
      <c r="FCD11" s="16"/>
      <c r="FCE11" s="16"/>
      <c r="FCF11" s="16"/>
      <c r="FCG11" s="16"/>
      <c r="FCH11" s="16"/>
      <c r="FCI11" s="16"/>
      <c r="FCJ11" s="16"/>
      <c r="FCK11" s="16"/>
      <c r="FCL11" s="16"/>
      <c r="FCM11" s="16"/>
      <c r="FCN11" s="16"/>
      <c r="FCO11" s="16"/>
      <c r="FCP11" s="16"/>
      <c r="FCQ11" s="16"/>
      <c r="FCR11" s="16"/>
      <c r="FCS11" s="16"/>
      <c r="FCT11" s="16"/>
      <c r="FCU11" s="16"/>
      <c r="FCV11" s="16"/>
      <c r="FCW11" s="16"/>
      <c r="FCX11" s="16"/>
      <c r="FCY11" s="16"/>
      <c r="FCZ11" s="16"/>
      <c r="FDA11" s="16"/>
      <c r="FDB11" s="16"/>
      <c r="FDC11" s="16"/>
      <c r="FDD11" s="16"/>
      <c r="FDE11" s="16"/>
      <c r="FDF11" s="16"/>
      <c r="FDG11" s="16"/>
      <c r="FDH11" s="16"/>
      <c r="FDI11" s="16"/>
      <c r="FDJ11" s="16"/>
      <c r="FDK11" s="16"/>
      <c r="FDL11" s="16"/>
      <c r="FDM11" s="16"/>
      <c r="FDN11" s="16"/>
      <c r="FDO11" s="16"/>
      <c r="FDP11" s="16"/>
      <c r="FDQ11" s="16"/>
      <c r="FDR11" s="16"/>
      <c r="FDS11" s="16"/>
      <c r="FDT11" s="16"/>
      <c r="FDU11" s="16"/>
      <c r="FDV11" s="16"/>
      <c r="FDW11" s="16"/>
      <c r="FDX11" s="16"/>
      <c r="FDY11" s="16"/>
      <c r="FDZ11" s="16"/>
      <c r="FEA11" s="16"/>
      <c r="FEB11" s="16"/>
      <c r="FEC11" s="16"/>
      <c r="FED11" s="16"/>
      <c r="FEE11" s="16"/>
      <c r="FEF11" s="16"/>
      <c r="FEG11" s="16"/>
      <c r="FEH11" s="16"/>
      <c r="FEI11" s="16"/>
      <c r="FEJ11" s="16"/>
      <c r="FEK11" s="16"/>
      <c r="FEL11" s="16"/>
      <c r="FEM11" s="16"/>
      <c r="FEN11" s="16"/>
      <c r="FEO11" s="16"/>
      <c r="FEP11" s="16"/>
      <c r="FEQ11" s="16"/>
      <c r="FER11" s="16"/>
      <c r="FES11" s="16"/>
      <c r="FET11" s="16"/>
      <c r="FEU11" s="16"/>
      <c r="FEV11" s="16"/>
      <c r="FEW11" s="16"/>
      <c r="FEX11" s="16"/>
      <c r="FEY11" s="16"/>
      <c r="FEZ11" s="16"/>
      <c r="FFA11" s="16"/>
      <c r="FFB11" s="16"/>
      <c r="FFC11" s="16"/>
      <c r="FFD11" s="16"/>
      <c r="FFE11" s="16"/>
      <c r="FFF11" s="16"/>
      <c r="FFG11" s="16"/>
      <c r="FFH11" s="16"/>
      <c r="FFI11" s="16"/>
      <c r="FFJ11" s="16"/>
      <c r="FFK11" s="16"/>
      <c r="FFL11" s="16"/>
      <c r="FFM11" s="16"/>
      <c r="FFN11" s="16"/>
      <c r="FFO11" s="16"/>
      <c r="FFP11" s="16"/>
      <c r="FFQ11" s="16"/>
      <c r="FFR11" s="16"/>
      <c r="FFS11" s="16"/>
      <c r="FFT11" s="16"/>
      <c r="FFU11" s="16"/>
      <c r="FFV11" s="16"/>
      <c r="FFW11" s="16"/>
      <c r="FFX11" s="16"/>
      <c r="FFY11" s="16"/>
      <c r="FFZ11" s="16"/>
      <c r="FGA11" s="16"/>
      <c r="FGB11" s="16"/>
      <c r="FGC11" s="16"/>
      <c r="FGD11" s="16"/>
      <c r="FGE11" s="16"/>
      <c r="FGF11" s="16"/>
      <c r="FGG11" s="16"/>
      <c r="FGH11" s="16"/>
      <c r="FGI11" s="16"/>
      <c r="FGJ11" s="16"/>
      <c r="FGK11" s="16"/>
      <c r="FGL11" s="16"/>
      <c r="FGM11" s="16"/>
      <c r="FGN11" s="16"/>
      <c r="FGO11" s="16"/>
      <c r="FGP11" s="16"/>
      <c r="FGQ11" s="16"/>
      <c r="FGR11" s="16"/>
      <c r="FGS11" s="16"/>
      <c r="FGT11" s="16"/>
      <c r="FGU11" s="16"/>
      <c r="FGV11" s="16"/>
      <c r="FGW11" s="16"/>
      <c r="FGX11" s="16"/>
      <c r="FGY11" s="16"/>
      <c r="FGZ11" s="16"/>
      <c r="FHA11" s="16"/>
      <c r="FHB11" s="16"/>
      <c r="FHC11" s="16"/>
      <c r="FHD11" s="16"/>
      <c r="FHE11" s="16"/>
      <c r="FHF11" s="16"/>
      <c r="FHG11" s="16"/>
      <c r="FHH11" s="16"/>
      <c r="FHI11" s="16"/>
      <c r="FHJ11" s="16"/>
      <c r="FHK11" s="16"/>
      <c r="FHL11" s="16"/>
      <c r="FHM11" s="16"/>
      <c r="FHN11" s="16"/>
      <c r="FHO11" s="16"/>
      <c r="FHP11" s="16"/>
      <c r="FHQ11" s="16"/>
      <c r="FHR11" s="16"/>
      <c r="FHS11" s="16"/>
      <c r="FHT11" s="16"/>
      <c r="FHU11" s="16"/>
      <c r="FHV11" s="16"/>
      <c r="FHW11" s="16"/>
      <c r="FHX11" s="16"/>
      <c r="FHY11" s="16"/>
      <c r="FHZ11" s="16"/>
      <c r="FIA11" s="16"/>
      <c r="FIB11" s="16"/>
      <c r="FIC11" s="16"/>
      <c r="FID11" s="16"/>
      <c r="FIE11" s="16"/>
      <c r="FIF11" s="16"/>
      <c r="FIG11" s="16"/>
      <c r="FIH11" s="16"/>
      <c r="FII11" s="16"/>
      <c r="FIJ11" s="16"/>
      <c r="FIK11" s="16"/>
      <c r="FIL11" s="16"/>
      <c r="FIM11" s="16"/>
      <c r="FIN11" s="16"/>
      <c r="FIO11" s="16"/>
      <c r="FIP11" s="16"/>
      <c r="FIQ11" s="16"/>
      <c r="FIR11" s="16"/>
      <c r="FIS11" s="16"/>
      <c r="FIT11" s="16"/>
      <c r="FIU11" s="16"/>
      <c r="FIV11" s="16"/>
      <c r="FIW11" s="16"/>
      <c r="FIX11" s="16"/>
      <c r="FIY11" s="16"/>
      <c r="FIZ11" s="16"/>
      <c r="FJA11" s="16"/>
      <c r="FJB11" s="16"/>
      <c r="FJC11" s="16"/>
      <c r="FJD11" s="16"/>
      <c r="FJE11" s="16"/>
      <c r="FJF11" s="16"/>
      <c r="FJG11" s="16"/>
      <c r="FJH11" s="16"/>
      <c r="FJI11" s="16"/>
      <c r="FJJ11" s="16"/>
      <c r="FJK11" s="16"/>
      <c r="FJL11" s="16"/>
      <c r="FJM11" s="16"/>
      <c r="FJN11" s="16"/>
      <c r="FJO11" s="16"/>
      <c r="FJP11" s="16"/>
      <c r="FJQ11" s="16"/>
      <c r="FJR11" s="16"/>
      <c r="FJS11" s="16"/>
      <c r="FJT11" s="16"/>
      <c r="FJU11" s="16"/>
      <c r="FJV11" s="16"/>
      <c r="FJW11" s="16"/>
      <c r="FJX11" s="16"/>
      <c r="FJY11" s="16"/>
      <c r="FJZ11" s="16"/>
      <c r="FKA11" s="16"/>
      <c r="FKB11" s="16"/>
      <c r="FKC11" s="16"/>
      <c r="FKD11" s="16"/>
      <c r="FKE11" s="16"/>
      <c r="FKF11" s="16"/>
      <c r="FKG11" s="16"/>
      <c r="FKH11" s="16"/>
      <c r="FKI11" s="16"/>
      <c r="FKJ11" s="16"/>
      <c r="FKK11" s="16"/>
      <c r="FKL11" s="16"/>
      <c r="FKM11" s="16"/>
      <c r="FKN11" s="16"/>
      <c r="FKO11" s="16"/>
      <c r="FKP11" s="16"/>
      <c r="FKQ11" s="16"/>
      <c r="FKR11" s="16"/>
      <c r="FKS11" s="16"/>
      <c r="FKT11" s="16"/>
      <c r="FKU11" s="16"/>
      <c r="FKV11" s="16"/>
      <c r="FKW11" s="16"/>
      <c r="FKX11" s="16"/>
      <c r="FKY11" s="16"/>
      <c r="FKZ11" s="16"/>
      <c r="FLA11" s="16"/>
      <c r="FLB11" s="16"/>
      <c r="FLC11" s="16"/>
      <c r="FLD11" s="16"/>
      <c r="FLE11" s="16"/>
      <c r="FLF11" s="16"/>
      <c r="FLG11" s="16"/>
      <c r="FLH11" s="16"/>
      <c r="FLI11" s="16"/>
      <c r="FLJ11" s="16"/>
      <c r="FLK11" s="16"/>
      <c r="FLL11" s="16"/>
      <c r="FLM11" s="16"/>
      <c r="FLN11" s="16"/>
      <c r="FLO11" s="16"/>
      <c r="FLP11" s="16"/>
      <c r="FLQ11" s="16"/>
      <c r="FLR11" s="16"/>
      <c r="FLS11" s="16"/>
      <c r="FLT11" s="16"/>
      <c r="FLU11" s="16"/>
      <c r="FLV11" s="16"/>
      <c r="FLW11" s="16"/>
      <c r="FLX11" s="16"/>
      <c r="FLY11" s="16"/>
      <c r="FLZ11" s="16"/>
      <c r="FMA11" s="16"/>
      <c r="FMB11" s="16"/>
      <c r="FMC11" s="16"/>
      <c r="FMD11" s="16"/>
      <c r="FME11" s="16"/>
      <c r="FMF11" s="16"/>
      <c r="FMG11" s="16"/>
      <c r="FMH11" s="16"/>
      <c r="FMI11" s="16"/>
      <c r="FMJ11" s="16"/>
      <c r="FMK11" s="16"/>
      <c r="FML11" s="16"/>
      <c r="FMM11" s="16"/>
      <c r="FMN11" s="16"/>
      <c r="FMO11" s="16"/>
      <c r="FMP11" s="16"/>
      <c r="FMQ11" s="16"/>
      <c r="FMR11" s="16"/>
      <c r="FMS11" s="16"/>
      <c r="FMT11" s="16"/>
      <c r="FMU11" s="16"/>
      <c r="FMV11" s="16"/>
      <c r="FMW11" s="16"/>
      <c r="FMX11" s="16"/>
      <c r="FMY11" s="16"/>
      <c r="FMZ11" s="16"/>
      <c r="FNA11" s="16"/>
      <c r="FNB11" s="16"/>
      <c r="FNC11" s="16"/>
      <c r="FND11" s="16"/>
      <c r="FNE11" s="16"/>
      <c r="FNF11" s="16"/>
      <c r="FNG11" s="16"/>
      <c r="FNH11" s="16"/>
      <c r="FNI11" s="16"/>
      <c r="FNJ11" s="16"/>
      <c r="FNK11" s="16"/>
      <c r="FNL11" s="16"/>
      <c r="FNM11" s="16"/>
      <c r="FNN11" s="16"/>
      <c r="FNO11" s="16"/>
      <c r="FNP11" s="16"/>
      <c r="FNQ11" s="16"/>
      <c r="FNR11" s="16"/>
      <c r="FNS11" s="16"/>
      <c r="FNT11" s="16"/>
      <c r="FNU11" s="16"/>
      <c r="FNV11" s="16"/>
      <c r="FNW11" s="16"/>
      <c r="FNX11" s="16"/>
      <c r="FNY11" s="16"/>
      <c r="FNZ11" s="16"/>
      <c r="FOA11" s="16"/>
      <c r="FOB11" s="16"/>
      <c r="FOC11" s="16"/>
      <c r="FOD11" s="16"/>
      <c r="FOE11" s="16"/>
      <c r="FOF11" s="16"/>
      <c r="FOG11" s="16"/>
      <c r="FOH11" s="16"/>
      <c r="FOI11" s="16"/>
      <c r="FOJ11" s="16"/>
      <c r="FOK11" s="16"/>
      <c r="FOL11" s="16"/>
      <c r="FOM11" s="16"/>
      <c r="FON11" s="16"/>
      <c r="FOO11" s="16"/>
      <c r="FOP11" s="16"/>
      <c r="FOQ11" s="16"/>
      <c r="FOR11" s="16"/>
      <c r="FOS11" s="16"/>
      <c r="FOT11" s="16"/>
      <c r="FOU11" s="16"/>
      <c r="FOV11" s="16"/>
      <c r="FOW11" s="16"/>
      <c r="FOX11" s="16"/>
      <c r="FOY11" s="16"/>
      <c r="FOZ11" s="16"/>
      <c r="FPA11" s="16"/>
      <c r="FPB11" s="16"/>
      <c r="FPC11" s="16"/>
      <c r="FPD11" s="16"/>
      <c r="FPE11" s="16"/>
      <c r="FPF11" s="16"/>
      <c r="FPG11" s="16"/>
      <c r="FPH11" s="16"/>
      <c r="FPI11" s="16"/>
      <c r="FPJ11" s="16"/>
      <c r="FPK11" s="16"/>
      <c r="FPL11" s="16"/>
      <c r="FPM11" s="16"/>
      <c r="FPN11" s="16"/>
      <c r="FPO11" s="16"/>
      <c r="FPP11" s="16"/>
      <c r="FPQ11" s="16"/>
      <c r="FPR11" s="16"/>
      <c r="FPS11" s="16"/>
      <c r="FPT11" s="16"/>
      <c r="FPU11" s="16"/>
      <c r="FPV11" s="16"/>
      <c r="FPW11" s="16"/>
      <c r="FPX11" s="16"/>
      <c r="FPY11" s="16"/>
      <c r="FPZ11" s="16"/>
      <c r="FQA11" s="16"/>
      <c r="FQB11" s="16"/>
      <c r="FQC11" s="16"/>
      <c r="FQD11" s="16"/>
      <c r="FQE11" s="16"/>
      <c r="FQF11" s="16"/>
      <c r="FQG11" s="16"/>
      <c r="FQH11" s="16"/>
      <c r="FQI11" s="16"/>
      <c r="FQJ11" s="16"/>
      <c r="FQK11" s="16"/>
      <c r="FQL11" s="16"/>
      <c r="FQM11" s="16"/>
      <c r="FQN11" s="16"/>
      <c r="FQO11" s="16"/>
      <c r="FQP11" s="16"/>
      <c r="FQQ11" s="16"/>
      <c r="FQR11" s="16"/>
      <c r="FQS11" s="16"/>
      <c r="FQT11" s="16"/>
      <c r="FQU11" s="16"/>
      <c r="FQV11" s="16"/>
      <c r="FQW11" s="16"/>
      <c r="FQX11" s="16"/>
      <c r="FQY11" s="16"/>
      <c r="FQZ11" s="16"/>
      <c r="FRA11" s="16"/>
      <c r="FRB11" s="16"/>
      <c r="FRC11" s="16"/>
      <c r="FRD11" s="16"/>
      <c r="FRE11" s="16"/>
      <c r="FRF11" s="16"/>
      <c r="FRG11" s="16"/>
      <c r="FRH11" s="16"/>
      <c r="FRI11" s="16"/>
      <c r="FRJ11" s="16"/>
      <c r="FRK11" s="16"/>
      <c r="FRL11" s="16"/>
      <c r="FRM11" s="16"/>
      <c r="FRN11" s="16"/>
      <c r="FRO11" s="16"/>
      <c r="FRP11" s="16"/>
      <c r="FRQ11" s="16"/>
      <c r="FRR11" s="16"/>
      <c r="FRS11" s="16"/>
      <c r="FRT11" s="16"/>
      <c r="FRU11" s="16"/>
      <c r="FRV11" s="16"/>
      <c r="FRW11" s="16"/>
      <c r="FRX11" s="16"/>
      <c r="FRY11" s="16"/>
      <c r="FRZ11" s="16"/>
      <c r="FSA11" s="16"/>
      <c r="FSB11" s="16"/>
      <c r="FSC11" s="16"/>
      <c r="FSD11" s="16"/>
      <c r="FSE11" s="16"/>
      <c r="FSF11" s="16"/>
      <c r="FSG11" s="16"/>
      <c r="FSH11" s="16"/>
      <c r="FSI11" s="16"/>
      <c r="FSJ11" s="16"/>
      <c r="FSK11" s="16"/>
      <c r="FSL11" s="16"/>
      <c r="FSM11" s="16"/>
      <c r="FSN11" s="16"/>
      <c r="FSO11" s="16"/>
      <c r="FSP11" s="16"/>
      <c r="FSQ11" s="16"/>
      <c r="FSR11" s="16"/>
      <c r="FSS11" s="16"/>
      <c r="FST11" s="16"/>
      <c r="FSU11" s="16"/>
      <c r="FSV11" s="16"/>
      <c r="FSW11" s="16"/>
      <c r="FSX11" s="16"/>
      <c r="FSY11" s="16"/>
      <c r="FSZ11" s="16"/>
      <c r="FTA11" s="16"/>
      <c r="FTB11" s="16"/>
      <c r="FTC11" s="16"/>
      <c r="FTD11" s="16"/>
      <c r="FTE11" s="16"/>
      <c r="FTF11" s="16"/>
      <c r="FTG11" s="16"/>
      <c r="FTH11" s="16"/>
      <c r="FTI11" s="16"/>
      <c r="FTJ11" s="16"/>
      <c r="FTK11" s="16"/>
      <c r="FTL11" s="16"/>
      <c r="FTM11" s="16"/>
      <c r="FTN11" s="16"/>
      <c r="FTO11" s="16"/>
      <c r="FTP11" s="16"/>
      <c r="FTQ11" s="16"/>
      <c r="FTR11" s="16"/>
      <c r="FTS11" s="16"/>
      <c r="FTT11" s="16"/>
      <c r="FTU11" s="16"/>
      <c r="FTV11" s="16"/>
      <c r="FTW11" s="16"/>
      <c r="FTX11" s="16"/>
      <c r="FTY11" s="16"/>
      <c r="FTZ11" s="16"/>
      <c r="FUA11" s="16"/>
      <c r="FUB11" s="16"/>
      <c r="FUC11" s="16"/>
      <c r="FUD11" s="16"/>
      <c r="FUE11" s="16"/>
      <c r="FUF11" s="16"/>
      <c r="FUG11" s="16"/>
      <c r="FUH11" s="16"/>
      <c r="FUI11" s="16"/>
      <c r="FUJ11" s="16"/>
      <c r="FUK11" s="16"/>
      <c r="FUL11" s="16"/>
      <c r="FUM11" s="16"/>
      <c r="FUN11" s="16"/>
      <c r="FUO11" s="16"/>
      <c r="FUP11" s="16"/>
      <c r="FUQ11" s="16"/>
      <c r="FUR11" s="16"/>
      <c r="FUS11" s="16"/>
      <c r="FUT11" s="16"/>
      <c r="FUU11" s="16"/>
      <c r="FUV11" s="16"/>
      <c r="FUW11" s="16"/>
      <c r="FUX11" s="16"/>
      <c r="FUY11" s="16"/>
      <c r="FUZ11" s="16"/>
      <c r="FVA11" s="16"/>
      <c r="FVB11" s="16"/>
      <c r="FVC11" s="16"/>
      <c r="FVD11" s="16"/>
      <c r="FVE11" s="16"/>
      <c r="FVF11" s="16"/>
      <c r="FVG11" s="16"/>
      <c r="FVH11" s="16"/>
      <c r="FVI11" s="16"/>
      <c r="FVJ11" s="16"/>
      <c r="FVK11" s="16"/>
      <c r="FVL11" s="16"/>
      <c r="FVM11" s="16"/>
      <c r="FVN11" s="16"/>
      <c r="FVO11" s="16"/>
      <c r="FVP11" s="16"/>
      <c r="FVQ11" s="16"/>
      <c r="FVR11" s="16"/>
      <c r="FVS11" s="16"/>
      <c r="FVT11" s="16"/>
      <c r="FVU11" s="16"/>
      <c r="FVV11" s="16"/>
      <c r="FVW11" s="16"/>
      <c r="FVX11" s="16"/>
      <c r="FVY11" s="16"/>
      <c r="FVZ11" s="16"/>
      <c r="FWA11" s="16"/>
      <c r="FWB11" s="16"/>
      <c r="FWC11" s="16"/>
      <c r="FWD11" s="16"/>
      <c r="FWE11" s="16"/>
      <c r="FWF11" s="16"/>
      <c r="FWG11" s="16"/>
      <c r="FWH11" s="16"/>
      <c r="FWI11" s="16"/>
      <c r="FWJ11" s="16"/>
      <c r="FWK11" s="16"/>
      <c r="FWL11" s="16"/>
      <c r="FWM11" s="16"/>
      <c r="FWN11" s="16"/>
      <c r="FWO11" s="16"/>
      <c r="FWP11" s="16"/>
      <c r="FWQ11" s="16"/>
      <c r="FWR11" s="16"/>
      <c r="FWS11" s="16"/>
      <c r="FWT11" s="16"/>
      <c r="FWU11" s="16"/>
      <c r="FWV11" s="16"/>
      <c r="FWW11" s="16"/>
      <c r="FWX11" s="16"/>
      <c r="FWY11" s="16"/>
      <c r="FWZ11" s="16"/>
      <c r="FXA11" s="16"/>
      <c r="FXB11" s="16"/>
      <c r="FXC11" s="16"/>
      <c r="FXD11" s="16"/>
      <c r="FXE11" s="16"/>
      <c r="FXF11" s="16"/>
      <c r="FXG11" s="16"/>
      <c r="FXH11" s="16"/>
      <c r="FXI11" s="16"/>
      <c r="FXJ11" s="16"/>
      <c r="FXK11" s="16"/>
      <c r="FXL11" s="16"/>
      <c r="FXM11" s="16"/>
      <c r="FXN11" s="16"/>
      <c r="FXO11" s="16"/>
      <c r="FXP11" s="16"/>
      <c r="FXQ11" s="16"/>
      <c r="FXR11" s="16"/>
      <c r="FXS11" s="16"/>
      <c r="FXT11" s="16"/>
      <c r="FXU11" s="16"/>
      <c r="FXV11" s="16"/>
      <c r="FXW11" s="16"/>
      <c r="FXX11" s="16"/>
      <c r="FXY11" s="16"/>
      <c r="FXZ11" s="16"/>
      <c r="FYA11" s="16"/>
      <c r="FYB11" s="16"/>
      <c r="FYC11" s="16"/>
      <c r="FYD11" s="16"/>
      <c r="FYE11" s="16"/>
      <c r="FYF11" s="16"/>
      <c r="FYG11" s="16"/>
      <c r="FYH11" s="16"/>
      <c r="FYI11" s="16"/>
      <c r="FYJ11" s="16"/>
      <c r="FYK11" s="16"/>
      <c r="FYL11" s="16"/>
      <c r="FYM11" s="16"/>
      <c r="FYN11" s="16"/>
      <c r="FYO11" s="16"/>
      <c r="FYP11" s="16"/>
      <c r="FYQ11" s="16"/>
      <c r="FYR11" s="16"/>
      <c r="FYS11" s="16"/>
      <c r="FYT11" s="16"/>
      <c r="FYU11" s="16"/>
      <c r="FYV11" s="16"/>
      <c r="FYW11" s="16"/>
      <c r="FYX11" s="16"/>
      <c r="FYY11" s="16"/>
      <c r="FYZ11" s="16"/>
      <c r="FZA11" s="16"/>
      <c r="FZB11" s="16"/>
      <c r="FZC11" s="16"/>
      <c r="FZD11" s="16"/>
      <c r="FZE11" s="16"/>
      <c r="FZF11" s="16"/>
      <c r="FZG11" s="16"/>
      <c r="FZH11" s="16"/>
      <c r="FZI11" s="16"/>
      <c r="FZJ11" s="16"/>
      <c r="FZK11" s="16"/>
      <c r="FZL11" s="16"/>
      <c r="FZM11" s="16"/>
      <c r="FZN11" s="16"/>
      <c r="FZO11" s="16"/>
      <c r="FZP11" s="16"/>
      <c r="FZQ11" s="16"/>
      <c r="FZR11" s="16"/>
      <c r="FZS11" s="16"/>
      <c r="FZT11" s="16"/>
      <c r="FZU11" s="16"/>
      <c r="FZV11" s="16"/>
      <c r="FZW11" s="16"/>
      <c r="FZX11" s="16"/>
      <c r="FZY11" s="16"/>
      <c r="FZZ11" s="16"/>
      <c r="GAA11" s="16"/>
      <c r="GAB11" s="16"/>
      <c r="GAC11" s="16"/>
      <c r="GAD11" s="16"/>
      <c r="GAE11" s="16"/>
      <c r="GAF11" s="16"/>
      <c r="GAG11" s="16"/>
      <c r="GAH11" s="16"/>
      <c r="GAI11" s="16"/>
      <c r="GAJ11" s="16"/>
      <c r="GAK11" s="16"/>
      <c r="GAL11" s="16"/>
      <c r="GAM11" s="16"/>
      <c r="GAN11" s="16"/>
      <c r="GAO11" s="16"/>
      <c r="GAP11" s="16"/>
      <c r="GAQ11" s="16"/>
      <c r="GAR11" s="16"/>
      <c r="GAS11" s="16"/>
      <c r="GAT11" s="16"/>
      <c r="GAU11" s="16"/>
      <c r="GAV11" s="16"/>
      <c r="GAW11" s="16"/>
      <c r="GAX11" s="16"/>
      <c r="GAY11" s="16"/>
      <c r="GAZ11" s="16"/>
      <c r="GBA11" s="16"/>
      <c r="GBB11" s="16"/>
      <c r="GBC11" s="16"/>
      <c r="GBD11" s="16"/>
      <c r="GBE11" s="16"/>
      <c r="GBF11" s="16"/>
      <c r="GBG11" s="16"/>
      <c r="GBH11" s="16"/>
      <c r="GBI11" s="16"/>
      <c r="GBJ11" s="16"/>
      <c r="GBK11" s="16"/>
      <c r="GBL11" s="16"/>
      <c r="GBM11" s="16"/>
      <c r="GBN11" s="16"/>
      <c r="GBO11" s="16"/>
      <c r="GBP11" s="16"/>
      <c r="GBQ11" s="16"/>
      <c r="GBR11" s="16"/>
      <c r="GBS11" s="16"/>
      <c r="GBT11" s="16"/>
      <c r="GBU11" s="16"/>
      <c r="GBV11" s="16"/>
      <c r="GBW11" s="16"/>
      <c r="GBX11" s="16"/>
      <c r="GBY11" s="16"/>
      <c r="GBZ11" s="16"/>
      <c r="GCA11" s="16"/>
      <c r="GCB11" s="16"/>
      <c r="GCC11" s="16"/>
      <c r="GCD11" s="16"/>
      <c r="GCE11" s="16"/>
      <c r="GCF11" s="16"/>
      <c r="GCG11" s="16"/>
      <c r="GCH11" s="16"/>
      <c r="GCI11" s="16"/>
      <c r="GCJ11" s="16"/>
      <c r="GCK11" s="16"/>
      <c r="GCL11" s="16"/>
      <c r="GCM11" s="16"/>
      <c r="GCN11" s="16"/>
      <c r="GCO11" s="16"/>
      <c r="GCP11" s="16"/>
      <c r="GCQ11" s="16"/>
      <c r="GCR11" s="16"/>
      <c r="GCS11" s="16"/>
      <c r="GCT11" s="16"/>
      <c r="GCU11" s="16"/>
      <c r="GCV11" s="16"/>
      <c r="GCW11" s="16"/>
      <c r="GCX11" s="16"/>
      <c r="GCY11" s="16"/>
      <c r="GCZ11" s="16"/>
      <c r="GDA11" s="16"/>
      <c r="GDB11" s="16"/>
      <c r="GDC11" s="16"/>
      <c r="GDD11" s="16"/>
      <c r="GDE11" s="16"/>
      <c r="GDF11" s="16"/>
      <c r="GDG11" s="16"/>
      <c r="GDH11" s="16"/>
      <c r="GDI11" s="16"/>
      <c r="GDJ11" s="16"/>
      <c r="GDK11" s="16"/>
      <c r="GDL11" s="16"/>
      <c r="GDM11" s="16"/>
      <c r="GDN11" s="16"/>
      <c r="GDO11" s="16"/>
      <c r="GDP11" s="16"/>
      <c r="GDQ11" s="16"/>
      <c r="GDR11" s="16"/>
      <c r="GDS11" s="16"/>
      <c r="GDT11" s="16"/>
      <c r="GDU11" s="16"/>
      <c r="GDV11" s="16"/>
      <c r="GDW11" s="16"/>
      <c r="GDX11" s="16"/>
      <c r="GDY11" s="16"/>
      <c r="GDZ11" s="16"/>
      <c r="GEA11" s="16"/>
      <c r="GEB11" s="16"/>
      <c r="GEC11" s="16"/>
      <c r="GED11" s="16"/>
      <c r="GEE11" s="16"/>
      <c r="GEF11" s="16"/>
      <c r="GEG11" s="16"/>
      <c r="GEH11" s="16"/>
      <c r="GEI11" s="16"/>
      <c r="GEJ11" s="16"/>
      <c r="GEK11" s="16"/>
      <c r="GEL11" s="16"/>
      <c r="GEM11" s="16"/>
      <c r="GEN11" s="16"/>
      <c r="GEO11" s="16"/>
      <c r="GEP11" s="16"/>
      <c r="GEQ11" s="16"/>
      <c r="GER11" s="16"/>
      <c r="GES11" s="16"/>
      <c r="GET11" s="16"/>
      <c r="GEU11" s="16"/>
      <c r="GEV11" s="16"/>
      <c r="GEW11" s="16"/>
      <c r="GEX11" s="16"/>
      <c r="GEY11" s="16"/>
      <c r="GEZ11" s="16"/>
      <c r="GFA11" s="16"/>
      <c r="GFB11" s="16"/>
      <c r="GFC11" s="16"/>
      <c r="GFD11" s="16"/>
      <c r="GFE11" s="16"/>
      <c r="GFF11" s="16"/>
      <c r="GFG11" s="16"/>
      <c r="GFH11" s="16"/>
      <c r="GFI11" s="16"/>
      <c r="GFJ11" s="16"/>
      <c r="GFK11" s="16"/>
      <c r="GFL11" s="16"/>
      <c r="GFM11" s="16"/>
      <c r="GFN11" s="16"/>
      <c r="GFO11" s="16"/>
      <c r="GFP11" s="16"/>
      <c r="GFQ11" s="16"/>
      <c r="GFR11" s="16"/>
      <c r="GFS11" s="16"/>
      <c r="GFT11" s="16"/>
      <c r="GFU11" s="16"/>
      <c r="GFV11" s="16"/>
      <c r="GFW11" s="16"/>
      <c r="GFX11" s="16"/>
      <c r="GFY11" s="16"/>
      <c r="GFZ11" s="16"/>
      <c r="GGA11" s="16"/>
      <c r="GGB11" s="16"/>
      <c r="GGC11" s="16"/>
      <c r="GGD11" s="16"/>
      <c r="GGE11" s="16"/>
      <c r="GGF11" s="16"/>
      <c r="GGG11" s="16"/>
      <c r="GGH11" s="16"/>
      <c r="GGI11" s="16"/>
      <c r="GGJ11" s="16"/>
      <c r="GGK11" s="16"/>
      <c r="GGL11" s="16"/>
      <c r="GGM11" s="16"/>
      <c r="GGN11" s="16"/>
      <c r="GGO11" s="16"/>
      <c r="GGP11" s="16"/>
      <c r="GGQ11" s="16"/>
      <c r="GGR11" s="16"/>
      <c r="GGS11" s="16"/>
      <c r="GGT11" s="16"/>
      <c r="GGU11" s="16"/>
      <c r="GGV11" s="16"/>
      <c r="GGW11" s="16"/>
      <c r="GGX11" s="16"/>
      <c r="GGY11" s="16"/>
      <c r="GGZ11" s="16"/>
      <c r="GHA11" s="16"/>
      <c r="GHB11" s="16"/>
      <c r="GHC11" s="16"/>
      <c r="GHD11" s="16"/>
      <c r="GHE11" s="16"/>
      <c r="GHF11" s="16"/>
      <c r="GHG11" s="16"/>
      <c r="GHH11" s="16"/>
      <c r="GHI11" s="16"/>
      <c r="GHJ11" s="16"/>
      <c r="GHK11" s="16"/>
      <c r="GHL11" s="16"/>
      <c r="GHM11" s="16"/>
      <c r="GHN11" s="16"/>
      <c r="GHO11" s="16"/>
      <c r="GHP11" s="16"/>
      <c r="GHQ11" s="16"/>
      <c r="GHR11" s="16"/>
      <c r="GHS11" s="16"/>
      <c r="GHT11" s="16"/>
      <c r="GHU11" s="16"/>
      <c r="GHV11" s="16"/>
      <c r="GHW11" s="16"/>
      <c r="GHX11" s="16"/>
      <c r="GHY11" s="16"/>
      <c r="GHZ11" s="16"/>
      <c r="GIA11" s="16"/>
      <c r="GIB11" s="16"/>
      <c r="GIC11" s="16"/>
      <c r="GID11" s="16"/>
      <c r="GIE11" s="16"/>
      <c r="GIF11" s="16"/>
      <c r="GIG11" s="16"/>
      <c r="GIH11" s="16"/>
      <c r="GII11" s="16"/>
      <c r="GIJ11" s="16"/>
      <c r="GIK11" s="16"/>
      <c r="GIL11" s="16"/>
      <c r="GIM11" s="16"/>
      <c r="GIN11" s="16"/>
      <c r="GIO11" s="16"/>
      <c r="GIP11" s="16"/>
      <c r="GIQ11" s="16"/>
      <c r="GIR11" s="16"/>
      <c r="GIS11" s="16"/>
      <c r="GIT11" s="16"/>
      <c r="GIU11" s="16"/>
      <c r="GIV11" s="16"/>
      <c r="GIW11" s="16"/>
      <c r="GIX11" s="16"/>
      <c r="GIY11" s="16"/>
      <c r="GIZ11" s="16"/>
      <c r="GJA11" s="16"/>
      <c r="GJB11" s="16"/>
      <c r="GJC11" s="16"/>
      <c r="GJD11" s="16"/>
      <c r="GJE11" s="16"/>
      <c r="GJF11" s="16"/>
      <c r="GJG11" s="16"/>
      <c r="GJH11" s="16"/>
      <c r="GJI11" s="16"/>
      <c r="GJJ11" s="16"/>
      <c r="GJK11" s="16"/>
      <c r="GJL11" s="16"/>
      <c r="GJM11" s="16"/>
      <c r="GJN11" s="16"/>
      <c r="GJO11" s="16"/>
      <c r="GJP11" s="16"/>
      <c r="GJQ11" s="16"/>
      <c r="GJR11" s="16"/>
      <c r="GJS11" s="16"/>
      <c r="GJT11" s="16"/>
      <c r="GJU11" s="16"/>
      <c r="GJV11" s="16"/>
      <c r="GJW11" s="16"/>
      <c r="GJX11" s="16"/>
      <c r="GJY11" s="16"/>
      <c r="GJZ11" s="16"/>
      <c r="GKA11" s="16"/>
      <c r="GKB11" s="16"/>
      <c r="GKC11" s="16"/>
      <c r="GKD11" s="16"/>
      <c r="GKE11" s="16"/>
      <c r="GKF11" s="16"/>
      <c r="GKG11" s="16"/>
      <c r="GKH11" s="16"/>
      <c r="GKI11" s="16"/>
      <c r="GKJ11" s="16"/>
      <c r="GKK11" s="16"/>
      <c r="GKL11" s="16"/>
      <c r="GKM11" s="16"/>
      <c r="GKN11" s="16"/>
      <c r="GKO11" s="16"/>
      <c r="GKP11" s="16"/>
      <c r="GKQ11" s="16"/>
      <c r="GKR11" s="16"/>
      <c r="GKS11" s="16"/>
      <c r="GKT11" s="16"/>
      <c r="GKU11" s="16"/>
      <c r="GKV11" s="16"/>
      <c r="GKW11" s="16"/>
      <c r="GKX11" s="16"/>
      <c r="GKY11" s="16"/>
      <c r="GKZ11" s="16"/>
      <c r="GLA11" s="16"/>
      <c r="GLB11" s="16"/>
      <c r="GLC11" s="16"/>
      <c r="GLD11" s="16"/>
      <c r="GLE11" s="16"/>
      <c r="GLF11" s="16"/>
      <c r="GLG11" s="16"/>
      <c r="GLH11" s="16"/>
      <c r="GLI11" s="16"/>
      <c r="GLJ11" s="16"/>
      <c r="GLK11" s="16"/>
      <c r="GLL11" s="16"/>
      <c r="GLM11" s="16"/>
      <c r="GLN11" s="16"/>
      <c r="GLO11" s="16"/>
      <c r="GLP11" s="16"/>
      <c r="GLQ11" s="16"/>
      <c r="GLR11" s="16"/>
      <c r="GLS11" s="16"/>
      <c r="GLT11" s="16"/>
      <c r="GLU11" s="16"/>
      <c r="GLV11" s="16"/>
      <c r="GLW11" s="16"/>
      <c r="GLX11" s="16"/>
      <c r="GLY11" s="16"/>
      <c r="GLZ11" s="16"/>
      <c r="GMA11" s="16"/>
      <c r="GMB11" s="16"/>
      <c r="GMC11" s="16"/>
      <c r="GMD11" s="16"/>
      <c r="GME11" s="16"/>
      <c r="GMF11" s="16"/>
      <c r="GMG11" s="16"/>
      <c r="GMH11" s="16"/>
      <c r="GMI11" s="16"/>
      <c r="GMJ11" s="16"/>
      <c r="GMK11" s="16"/>
      <c r="GML11" s="16"/>
      <c r="GMM11" s="16"/>
      <c r="GMN11" s="16"/>
      <c r="GMO11" s="16"/>
      <c r="GMP11" s="16"/>
      <c r="GMQ11" s="16"/>
      <c r="GMR11" s="16"/>
      <c r="GMS11" s="16"/>
      <c r="GMT11" s="16"/>
      <c r="GMU11" s="16"/>
      <c r="GMV11" s="16"/>
      <c r="GMW11" s="16"/>
      <c r="GMX11" s="16"/>
      <c r="GMY11" s="16"/>
      <c r="GMZ11" s="16"/>
      <c r="GNA11" s="16"/>
      <c r="GNB11" s="16"/>
      <c r="GNC11" s="16"/>
      <c r="GND11" s="16"/>
      <c r="GNE11" s="16"/>
      <c r="GNF11" s="16"/>
      <c r="GNG11" s="16"/>
      <c r="GNH11" s="16"/>
      <c r="GNI11" s="16"/>
      <c r="GNJ11" s="16"/>
      <c r="GNK11" s="16"/>
      <c r="GNL11" s="16"/>
      <c r="GNM11" s="16"/>
      <c r="GNN11" s="16"/>
      <c r="GNO11" s="16"/>
      <c r="GNP11" s="16"/>
      <c r="GNQ11" s="16"/>
      <c r="GNR11" s="16"/>
      <c r="GNS11" s="16"/>
      <c r="GNT11" s="16"/>
      <c r="GNU11" s="16"/>
      <c r="GNV11" s="16"/>
      <c r="GNW11" s="16"/>
      <c r="GNX11" s="16"/>
      <c r="GNY11" s="16"/>
      <c r="GNZ11" s="16"/>
      <c r="GOA11" s="16"/>
      <c r="GOB11" s="16"/>
      <c r="GOC11" s="16"/>
      <c r="GOD11" s="16"/>
      <c r="GOE11" s="16"/>
      <c r="GOF11" s="16"/>
      <c r="GOG11" s="16"/>
      <c r="GOH11" s="16"/>
      <c r="GOI11" s="16"/>
      <c r="GOJ11" s="16"/>
      <c r="GOK11" s="16"/>
      <c r="GOL11" s="16"/>
      <c r="GOM11" s="16"/>
      <c r="GON11" s="16"/>
      <c r="GOO11" s="16"/>
      <c r="GOP11" s="16"/>
      <c r="GOQ11" s="16"/>
      <c r="GOR11" s="16"/>
      <c r="GOS11" s="16"/>
      <c r="GOT11" s="16"/>
      <c r="GOU11" s="16"/>
      <c r="GOV11" s="16"/>
      <c r="GOW11" s="16"/>
      <c r="GOX11" s="16"/>
      <c r="GOY11" s="16"/>
      <c r="GOZ11" s="16"/>
      <c r="GPA11" s="16"/>
      <c r="GPB11" s="16"/>
      <c r="GPC11" s="16"/>
      <c r="GPD11" s="16"/>
      <c r="GPE11" s="16"/>
      <c r="GPF11" s="16"/>
      <c r="GPG11" s="16"/>
      <c r="GPH11" s="16"/>
      <c r="GPI11" s="16"/>
      <c r="GPJ11" s="16"/>
      <c r="GPK11" s="16"/>
      <c r="GPL11" s="16"/>
      <c r="GPM11" s="16"/>
      <c r="GPN11" s="16"/>
      <c r="GPO11" s="16"/>
      <c r="GPP11" s="16"/>
      <c r="GPQ11" s="16"/>
      <c r="GPR11" s="16"/>
      <c r="GPS11" s="16"/>
      <c r="GPT11" s="16"/>
      <c r="GPU11" s="16"/>
      <c r="GPV11" s="16"/>
      <c r="GPW11" s="16"/>
      <c r="GPX11" s="16"/>
      <c r="GPY11" s="16"/>
      <c r="GPZ11" s="16"/>
      <c r="GQA11" s="16"/>
      <c r="GQB11" s="16"/>
      <c r="GQC11" s="16"/>
      <c r="GQD11" s="16"/>
      <c r="GQE11" s="16"/>
      <c r="GQF11" s="16"/>
      <c r="GQG11" s="16"/>
      <c r="GQH11" s="16"/>
      <c r="GQI11" s="16"/>
      <c r="GQJ11" s="16"/>
      <c r="GQK11" s="16"/>
      <c r="GQL11" s="16"/>
      <c r="GQM11" s="16"/>
      <c r="GQN11" s="16"/>
      <c r="GQO11" s="16"/>
      <c r="GQP11" s="16"/>
      <c r="GQQ11" s="16"/>
      <c r="GQR11" s="16"/>
      <c r="GQS11" s="16"/>
      <c r="GQT11" s="16"/>
      <c r="GQU11" s="16"/>
      <c r="GQV11" s="16"/>
      <c r="GQW11" s="16"/>
      <c r="GQX11" s="16"/>
      <c r="GQY11" s="16"/>
      <c r="GQZ11" s="16"/>
      <c r="GRA11" s="16"/>
      <c r="GRB11" s="16"/>
      <c r="GRC11" s="16"/>
      <c r="GRD11" s="16"/>
      <c r="GRE11" s="16"/>
      <c r="GRF11" s="16"/>
      <c r="GRG11" s="16"/>
      <c r="GRH11" s="16"/>
      <c r="GRI11" s="16"/>
      <c r="GRJ11" s="16"/>
      <c r="GRK11" s="16"/>
      <c r="GRL11" s="16"/>
      <c r="GRM11" s="16"/>
      <c r="GRN11" s="16"/>
      <c r="GRO11" s="16"/>
      <c r="GRP11" s="16"/>
      <c r="GRQ11" s="16"/>
      <c r="GRR11" s="16"/>
      <c r="GRS11" s="16"/>
      <c r="GRT11" s="16"/>
      <c r="GRU11" s="16"/>
      <c r="GRV11" s="16"/>
      <c r="GRW11" s="16"/>
      <c r="GRX11" s="16"/>
      <c r="GRY11" s="16"/>
      <c r="GRZ11" s="16"/>
      <c r="GSA11" s="16"/>
      <c r="GSB11" s="16"/>
      <c r="GSC11" s="16"/>
      <c r="GSD11" s="16"/>
      <c r="GSE11" s="16"/>
      <c r="GSF11" s="16"/>
      <c r="GSG11" s="16"/>
      <c r="GSH11" s="16"/>
      <c r="GSI11" s="16"/>
      <c r="GSJ11" s="16"/>
      <c r="GSK11" s="16"/>
      <c r="GSL11" s="16"/>
      <c r="GSM11" s="16"/>
      <c r="GSN11" s="16"/>
      <c r="GSO11" s="16"/>
      <c r="GSP11" s="16"/>
      <c r="GSQ11" s="16"/>
      <c r="GSR11" s="16"/>
      <c r="GSS11" s="16"/>
      <c r="GST11" s="16"/>
      <c r="GSU11" s="16"/>
      <c r="GSV11" s="16"/>
      <c r="GSW11" s="16"/>
      <c r="GSX11" s="16"/>
      <c r="GSY11" s="16"/>
      <c r="GSZ11" s="16"/>
      <c r="GTA11" s="16"/>
      <c r="GTB11" s="16"/>
      <c r="GTC11" s="16"/>
      <c r="GTD11" s="16"/>
      <c r="GTE11" s="16"/>
      <c r="GTF11" s="16"/>
      <c r="GTG11" s="16"/>
      <c r="GTH11" s="16"/>
      <c r="GTI11" s="16"/>
      <c r="GTJ11" s="16"/>
      <c r="GTK11" s="16"/>
      <c r="GTL11" s="16"/>
      <c r="GTM11" s="16"/>
      <c r="GTN11" s="16"/>
      <c r="GTO11" s="16"/>
      <c r="GTP11" s="16"/>
      <c r="GTQ11" s="16"/>
      <c r="GTR11" s="16"/>
      <c r="GTS11" s="16"/>
      <c r="GTT11" s="16"/>
      <c r="GTU11" s="16"/>
      <c r="GTV11" s="16"/>
      <c r="GTW11" s="16"/>
      <c r="GTX11" s="16"/>
      <c r="GTY11" s="16"/>
      <c r="GTZ11" s="16"/>
      <c r="GUA11" s="16"/>
      <c r="GUB11" s="16"/>
      <c r="GUC11" s="16"/>
      <c r="GUD11" s="16"/>
      <c r="GUE11" s="16"/>
      <c r="GUF11" s="16"/>
      <c r="GUG11" s="16"/>
      <c r="GUH11" s="16"/>
      <c r="GUI11" s="16"/>
      <c r="GUJ11" s="16"/>
      <c r="GUK11" s="16"/>
      <c r="GUL11" s="16"/>
      <c r="GUM11" s="16"/>
      <c r="GUN11" s="16"/>
      <c r="GUO11" s="16"/>
      <c r="GUP11" s="16"/>
      <c r="GUQ11" s="16"/>
      <c r="GUR11" s="16"/>
      <c r="GUS11" s="16"/>
      <c r="GUT11" s="16"/>
      <c r="GUU11" s="16"/>
      <c r="GUV11" s="16"/>
      <c r="GUW11" s="16"/>
      <c r="GUX11" s="16"/>
      <c r="GUY11" s="16"/>
      <c r="GUZ11" s="16"/>
      <c r="GVA11" s="16"/>
      <c r="GVB11" s="16"/>
      <c r="GVC11" s="16"/>
      <c r="GVD11" s="16"/>
      <c r="GVE11" s="16"/>
      <c r="GVF11" s="16"/>
      <c r="GVG11" s="16"/>
      <c r="GVH11" s="16"/>
      <c r="GVI11" s="16"/>
      <c r="GVJ11" s="16"/>
      <c r="GVK11" s="16"/>
      <c r="GVL11" s="16"/>
      <c r="GVM11" s="16"/>
      <c r="GVN11" s="16"/>
      <c r="GVO11" s="16"/>
      <c r="GVP11" s="16"/>
      <c r="GVQ11" s="16"/>
      <c r="GVR11" s="16"/>
      <c r="GVS11" s="16"/>
      <c r="GVT11" s="16"/>
      <c r="GVU11" s="16"/>
      <c r="GVV11" s="16"/>
      <c r="GVW11" s="16"/>
      <c r="GVX11" s="16"/>
      <c r="GVY11" s="16"/>
      <c r="GVZ11" s="16"/>
      <c r="GWA11" s="16"/>
      <c r="GWB11" s="16"/>
      <c r="GWC11" s="16"/>
      <c r="GWD11" s="16"/>
      <c r="GWE11" s="16"/>
      <c r="GWF11" s="16"/>
      <c r="GWG11" s="16"/>
      <c r="GWH11" s="16"/>
      <c r="GWI11" s="16"/>
      <c r="GWJ11" s="16"/>
      <c r="GWK11" s="16"/>
      <c r="GWL11" s="16"/>
      <c r="GWM11" s="16"/>
      <c r="GWN11" s="16"/>
      <c r="GWO11" s="16"/>
      <c r="GWP11" s="16"/>
      <c r="GWQ11" s="16"/>
      <c r="GWR11" s="16"/>
      <c r="GWS11" s="16"/>
      <c r="GWT11" s="16"/>
      <c r="GWU11" s="16"/>
      <c r="GWV11" s="16"/>
      <c r="GWW11" s="16"/>
      <c r="GWX11" s="16"/>
      <c r="GWY11" s="16"/>
      <c r="GWZ11" s="16"/>
      <c r="GXA11" s="16"/>
      <c r="GXB11" s="16"/>
      <c r="GXC11" s="16"/>
      <c r="GXD11" s="16"/>
      <c r="GXE11" s="16"/>
      <c r="GXF11" s="16"/>
      <c r="GXG11" s="16"/>
      <c r="GXH11" s="16"/>
      <c r="GXI11" s="16"/>
      <c r="GXJ11" s="16"/>
      <c r="GXK11" s="16"/>
      <c r="GXL11" s="16"/>
      <c r="GXM11" s="16"/>
      <c r="GXN11" s="16"/>
      <c r="GXO11" s="16"/>
      <c r="GXP11" s="16"/>
      <c r="GXQ11" s="16"/>
      <c r="GXR11" s="16"/>
      <c r="GXS11" s="16"/>
      <c r="GXT11" s="16"/>
      <c r="GXU11" s="16"/>
      <c r="GXV11" s="16"/>
      <c r="GXW11" s="16"/>
      <c r="GXX11" s="16"/>
      <c r="GXY11" s="16"/>
      <c r="GXZ11" s="16"/>
      <c r="GYA11" s="16"/>
      <c r="GYB11" s="16"/>
      <c r="GYC11" s="16"/>
      <c r="GYD11" s="16"/>
      <c r="GYE11" s="16"/>
      <c r="GYF11" s="16"/>
      <c r="GYG11" s="16"/>
      <c r="GYH11" s="16"/>
      <c r="GYI11" s="16"/>
      <c r="GYJ11" s="16"/>
      <c r="GYK11" s="16"/>
      <c r="GYL11" s="16"/>
      <c r="GYM11" s="16"/>
      <c r="GYN11" s="16"/>
      <c r="GYO11" s="16"/>
      <c r="GYP11" s="16"/>
      <c r="GYQ11" s="16"/>
      <c r="GYR11" s="16"/>
      <c r="GYS11" s="16"/>
      <c r="GYT11" s="16"/>
      <c r="GYU11" s="16"/>
      <c r="GYV11" s="16"/>
      <c r="GYW11" s="16"/>
      <c r="GYX11" s="16"/>
      <c r="GYY11" s="16"/>
      <c r="GYZ11" s="16"/>
      <c r="GZA11" s="16"/>
      <c r="GZB11" s="16"/>
      <c r="GZC11" s="16"/>
      <c r="GZD11" s="16"/>
      <c r="GZE11" s="16"/>
      <c r="GZF11" s="16"/>
      <c r="GZG11" s="16"/>
      <c r="GZH11" s="16"/>
      <c r="GZI11" s="16"/>
      <c r="GZJ11" s="16"/>
      <c r="GZK11" s="16"/>
      <c r="GZL11" s="16"/>
      <c r="GZM11" s="16"/>
      <c r="GZN11" s="16"/>
      <c r="GZO11" s="16"/>
      <c r="GZP11" s="16"/>
      <c r="GZQ11" s="16"/>
      <c r="GZR11" s="16"/>
      <c r="GZS11" s="16"/>
      <c r="GZT11" s="16"/>
      <c r="GZU11" s="16"/>
      <c r="GZV11" s="16"/>
      <c r="GZW11" s="16"/>
      <c r="GZX11" s="16"/>
      <c r="GZY11" s="16"/>
      <c r="GZZ11" s="16"/>
      <c r="HAA11" s="16"/>
      <c r="HAB11" s="16"/>
      <c r="HAC11" s="16"/>
      <c r="HAD11" s="16"/>
      <c r="HAE11" s="16"/>
      <c r="HAF11" s="16"/>
      <c r="HAG11" s="16"/>
      <c r="HAH11" s="16"/>
      <c r="HAI11" s="16"/>
      <c r="HAJ11" s="16"/>
      <c r="HAK11" s="16"/>
      <c r="HAL11" s="16"/>
      <c r="HAM11" s="16"/>
      <c r="HAN11" s="16"/>
      <c r="HAO11" s="16"/>
      <c r="HAP11" s="16"/>
      <c r="HAQ11" s="16"/>
      <c r="HAR11" s="16"/>
      <c r="HAS11" s="16"/>
      <c r="HAT11" s="16"/>
      <c r="HAU11" s="16"/>
      <c r="HAV11" s="16"/>
      <c r="HAW11" s="16"/>
      <c r="HAX11" s="16"/>
      <c r="HAY11" s="16"/>
      <c r="HAZ11" s="16"/>
      <c r="HBA11" s="16"/>
      <c r="HBB11" s="16"/>
      <c r="HBC11" s="16"/>
      <c r="HBD11" s="16"/>
      <c r="HBE11" s="16"/>
      <c r="HBF11" s="16"/>
      <c r="HBG11" s="16"/>
      <c r="HBH11" s="16"/>
      <c r="HBI11" s="16"/>
      <c r="HBJ11" s="16"/>
      <c r="HBK11" s="16"/>
      <c r="HBL11" s="16"/>
      <c r="HBM11" s="16"/>
      <c r="HBN11" s="16"/>
      <c r="HBO11" s="16"/>
      <c r="HBP11" s="16"/>
      <c r="HBQ11" s="16"/>
      <c r="HBR11" s="16"/>
      <c r="HBS11" s="16"/>
      <c r="HBT11" s="16"/>
      <c r="HBU11" s="16"/>
      <c r="HBV11" s="16"/>
      <c r="HBW11" s="16"/>
      <c r="HBX11" s="16"/>
      <c r="HBY11" s="16"/>
      <c r="HBZ11" s="16"/>
      <c r="HCA11" s="16"/>
      <c r="HCB11" s="16"/>
      <c r="HCC11" s="16"/>
      <c r="HCD11" s="16"/>
      <c r="HCE11" s="16"/>
      <c r="HCF11" s="16"/>
      <c r="HCG11" s="16"/>
      <c r="HCH11" s="16"/>
      <c r="HCI11" s="16"/>
      <c r="HCJ11" s="16"/>
      <c r="HCK11" s="16"/>
      <c r="HCL11" s="16"/>
      <c r="HCM11" s="16"/>
      <c r="HCN11" s="16"/>
      <c r="HCO11" s="16"/>
      <c r="HCP11" s="16"/>
      <c r="HCQ11" s="16"/>
      <c r="HCR11" s="16"/>
      <c r="HCS11" s="16"/>
      <c r="HCT11" s="16"/>
      <c r="HCU11" s="16"/>
      <c r="HCV11" s="16"/>
      <c r="HCW11" s="16"/>
      <c r="HCX11" s="16"/>
      <c r="HCY11" s="16"/>
      <c r="HCZ11" s="16"/>
      <c r="HDA11" s="16"/>
      <c r="HDB11" s="16"/>
      <c r="HDC11" s="16"/>
      <c r="HDD11" s="16"/>
      <c r="HDE11" s="16"/>
      <c r="HDF11" s="16"/>
      <c r="HDG11" s="16"/>
      <c r="HDH11" s="16"/>
      <c r="HDI11" s="16"/>
      <c r="HDJ11" s="16"/>
      <c r="HDK11" s="16"/>
      <c r="HDL11" s="16"/>
      <c r="HDM11" s="16"/>
      <c r="HDN11" s="16"/>
      <c r="HDO11" s="16"/>
      <c r="HDP11" s="16"/>
      <c r="HDQ11" s="16"/>
      <c r="HDR11" s="16"/>
      <c r="HDS11" s="16"/>
      <c r="HDT11" s="16"/>
      <c r="HDU11" s="16"/>
      <c r="HDV11" s="16"/>
      <c r="HDW11" s="16"/>
      <c r="HDX11" s="16"/>
      <c r="HDY11" s="16"/>
      <c r="HDZ11" s="16"/>
      <c r="HEA11" s="16"/>
      <c r="HEB11" s="16"/>
      <c r="HEC11" s="16"/>
      <c r="HED11" s="16"/>
      <c r="HEE11" s="16"/>
      <c r="HEF11" s="16"/>
      <c r="HEG11" s="16"/>
      <c r="HEH11" s="16"/>
      <c r="HEI11" s="16"/>
      <c r="HEJ11" s="16"/>
      <c r="HEK11" s="16"/>
      <c r="HEL11" s="16"/>
      <c r="HEM11" s="16"/>
      <c r="HEN11" s="16"/>
      <c r="HEO11" s="16"/>
      <c r="HEP11" s="16"/>
      <c r="HEQ11" s="16"/>
      <c r="HER11" s="16"/>
      <c r="HES11" s="16"/>
      <c r="HET11" s="16"/>
      <c r="HEU11" s="16"/>
      <c r="HEV11" s="16"/>
      <c r="HEW11" s="16"/>
      <c r="HEX11" s="16"/>
      <c r="HEY11" s="16"/>
      <c r="HEZ11" s="16"/>
      <c r="HFA11" s="16"/>
      <c r="HFB11" s="16"/>
      <c r="HFC11" s="16"/>
      <c r="HFD11" s="16"/>
      <c r="HFE11" s="16"/>
      <c r="HFF11" s="16"/>
      <c r="HFG11" s="16"/>
      <c r="HFH11" s="16"/>
      <c r="HFI11" s="16"/>
      <c r="HFJ11" s="16"/>
      <c r="HFK11" s="16"/>
      <c r="HFL11" s="16"/>
      <c r="HFM11" s="16"/>
      <c r="HFN11" s="16"/>
      <c r="HFO11" s="16"/>
      <c r="HFP11" s="16"/>
      <c r="HFQ11" s="16"/>
      <c r="HFR11" s="16"/>
      <c r="HFS11" s="16"/>
      <c r="HFT11" s="16"/>
      <c r="HFU11" s="16"/>
      <c r="HFV11" s="16"/>
      <c r="HFW11" s="16"/>
      <c r="HFX11" s="16"/>
      <c r="HFY11" s="16"/>
      <c r="HFZ11" s="16"/>
      <c r="HGA11" s="16"/>
      <c r="HGB11" s="16"/>
      <c r="HGC11" s="16"/>
      <c r="HGD11" s="16"/>
      <c r="HGE11" s="16"/>
      <c r="HGF11" s="16"/>
      <c r="HGG11" s="16"/>
      <c r="HGH11" s="16"/>
      <c r="HGI11" s="16"/>
      <c r="HGJ11" s="16"/>
      <c r="HGK11" s="16"/>
      <c r="HGL11" s="16"/>
      <c r="HGM11" s="16"/>
      <c r="HGN11" s="16"/>
      <c r="HGO11" s="16"/>
      <c r="HGP11" s="16"/>
      <c r="HGQ11" s="16"/>
      <c r="HGR11" s="16"/>
      <c r="HGS11" s="16"/>
      <c r="HGT11" s="16"/>
      <c r="HGU11" s="16"/>
      <c r="HGV11" s="16"/>
      <c r="HGW11" s="16"/>
      <c r="HGX11" s="16"/>
      <c r="HGY11" s="16"/>
      <c r="HGZ11" s="16"/>
      <c r="HHA11" s="16"/>
      <c r="HHB11" s="16"/>
      <c r="HHC11" s="16"/>
      <c r="HHD11" s="16"/>
      <c r="HHE11" s="16"/>
      <c r="HHF11" s="16"/>
      <c r="HHG11" s="16"/>
      <c r="HHH11" s="16"/>
      <c r="HHI11" s="16"/>
      <c r="HHJ11" s="16"/>
      <c r="HHK11" s="16"/>
      <c r="HHL11" s="16"/>
      <c r="HHM11" s="16"/>
      <c r="HHN11" s="16"/>
      <c r="HHO11" s="16"/>
      <c r="HHP11" s="16"/>
      <c r="HHQ11" s="16"/>
      <c r="HHR11" s="16"/>
      <c r="HHS11" s="16"/>
      <c r="HHT11" s="16"/>
      <c r="HHU11" s="16"/>
      <c r="HHV11" s="16"/>
      <c r="HHW11" s="16"/>
      <c r="HHX11" s="16"/>
      <c r="HHY11" s="16"/>
      <c r="HHZ11" s="16"/>
      <c r="HIA11" s="16"/>
      <c r="HIB11" s="16"/>
      <c r="HIC11" s="16"/>
      <c r="HID11" s="16"/>
      <c r="HIE11" s="16"/>
      <c r="HIF11" s="16"/>
      <c r="HIG11" s="16"/>
      <c r="HIH11" s="16"/>
      <c r="HII11" s="16"/>
      <c r="HIJ11" s="16"/>
      <c r="HIK11" s="16"/>
      <c r="HIL11" s="16"/>
      <c r="HIM11" s="16"/>
      <c r="HIN11" s="16"/>
      <c r="HIO11" s="16"/>
      <c r="HIP11" s="16"/>
      <c r="HIQ11" s="16"/>
      <c r="HIR11" s="16"/>
      <c r="HIS11" s="16"/>
      <c r="HIT11" s="16"/>
      <c r="HIU11" s="16"/>
      <c r="HIV11" s="16"/>
      <c r="HIW11" s="16"/>
      <c r="HIX11" s="16"/>
      <c r="HIY11" s="16"/>
      <c r="HIZ11" s="16"/>
      <c r="HJA11" s="16"/>
      <c r="HJB11" s="16"/>
      <c r="HJC11" s="16"/>
      <c r="HJD11" s="16"/>
      <c r="HJE11" s="16"/>
      <c r="HJF11" s="16"/>
      <c r="HJG11" s="16"/>
      <c r="HJH11" s="16"/>
      <c r="HJI11" s="16"/>
      <c r="HJJ11" s="16"/>
      <c r="HJK11" s="16"/>
      <c r="HJL11" s="16"/>
      <c r="HJM11" s="16"/>
      <c r="HJN11" s="16"/>
      <c r="HJO11" s="16"/>
      <c r="HJP11" s="16"/>
      <c r="HJQ11" s="16"/>
      <c r="HJR11" s="16"/>
      <c r="HJS11" s="16"/>
      <c r="HJT11" s="16"/>
      <c r="HJU11" s="16"/>
      <c r="HJV11" s="16"/>
      <c r="HJW11" s="16"/>
      <c r="HJX11" s="16"/>
      <c r="HJY11" s="16"/>
      <c r="HJZ11" s="16"/>
      <c r="HKA11" s="16"/>
      <c r="HKB11" s="16"/>
      <c r="HKC11" s="16"/>
      <c r="HKD11" s="16"/>
      <c r="HKE11" s="16"/>
      <c r="HKF11" s="16"/>
      <c r="HKG11" s="16"/>
      <c r="HKH11" s="16"/>
      <c r="HKI11" s="16"/>
      <c r="HKJ11" s="16"/>
      <c r="HKK11" s="16"/>
      <c r="HKL11" s="16"/>
      <c r="HKM11" s="16"/>
      <c r="HKN11" s="16"/>
      <c r="HKO11" s="16"/>
      <c r="HKP11" s="16"/>
      <c r="HKQ11" s="16"/>
      <c r="HKR11" s="16"/>
      <c r="HKS11" s="16"/>
      <c r="HKT11" s="16"/>
      <c r="HKU11" s="16"/>
      <c r="HKV11" s="16"/>
      <c r="HKW11" s="16"/>
      <c r="HKX11" s="16"/>
      <c r="HKY11" s="16"/>
      <c r="HKZ11" s="16"/>
      <c r="HLA11" s="16"/>
      <c r="HLB11" s="16"/>
      <c r="HLC11" s="16"/>
      <c r="HLD11" s="16"/>
      <c r="HLE11" s="16"/>
      <c r="HLF11" s="16"/>
      <c r="HLG11" s="16"/>
      <c r="HLH11" s="16"/>
      <c r="HLI11" s="16"/>
      <c r="HLJ11" s="16"/>
      <c r="HLK11" s="16"/>
      <c r="HLL11" s="16"/>
      <c r="HLM11" s="16"/>
      <c r="HLN11" s="16"/>
      <c r="HLO11" s="16"/>
      <c r="HLP11" s="16"/>
      <c r="HLQ11" s="16"/>
      <c r="HLR11" s="16"/>
      <c r="HLS11" s="16"/>
      <c r="HLT11" s="16"/>
      <c r="HLU11" s="16"/>
      <c r="HLV11" s="16"/>
      <c r="HLW11" s="16"/>
      <c r="HLX11" s="16"/>
      <c r="HLY11" s="16"/>
      <c r="HLZ11" s="16"/>
      <c r="HMA11" s="16"/>
      <c r="HMB11" s="16"/>
      <c r="HMC11" s="16"/>
      <c r="HMD11" s="16"/>
      <c r="HME11" s="16"/>
      <c r="HMF11" s="16"/>
      <c r="HMG11" s="16"/>
      <c r="HMH11" s="16"/>
      <c r="HMI11" s="16"/>
      <c r="HMJ11" s="16"/>
      <c r="HMK11" s="16"/>
      <c r="HML11" s="16"/>
      <c r="HMM11" s="16"/>
      <c r="HMN11" s="16"/>
      <c r="HMO11" s="16"/>
      <c r="HMP11" s="16"/>
      <c r="HMQ11" s="16"/>
      <c r="HMR11" s="16"/>
      <c r="HMS11" s="16"/>
      <c r="HMT11" s="16"/>
      <c r="HMU11" s="16"/>
      <c r="HMV11" s="16"/>
      <c r="HMW11" s="16"/>
      <c r="HMX11" s="16"/>
      <c r="HMY11" s="16"/>
      <c r="HMZ11" s="16"/>
      <c r="HNA11" s="16"/>
      <c r="HNB11" s="16"/>
      <c r="HNC11" s="16"/>
      <c r="HND11" s="16"/>
      <c r="HNE11" s="16"/>
      <c r="HNF11" s="16"/>
      <c r="HNG11" s="16"/>
      <c r="HNH11" s="16"/>
      <c r="HNI11" s="16"/>
      <c r="HNJ11" s="16"/>
      <c r="HNK11" s="16"/>
      <c r="HNL11" s="16"/>
      <c r="HNM11" s="16"/>
      <c r="HNN11" s="16"/>
      <c r="HNO11" s="16"/>
      <c r="HNP11" s="16"/>
      <c r="HNQ11" s="16"/>
      <c r="HNR11" s="16"/>
      <c r="HNS11" s="16"/>
      <c r="HNT11" s="16"/>
      <c r="HNU11" s="16"/>
      <c r="HNV11" s="16"/>
      <c r="HNW11" s="16"/>
      <c r="HNX11" s="16"/>
      <c r="HNY11" s="16"/>
      <c r="HNZ11" s="16"/>
      <c r="HOA11" s="16"/>
      <c r="HOB11" s="16"/>
      <c r="HOC11" s="16"/>
      <c r="HOD11" s="16"/>
      <c r="HOE11" s="16"/>
      <c r="HOF11" s="16"/>
      <c r="HOG11" s="16"/>
      <c r="HOH11" s="16"/>
      <c r="HOI11" s="16"/>
      <c r="HOJ11" s="16"/>
      <c r="HOK11" s="16"/>
      <c r="HOL11" s="16"/>
      <c r="HOM11" s="16"/>
      <c r="HON11" s="16"/>
      <c r="HOO11" s="16"/>
      <c r="HOP11" s="16"/>
      <c r="HOQ11" s="16"/>
      <c r="HOR11" s="16"/>
      <c r="HOS11" s="16"/>
      <c r="HOT11" s="16"/>
      <c r="HOU11" s="16"/>
      <c r="HOV11" s="16"/>
      <c r="HOW11" s="16"/>
      <c r="HOX11" s="16"/>
      <c r="HOY11" s="16"/>
      <c r="HOZ11" s="16"/>
      <c r="HPA11" s="16"/>
      <c r="HPB11" s="16"/>
      <c r="HPC11" s="16"/>
      <c r="HPD11" s="16"/>
      <c r="HPE11" s="16"/>
      <c r="HPF11" s="16"/>
      <c r="HPG11" s="16"/>
      <c r="HPH11" s="16"/>
      <c r="HPI11" s="16"/>
      <c r="HPJ11" s="16"/>
      <c r="HPK11" s="16"/>
      <c r="HPL11" s="16"/>
      <c r="HPM11" s="16"/>
      <c r="HPN11" s="16"/>
      <c r="HPO11" s="16"/>
      <c r="HPP11" s="16"/>
      <c r="HPQ11" s="16"/>
      <c r="HPR11" s="16"/>
      <c r="HPS11" s="16"/>
      <c r="HPT11" s="16"/>
      <c r="HPU11" s="16"/>
      <c r="HPV11" s="16"/>
      <c r="HPW11" s="16"/>
      <c r="HPX11" s="16"/>
      <c r="HPY11" s="16"/>
      <c r="HPZ11" s="16"/>
      <c r="HQA11" s="16"/>
      <c r="HQB11" s="16"/>
      <c r="HQC11" s="16"/>
      <c r="HQD11" s="16"/>
      <c r="HQE11" s="16"/>
      <c r="HQF11" s="16"/>
      <c r="HQG11" s="16"/>
      <c r="HQH11" s="16"/>
      <c r="HQI11" s="16"/>
      <c r="HQJ11" s="16"/>
      <c r="HQK11" s="16"/>
      <c r="HQL11" s="16"/>
      <c r="HQM11" s="16"/>
      <c r="HQN11" s="16"/>
      <c r="HQO11" s="16"/>
      <c r="HQP11" s="16"/>
      <c r="HQQ11" s="16"/>
      <c r="HQR11" s="16"/>
      <c r="HQS11" s="16"/>
      <c r="HQT11" s="16"/>
      <c r="HQU11" s="16"/>
      <c r="HQV11" s="16"/>
      <c r="HQW11" s="16"/>
      <c r="HQX11" s="16"/>
      <c r="HQY11" s="16"/>
      <c r="HQZ11" s="16"/>
      <c r="HRA11" s="16"/>
      <c r="HRB11" s="16"/>
      <c r="HRC11" s="16"/>
      <c r="HRD11" s="16"/>
      <c r="HRE11" s="16"/>
      <c r="HRF11" s="16"/>
      <c r="HRG11" s="16"/>
      <c r="HRH11" s="16"/>
      <c r="HRI11" s="16"/>
      <c r="HRJ11" s="16"/>
      <c r="HRK11" s="16"/>
      <c r="HRL11" s="16"/>
      <c r="HRM11" s="16"/>
      <c r="HRN11" s="16"/>
      <c r="HRO11" s="16"/>
      <c r="HRP11" s="16"/>
      <c r="HRQ11" s="16"/>
      <c r="HRR11" s="16"/>
      <c r="HRS11" s="16"/>
      <c r="HRT11" s="16"/>
      <c r="HRU11" s="16"/>
      <c r="HRV11" s="16"/>
      <c r="HRW11" s="16"/>
      <c r="HRX11" s="16"/>
      <c r="HRY11" s="16"/>
      <c r="HRZ11" s="16"/>
      <c r="HSA11" s="16"/>
      <c r="HSB11" s="16"/>
      <c r="HSC11" s="16"/>
      <c r="HSD11" s="16"/>
      <c r="HSE11" s="16"/>
      <c r="HSF11" s="16"/>
      <c r="HSG11" s="16"/>
      <c r="HSH11" s="16"/>
      <c r="HSI11" s="16"/>
      <c r="HSJ11" s="16"/>
      <c r="HSK11" s="16"/>
      <c r="HSL11" s="16"/>
      <c r="HSM11" s="16"/>
      <c r="HSN11" s="16"/>
      <c r="HSO11" s="16"/>
      <c r="HSP11" s="16"/>
      <c r="HSQ11" s="16"/>
      <c r="HSR11" s="16"/>
      <c r="HSS11" s="16"/>
      <c r="HST11" s="16"/>
      <c r="HSU11" s="16"/>
      <c r="HSV11" s="16"/>
      <c r="HSW11" s="16"/>
      <c r="HSX11" s="16"/>
      <c r="HSY11" s="16"/>
      <c r="HSZ11" s="16"/>
      <c r="HTA11" s="16"/>
      <c r="HTB11" s="16"/>
      <c r="HTC11" s="16"/>
      <c r="HTD11" s="16"/>
      <c r="HTE11" s="16"/>
      <c r="HTF11" s="16"/>
      <c r="HTG11" s="16"/>
      <c r="HTH11" s="16"/>
      <c r="HTI11" s="16"/>
      <c r="HTJ11" s="16"/>
      <c r="HTK11" s="16"/>
      <c r="HTL11" s="16"/>
      <c r="HTM11" s="16"/>
      <c r="HTN11" s="16"/>
      <c r="HTO11" s="16"/>
      <c r="HTP11" s="16"/>
      <c r="HTQ11" s="16"/>
      <c r="HTR11" s="16"/>
      <c r="HTS11" s="16"/>
      <c r="HTT11" s="16"/>
      <c r="HTU11" s="16"/>
      <c r="HTV11" s="16"/>
      <c r="HTW11" s="16"/>
      <c r="HTX11" s="16"/>
      <c r="HTY11" s="16"/>
      <c r="HTZ11" s="16"/>
      <c r="HUA11" s="16"/>
      <c r="HUB11" s="16"/>
      <c r="HUC11" s="16"/>
      <c r="HUD11" s="16"/>
      <c r="HUE11" s="16"/>
      <c r="HUF11" s="16"/>
      <c r="HUG11" s="16"/>
      <c r="HUH11" s="16"/>
      <c r="HUI11" s="16"/>
      <c r="HUJ11" s="16"/>
      <c r="HUK11" s="16"/>
      <c r="HUL11" s="16"/>
      <c r="HUM11" s="16"/>
      <c r="HUN11" s="16"/>
      <c r="HUO11" s="16"/>
      <c r="HUP11" s="16"/>
      <c r="HUQ11" s="16"/>
      <c r="HUR11" s="16"/>
      <c r="HUS11" s="16"/>
      <c r="HUT11" s="16"/>
      <c r="HUU11" s="16"/>
      <c r="HUV11" s="16"/>
      <c r="HUW11" s="16"/>
      <c r="HUX11" s="16"/>
      <c r="HUY11" s="16"/>
      <c r="HUZ11" s="16"/>
      <c r="HVA11" s="16"/>
      <c r="HVB11" s="16"/>
      <c r="HVC11" s="16"/>
      <c r="HVD11" s="16"/>
      <c r="HVE11" s="16"/>
      <c r="HVF11" s="16"/>
      <c r="HVG11" s="16"/>
      <c r="HVH11" s="16"/>
      <c r="HVI11" s="16"/>
      <c r="HVJ11" s="16"/>
      <c r="HVK11" s="16"/>
      <c r="HVL11" s="16"/>
      <c r="HVM11" s="16"/>
      <c r="HVN11" s="16"/>
      <c r="HVO11" s="16"/>
      <c r="HVP11" s="16"/>
      <c r="HVQ11" s="16"/>
      <c r="HVR11" s="16"/>
      <c r="HVS11" s="16"/>
      <c r="HVT11" s="16"/>
      <c r="HVU11" s="16"/>
      <c r="HVV11" s="16"/>
      <c r="HVW11" s="16"/>
      <c r="HVX11" s="16"/>
      <c r="HVY11" s="16"/>
      <c r="HVZ11" s="16"/>
      <c r="HWA11" s="16"/>
      <c r="HWB11" s="16"/>
      <c r="HWC11" s="16"/>
      <c r="HWD11" s="16"/>
      <c r="HWE11" s="16"/>
      <c r="HWF11" s="16"/>
      <c r="HWG11" s="16"/>
      <c r="HWH11" s="16"/>
      <c r="HWI11" s="16"/>
      <c r="HWJ11" s="16"/>
      <c r="HWK11" s="16"/>
      <c r="HWL11" s="16"/>
      <c r="HWM11" s="16"/>
      <c r="HWN11" s="16"/>
      <c r="HWO11" s="16"/>
      <c r="HWP11" s="16"/>
      <c r="HWQ11" s="16"/>
      <c r="HWR11" s="16"/>
      <c r="HWS11" s="16"/>
      <c r="HWT11" s="16"/>
      <c r="HWU11" s="16"/>
      <c r="HWV11" s="16"/>
      <c r="HWW11" s="16"/>
      <c r="HWX11" s="16"/>
      <c r="HWY11" s="16"/>
      <c r="HWZ11" s="16"/>
      <c r="HXA11" s="16"/>
      <c r="HXB11" s="16"/>
      <c r="HXC11" s="16"/>
      <c r="HXD11" s="16"/>
      <c r="HXE11" s="16"/>
      <c r="HXF11" s="16"/>
      <c r="HXG11" s="16"/>
      <c r="HXH11" s="16"/>
      <c r="HXI11" s="16"/>
      <c r="HXJ11" s="16"/>
      <c r="HXK11" s="16"/>
      <c r="HXL11" s="16"/>
      <c r="HXM11" s="16"/>
      <c r="HXN11" s="16"/>
      <c r="HXO11" s="16"/>
      <c r="HXP11" s="16"/>
      <c r="HXQ11" s="16"/>
      <c r="HXR11" s="16"/>
      <c r="HXS11" s="16"/>
      <c r="HXT11" s="16"/>
      <c r="HXU11" s="16"/>
      <c r="HXV11" s="16"/>
      <c r="HXW11" s="16"/>
      <c r="HXX11" s="16"/>
      <c r="HXY11" s="16"/>
      <c r="HXZ11" s="16"/>
      <c r="HYA11" s="16"/>
      <c r="HYB11" s="16"/>
      <c r="HYC11" s="16"/>
      <c r="HYD11" s="16"/>
      <c r="HYE11" s="16"/>
      <c r="HYF11" s="16"/>
      <c r="HYG11" s="16"/>
      <c r="HYH11" s="16"/>
      <c r="HYI11" s="16"/>
      <c r="HYJ11" s="16"/>
      <c r="HYK11" s="16"/>
      <c r="HYL11" s="16"/>
      <c r="HYM11" s="16"/>
      <c r="HYN11" s="16"/>
      <c r="HYO11" s="16"/>
      <c r="HYP11" s="16"/>
      <c r="HYQ11" s="16"/>
      <c r="HYR11" s="16"/>
      <c r="HYS11" s="16"/>
      <c r="HYT11" s="16"/>
      <c r="HYU11" s="16"/>
      <c r="HYV11" s="16"/>
      <c r="HYW11" s="16"/>
      <c r="HYX11" s="16"/>
      <c r="HYY11" s="16"/>
      <c r="HYZ11" s="16"/>
      <c r="HZA11" s="16"/>
      <c r="HZB11" s="16"/>
      <c r="HZC11" s="16"/>
      <c r="HZD11" s="16"/>
      <c r="HZE11" s="16"/>
      <c r="HZF11" s="16"/>
      <c r="HZG11" s="16"/>
      <c r="HZH11" s="16"/>
      <c r="HZI11" s="16"/>
      <c r="HZJ11" s="16"/>
      <c r="HZK11" s="16"/>
      <c r="HZL11" s="16"/>
      <c r="HZM11" s="16"/>
      <c r="HZN11" s="16"/>
      <c r="HZO11" s="16"/>
      <c r="HZP11" s="16"/>
      <c r="HZQ11" s="16"/>
      <c r="HZR11" s="16"/>
      <c r="HZS11" s="16"/>
      <c r="HZT11" s="16"/>
      <c r="HZU11" s="16"/>
      <c r="HZV11" s="16"/>
      <c r="HZW11" s="16"/>
      <c r="HZX11" s="16"/>
      <c r="HZY11" s="16"/>
      <c r="HZZ11" s="16"/>
      <c r="IAA11" s="16"/>
      <c r="IAB11" s="16"/>
      <c r="IAC11" s="16"/>
      <c r="IAD11" s="16"/>
      <c r="IAE11" s="16"/>
      <c r="IAF11" s="16"/>
      <c r="IAG11" s="16"/>
      <c r="IAH11" s="16"/>
      <c r="IAI11" s="16"/>
      <c r="IAJ11" s="16"/>
      <c r="IAK11" s="16"/>
      <c r="IAL11" s="16"/>
      <c r="IAM11" s="16"/>
      <c r="IAN11" s="16"/>
      <c r="IAO11" s="16"/>
      <c r="IAP11" s="16"/>
      <c r="IAQ11" s="16"/>
      <c r="IAR11" s="16"/>
      <c r="IAS11" s="16"/>
      <c r="IAT11" s="16"/>
      <c r="IAU11" s="16"/>
      <c r="IAV11" s="16"/>
      <c r="IAW11" s="16"/>
      <c r="IAX11" s="16"/>
      <c r="IAY11" s="16"/>
      <c r="IAZ11" s="16"/>
      <c r="IBA11" s="16"/>
      <c r="IBB11" s="16"/>
      <c r="IBC11" s="16"/>
      <c r="IBD11" s="16"/>
      <c r="IBE11" s="16"/>
      <c r="IBF11" s="16"/>
      <c r="IBG11" s="16"/>
      <c r="IBH11" s="16"/>
      <c r="IBI11" s="16"/>
      <c r="IBJ11" s="16"/>
      <c r="IBK11" s="16"/>
      <c r="IBL11" s="16"/>
      <c r="IBM11" s="16"/>
      <c r="IBN11" s="16"/>
      <c r="IBO11" s="16"/>
      <c r="IBP11" s="16"/>
      <c r="IBQ11" s="16"/>
      <c r="IBR11" s="16"/>
      <c r="IBS11" s="16"/>
      <c r="IBT11" s="16"/>
      <c r="IBU11" s="16"/>
      <c r="IBV11" s="16"/>
      <c r="IBW11" s="16"/>
      <c r="IBX11" s="16"/>
      <c r="IBY11" s="16"/>
      <c r="IBZ11" s="16"/>
      <c r="ICA11" s="16"/>
      <c r="ICB11" s="16"/>
      <c r="ICC11" s="16"/>
      <c r="ICD11" s="16"/>
      <c r="ICE11" s="16"/>
      <c r="ICF11" s="16"/>
      <c r="ICG11" s="16"/>
      <c r="ICH11" s="16"/>
      <c r="ICI11" s="16"/>
      <c r="ICJ11" s="16"/>
      <c r="ICK11" s="16"/>
      <c r="ICL11" s="16"/>
      <c r="ICM11" s="16"/>
      <c r="ICN11" s="16"/>
      <c r="ICO11" s="16"/>
      <c r="ICP11" s="16"/>
      <c r="ICQ11" s="16"/>
      <c r="ICR11" s="16"/>
      <c r="ICS11" s="16"/>
      <c r="ICT11" s="16"/>
      <c r="ICU11" s="16"/>
      <c r="ICV11" s="16"/>
      <c r="ICW11" s="16"/>
      <c r="ICX11" s="16"/>
      <c r="ICY11" s="16"/>
      <c r="ICZ11" s="16"/>
      <c r="IDA11" s="16"/>
      <c r="IDB11" s="16"/>
      <c r="IDC11" s="16"/>
      <c r="IDD11" s="16"/>
      <c r="IDE11" s="16"/>
      <c r="IDF11" s="16"/>
      <c r="IDG11" s="16"/>
      <c r="IDH11" s="16"/>
      <c r="IDI11" s="16"/>
      <c r="IDJ11" s="16"/>
      <c r="IDK11" s="16"/>
      <c r="IDL11" s="16"/>
      <c r="IDM11" s="16"/>
      <c r="IDN11" s="16"/>
      <c r="IDO11" s="16"/>
      <c r="IDP11" s="16"/>
      <c r="IDQ11" s="16"/>
      <c r="IDR11" s="16"/>
      <c r="IDS11" s="16"/>
      <c r="IDT11" s="16"/>
      <c r="IDU11" s="16"/>
      <c r="IDV11" s="16"/>
      <c r="IDW11" s="16"/>
      <c r="IDX11" s="16"/>
      <c r="IDY11" s="16"/>
      <c r="IDZ11" s="16"/>
      <c r="IEA11" s="16"/>
      <c r="IEB11" s="16"/>
      <c r="IEC11" s="16"/>
      <c r="IED11" s="16"/>
      <c r="IEE11" s="16"/>
      <c r="IEF11" s="16"/>
      <c r="IEG11" s="16"/>
      <c r="IEH11" s="16"/>
      <c r="IEI11" s="16"/>
      <c r="IEJ11" s="16"/>
      <c r="IEK11" s="16"/>
      <c r="IEL11" s="16"/>
      <c r="IEM11" s="16"/>
      <c r="IEN11" s="16"/>
      <c r="IEO11" s="16"/>
      <c r="IEP11" s="16"/>
      <c r="IEQ11" s="16"/>
      <c r="IER11" s="16"/>
      <c r="IES11" s="16"/>
      <c r="IET11" s="16"/>
      <c r="IEU11" s="16"/>
      <c r="IEV11" s="16"/>
      <c r="IEW11" s="16"/>
      <c r="IEX11" s="16"/>
      <c r="IEY11" s="16"/>
      <c r="IEZ11" s="16"/>
      <c r="IFA11" s="16"/>
      <c r="IFB11" s="16"/>
      <c r="IFC11" s="16"/>
      <c r="IFD11" s="16"/>
      <c r="IFE11" s="16"/>
      <c r="IFF11" s="16"/>
      <c r="IFG11" s="16"/>
      <c r="IFH11" s="16"/>
      <c r="IFI11" s="16"/>
      <c r="IFJ11" s="16"/>
      <c r="IFK11" s="16"/>
      <c r="IFL11" s="16"/>
      <c r="IFM11" s="16"/>
      <c r="IFN11" s="16"/>
      <c r="IFO11" s="16"/>
      <c r="IFP11" s="16"/>
      <c r="IFQ11" s="16"/>
      <c r="IFR11" s="16"/>
      <c r="IFS11" s="16"/>
      <c r="IFT11" s="16"/>
      <c r="IFU11" s="16"/>
      <c r="IFV11" s="16"/>
      <c r="IFW11" s="16"/>
      <c r="IFX11" s="16"/>
      <c r="IFY11" s="16"/>
      <c r="IFZ11" s="16"/>
      <c r="IGA11" s="16"/>
      <c r="IGB11" s="16"/>
      <c r="IGC11" s="16"/>
      <c r="IGD11" s="16"/>
      <c r="IGE11" s="16"/>
      <c r="IGF11" s="16"/>
      <c r="IGG11" s="16"/>
      <c r="IGH11" s="16"/>
      <c r="IGI11" s="16"/>
      <c r="IGJ11" s="16"/>
      <c r="IGK11" s="16"/>
      <c r="IGL11" s="16"/>
      <c r="IGM11" s="16"/>
      <c r="IGN11" s="16"/>
      <c r="IGO11" s="16"/>
      <c r="IGP11" s="16"/>
      <c r="IGQ11" s="16"/>
      <c r="IGR11" s="16"/>
      <c r="IGS11" s="16"/>
      <c r="IGT11" s="16"/>
      <c r="IGU11" s="16"/>
      <c r="IGV11" s="16"/>
      <c r="IGW11" s="16"/>
      <c r="IGX11" s="16"/>
      <c r="IGY11" s="16"/>
      <c r="IGZ11" s="16"/>
      <c r="IHA11" s="16"/>
      <c r="IHB11" s="16"/>
      <c r="IHC11" s="16"/>
      <c r="IHD11" s="16"/>
      <c r="IHE11" s="16"/>
      <c r="IHF11" s="16"/>
      <c r="IHG11" s="16"/>
      <c r="IHH11" s="16"/>
      <c r="IHI11" s="16"/>
      <c r="IHJ11" s="16"/>
      <c r="IHK11" s="16"/>
      <c r="IHL11" s="16"/>
      <c r="IHM11" s="16"/>
      <c r="IHN11" s="16"/>
      <c r="IHO11" s="16"/>
      <c r="IHP11" s="16"/>
      <c r="IHQ11" s="16"/>
      <c r="IHR11" s="16"/>
      <c r="IHS11" s="16"/>
      <c r="IHT11" s="16"/>
      <c r="IHU11" s="16"/>
      <c r="IHV11" s="16"/>
      <c r="IHW11" s="16"/>
      <c r="IHX11" s="16"/>
      <c r="IHY11" s="16"/>
      <c r="IHZ11" s="16"/>
      <c r="IIA11" s="16"/>
      <c r="IIB11" s="16"/>
      <c r="IIC11" s="16"/>
      <c r="IID11" s="16"/>
      <c r="IIE11" s="16"/>
      <c r="IIF11" s="16"/>
      <c r="IIG11" s="16"/>
      <c r="IIH11" s="16"/>
      <c r="III11" s="16"/>
      <c r="IIJ11" s="16"/>
      <c r="IIK11" s="16"/>
      <c r="IIL11" s="16"/>
      <c r="IIM11" s="16"/>
      <c r="IIN11" s="16"/>
      <c r="IIO11" s="16"/>
      <c r="IIP11" s="16"/>
      <c r="IIQ11" s="16"/>
      <c r="IIR11" s="16"/>
      <c r="IIS11" s="16"/>
      <c r="IIT11" s="16"/>
      <c r="IIU11" s="16"/>
      <c r="IIV11" s="16"/>
      <c r="IIW11" s="16"/>
      <c r="IIX11" s="16"/>
      <c r="IIY11" s="16"/>
      <c r="IIZ11" s="16"/>
      <c r="IJA11" s="16"/>
      <c r="IJB11" s="16"/>
      <c r="IJC11" s="16"/>
      <c r="IJD11" s="16"/>
      <c r="IJE11" s="16"/>
      <c r="IJF11" s="16"/>
      <c r="IJG11" s="16"/>
      <c r="IJH11" s="16"/>
      <c r="IJI11" s="16"/>
      <c r="IJJ11" s="16"/>
      <c r="IJK11" s="16"/>
      <c r="IJL11" s="16"/>
      <c r="IJM11" s="16"/>
      <c r="IJN11" s="16"/>
      <c r="IJO11" s="16"/>
      <c r="IJP11" s="16"/>
      <c r="IJQ11" s="16"/>
      <c r="IJR11" s="16"/>
      <c r="IJS11" s="16"/>
      <c r="IJT11" s="16"/>
      <c r="IJU11" s="16"/>
      <c r="IJV11" s="16"/>
      <c r="IJW11" s="16"/>
      <c r="IJX11" s="16"/>
      <c r="IJY11" s="16"/>
      <c r="IJZ11" s="16"/>
      <c r="IKA11" s="16"/>
      <c r="IKB11" s="16"/>
      <c r="IKC11" s="16"/>
      <c r="IKD11" s="16"/>
      <c r="IKE11" s="16"/>
      <c r="IKF11" s="16"/>
      <c r="IKG11" s="16"/>
      <c r="IKH11" s="16"/>
      <c r="IKI11" s="16"/>
      <c r="IKJ11" s="16"/>
      <c r="IKK11" s="16"/>
      <c r="IKL11" s="16"/>
      <c r="IKM11" s="16"/>
      <c r="IKN11" s="16"/>
      <c r="IKO11" s="16"/>
      <c r="IKP11" s="16"/>
      <c r="IKQ11" s="16"/>
      <c r="IKR11" s="16"/>
      <c r="IKS11" s="16"/>
      <c r="IKT11" s="16"/>
      <c r="IKU11" s="16"/>
      <c r="IKV11" s="16"/>
      <c r="IKW11" s="16"/>
      <c r="IKX11" s="16"/>
      <c r="IKY11" s="16"/>
      <c r="IKZ11" s="16"/>
      <c r="ILA11" s="16"/>
      <c r="ILB11" s="16"/>
      <c r="ILC11" s="16"/>
      <c r="ILD11" s="16"/>
      <c r="ILE11" s="16"/>
      <c r="ILF11" s="16"/>
      <c r="ILG11" s="16"/>
      <c r="ILH11" s="16"/>
      <c r="ILI11" s="16"/>
      <c r="ILJ11" s="16"/>
      <c r="ILK11" s="16"/>
      <c r="ILL11" s="16"/>
      <c r="ILM11" s="16"/>
      <c r="ILN11" s="16"/>
      <c r="ILO11" s="16"/>
      <c r="ILP11" s="16"/>
      <c r="ILQ11" s="16"/>
      <c r="ILR11" s="16"/>
      <c r="ILS11" s="16"/>
      <c r="ILT11" s="16"/>
      <c r="ILU11" s="16"/>
      <c r="ILV11" s="16"/>
      <c r="ILW11" s="16"/>
      <c r="ILX11" s="16"/>
      <c r="ILY11" s="16"/>
      <c r="ILZ11" s="16"/>
      <c r="IMA11" s="16"/>
      <c r="IMB11" s="16"/>
      <c r="IMC11" s="16"/>
      <c r="IMD11" s="16"/>
      <c r="IME11" s="16"/>
      <c r="IMF11" s="16"/>
      <c r="IMG11" s="16"/>
      <c r="IMH11" s="16"/>
      <c r="IMI11" s="16"/>
      <c r="IMJ11" s="16"/>
      <c r="IMK11" s="16"/>
      <c r="IML11" s="16"/>
      <c r="IMM11" s="16"/>
      <c r="IMN11" s="16"/>
      <c r="IMO11" s="16"/>
      <c r="IMP11" s="16"/>
      <c r="IMQ11" s="16"/>
      <c r="IMR11" s="16"/>
      <c r="IMS11" s="16"/>
      <c r="IMT11" s="16"/>
      <c r="IMU11" s="16"/>
      <c r="IMV11" s="16"/>
      <c r="IMW11" s="16"/>
      <c r="IMX11" s="16"/>
      <c r="IMY11" s="16"/>
      <c r="IMZ11" s="16"/>
      <c r="INA11" s="16"/>
      <c r="INB11" s="16"/>
      <c r="INC11" s="16"/>
      <c r="IND11" s="16"/>
      <c r="INE11" s="16"/>
      <c r="INF11" s="16"/>
      <c r="ING11" s="16"/>
      <c r="INH11" s="16"/>
      <c r="INI11" s="16"/>
      <c r="INJ11" s="16"/>
      <c r="INK11" s="16"/>
      <c r="INL11" s="16"/>
      <c r="INM11" s="16"/>
      <c r="INN11" s="16"/>
      <c r="INO11" s="16"/>
      <c r="INP11" s="16"/>
      <c r="INQ11" s="16"/>
      <c r="INR11" s="16"/>
      <c r="INS11" s="16"/>
      <c r="INT11" s="16"/>
      <c r="INU11" s="16"/>
      <c r="INV11" s="16"/>
      <c r="INW11" s="16"/>
      <c r="INX11" s="16"/>
      <c r="INY11" s="16"/>
      <c r="INZ11" s="16"/>
      <c r="IOA11" s="16"/>
      <c r="IOB11" s="16"/>
      <c r="IOC11" s="16"/>
      <c r="IOD11" s="16"/>
      <c r="IOE11" s="16"/>
      <c r="IOF11" s="16"/>
      <c r="IOG11" s="16"/>
      <c r="IOH11" s="16"/>
      <c r="IOI11" s="16"/>
      <c r="IOJ11" s="16"/>
      <c r="IOK11" s="16"/>
      <c r="IOL11" s="16"/>
      <c r="IOM11" s="16"/>
      <c r="ION11" s="16"/>
      <c r="IOO11" s="16"/>
      <c r="IOP11" s="16"/>
      <c r="IOQ11" s="16"/>
      <c r="IOR11" s="16"/>
      <c r="IOS11" s="16"/>
      <c r="IOT11" s="16"/>
      <c r="IOU11" s="16"/>
      <c r="IOV11" s="16"/>
      <c r="IOW11" s="16"/>
      <c r="IOX11" s="16"/>
      <c r="IOY11" s="16"/>
      <c r="IOZ11" s="16"/>
      <c r="IPA11" s="16"/>
      <c r="IPB11" s="16"/>
      <c r="IPC11" s="16"/>
      <c r="IPD11" s="16"/>
      <c r="IPE11" s="16"/>
      <c r="IPF11" s="16"/>
      <c r="IPG11" s="16"/>
      <c r="IPH11" s="16"/>
      <c r="IPI11" s="16"/>
      <c r="IPJ11" s="16"/>
      <c r="IPK11" s="16"/>
      <c r="IPL11" s="16"/>
      <c r="IPM11" s="16"/>
      <c r="IPN11" s="16"/>
      <c r="IPO11" s="16"/>
      <c r="IPP11" s="16"/>
      <c r="IPQ11" s="16"/>
      <c r="IPR11" s="16"/>
      <c r="IPS11" s="16"/>
      <c r="IPT11" s="16"/>
      <c r="IPU11" s="16"/>
      <c r="IPV11" s="16"/>
      <c r="IPW11" s="16"/>
      <c r="IPX11" s="16"/>
      <c r="IPY11" s="16"/>
      <c r="IPZ11" s="16"/>
      <c r="IQA11" s="16"/>
      <c r="IQB11" s="16"/>
      <c r="IQC11" s="16"/>
      <c r="IQD11" s="16"/>
      <c r="IQE11" s="16"/>
      <c r="IQF11" s="16"/>
      <c r="IQG11" s="16"/>
      <c r="IQH11" s="16"/>
      <c r="IQI11" s="16"/>
      <c r="IQJ11" s="16"/>
      <c r="IQK11" s="16"/>
      <c r="IQL11" s="16"/>
      <c r="IQM11" s="16"/>
      <c r="IQN11" s="16"/>
      <c r="IQO11" s="16"/>
      <c r="IQP11" s="16"/>
      <c r="IQQ11" s="16"/>
      <c r="IQR11" s="16"/>
      <c r="IQS11" s="16"/>
      <c r="IQT11" s="16"/>
      <c r="IQU11" s="16"/>
      <c r="IQV11" s="16"/>
      <c r="IQW11" s="16"/>
      <c r="IQX11" s="16"/>
      <c r="IQY11" s="16"/>
      <c r="IQZ11" s="16"/>
      <c r="IRA11" s="16"/>
      <c r="IRB11" s="16"/>
      <c r="IRC11" s="16"/>
      <c r="IRD11" s="16"/>
      <c r="IRE11" s="16"/>
      <c r="IRF11" s="16"/>
      <c r="IRG11" s="16"/>
      <c r="IRH11" s="16"/>
      <c r="IRI11" s="16"/>
      <c r="IRJ11" s="16"/>
      <c r="IRK11" s="16"/>
      <c r="IRL11" s="16"/>
      <c r="IRM11" s="16"/>
      <c r="IRN11" s="16"/>
      <c r="IRO11" s="16"/>
      <c r="IRP11" s="16"/>
      <c r="IRQ11" s="16"/>
      <c r="IRR11" s="16"/>
      <c r="IRS11" s="16"/>
      <c r="IRT11" s="16"/>
      <c r="IRU11" s="16"/>
      <c r="IRV11" s="16"/>
      <c r="IRW11" s="16"/>
      <c r="IRX11" s="16"/>
      <c r="IRY11" s="16"/>
      <c r="IRZ11" s="16"/>
      <c r="ISA11" s="16"/>
      <c r="ISB11" s="16"/>
      <c r="ISC11" s="16"/>
      <c r="ISD11" s="16"/>
      <c r="ISE11" s="16"/>
      <c r="ISF11" s="16"/>
      <c r="ISG11" s="16"/>
      <c r="ISH11" s="16"/>
      <c r="ISI11" s="16"/>
      <c r="ISJ11" s="16"/>
      <c r="ISK11" s="16"/>
      <c r="ISL11" s="16"/>
      <c r="ISM11" s="16"/>
      <c r="ISN11" s="16"/>
      <c r="ISO11" s="16"/>
      <c r="ISP11" s="16"/>
      <c r="ISQ11" s="16"/>
      <c r="ISR11" s="16"/>
      <c r="ISS11" s="16"/>
      <c r="IST11" s="16"/>
      <c r="ISU11" s="16"/>
      <c r="ISV11" s="16"/>
      <c r="ISW11" s="16"/>
      <c r="ISX11" s="16"/>
      <c r="ISY11" s="16"/>
      <c r="ISZ11" s="16"/>
      <c r="ITA11" s="16"/>
      <c r="ITB11" s="16"/>
      <c r="ITC11" s="16"/>
      <c r="ITD11" s="16"/>
      <c r="ITE11" s="16"/>
      <c r="ITF11" s="16"/>
      <c r="ITG11" s="16"/>
      <c r="ITH11" s="16"/>
      <c r="ITI11" s="16"/>
      <c r="ITJ11" s="16"/>
      <c r="ITK11" s="16"/>
      <c r="ITL11" s="16"/>
      <c r="ITM11" s="16"/>
      <c r="ITN11" s="16"/>
      <c r="ITO11" s="16"/>
      <c r="ITP11" s="16"/>
      <c r="ITQ11" s="16"/>
      <c r="ITR11" s="16"/>
      <c r="ITS11" s="16"/>
      <c r="ITT11" s="16"/>
      <c r="ITU11" s="16"/>
      <c r="ITV11" s="16"/>
      <c r="ITW11" s="16"/>
      <c r="ITX11" s="16"/>
      <c r="ITY11" s="16"/>
      <c r="ITZ11" s="16"/>
      <c r="IUA11" s="16"/>
      <c r="IUB11" s="16"/>
      <c r="IUC11" s="16"/>
      <c r="IUD11" s="16"/>
      <c r="IUE11" s="16"/>
      <c r="IUF11" s="16"/>
      <c r="IUG11" s="16"/>
      <c r="IUH11" s="16"/>
      <c r="IUI11" s="16"/>
      <c r="IUJ11" s="16"/>
      <c r="IUK11" s="16"/>
      <c r="IUL11" s="16"/>
      <c r="IUM11" s="16"/>
      <c r="IUN11" s="16"/>
      <c r="IUO11" s="16"/>
      <c r="IUP11" s="16"/>
      <c r="IUQ11" s="16"/>
      <c r="IUR11" s="16"/>
      <c r="IUS11" s="16"/>
      <c r="IUT11" s="16"/>
      <c r="IUU11" s="16"/>
      <c r="IUV11" s="16"/>
      <c r="IUW11" s="16"/>
      <c r="IUX11" s="16"/>
      <c r="IUY11" s="16"/>
      <c r="IUZ11" s="16"/>
      <c r="IVA11" s="16"/>
      <c r="IVB11" s="16"/>
      <c r="IVC11" s="16"/>
      <c r="IVD11" s="16"/>
      <c r="IVE11" s="16"/>
      <c r="IVF11" s="16"/>
      <c r="IVG11" s="16"/>
      <c r="IVH11" s="16"/>
      <c r="IVI11" s="16"/>
      <c r="IVJ11" s="16"/>
      <c r="IVK11" s="16"/>
      <c r="IVL11" s="16"/>
      <c r="IVM11" s="16"/>
      <c r="IVN11" s="16"/>
      <c r="IVO11" s="16"/>
      <c r="IVP11" s="16"/>
      <c r="IVQ11" s="16"/>
      <c r="IVR11" s="16"/>
      <c r="IVS11" s="16"/>
      <c r="IVT11" s="16"/>
      <c r="IVU11" s="16"/>
      <c r="IVV11" s="16"/>
      <c r="IVW11" s="16"/>
      <c r="IVX11" s="16"/>
      <c r="IVY11" s="16"/>
      <c r="IVZ11" s="16"/>
      <c r="IWA11" s="16"/>
      <c r="IWB11" s="16"/>
      <c r="IWC11" s="16"/>
      <c r="IWD11" s="16"/>
      <c r="IWE11" s="16"/>
      <c r="IWF11" s="16"/>
      <c r="IWG11" s="16"/>
      <c r="IWH11" s="16"/>
      <c r="IWI11" s="16"/>
      <c r="IWJ11" s="16"/>
      <c r="IWK11" s="16"/>
      <c r="IWL11" s="16"/>
      <c r="IWM11" s="16"/>
      <c r="IWN11" s="16"/>
      <c r="IWO11" s="16"/>
      <c r="IWP11" s="16"/>
      <c r="IWQ11" s="16"/>
      <c r="IWR11" s="16"/>
      <c r="IWS11" s="16"/>
      <c r="IWT11" s="16"/>
      <c r="IWU11" s="16"/>
      <c r="IWV11" s="16"/>
      <c r="IWW11" s="16"/>
      <c r="IWX11" s="16"/>
      <c r="IWY11" s="16"/>
      <c r="IWZ11" s="16"/>
      <c r="IXA11" s="16"/>
      <c r="IXB11" s="16"/>
      <c r="IXC11" s="16"/>
      <c r="IXD11" s="16"/>
      <c r="IXE11" s="16"/>
      <c r="IXF11" s="16"/>
      <c r="IXG11" s="16"/>
      <c r="IXH11" s="16"/>
      <c r="IXI11" s="16"/>
      <c r="IXJ11" s="16"/>
      <c r="IXK11" s="16"/>
      <c r="IXL11" s="16"/>
      <c r="IXM11" s="16"/>
      <c r="IXN11" s="16"/>
      <c r="IXO11" s="16"/>
      <c r="IXP11" s="16"/>
      <c r="IXQ11" s="16"/>
      <c r="IXR11" s="16"/>
      <c r="IXS11" s="16"/>
      <c r="IXT11" s="16"/>
      <c r="IXU11" s="16"/>
      <c r="IXV11" s="16"/>
      <c r="IXW11" s="16"/>
      <c r="IXX11" s="16"/>
      <c r="IXY11" s="16"/>
      <c r="IXZ11" s="16"/>
      <c r="IYA11" s="16"/>
      <c r="IYB11" s="16"/>
      <c r="IYC11" s="16"/>
      <c r="IYD11" s="16"/>
      <c r="IYE11" s="16"/>
      <c r="IYF11" s="16"/>
      <c r="IYG11" s="16"/>
      <c r="IYH11" s="16"/>
      <c r="IYI11" s="16"/>
      <c r="IYJ11" s="16"/>
      <c r="IYK11" s="16"/>
      <c r="IYL11" s="16"/>
      <c r="IYM11" s="16"/>
      <c r="IYN11" s="16"/>
      <c r="IYO11" s="16"/>
      <c r="IYP11" s="16"/>
      <c r="IYQ11" s="16"/>
      <c r="IYR11" s="16"/>
      <c r="IYS11" s="16"/>
      <c r="IYT11" s="16"/>
      <c r="IYU11" s="16"/>
      <c r="IYV11" s="16"/>
      <c r="IYW11" s="16"/>
      <c r="IYX11" s="16"/>
      <c r="IYY11" s="16"/>
      <c r="IYZ11" s="16"/>
      <c r="IZA11" s="16"/>
      <c r="IZB11" s="16"/>
      <c r="IZC11" s="16"/>
      <c r="IZD11" s="16"/>
      <c r="IZE11" s="16"/>
      <c r="IZF11" s="16"/>
      <c r="IZG11" s="16"/>
      <c r="IZH11" s="16"/>
      <c r="IZI11" s="16"/>
      <c r="IZJ11" s="16"/>
      <c r="IZK11" s="16"/>
      <c r="IZL11" s="16"/>
      <c r="IZM11" s="16"/>
      <c r="IZN11" s="16"/>
      <c r="IZO11" s="16"/>
      <c r="IZP11" s="16"/>
      <c r="IZQ11" s="16"/>
      <c r="IZR11" s="16"/>
      <c r="IZS11" s="16"/>
      <c r="IZT11" s="16"/>
      <c r="IZU11" s="16"/>
      <c r="IZV11" s="16"/>
      <c r="IZW11" s="16"/>
      <c r="IZX11" s="16"/>
      <c r="IZY11" s="16"/>
      <c r="IZZ11" s="16"/>
      <c r="JAA11" s="16"/>
      <c r="JAB11" s="16"/>
      <c r="JAC11" s="16"/>
      <c r="JAD11" s="16"/>
      <c r="JAE11" s="16"/>
      <c r="JAF11" s="16"/>
      <c r="JAG11" s="16"/>
      <c r="JAH11" s="16"/>
      <c r="JAI11" s="16"/>
      <c r="JAJ11" s="16"/>
      <c r="JAK11" s="16"/>
      <c r="JAL11" s="16"/>
      <c r="JAM11" s="16"/>
      <c r="JAN11" s="16"/>
      <c r="JAO11" s="16"/>
      <c r="JAP11" s="16"/>
      <c r="JAQ11" s="16"/>
      <c r="JAR11" s="16"/>
      <c r="JAS11" s="16"/>
      <c r="JAT11" s="16"/>
      <c r="JAU11" s="16"/>
      <c r="JAV11" s="16"/>
      <c r="JAW11" s="16"/>
      <c r="JAX11" s="16"/>
      <c r="JAY11" s="16"/>
      <c r="JAZ11" s="16"/>
      <c r="JBA11" s="16"/>
      <c r="JBB11" s="16"/>
      <c r="JBC11" s="16"/>
      <c r="JBD11" s="16"/>
      <c r="JBE11" s="16"/>
      <c r="JBF11" s="16"/>
      <c r="JBG11" s="16"/>
      <c r="JBH11" s="16"/>
      <c r="JBI11" s="16"/>
      <c r="JBJ11" s="16"/>
      <c r="JBK11" s="16"/>
      <c r="JBL11" s="16"/>
      <c r="JBM11" s="16"/>
      <c r="JBN11" s="16"/>
      <c r="JBO11" s="16"/>
      <c r="JBP11" s="16"/>
      <c r="JBQ11" s="16"/>
      <c r="JBR11" s="16"/>
      <c r="JBS11" s="16"/>
      <c r="JBT11" s="16"/>
      <c r="JBU11" s="16"/>
      <c r="JBV11" s="16"/>
      <c r="JBW11" s="16"/>
      <c r="JBX11" s="16"/>
      <c r="JBY11" s="16"/>
      <c r="JBZ11" s="16"/>
      <c r="JCA11" s="16"/>
      <c r="JCB11" s="16"/>
      <c r="JCC11" s="16"/>
      <c r="JCD11" s="16"/>
      <c r="JCE11" s="16"/>
      <c r="JCF11" s="16"/>
      <c r="JCG11" s="16"/>
      <c r="JCH11" s="16"/>
      <c r="JCI11" s="16"/>
      <c r="JCJ11" s="16"/>
      <c r="JCK11" s="16"/>
      <c r="JCL11" s="16"/>
      <c r="JCM11" s="16"/>
      <c r="JCN11" s="16"/>
      <c r="JCO11" s="16"/>
      <c r="JCP11" s="16"/>
      <c r="JCQ11" s="16"/>
      <c r="JCR11" s="16"/>
      <c r="JCS11" s="16"/>
      <c r="JCT11" s="16"/>
      <c r="JCU11" s="16"/>
      <c r="JCV11" s="16"/>
      <c r="JCW11" s="16"/>
      <c r="JCX11" s="16"/>
      <c r="JCY11" s="16"/>
      <c r="JCZ11" s="16"/>
      <c r="JDA11" s="16"/>
      <c r="JDB11" s="16"/>
      <c r="JDC11" s="16"/>
      <c r="JDD11" s="16"/>
      <c r="JDE11" s="16"/>
      <c r="JDF11" s="16"/>
      <c r="JDG11" s="16"/>
      <c r="JDH11" s="16"/>
      <c r="JDI11" s="16"/>
      <c r="JDJ11" s="16"/>
      <c r="JDK11" s="16"/>
      <c r="JDL11" s="16"/>
      <c r="JDM11" s="16"/>
      <c r="JDN11" s="16"/>
      <c r="JDO11" s="16"/>
      <c r="JDP11" s="16"/>
      <c r="JDQ11" s="16"/>
      <c r="JDR11" s="16"/>
      <c r="JDS11" s="16"/>
      <c r="JDT11" s="16"/>
      <c r="JDU11" s="16"/>
      <c r="JDV11" s="16"/>
      <c r="JDW11" s="16"/>
      <c r="JDX11" s="16"/>
      <c r="JDY11" s="16"/>
      <c r="JDZ11" s="16"/>
      <c r="JEA11" s="16"/>
      <c r="JEB11" s="16"/>
      <c r="JEC11" s="16"/>
      <c r="JED11" s="16"/>
      <c r="JEE11" s="16"/>
      <c r="JEF11" s="16"/>
      <c r="JEG11" s="16"/>
      <c r="JEH11" s="16"/>
      <c r="JEI11" s="16"/>
      <c r="JEJ11" s="16"/>
      <c r="JEK11" s="16"/>
      <c r="JEL11" s="16"/>
      <c r="JEM11" s="16"/>
      <c r="JEN11" s="16"/>
      <c r="JEO11" s="16"/>
      <c r="JEP11" s="16"/>
      <c r="JEQ11" s="16"/>
      <c r="JER11" s="16"/>
      <c r="JES11" s="16"/>
      <c r="JET11" s="16"/>
      <c r="JEU11" s="16"/>
      <c r="JEV11" s="16"/>
      <c r="JEW11" s="16"/>
      <c r="JEX11" s="16"/>
      <c r="JEY11" s="16"/>
      <c r="JEZ11" s="16"/>
      <c r="JFA11" s="16"/>
      <c r="JFB11" s="16"/>
      <c r="JFC11" s="16"/>
      <c r="JFD11" s="16"/>
      <c r="JFE11" s="16"/>
      <c r="JFF11" s="16"/>
      <c r="JFG11" s="16"/>
      <c r="JFH11" s="16"/>
      <c r="JFI11" s="16"/>
      <c r="JFJ11" s="16"/>
      <c r="JFK11" s="16"/>
      <c r="JFL11" s="16"/>
      <c r="JFM11" s="16"/>
      <c r="JFN11" s="16"/>
      <c r="JFO11" s="16"/>
      <c r="JFP11" s="16"/>
      <c r="JFQ11" s="16"/>
      <c r="JFR11" s="16"/>
      <c r="JFS11" s="16"/>
      <c r="JFT11" s="16"/>
      <c r="JFU11" s="16"/>
      <c r="JFV11" s="16"/>
      <c r="JFW11" s="16"/>
      <c r="JFX11" s="16"/>
      <c r="JFY11" s="16"/>
      <c r="JFZ11" s="16"/>
      <c r="JGA11" s="16"/>
      <c r="JGB11" s="16"/>
      <c r="JGC11" s="16"/>
      <c r="JGD11" s="16"/>
      <c r="JGE11" s="16"/>
      <c r="JGF11" s="16"/>
      <c r="JGG11" s="16"/>
      <c r="JGH11" s="16"/>
      <c r="JGI11" s="16"/>
      <c r="JGJ11" s="16"/>
      <c r="JGK11" s="16"/>
      <c r="JGL11" s="16"/>
      <c r="JGM11" s="16"/>
      <c r="JGN11" s="16"/>
      <c r="JGO11" s="16"/>
      <c r="JGP11" s="16"/>
      <c r="JGQ11" s="16"/>
      <c r="JGR11" s="16"/>
      <c r="JGS11" s="16"/>
      <c r="JGT11" s="16"/>
      <c r="JGU11" s="16"/>
      <c r="JGV11" s="16"/>
      <c r="JGW11" s="16"/>
      <c r="JGX11" s="16"/>
      <c r="JGY11" s="16"/>
      <c r="JGZ11" s="16"/>
      <c r="JHA11" s="16"/>
      <c r="JHB11" s="16"/>
      <c r="JHC11" s="16"/>
      <c r="JHD11" s="16"/>
      <c r="JHE11" s="16"/>
      <c r="JHF11" s="16"/>
      <c r="JHG11" s="16"/>
      <c r="JHH11" s="16"/>
      <c r="JHI11" s="16"/>
      <c r="JHJ11" s="16"/>
      <c r="JHK11" s="16"/>
      <c r="JHL11" s="16"/>
      <c r="JHM11" s="16"/>
      <c r="JHN11" s="16"/>
      <c r="JHO11" s="16"/>
      <c r="JHP11" s="16"/>
      <c r="JHQ11" s="16"/>
      <c r="JHR11" s="16"/>
      <c r="JHS11" s="16"/>
      <c r="JHT11" s="16"/>
      <c r="JHU11" s="16"/>
      <c r="JHV11" s="16"/>
      <c r="JHW11" s="16"/>
      <c r="JHX11" s="16"/>
      <c r="JHY11" s="16"/>
      <c r="JHZ11" s="16"/>
      <c r="JIA11" s="16"/>
      <c r="JIB11" s="16"/>
      <c r="JIC11" s="16"/>
      <c r="JID11" s="16"/>
      <c r="JIE11" s="16"/>
      <c r="JIF11" s="16"/>
      <c r="JIG11" s="16"/>
      <c r="JIH11" s="16"/>
      <c r="JII11" s="16"/>
      <c r="JIJ11" s="16"/>
      <c r="JIK11" s="16"/>
      <c r="JIL11" s="16"/>
      <c r="JIM11" s="16"/>
      <c r="JIN11" s="16"/>
      <c r="JIO11" s="16"/>
      <c r="JIP11" s="16"/>
      <c r="JIQ11" s="16"/>
      <c r="JIR11" s="16"/>
      <c r="JIS11" s="16"/>
      <c r="JIT11" s="16"/>
      <c r="JIU11" s="16"/>
      <c r="JIV11" s="16"/>
      <c r="JIW11" s="16"/>
      <c r="JIX11" s="16"/>
      <c r="JIY11" s="16"/>
      <c r="JIZ11" s="16"/>
      <c r="JJA11" s="16"/>
      <c r="JJB11" s="16"/>
      <c r="JJC11" s="16"/>
      <c r="JJD11" s="16"/>
      <c r="JJE11" s="16"/>
      <c r="JJF11" s="16"/>
      <c r="JJG11" s="16"/>
      <c r="JJH11" s="16"/>
      <c r="JJI11" s="16"/>
      <c r="JJJ11" s="16"/>
      <c r="JJK11" s="16"/>
      <c r="JJL11" s="16"/>
      <c r="JJM11" s="16"/>
      <c r="JJN11" s="16"/>
      <c r="JJO11" s="16"/>
      <c r="JJP11" s="16"/>
      <c r="JJQ11" s="16"/>
      <c r="JJR11" s="16"/>
      <c r="JJS11" s="16"/>
      <c r="JJT11" s="16"/>
      <c r="JJU11" s="16"/>
      <c r="JJV11" s="16"/>
      <c r="JJW11" s="16"/>
      <c r="JJX11" s="16"/>
      <c r="JJY11" s="16"/>
      <c r="JJZ11" s="16"/>
      <c r="JKA11" s="16"/>
      <c r="JKB11" s="16"/>
      <c r="JKC11" s="16"/>
      <c r="JKD11" s="16"/>
      <c r="JKE11" s="16"/>
      <c r="JKF11" s="16"/>
      <c r="JKG11" s="16"/>
      <c r="JKH11" s="16"/>
      <c r="JKI11" s="16"/>
      <c r="JKJ11" s="16"/>
      <c r="JKK11" s="16"/>
      <c r="JKL11" s="16"/>
      <c r="JKM11" s="16"/>
      <c r="JKN11" s="16"/>
      <c r="JKO11" s="16"/>
      <c r="JKP11" s="16"/>
      <c r="JKQ11" s="16"/>
      <c r="JKR11" s="16"/>
      <c r="JKS11" s="16"/>
      <c r="JKT11" s="16"/>
      <c r="JKU11" s="16"/>
      <c r="JKV11" s="16"/>
      <c r="JKW11" s="16"/>
      <c r="JKX11" s="16"/>
      <c r="JKY11" s="16"/>
      <c r="JKZ11" s="16"/>
      <c r="JLA11" s="16"/>
      <c r="JLB11" s="16"/>
      <c r="JLC11" s="16"/>
      <c r="JLD11" s="16"/>
      <c r="JLE11" s="16"/>
      <c r="JLF11" s="16"/>
      <c r="JLG11" s="16"/>
      <c r="JLH11" s="16"/>
      <c r="JLI11" s="16"/>
      <c r="JLJ11" s="16"/>
      <c r="JLK11" s="16"/>
      <c r="JLL11" s="16"/>
      <c r="JLM11" s="16"/>
      <c r="JLN11" s="16"/>
      <c r="JLO11" s="16"/>
      <c r="JLP11" s="16"/>
      <c r="JLQ11" s="16"/>
      <c r="JLR11" s="16"/>
      <c r="JLS11" s="16"/>
      <c r="JLT11" s="16"/>
      <c r="JLU11" s="16"/>
      <c r="JLV11" s="16"/>
      <c r="JLW11" s="16"/>
      <c r="JLX11" s="16"/>
      <c r="JLY11" s="16"/>
      <c r="JLZ11" s="16"/>
      <c r="JMA11" s="16"/>
      <c r="JMB11" s="16"/>
      <c r="JMC11" s="16"/>
      <c r="JMD11" s="16"/>
      <c r="JME11" s="16"/>
      <c r="JMF11" s="16"/>
      <c r="JMG11" s="16"/>
      <c r="JMH11" s="16"/>
      <c r="JMI11" s="16"/>
      <c r="JMJ11" s="16"/>
      <c r="JMK11" s="16"/>
      <c r="JML11" s="16"/>
      <c r="JMM11" s="16"/>
      <c r="JMN11" s="16"/>
      <c r="JMO11" s="16"/>
      <c r="JMP11" s="16"/>
      <c r="JMQ11" s="16"/>
      <c r="JMR11" s="16"/>
      <c r="JMS11" s="16"/>
      <c r="JMT11" s="16"/>
      <c r="JMU11" s="16"/>
      <c r="JMV11" s="16"/>
      <c r="JMW11" s="16"/>
      <c r="JMX11" s="16"/>
      <c r="JMY11" s="16"/>
      <c r="JMZ11" s="16"/>
      <c r="JNA11" s="16"/>
      <c r="JNB11" s="16"/>
      <c r="JNC11" s="16"/>
      <c r="JND11" s="16"/>
      <c r="JNE11" s="16"/>
      <c r="JNF11" s="16"/>
      <c r="JNG11" s="16"/>
      <c r="JNH11" s="16"/>
      <c r="JNI11" s="16"/>
      <c r="JNJ11" s="16"/>
      <c r="JNK11" s="16"/>
      <c r="JNL11" s="16"/>
      <c r="JNM11" s="16"/>
      <c r="JNN11" s="16"/>
      <c r="JNO11" s="16"/>
      <c r="JNP11" s="16"/>
      <c r="JNQ11" s="16"/>
      <c r="JNR11" s="16"/>
      <c r="JNS11" s="16"/>
      <c r="JNT11" s="16"/>
      <c r="JNU11" s="16"/>
      <c r="JNV11" s="16"/>
      <c r="JNW11" s="16"/>
      <c r="JNX11" s="16"/>
      <c r="JNY11" s="16"/>
      <c r="JNZ11" s="16"/>
      <c r="JOA11" s="16"/>
      <c r="JOB11" s="16"/>
      <c r="JOC11" s="16"/>
      <c r="JOD11" s="16"/>
      <c r="JOE11" s="16"/>
      <c r="JOF11" s="16"/>
      <c r="JOG11" s="16"/>
      <c r="JOH11" s="16"/>
      <c r="JOI11" s="16"/>
      <c r="JOJ11" s="16"/>
      <c r="JOK11" s="16"/>
      <c r="JOL11" s="16"/>
      <c r="JOM11" s="16"/>
      <c r="JON11" s="16"/>
      <c r="JOO11" s="16"/>
      <c r="JOP11" s="16"/>
      <c r="JOQ11" s="16"/>
      <c r="JOR11" s="16"/>
      <c r="JOS11" s="16"/>
      <c r="JOT11" s="16"/>
      <c r="JOU11" s="16"/>
      <c r="JOV11" s="16"/>
      <c r="JOW11" s="16"/>
      <c r="JOX11" s="16"/>
      <c r="JOY11" s="16"/>
      <c r="JOZ11" s="16"/>
      <c r="JPA11" s="16"/>
      <c r="JPB11" s="16"/>
      <c r="JPC11" s="16"/>
      <c r="JPD11" s="16"/>
      <c r="JPE11" s="16"/>
      <c r="JPF11" s="16"/>
      <c r="JPG11" s="16"/>
      <c r="JPH11" s="16"/>
      <c r="JPI11" s="16"/>
      <c r="JPJ11" s="16"/>
      <c r="JPK11" s="16"/>
      <c r="JPL11" s="16"/>
      <c r="JPM11" s="16"/>
      <c r="JPN11" s="16"/>
      <c r="JPO11" s="16"/>
      <c r="JPP11" s="16"/>
      <c r="JPQ11" s="16"/>
      <c r="JPR11" s="16"/>
      <c r="JPS11" s="16"/>
      <c r="JPT11" s="16"/>
      <c r="JPU11" s="16"/>
      <c r="JPV11" s="16"/>
      <c r="JPW11" s="16"/>
      <c r="JPX11" s="16"/>
      <c r="JPY11" s="16"/>
      <c r="JPZ11" s="16"/>
      <c r="JQA11" s="16"/>
      <c r="JQB11" s="16"/>
      <c r="JQC11" s="16"/>
      <c r="JQD11" s="16"/>
      <c r="JQE11" s="16"/>
      <c r="JQF11" s="16"/>
      <c r="JQG11" s="16"/>
      <c r="JQH11" s="16"/>
      <c r="JQI11" s="16"/>
      <c r="JQJ11" s="16"/>
      <c r="JQK11" s="16"/>
      <c r="JQL11" s="16"/>
      <c r="JQM11" s="16"/>
      <c r="JQN11" s="16"/>
      <c r="JQO11" s="16"/>
      <c r="JQP11" s="16"/>
      <c r="JQQ11" s="16"/>
      <c r="JQR11" s="16"/>
      <c r="JQS11" s="16"/>
      <c r="JQT11" s="16"/>
      <c r="JQU11" s="16"/>
      <c r="JQV11" s="16"/>
      <c r="JQW11" s="16"/>
      <c r="JQX11" s="16"/>
      <c r="JQY11" s="16"/>
      <c r="JQZ11" s="16"/>
      <c r="JRA11" s="16"/>
      <c r="JRB11" s="16"/>
      <c r="JRC11" s="16"/>
      <c r="JRD11" s="16"/>
      <c r="JRE11" s="16"/>
      <c r="JRF11" s="16"/>
      <c r="JRG11" s="16"/>
      <c r="JRH11" s="16"/>
      <c r="JRI11" s="16"/>
      <c r="JRJ11" s="16"/>
      <c r="JRK11" s="16"/>
      <c r="JRL11" s="16"/>
      <c r="JRM11" s="16"/>
      <c r="JRN11" s="16"/>
      <c r="JRO11" s="16"/>
      <c r="JRP11" s="16"/>
      <c r="JRQ11" s="16"/>
      <c r="JRR11" s="16"/>
      <c r="JRS11" s="16"/>
      <c r="JRT11" s="16"/>
      <c r="JRU11" s="16"/>
      <c r="JRV11" s="16"/>
      <c r="JRW11" s="16"/>
      <c r="JRX11" s="16"/>
      <c r="JRY11" s="16"/>
      <c r="JRZ11" s="16"/>
      <c r="JSA11" s="16"/>
      <c r="JSB11" s="16"/>
      <c r="JSC11" s="16"/>
      <c r="JSD11" s="16"/>
      <c r="JSE11" s="16"/>
      <c r="JSF11" s="16"/>
      <c r="JSG11" s="16"/>
      <c r="JSH11" s="16"/>
      <c r="JSI11" s="16"/>
      <c r="JSJ11" s="16"/>
      <c r="JSK11" s="16"/>
      <c r="JSL11" s="16"/>
      <c r="JSM11" s="16"/>
      <c r="JSN11" s="16"/>
      <c r="JSO11" s="16"/>
      <c r="JSP11" s="16"/>
      <c r="JSQ11" s="16"/>
      <c r="JSR11" s="16"/>
      <c r="JSS11" s="16"/>
      <c r="JST11" s="16"/>
      <c r="JSU11" s="16"/>
      <c r="JSV11" s="16"/>
      <c r="JSW11" s="16"/>
      <c r="JSX11" s="16"/>
      <c r="JSY11" s="16"/>
      <c r="JSZ11" s="16"/>
      <c r="JTA11" s="16"/>
      <c r="JTB11" s="16"/>
      <c r="JTC11" s="16"/>
      <c r="JTD11" s="16"/>
      <c r="JTE11" s="16"/>
      <c r="JTF11" s="16"/>
      <c r="JTG11" s="16"/>
      <c r="JTH11" s="16"/>
      <c r="JTI11" s="16"/>
      <c r="JTJ11" s="16"/>
      <c r="JTK11" s="16"/>
      <c r="JTL11" s="16"/>
      <c r="JTM11" s="16"/>
      <c r="JTN11" s="16"/>
      <c r="JTO11" s="16"/>
      <c r="JTP11" s="16"/>
      <c r="JTQ11" s="16"/>
      <c r="JTR11" s="16"/>
      <c r="JTS11" s="16"/>
      <c r="JTT11" s="16"/>
      <c r="JTU11" s="16"/>
      <c r="JTV11" s="16"/>
      <c r="JTW11" s="16"/>
      <c r="JTX11" s="16"/>
      <c r="JTY11" s="16"/>
      <c r="JTZ11" s="16"/>
      <c r="JUA11" s="16"/>
      <c r="JUB11" s="16"/>
      <c r="JUC11" s="16"/>
      <c r="JUD11" s="16"/>
      <c r="JUE11" s="16"/>
      <c r="JUF11" s="16"/>
      <c r="JUG11" s="16"/>
      <c r="JUH11" s="16"/>
      <c r="JUI11" s="16"/>
      <c r="JUJ11" s="16"/>
      <c r="JUK11" s="16"/>
      <c r="JUL11" s="16"/>
      <c r="JUM11" s="16"/>
      <c r="JUN11" s="16"/>
      <c r="JUO11" s="16"/>
      <c r="JUP11" s="16"/>
      <c r="JUQ11" s="16"/>
      <c r="JUR11" s="16"/>
      <c r="JUS11" s="16"/>
      <c r="JUT11" s="16"/>
      <c r="JUU11" s="16"/>
      <c r="JUV11" s="16"/>
      <c r="JUW11" s="16"/>
      <c r="JUX11" s="16"/>
      <c r="JUY11" s="16"/>
      <c r="JUZ11" s="16"/>
      <c r="JVA11" s="16"/>
      <c r="JVB11" s="16"/>
      <c r="JVC11" s="16"/>
      <c r="JVD11" s="16"/>
      <c r="JVE11" s="16"/>
      <c r="JVF11" s="16"/>
      <c r="JVG11" s="16"/>
      <c r="JVH11" s="16"/>
      <c r="JVI11" s="16"/>
      <c r="JVJ11" s="16"/>
      <c r="JVK11" s="16"/>
      <c r="JVL11" s="16"/>
      <c r="JVM11" s="16"/>
      <c r="JVN11" s="16"/>
      <c r="JVO11" s="16"/>
      <c r="JVP11" s="16"/>
      <c r="JVQ11" s="16"/>
      <c r="JVR11" s="16"/>
      <c r="JVS11" s="16"/>
      <c r="JVT11" s="16"/>
      <c r="JVU11" s="16"/>
      <c r="JVV11" s="16"/>
      <c r="JVW11" s="16"/>
      <c r="JVX11" s="16"/>
      <c r="JVY11" s="16"/>
      <c r="JVZ11" s="16"/>
      <c r="JWA11" s="16"/>
      <c r="JWB11" s="16"/>
      <c r="JWC11" s="16"/>
      <c r="JWD11" s="16"/>
      <c r="JWE11" s="16"/>
      <c r="JWF11" s="16"/>
      <c r="JWG11" s="16"/>
      <c r="JWH11" s="16"/>
      <c r="JWI11" s="16"/>
      <c r="JWJ11" s="16"/>
      <c r="JWK11" s="16"/>
      <c r="JWL11" s="16"/>
      <c r="JWM11" s="16"/>
      <c r="JWN11" s="16"/>
      <c r="JWO11" s="16"/>
      <c r="JWP11" s="16"/>
      <c r="JWQ11" s="16"/>
      <c r="JWR11" s="16"/>
      <c r="JWS11" s="16"/>
      <c r="JWT11" s="16"/>
      <c r="JWU11" s="16"/>
      <c r="JWV11" s="16"/>
      <c r="JWW11" s="16"/>
      <c r="JWX11" s="16"/>
      <c r="JWY11" s="16"/>
      <c r="JWZ11" s="16"/>
      <c r="JXA11" s="16"/>
      <c r="JXB11" s="16"/>
      <c r="JXC11" s="16"/>
      <c r="JXD11" s="16"/>
      <c r="JXE11" s="16"/>
      <c r="JXF11" s="16"/>
      <c r="JXG11" s="16"/>
      <c r="JXH11" s="16"/>
      <c r="JXI11" s="16"/>
      <c r="JXJ11" s="16"/>
      <c r="JXK11" s="16"/>
      <c r="JXL11" s="16"/>
      <c r="JXM11" s="16"/>
      <c r="JXN11" s="16"/>
      <c r="JXO11" s="16"/>
      <c r="JXP11" s="16"/>
      <c r="JXQ11" s="16"/>
      <c r="JXR11" s="16"/>
      <c r="JXS11" s="16"/>
      <c r="JXT11" s="16"/>
      <c r="JXU11" s="16"/>
      <c r="JXV11" s="16"/>
      <c r="JXW11" s="16"/>
      <c r="JXX11" s="16"/>
      <c r="JXY11" s="16"/>
      <c r="JXZ11" s="16"/>
      <c r="JYA11" s="16"/>
      <c r="JYB11" s="16"/>
      <c r="JYC11" s="16"/>
      <c r="JYD11" s="16"/>
      <c r="JYE11" s="16"/>
      <c r="JYF11" s="16"/>
      <c r="JYG11" s="16"/>
      <c r="JYH11" s="16"/>
      <c r="JYI11" s="16"/>
      <c r="JYJ11" s="16"/>
      <c r="JYK11" s="16"/>
      <c r="JYL11" s="16"/>
      <c r="JYM11" s="16"/>
      <c r="JYN11" s="16"/>
      <c r="JYO11" s="16"/>
      <c r="JYP11" s="16"/>
      <c r="JYQ11" s="16"/>
      <c r="JYR11" s="16"/>
      <c r="JYS11" s="16"/>
      <c r="JYT11" s="16"/>
      <c r="JYU11" s="16"/>
      <c r="JYV11" s="16"/>
      <c r="JYW11" s="16"/>
      <c r="JYX11" s="16"/>
      <c r="JYY11" s="16"/>
      <c r="JYZ11" s="16"/>
      <c r="JZA11" s="16"/>
      <c r="JZB11" s="16"/>
      <c r="JZC11" s="16"/>
      <c r="JZD11" s="16"/>
      <c r="JZE11" s="16"/>
      <c r="JZF11" s="16"/>
      <c r="JZG11" s="16"/>
      <c r="JZH11" s="16"/>
      <c r="JZI11" s="16"/>
      <c r="JZJ11" s="16"/>
      <c r="JZK11" s="16"/>
      <c r="JZL11" s="16"/>
      <c r="JZM11" s="16"/>
      <c r="JZN11" s="16"/>
      <c r="JZO11" s="16"/>
      <c r="JZP11" s="16"/>
      <c r="JZQ11" s="16"/>
      <c r="JZR11" s="16"/>
      <c r="JZS11" s="16"/>
      <c r="JZT11" s="16"/>
      <c r="JZU11" s="16"/>
      <c r="JZV11" s="16"/>
      <c r="JZW11" s="16"/>
      <c r="JZX11" s="16"/>
      <c r="JZY11" s="16"/>
      <c r="JZZ11" s="16"/>
      <c r="KAA11" s="16"/>
      <c r="KAB11" s="16"/>
      <c r="KAC11" s="16"/>
      <c r="KAD11" s="16"/>
      <c r="KAE11" s="16"/>
      <c r="KAF11" s="16"/>
      <c r="KAG11" s="16"/>
      <c r="KAH11" s="16"/>
      <c r="KAI11" s="16"/>
      <c r="KAJ11" s="16"/>
      <c r="KAK11" s="16"/>
      <c r="KAL11" s="16"/>
      <c r="KAM11" s="16"/>
      <c r="KAN11" s="16"/>
      <c r="KAO11" s="16"/>
      <c r="KAP11" s="16"/>
      <c r="KAQ11" s="16"/>
      <c r="KAR11" s="16"/>
      <c r="KAS11" s="16"/>
      <c r="KAT11" s="16"/>
      <c r="KAU11" s="16"/>
      <c r="KAV11" s="16"/>
      <c r="KAW11" s="16"/>
      <c r="KAX11" s="16"/>
      <c r="KAY11" s="16"/>
      <c r="KAZ11" s="16"/>
      <c r="KBA11" s="16"/>
      <c r="KBB11" s="16"/>
      <c r="KBC11" s="16"/>
      <c r="KBD11" s="16"/>
      <c r="KBE11" s="16"/>
      <c r="KBF11" s="16"/>
      <c r="KBG11" s="16"/>
      <c r="KBH11" s="16"/>
      <c r="KBI11" s="16"/>
      <c r="KBJ11" s="16"/>
      <c r="KBK11" s="16"/>
      <c r="KBL11" s="16"/>
      <c r="KBM11" s="16"/>
      <c r="KBN11" s="16"/>
      <c r="KBO11" s="16"/>
      <c r="KBP11" s="16"/>
      <c r="KBQ11" s="16"/>
      <c r="KBR11" s="16"/>
      <c r="KBS11" s="16"/>
      <c r="KBT11" s="16"/>
      <c r="KBU11" s="16"/>
      <c r="KBV11" s="16"/>
      <c r="KBW11" s="16"/>
      <c r="KBX11" s="16"/>
      <c r="KBY11" s="16"/>
      <c r="KBZ11" s="16"/>
      <c r="KCA11" s="16"/>
      <c r="KCB11" s="16"/>
      <c r="KCC11" s="16"/>
      <c r="KCD11" s="16"/>
      <c r="KCE11" s="16"/>
      <c r="KCF11" s="16"/>
      <c r="KCG11" s="16"/>
      <c r="KCH11" s="16"/>
      <c r="KCI11" s="16"/>
      <c r="KCJ11" s="16"/>
      <c r="KCK11" s="16"/>
      <c r="KCL11" s="16"/>
      <c r="KCM11" s="16"/>
      <c r="KCN11" s="16"/>
      <c r="KCO11" s="16"/>
      <c r="KCP11" s="16"/>
      <c r="KCQ11" s="16"/>
      <c r="KCR11" s="16"/>
      <c r="KCS11" s="16"/>
      <c r="KCT11" s="16"/>
      <c r="KCU11" s="16"/>
      <c r="KCV11" s="16"/>
      <c r="KCW11" s="16"/>
      <c r="KCX11" s="16"/>
      <c r="KCY11" s="16"/>
      <c r="KCZ11" s="16"/>
      <c r="KDA11" s="16"/>
      <c r="KDB11" s="16"/>
      <c r="KDC11" s="16"/>
      <c r="KDD11" s="16"/>
      <c r="KDE11" s="16"/>
      <c r="KDF11" s="16"/>
      <c r="KDG11" s="16"/>
      <c r="KDH11" s="16"/>
      <c r="KDI11" s="16"/>
      <c r="KDJ11" s="16"/>
      <c r="KDK11" s="16"/>
      <c r="KDL11" s="16"/>
      <c r="KDM11" s="16"/>
      <c r="KDN11" s="16"/>
      <c r="KDO11" s="16"/>
      <c r="KDP11" s="16"/>
      <c r="KDQ11" s="16"/>
      <c r="KDR11" s="16"/>
      <c r="KDS11" s="16"/>
      <c r="KDT11" s="16"/>
      <c r="KDU11" s="16"/>
      <c r="KDV11" s="16"/>
      <c r="KDW11" s="16"/>
      <c r="KDX11" s="16"/>
      <c r="KDY11" s="16"/>
      <c r="KDZ11" s="16"/>
      <c r="KEA11" s="16"/>
      <c r="KEB11" s="16"/>
      <c r="KEC11" s="16"/>
      <c r="KED11" s="16"/>
      <c r="KEE11" s="16"/>
      <c r="KEF11" s="16"/>
      <c r="KEG11" s="16"/>
      <c r="KEH11" s="16"/>
      <c r="KEI11" s="16"/>
      <c r="KEJ11" s="16"/>
      <c r="KEK11" s="16"/>
      <c r="KEL11" s="16"/>
      <c r="KEM11" s="16"/>
      <c r="KEN11" s="16"/>
      <c r="KEO11" s="16"/>
      <c r="KEP11" s="16"/>
      <c r="KEQ11" s="16"/>
      <c r="KER11" s="16"/>
      <c r="KES11" s="16"/>
      <c r="KET11" s="16"/>
      <c r="KEU11" s="16"/>
      <c r="KEV11" s="16"/>
      <c r="KEW11" s="16"/>
      <c r="KEX11" s="16"/>
      <c r="KEY11" s="16"/>
      <c r="KEZ11" s="16"/>
      <c r="KFA11" s="16"/>
      <c r="KFB11" s="16"/>
      <c r="KFC11" s="16"/>
      <c r="KFD11" s="16"/>
      <c r="KFE11" s="16"/>
      <c r="KFF11" s="16"/>
      <c r="KFG11" s="16"/>
      <c r="KFH11" s="16"/>
      <c r="KFI11" s="16"/>
      <c r="KFJ11" s="16"/>
      <c r="KFK11" s="16"/>
      <c r="KFL11" s="16"/>
      <c r="KFM11" s="16"/>
      <c r="KFN11" s="16"/>
      <c r="KFO11" s="16"/>
      <c r="KFP11" s="16"/>
      <c r="KFQ11" s="16"/>
      <c r="KFR11" s="16"/>
      <c r="KFS11" s="16"/>
      <c r="KFT11" s="16"/>
      <c r="KFU11" s="16"/>
      <c r="KFV11" s="16"/>
      <c r="KFW11" s="16"/>
      <c r="KFX11" s="16"/>
      <c r="KFY11" s="16"/>
      <c r="KFZ11" s="16"/>
      <c r="KGA11" s="16"/>
      <c r="KGB11" s="16"/>
      <c r="KGC11" s="16"/>
      <c r="KGD11" s="16"/>
      <c r="KGE11" s="16"/>
      <c r="KGF11" s="16"/>
      <c r="KGG11" s="16"/>
      <c r="KGH11" s="16"/>
      <c r="KGI11" s="16"/>
      <c r="KGJ11" s="16"/>
      <c r="KGK11" s="16"/>
      <c r="KGL11" s="16"/>
      <c r="KGM11" s="16"/>
      <c r="KGN11" s="16"/>
      <c r="KGO11" s="16"/>
      <c r="KGP11" s="16"/>
      <c r="KGQ11" s="16"/>
      <c r="KGR11" s="16"/>
      <c r="KGS11" s="16"/>
      <c r="KGT11" s="16"/>
      <c r="KGU11" s="16"/>
      <c r="KGV11" s="16"/>
      <c r="KGW11" s="16"/>
      <c r="KGX11" s="16"/>
      <c r="KGY11" s="16"/>
      <c r="KGZ11" s="16"/>
      <c r="KHA11" s="16"/>
      <c r="KHB11" s="16"/>
      <c r="KHC11" s="16"/>
      <c r="KHD11" s="16"/>
      <c r="KHE11" s="16"/>
      <c r="KHF11" s="16"/>
      <c r="KHG11" s="16"/>
      <c r="KHH11" s="16"/>
      <c r="KHI11" s="16"/>
      <c r="KHJ11" s="16"/>
      <c r="KHK11" s="16"/>
      <c r="KHL11" s="16"/>
      <c r="KHM11" s="16"/>
      <c r="KHN11" s="16"/>
      <c r="KHO11" s="16"/>
      <c r="KHP11" s="16"/>
      <c r="KHQ11" s="16"/>
      <c r="KHR11" s="16"/>
      <c r="KHS11" s="16"/>
      <c r="KHT11" s="16"/>
      <c r="KHU11" s="16"/>
      <c r="KHV11" s="16"/>
      <c r="KHW11" s="16"/>
      <c r="KHX11" s="16"/>
      <c r="KHY11" s="16"/>
      <c r="KHZ11" s="16"/>
      <c r="KIA11" s="16"/>
      <c r="KIB11" s="16"/>
      <c r="KIC11" s="16"/>
      <c r="KID11" s="16"/>
      <c r="KIE11" s="16"/>
      <c r="KIF11" s="16"/>
      <c r="KIG11" s="16"/>
      <c r="KIH11" s="16"/>
      <c r="KII11" s="16"/>
      <c r="KIJ11" s="16"/>
      <c r="KIK11" s="16"/>
      <c r="KIL11" s="16"/>
      <c r="KIM11" s="16"/>
      <c r="KIN11" s="16"/>
      <c r="KIO11" s="16"/>
      <c r="KIP11" s="16"/>
      <c r="KIQ11" s="16"/>
      <c r="KIR11" s="16"/>
      <c r="KIS11" s="16"/>
      <c r="KIT11" s="16"/>
      <c r="KIU11" s="16"/>
      <c r="KIV11" s="16"/>
      <c r="KIW11" s="16"/>
      <c r="KIX11" s="16"/>
      <c r="KIY11" s="16"/>
      <c r="KIZ11" s="16"/>
      <c r="KJA11" s="16"/>
      <c r="KJB11" s="16"/>
      <c r="KJC11" s="16"/>
      <c r="KJD11" s="16"/>
      <c r="KJE11" s="16"/>
      <c r="KJF11" s="16"/>
      <c r="KJG11" s="16"/>
      <c r="KJH11" s="16"/>
      <c r="KJI11" s="16"/>
      <c r="KJJ11" s="16"/>
      <c r="KJK11" s="16"/>
      <c r="KJL11" s="16"/>
      <c r="KJM11" s="16"/>
      <c r="KJN11" s="16"/>
      <c r="KJO11" s="16"/>
      <c r="KJP11" s="16"/>
      <c r="KJQ11" s="16"/>
      <c r="KJR11" s="16"/>
      <c r="KJS11" s="16"/>
      <c r="KJT11" s="16"/>
      <c r="KJU11" s="16"/>
      <c r="KJV11" s="16"/>
      <c r="KJW11" s="16"/>
      <c r="KJX11" s="16"/>
      <c r="KJY11" s="16"/>
      <c r="KJZ11" s="16"/>
      <c r="KKA11" s="16"/>
      <c r="KKB11" s="16"/>
      <c r="KKC11" s="16"/>
      <c r="KKD11" s="16"/>
      <c r="KKE11" s="16"/>
      <c r="KKF11" s="16"/>
      <c r="KKG11" s="16"/>
      <c r="KKH11" s="16"/>
      <c r="KKI11" s="16"/>
      <c r="KKJ11" s="16"/>
      <c r="KKK11" s="16"/>
      <c r="KKL11" s="16"/>
      <c r="KKM11" s="16"/>
      <c r="KKN11" s="16"/>
      <c r="KKO11" s="16"/>
      <c r="KKP11" s="16"/>
      <c r="KKQ11" s="16"/>
      <c r="KKR11" s="16"/>
      <c r="KKS11" s="16"/>
      <c r="KKT11" s="16"/>
      <c r="KKU11" s="16"/>
      <c r="KKV11" s="16"/>
      <c r="KKW11" s="16"/>
      <c r="KKX11" s="16"/>
      <c r="KKY11" s="16"/>
      <c r="KKZ11" s="16"/>
      <c r="KLA11" s="16"/>
      <c r="KLB11" s="16"/>
      <c r="KLC11" s="16"/>
      <c r="KLD11" s="16"/>
      <c r="KLE11" s="16"/>
      <c r="KLF11" s="16"/>
      <c r="KLG11" s="16"/>
      <c r="KLH11" s="16"/>
      <c r="KLI11" s="16"/>
      <c r="KLJ11" s="16"/>
      <c r="KLK11" s="16"/>
      <c r="KLL11" s="16"/>
      <c r="KLM11" s="16"/>
      <c r="KLN11" s="16"/>
      <c r="KLO11" s="16"/>
      <c r="KLP11" s="16"/>
      <c r="KLQ11" s="16"/>
      <c r="KLR11" s="16"/>
      <c r="KLS11" s="16"/>
      <c r="KLT11" s="16"/>
      <c r="KLU11" s="16"/>
      <c r="KLV11" s="16"/>
      <c r="KLW11" s="16"/>
      <c r="KLX11" s="16"/>
      <c r="KLY11" s="16"/>
      <c r="KLZ11" s="16"/>
      <c r="KMA11" s="16"/>
      <c r="KMB11" s="16"/>
      <c r="KMC11" s="16"/>
      <c r="KMD11" s="16"/>
      <c r="KME11" s="16"/>
      <c r="KMF11" s="16"/>
      <c r="KMG11" s="16"/>
      <c r="KMH11" s="16"/>
      <c r="KMI11" s="16"/>
      <c r="KMJ11" s="16"/>
      <c r="KMK11" s="16"/>
      <c r="KML11" s="16"/>
      <c r="KMM11" s="16"/>
      <c r="KMN11" s="16"/>
      <c r="KMO11" s="16"/>
      <c r="KMP11" s="16"/>
      <c r="KMQ11" s="16"/>
      <c r="KMR11" s="16"/>
      <c r="KMS11" s="16"/>
      <c r="KMT11" s="16"/>
      <c r="KMU11" s="16"/>
      <c r="KMV11" s="16"/>
      <c r="KMW11" s="16"/>
      <c r="KMX11" s="16"/>
      <c r="KMY11" s="16"/>
      <c r="KMZ11" s="16"/>
      <c r="KNA11" s="16"/>
      <c r="KNB11" s="16"/>
      <c r="KNC11" s="16"/>
      <c r="KND11" s="16"/>
      <c r="KNE11" s="16"/>
      <c r="KNF11" s="16"/>
      <c r="KNG11" s="16"/>
      <c r="KNH11" s="16"/>
      <c r="KNI11" s="16"/>
      <c r="KNJ11" s="16"/>
      <c r="KNK11" s="16"/>
      <c r="KNL11" s="16"/>
      <c r="KNM11" s="16"/>
      <c r="KNN11" s="16"/>
      <c r="KNO11" s="16"/>
      <c r="KNP11" s="16"/>
      <c r="KNQ11" s="16"/>
      <c r="KNR11" s="16"/>
      <c r="KNS11" s="16"/>
      <c r="KNT11" s="16"/>
      <c r="KNU11" s="16"/>
      <c r="KNV11" s="16"/>
      <c r="KNW11" s="16"/>
      <c r="KNX11" s="16"/>
      <c r="KNY11" s="16"/>
      <c r="KNZ11" s="16"/>
      <c r="KOA11" s="16"/>
      <c r="KOB11" s="16"/>
      <c r="KOC11" s="16"/>
      <c r="KOD11" s="16"/>
      <c r="KOE11" s="16"/>
      <c r="KOF11" s="16"/>
      <c r="KOG11" s="16"/>
      <c r="KOH11" s="16"/>
      <c r="KOI11" s="16"/>
      <c r="KOJ11" s="16"/>
      <c r="KOK11" s="16"/>
      <c r="KOL11" s="16"/>
      <c r="KOM11" s="16"/>
      <c r="KON11" s="16"/>
      <c r="KOO11" s="16"/>
      <c r="KOP11" s="16"/>
      <c r="KOQ11" s="16"/>
      <c r="KOR11" s="16"/>
      <c r="KOS11" s="16"/>
      <c r="KOT11" s="16"/>
      <c r="KOU11" s="16"/>
      <c r="KOV11" s="16"/>
      <c r="KOW11" s="16"/>
      <c r="KOX11" s="16"/>
      <c r="KOY11" s="16"/>
      <c r="KOZ11" s="16"/>
      <c r="KPA11" s="16"/>
      <c r="KPB11" s="16"/>
      <c r="KPC11" s="16"/>
      <c r="KPD11" s="16"/>
      <c r="KPE11" s="16"/>
      <c r="KPF11" s="16"/>
      <c r="KPG11" s="16"/>
      <c r="KPH11" s="16"/>
      <c r="KPI11" s="16"/>
      <c r="KPJ11" s="16"/>
      <c r="KPK11" s="16"/>
      <c r="KPL11" s="16"/>
      <c r="KPM11" s="16"/>
      <c r="KPN11" s="16"/>
      <c r="KPO11" s="16"/>
      <c r="KPP11" s="16"/>
      <c r="KPQ11" s="16"/>
      <c r="KPR11" s="16"/>
      <c r="KPS11" s="16"/>
      <c r="KPT11" s="16"/>
      <c r="KPU11" s="16"/>
      <c r="KPV11" s="16"/>
      <c r="KPW11" s="16"/>
      <c r="KPX11" s="16"/>
      <c r="KPY11" s="16"/>
      <c r="KPZ11" s="16"/>
      <c r="KQA11" s="16"/>
      <c r="KQB11" s="16"/>
      <c r="KQC11" s="16"/>
      <c r="KQD11" s="16"/>
      <c r="KQE11" s="16"/>
      <c r="KQF11" s="16"/>
      <c r="KQG11" s="16"/>
      <c r="KQH11" s="16"/>
      <c r="KQI11" s="16"/>
      <c r="KQJ11" s="16"/>
      <c r="KQK11" s="16"/>
      <c r="KQL11" s="16"/>
      <c r="KQM11" s="16"/>
      <c r="KQN11" s="16"/>
      <c r="KQO11" s="16"/>
      <c r="KQP11" s="16"/>
      <c r="KQQ11" s="16"/>
      <c r="KQR11" s="16"/>
      <c r="KQS11" s="16"/>
      <c r="KQT11" s="16"/>
      <c r="KQU11" s="16"/>
      <c r="KQV11" s="16"/>
      <c r="KQW11" s="16"/>
      <c r="KQX11" s="16"/>
      <c r="KQY11" s="16"/>
      <c r="KQZ11" s="16"/>
      <c r="KRA11" s="16"/>
      <c r="KRB11" s="16"/>
      <c r="KRC11" s="16"/>
      <c r="KRD11" s="16"/>
      <c r="KRE11" s="16"/>
      <c r="KRF11" s="16"/>
      <c r="KRG11" s="16"/>
      <c r="KRH11" s="16"/>
      <c r="KRI11" s="16"/>
      <c r="KRJ11" s="16"/>
      <c r="KRK11" s="16"/>
      <c r="KRL11" s="16"/>
      <c r="KRM11" s="16"/>
      <c r="KRN11" s="16"/>
      <c r="KRO11" s="16"/>
      <c r="KRP11" s="16"/>
      <c r="KRQ11" s="16"/>
      <c r="KRR11" s="16"/>
      <c r="KRS11" s="16"/>
      <c r="KRT11" s="16"/>
      <c r="KRU11" s="16"/>
      <c r="KRV11" s="16"/>
      <c r="KRW11" s="16"/>
      <c r="KRX11" s="16"/>
      <c r="KRY11" s="16"/>
      <c r="KRZ11" s="16"/>
      <c r="KSA11" s="16"/>
      <c r="KSB11" s="16"/>
      <c r="KSC11" s="16"/>
      <c r="KSD11" s="16"/>
      <c r="KSE11" s="16"/>
      <c r="KSF11" s="16"/>
      <c r="KSG11" s="16"/>
      <c r="KSH11" s="16"/>
      <c r="KSI11" s="16"/>
      <c r="KSJ11" s="16"/>
      <c r="KSK11" s="16"/>
      <c r="KSL11" s="16"/>
      <c r="KSM11" s="16"/>
      <c r="KSN11" s="16"/>
      <c r="KSO11" s="16"/>
      <c r="KSP11" s="16"/>
      <c r="KSQ11" s="16"/>
      <c r="KSR11" s="16"/>
      <c r="KSS11" s="16"/>
      <c r="KST11" s="16"/>
      <c r="KSU11" s="16"/>
      <c r="KSV11" s="16"/>
      <c r="KSW11" s="16"/>
      <c r="KSX11" s="16"/>
      <c r="KSY11" s="16"/>
      <c r="KSZ11" s="16"/>
      <c r="KTA11" s="16"/>
      <c r="KTB11" s="16"/>
      <c r="KTC11" s="16"/>
      <c r="KTD11" s="16"/>
      <c r="KTE11" s="16"/>
      <c r="KTF11" s="16"/>
      <c r="KTG11" s="16"/>
      <c r="KTH11" s="16"/>
      <c r="KTI11" s="16"/>
      <c r="KTJ11" s="16"/>
      <c r="KTK11" s="16"/>
      <c r="KTL11" s="16"/>
      <c r="KTM11" s="16"/>
      <c r="KTN11" s="16"/>
      <c r="KTO11" s="16"/>
      <c r="KTP11" s="16"/>
      <c r="KTQ11" s="16"/>
      <c r="KTR11" s="16"/>
      <c r="KTS11" s="16"/>
      <c r="KTT11" s="16"/>
      <c r="KTU11" s="16"/>
      <c r="KTV11" s="16"/>
      <c r="KTW11" s="16"/>
      <c r="KTX11" s="16"/>
      <c r="KTY11" s="16"/>
      <c r="KTZ11" s="16"/>
      <c r="KUA11" s="16"/>
      <c r="KUB11" s="16"/>
      <c r="KUC11" s="16"/>
      <c r="KUD11" s="16"/>
      <c r="KUE11" s="16"/>
      <c r="KUF11" s="16"/>
      <c r="KUG11" s="16"/>
      <c r="KUH11" s="16"/>
      <c r="KUI11" s="16"/>
      <c r="KUJ11" s="16"/>
      <c r="KUK11" s="16"/>
      <c r="KUL11" s="16"/>
      <c r="KUM11" s="16"/>
      <c r="KUN11" s="16"/>
      <c r="KUO11" s="16"/>
      <c r="KUP11" s="16"/>
      <c r="KUQ11" s="16"/>
      <c r="KUR11" s="16"/>
      <c r="KUS11" s="16"/>
      <c r="KUT11" s="16"/>
      <c r="KUU11" s="16"/>
      <c r="KUV11" s="16"/>
      <c r="KUW11" s="16"/>
      <c r="KUX11" s="16"/>
      <c r="KUY11" s="16"/>
      <c r="KUZ11" s="16"/>
      <c r="KVA11" s="16"/>
      <c r="KVB11" s="16"/>
      <c r="KVC11" s="16"/>
      <c r="KVD11" s="16"/>
      <c r="KVE11" s="16"/>
      <c r="KVF11" s="16"/>
      <c r="KVG11" s="16"/>
      <c r="KVH11" s="16"/>
      <c r="KVI11" s="16"/>
      <c r="KVJ11" s="16"/>
      <c r="KVK11" s="16"/>
      <c r="KVL11" s="16"/>
      <c r="KVM11" s="16"/>
      <c r="KVN11" s="16"/>
      <c r="KVO11" s="16"/>
      <c r="KVP11" s="16"/>
      <c r="KVQ11" s="16"/>
      <c r="KVR11" s="16"/>
      <c r="KVS11" s="16"/>
      <c r="KVT11" s="16"/>
      <c r="KVU11" s="16"/>
      <c r="KVV11" s="16"/>
      <c r="KVW11" s="16"/>
      <c r="KVX11" s="16"/>
      <c r="KVY11" s="16"/>
      <c r="KVZ11" s="16"/>
      <c r="KWA11" s="16"/>
      <c r="KWB11" s="16"/>
      <c r="KWC11" s="16"/>
      <c r="KWD11" s="16"/>
      <c r="KWE11" s="16"/>
      <c r="KWF11" s="16"/>
      <c r="KWG11" s="16"/>
      <c r="KWH11" s="16"/>
      <c r="KWI11" s="16"/>
      <c r="KWJ11" s="16"/>
      <c r="KWK11" s="16"/>
      <c r="KWL11" s="16"/>
      <c r="KWM11" s="16"/>
      <c r="KWN11" s="16"/>
      <c r="KWO11" s="16"/>
      <c r="KWP11" s="16"/>
      <c r="KWQ11" s="16"/>
      <c r="KWR11" s="16"/>
      <c r="KWS11" s="16"/>
      <c r="KWT11" s="16"/>
      <c r="KWU11" s="16"/>
      <c r="KWV11" s="16"/>
      <c r="KWW11" s="16"/>
      <c r="KWX11" s="16"/>
      <c r="KWY11" s="16"/>
      <c r="KWZ11" s="16"/>
      <c r="KXA11" s="16"/>
      <c r="KXB11" s="16"/>
      <c r="KXC11" s="16"/>
      <c r="KXD11" s="16"/>
      <c r="KXE11" s="16"/>
      <c r="KXF11" s="16"/>
      <c r="KXG11" s="16"/>
      <c r="KXH11" s="16"/>
      <c r="KXI11" s="16"/>
      <c r="KXJ11" s="16"/>
      <c r="KXK11" s="16"/>
      <c r="KXL11" s="16"/>
      <c r="KXM11" s="16"/>
      <c r="KXN11" s="16"/>
      <c r="KXO11" s="16"/>
      <c r="KXP11" s="16"/>
      <c r="KXQ11" s="16"/>
      <c r="KXR11" s="16"/>
      <c r="KXS11" s="16"/>
      <c r="KXT11" s="16"/>
      <c r="KXU11" s="16"/>
      <c r="KXV11" s="16"/>
      <c r="KXW11" s="16"/>
      <c r="KXX11" s="16"/>
      <c r="KXY11" s="16"/>
      <c r="KXZ11" s="16"/>
      <c r="KYA11" s="16"/>
      <c r="KYB11" s="16"/>
      <c r="KYC11" s="16"/>
      <c r="KYD11" s="16"/>
      <c r="KYE11" s="16"/>
      <c r="KYF11" s="16"/>
      <c r="KYG11" s="16"/>
      <c r="KYH11" s="16"/>
      <c r="KYI11" s="16"/>
      <c r="KYJ11" s="16"/>
      <c r="KYK11" s="16"/>
      <c r="KYL11" s="16"/>
      <c r="KYM11" s="16"/>
      <c r="KYN11" s="16"/>
      <c r="KYO11" s="16"/>
      <c r="KYP11" s="16"/>
      <c r="KYQ11" s="16"/>
      <c r="KYR11" s="16"/>
      <c r="KYS11" s="16"/>
      <c r="KYT11" s="16"/>
      <c r="KYU11" s="16"/>
      <c r="KYV11" s="16"/>
      <c r="KYW11" s="16"/>
      <c r="KYX11" s="16"/>
      <c r="KYY11" s="16"/>
      <c r="KYZ11" s="16"/>
      <c r="KZA11" s="16"/>
      <c r="KZB11" s="16"/>
      <c r="KZC11" s="16"/>
      <c r="KZD11" s="16"/>
      <c r="KZE11" s="16"/>
      <c r="KZF11" s="16"/>
      <c r="KZG11" s="16"/>
      <c r="KZH11" s="16"/>
      <c r="KZI11" s="16"/>
      <c r="KZJ11" s="16"/>
      <c r="KZK11" s="16"/>
      <c r="KZL11" s="16"/>
      <c r="KZM11" s="16"/>
      <c r="KZN11" s="16"/>
      <c r="KZO11" s="16"/>
      <c r="KZP11" s="16"/>
      <c r="KZQ11" s="16"/>
      <c r="KZR11" s="16"/>
      <c r="KZS11" s="16"/>
      <c r="KZT11" s="16"/>
      <c r="KZU11" s="16"/>
      <c r="KZV11" s="16"/>
      <c r="KZW11" s="16"/>
      <c r="KZX11" s="16"/>
      <c r="KZY11" s="16"/>
      <c r="KZZ11" s="16"/>
      <c r="LAA11" s="16"/>
      <c r="LAB11" s="16"/>
      <c r="LAC11" s="16"/>
      <c r="LAD11" s="16"/>
      <c r="LAE11" s="16"/>
      <c r="LAF11" s="16"/>
      <c r="LAG11" s="16"/>
      <c r="LAH11" s="16"/>
      <c r="LAI11" s="16"/>
      <c r="LAJ11" s="16"/>
      <c r="LAK11" s="16"/>
      <c r="LAL11" s="16"/>
      <c r="LAM11" s="16"/>
      <c r="LAN11" s="16"/>
      <c r="LAO11" s="16"/>
      <c r="LAP11" s="16"/>
      <c r="LAQ11" s="16"/>
      <c r="LAR11" s="16"/>
      <c r="LAS11" s="16"/>
      <c r="LAT11" s="16"/>
      <c r="LAU11" s="16"/>
      <c r="LAV11" s="16"/>
      <c r="LAW11" s="16"/>
      <c r="LAX11" s="16"/>
      <c r="LAY11" s="16"/>
      <c r="LAZ11" s="16"/>
      <c r="LBA11" s="16"/>
      <c r="LBB11" s="16"/>
      <c r="LBC11" s="16"/>
      <c r="LBD11" s="16"/>
      <c r="LBE11" s="16"/>
      <c r="LBF11" s="16"/>
      <c r="LBG11" s="16"/>
      <c r="LBH11" s="16"/>
      <c r="LBI11" s="16"/>
      <c r="LBJ11" s="16"/>
      <c r="LBK11" s="16"/>
      <c r="LBL11" s="16"/>
      <c r="LBM11" s="16"/>
      <c r="LBN11" s="16"/>
      <c r="LBO11" s="16"/>
      <c r="LBP11" s="16"/>
      <c r="LBQ11" s="16"/>
      <c r="LBR11" s="16"/>
      <c r="LBS11" s="16"/>
      <c r="LBT11" s="16"/>
      <c r="LBU11" s="16"/>
      <c r="LBV11" s="16"/>
      <c r="LBW11" s="16"/>
      <c r="LBX11" s="16"/>
      <c r="LBY11" s="16"/>
      <c r="LBZ11" s="16"/>
      <c r="LCA11" s="16"/>
      <c r="LCB11" s="16"/>
      <c r="LCC11" s="16"/>
      <c r="LCD11" s="16"/>
      <c r="LCE11" s="16"/>
      <c r="LCF11" s="16"/>
      <c r="LCG11" s="16"/>
      <c r="LCH11" s="16"/>
      <c r="LCI11" s="16"/>
      <c r="LCJ11" s="16"/>
      <c r="LCK11" s="16"/>
      <c r="LCL11" s="16"/>
      <c r="LCM11" s="16"/>
      <c r="LCN11" s="16"/>
      <c r="LCO11" s="16"/>
      <c r="LCP11" s="16"/>
      <c r="LCQ11" s="16"/>
      <c r="LCR11" s="16"/>
      <c r="LCS11" s="16"/>
      <c r="LCT11" s="16"/>
      <c r="LCU11" s="16"/>
      <c r="LCV11" s="16"/>
      <c r="LCW11" s="16"/>
      <c r="LCX11" s="16"/>
      <c r="LCY11" s="16"/>
      <c r="LCZ11" s="16"/>
      <c r="LDA11" s="16"/>
      <c r="LDB11" s="16"/>
      <c r="LDC11" s="16"/>
      <c r="LDD11" s="16"/>
      <c r="LDE11" s="16"/>
      <c r="LDF11" s="16"/>
      <c r="LDG11" s="16"/>
      <c r="LDH11" s="16"/>
      <c r="LDI11" s="16"/>
      <c r="LDJ11" s="16"/>
      <c r="LDK11" s="16"/>
      <c r="LDL11" s="16"/>
      <c r="LDM11" s="16"/>
      <c r="LDN11" s="16"/>
      <c r="LDO11" s="16"/>
      <c r="LDP11" s="16"/>
      <c r="LDQ11" s="16"/>
      <c r="LDR11" s="16"/>
      <c r="LDS11" s="16"/>
      <c r="LDT11" s="16"/>
      <c r="LDU11" s="16"/>
      <c r="LDV11" s="16"/>
      <c r="LDW11" s="16"/>
      <c r="LDX11" s="16"/>
      <c r="LDY11" s="16"/>
      <c r="LDZ11" s="16"/>
      <c r="LEA11" s="16"/>
      <c r="LEB11" s="16"/>
      <c r="LEC11" s="16"/>
      <c r="LED11" s="16"/>
      <c r="LEE11" s="16"/>
      <c r="LEF11" s="16"/>
      <c r="LEG11" s="16"/>
      <c r="LEH11" s="16"/>
      <c r="LEI11" s="16"/>
      <c r="LEJ11" s="16"/>
      <c r="LEK11" s="16"/>
      <c r="LEL11" s="16"/>
      <c r="LEM11" s="16"/>
      <c r="LEN11" s="16"/>
      <c r="LEO11" s="16"/>
      <c r="LEP11" s="16"/>
      <c r="LEQ11" s="16"/>
      <c r="LER11" s="16"/>
      <c r="LES11" s="16"/>
      <c r="LET11" s="16"/>
      <c r="LEU11" s="16"/>
      <c r="LEV11" s="16"/>
      <c r="LEW11" s="16"/>
      <c r="LEX11" s="16"/>
      <c r="LEY11" s="16"/>
      <c r="LEZ11" s="16"/>
      <c r="LFA11" s="16"/>
      <c r="LFB11" s="16"/>
      <c r="LFC11" s="16"/>
      <c r="LFD11" s="16"/>
      <c r="LFE11" s="16"/>
      <c r="LFF11" s="16"/>
      <c r="LFG11" s="16"/>
      <c r="LFH11" s="16"/>
      <c r="LFI11" s="16"/>
      <c r="LFJ11" s="16"/>
      <c r="LFK11" s="16"/>
      <c r="LFL11" s="16"/>
      <c r="LFM11" s="16"/>
      <c r="LFN11" s="16"/>
      <c r="LFO11" s="16"/>
      <c r="LFP11" s="16"/>
      <c r="LFQ11" s="16"/>
      <c r="LFR11" s="16"/>
      <c r="LFS11" s="16"/>
      <c r="LFT11" s="16"/>
      <c r="LFU11" s="16"/>
      <c r="LFV11" s="16"/>
      <c r="LFW11" s="16"/>
      <c r="LFX11" s="16"/>
      <c r="LFY11" s="16"/>
      <c r="LFZ11" s="16"/>
      <c r="LGA11" s="16"/>
      <c r="LGB11" s="16"/>
      <c r="LGC11" s="16"/>
      <c r="LGD11" s="16"/>
      <c r="LGE11" s="16"/>
      <c r="LGF11" s="16"/>
      <c r="LGG11" s="16"/>
      <c r="LGH11" s="16"/>
      <c r="LGI11" s="16"/>
      <c r="LGJ11" s="16"/>
      <c r="LGK11" s="16"/>
      <c r="LGL11" s="16"/>
      <c r="LGM11" s="16"/>
      <c r="LGN11" s="16"/>
      <c r="LGO11" s="16"/>
      <c r="LGP11" s="16"/>
      <c r="LGQ11" s="16"/>
      <c r="LGR11" s="16"/>
      <c r="LGS11" s="16"/>
      <c r="LGT11" s="16"/>
      <c r="LGU11" s="16"/>
      <c r="LGV11" s="16"/>
      <c r="LGW11" s="16"/>
      <c r="LGX11" s="16"/>
      <c r="LGY11" s="16"/>
      <c r="LGZ11" s="16"/>
      <c r="LHA11" s="16"/>
      <c r="LHB11" s="16"/>
      <c r="LHC11" s="16"/>
      <c r="LHD11" s="16"/>
      <c r="LHE11" s="16"/>
      <c r="LHF11" s="16"/>
      <c r="LHG11" s="16"/>
      <c r="LHH11" s="16"/>
      <c r="LHI11" s="16"/>
      <c r="LHJ11" s="16"/>
      <c r="LHK11" s="16"/>
      <c r="LHL11" s="16"/>
      <c r="LHM11" s="16"/>
      <c r="LHN11" s="16"/>
      <c r="LHO11" s="16"/>
      <c r="LHP11" s="16"/>
      <c r="LHQ11" s="16"/>
      <c r="LHR11" s="16"/>
      <c r="LHS11" s="16"/>
      <c r="LHT11" s="16"/>
      <c r="LHU11" s="16"/>
      <c r="LHV11" s="16"/>
      <c r="LHW11" s="16"/>
      <c r="LHX11" s="16"/>
      <c r="LHY11" s="16"/>
      <c r="LHZ11" s="16"/>
      <c r="LIA11" s="16"/>
      <c r="LIB11" s="16"/>
      <c r="LIC11" s="16"/>
      <c r="LID11" s="16"/>
      <c r="LIE11" s="16"/>
      <c r="LIF11" s="16"/>
      <c r="LIG11" s="16"/>
      <c r="LIH11" s="16"/>
      <c r="LII11" s="16"/>
      <c r="LIJ11" s="16"/>
      <c r="LIK11" s="16"/>
      <c r="LIL11" s="16"/>
      <c r="LIM11" s="16"/>
      <c r="LIN11" s="16"/>
      <c r="LIO11" s="16"/>
      <c r="LIP11" s="16"/>
      <c r="LIQ11" s="16"/>
      <c r="LIR11" s="16"/>
      <c r="LIS11" s="16"/>
      <c r="LIT11" s="16"/>
      <c r="LIU11" s="16"/>
      <c r="LIV11" s="16"/>
      <c r="LIW11" s="16"/>
      <c r="LIX11" s="16"/>
      <c r="LIY11" s="16"/>
      <c r="LIZ11" s="16"/>
      <c r="LJA11" s="16"/>
      <c r="LJB11" s="16"/>
      <c r="LJC11" s="16"/>
      <c r="LJD11" s="16"/>
      <c r="LJE11" s="16"/>
      <c r="LJF11" s="16"/>
      <c r="LJG11" s="16"/>
      <c r="LJH11" s="16"/>
      <c r="LJI11" s="16"/>
      <c r="LJJ11" s="16"/>
      <c r="LJK11" s="16"/>
      <c r="LJL11" s="16"/>
      <c r="LJM11" s="16"/>
      <c r="LJN11" s="16"/>
      <c r="LJO11" s="16"/>
      <c r="LJP11" s="16"/>
      <c r="LJQ11" s="16"/>
      <c r="LJR11" s="16"/>
      <c r="LJS11" s="16"/>
      <c r="LJT11" s="16"/>
      <c r="LJU11" s="16"/>
      <c r="LJV11" s="16"/>
      <c r="LJW11" s="16"/>
      <c r="LJX11" s="16"/>
      <c r="LJY11" s="16"/>
      <c r="LJZ11" s="16"/>
      <c r="LKA11" s="16"/>
      <c r="LKB11" s="16"/>
      <c r="LKC11" s="16"/>
      <c r="LKD11" s="16"/>
      <c r="LKE11" s="16"/>
      <c r="LKF11" s="16"/>
      <c r="LKG11" s="16"/>
      <c r="LKH11" s="16"/>
      <c r="LKI11" s="16"/>
      <c r="LKJ11" s="16"/>
      <c r="LKK11" s="16"/>
      <c r="LKL11" s="16"/>
      <c r="LKM11" s="16"/>
      <c r="LKN11" s="16"/>
      <c r="LKO11" s="16"/>
      <c r="LKP11" s="16"/>
      <c r="LKQ11" s="16"/>
      <c r="LKR11" s="16"/>
      <c r="LKS11" s="16"/>
      <c r="LKT11" s="16"/>
      <c r="LKU11" s="16"/>
      <c r="LKV11" s="16"/>
      <c r="LKW11" s="16"/>
      <c r="LKX11" s="16"/>
      <c r="LKY11" s="16"/>
      <c r="LKZ11" s="16"/>
      <c r="LLA11" s="16"/>
      <c r="LLB11" s="16"/>
      <c r="LLC11" s="16"/>
      <c r="LLD11" s="16"/>
      <c r="LLE11" s="16"/>
      <c r="LLF11" s="16"/>
      <c r="LLG11" s="16"/>
      <c r="LLH11" s="16"/>
      <c r="LLI11" s="16"/>
      <c r="LLJ11" s="16"/>
      <c r="LLK11" s="16"/>
      <c r="LLL11" s="16"/>
      <c r="LLM11" s="16"/>
      <c r="LLN11" s="16"/>
      <c r="LLO11" s="16"/>
      <c r="LLP11" s="16"/>
      <c r="LLQ11" s="16"/>
      <c r="LLR11" s="16"/>
      <c r="LLS11" s="16"/>
      <c r="LLT11" s="16"/>
      <c r="LLU11" s="16"/>
      <c r="LLV11" s="16"/>
      <c r="LLW11" s="16"/>
      <c r="LLX11" s="16"/>
      <c r="LLY11" s="16"/>
      <c r="LLZ11" s="16"/>
      <c r="LMA11" s="16"/>
      <c r="LMB11" s="16"/>
      <c r="LMC11" s="16"/>
      <c r="LMD11" s="16"/>
      <c r="LME11" s="16"/>
      <c r="LMF11" s="16"/>
      <c r="LMG11" s="16"/>
      <c r="LMH11" s="16"/>
      <c r="LMI11" s="16"/>
      <c r="LMJ11" s="16"/>
      <c r="LMK11" s="16"/>
      <c r="LML11" s="16"/>
      <c r="LMM11" s="16"/>
      <c r="LMN11" s="16"/>
      <c r="LMO11" s="16"/>
      <c r="LMP11" s="16"/>
      <c r="LMQ11" s="16"/>
      <c r="LMR11" s="16"/>
      <c r="LMS11" s="16"/>
      <c r="LMT11" s="16"/>
      <c r="LMU11" s="16"/>
      <c r="LMV11" s="16"/>
      <c r="LMW11" s="16"/>
      <c r="LMX11" s="16"/>
      <c r="LMY11" s="16"/>
      <c r="LMZ11" s="16"/>
      <c r="LNA11" s="16"/>
      <c r="LNB11" s="16"/>
      <c r="LNC11" s="16"/>
      <c r="LND11" s="16"/>
      <c r="LNE11" s="16"/>
      <c r="LNF11" s="16"/>
      <c r="LNG11" s="16"/>
      <c r="LNH11" s="16"/>
      <c r="LNI11" s="16"/>
      <c r="LNJ11" s="16"/>
      <c r="LNK11" s="16"/>
      <c r="LNL11" s="16"/>
      <c r="LNM11" s="16"/>
      <c r="LNN11" s="16"/>
      <c r="LNO11" s="16"/>
      <c r="LNP11" s="16"/>
      <c r="LNQ11" s="16"/>
      <c r="LNR11" s="16"/>
      <c r="LNS11" s="16"/>
      <c r="LNT11" s="16"/>
      <c r="LNU11" s="16"/>
      <c r="LNV11" s="16"/>
      <c r="LNW11" s="16"/>
      <c r="LNX11" s="16"/>
      <c r="LNY11" s="16"/>
      <c r="LNZ11" s="16"/>
      <c r="LOA11" s="16"/>
      <c r="LOB11" s="16"/>
      <c r="LOC11" s="16"/>
      <c r="LOD11" s="16"/>
      <c r="LOE11" s="16"/>
      <c r="LOF11" s="16"/>
      <c r="LOG11" s="16"/>
      <c r="LOH11" s="16"/>
      <c r="LOI11" s="16"/>
      <c r="LOJ11" s="16"/>
      <c r="LOK11" s="16"/>
      <c r="LOL11" s="16"/>
      <c r="LOM11" s="16"/>
      <c r="LON11" s="16"/>
      <c r="LOO11" s="16"/>
      <c r="LOP11" s="16"/>
      <c r="LOQ11" s="16"/>
      <c r="LOR11" s="16"/>
      <c r="LOS11" s="16"/>
      <c r="LOT11" s="16"/>
      <c r="LOU11" s="16"/>
      <c r="LOV11" s="16"/>
      <c r="LOW11" s="16"/>
      <c r="LOX11" s="16"/>
      <c r="LOY11" s="16"/>
      <c r="LOZ11" s="16"/>
      <c r="LPA11" s="16"/>
      <c r="LPB11" s="16"/>
      <c r="LPC11" s="16"/>
      <c r="LPD11" s="16"/>
      <c r="LPE11" s="16"/>
      <c r="LPF11" s="16"/>
      <c r="LPG11" s="16"/>
      <c r="LPH11" s="16"/>
      <c r="LPI11" s="16"/>
      <c r="LPJ11" s="16"/>
      <c r="LPK11" s="16"/>
      <c r="LPL11" s="16"/>
      <c r="LPM11" s="16"/>
      <c r="LPN11" s="16"/>
      <c r="LPO11" s="16"/>
      <c r="LPP11" s="16"/>
      <c r="LPQ11" s="16"/>
      <c r="LPR11" s="16"/>
      <c r="LPS11" s="16"/>
      <c r="LPT11" s="16"/>
      <c r="LPU11" s="16"/>
      <c r="LPV11" s="16"/>
      <c r="LPW11" s="16"/>
      <c r="LPX11" s="16"/>
      <c r="LPY11" s="16"/>
      <c r="LPZ11" s="16"/>
      <c r="LQA11" s="16"/>
      <c r="LQB11" s="16"/>
      <c r="LQC11" s="16"/>
      <c r="LQD11" s="16"/>
      <c r="LQE11" s="16"/>
      <c r="LQF11" s="16"/>
      <c r="LQG11" s="16"/>
      <c r="LQH11" s="16"/>
      <c r="LQI11" s="16"/>
      <c r="LQJ11" s="16"/>
      <c r="LQK11" s="16"/>
      <c r="LQL11" s="16"/>
      <c r="LQM11" s="16"/>
      <c r="LQN11" s="16"/>
      <c r="LQO11" s="16"/>
      <c r="LQP11" s="16"/>
      <c r="LQQ11" s="16"/>
      <c r="LQR11" s="16"/>
      <c r="LQS11" s="16"/>
      <c r="LQT11" s="16"/>
      <c r="LQU11" s="16"/>
      <c r="LQV11" s="16"/>
      <c r="LQW11" s="16"/>
      <c r="LQX11" s="16"/>
      <c r="LQY11" s="16"/>
      <c r="LQZ11" s="16"/>
      <c r="LRA11" s="16"/>
      <c r="LRB11" s="16"/>
      <c r="LRC11" s="16"/>
      <c r="LRD11" s="16"/>
      <c r="LRE11" s="16"/>
      <c r="LRF11" s="16"/>
      <c r="LRG11" s="16"/>
      <c r="LRH11" s="16"/>
      <c r="LRI11" s="16"/>
      <c r="LRJ11" s="16"/>
      <c r="LRK11" s="16"/>
      <c r="LRL11" s="16"/>
      <c r="LRM11" s="16"/>
      <c r="LRN11" s="16"/>
      <c r="LRO11" s="16"/>
      <c r="LRP11" s="16"/>
      <c r="LRQ11" s="16"/>
      <c r="LRR11" s="16"/>
      <c r="LRS11" s="16"/>
      <c r="LRT11" s="16"/>
      <c r="LRU11" s="16"/>
      <c r="LRV11" s="16"/>
      <c r="LRW11" s="16"/>
      <c r="LRX11" s="16"/>
      <c r="LRY11" s="16"/>
      <c r="LRZ11" s="16"/>
      <c r="LSA11" s="16"/>
      <c r="LSB11" s="16"/>
      <c r="LSC11" s="16"/>
      <c r="LSD11" s="16"/>
      <c r="LSE11" s="16"/>
      <c r="LSF11" s="16"/>
      <c r="LSG11" s="16"/>
      <c r="LSH11" s="16"/>
      <c r="LSI11" s="16"/>
      <c r="LSJ11" s="16"/>
      <c r="LSK11" s="16"/>
      <c r="LSL11" s="16"/>
      <c r="LSM11" s="16"/>
      <c r="LSN11" s="16"/>
      <c r="LSO11" s="16"/>
      <c r="LSP11" s="16"/>
      <c r="LSQ11" s="16"/>
      <c r="LSR11" s="16"/>
      <c r="LSS11" s="16"/>
      <c r="LST11" s="16"/>
      <c r="LSU11" s="16"/>
      <c r="LSV11" s="16"/>
      <c r="LSW11" s="16"/>
      <c r="LSX11" s="16"/>
      <c r="LSY11" s="16"/>
      <c r="LSZ11" s="16"/>
      <c r="LTA11" s="16"/>
      <c r="LTB11" s="16"/>
      <c r="LTC11" s="16"/>
      <c r="LTD11" s="16"/>
      <c r="LTE11" s="16"/>
      <c r="LTF11" s="16"/>
      <c r="LTG11" s="16"/>
      <c r="LTH11" s="16"/>
      <c r="LTI11" s="16"/>
      <c r="LTJ11" s="16"/>
      <c r="LTK11" s="16"/>
      <c r="LTL11" s="16"/>
      <c r="LTM11" s="16"/>
      <c r="LTN11" s="16"/>
      <c r="LTO11" s="16"/>
      <c r="LTP11" s="16"/>
      <c r="LTQ11" s="16"/>
      <c r="LTR11" s="16"/>
      <c r="LTS11" s="16"/>
      <c r="LTT11" s="16"/>
      <c r="LTU11" s="16"/>
      <c r="LTV11" s="16"/>
      <c r="LTW11" s="16"/>
      <c r="LTX11" s="16"/>
      <c r="LTY11" s="16"/>
      <c r="LTZ11" s="16"/>
      <c r="LUA11" s="16"/>
      <c r="LUB11" s="16"/>
      <c r="LUC11" s="16"/>
      <c r="LUD11" s="16"/>
      <c r="LUE11" s="16"/>
      <c r="LUF11" s="16"/>
      <c r="LUG11" s="16"/>
      <c r="LUH11" s="16"/>
      <c r="LUI11" s="16"/>
      <c r="LUJ11" s="16"/>
      <c r="LUK11" s="16"/>
      <c r="LUL11" s="16"/>
      <c r="LUM11" s="16"/>
      <c r="LUN11" s="16"/>
      <c r="LUO11" s="16"/>
      <c r="LUP11" s="16"/>
      <c r="LUQ11" s="16"/>
      <c r="LUR11" s="16"/>
      <c r="LUS11" s="16"/>
      <c r="LUT11" s="16"/>
      <c r="LUU11" s="16"/>
      <c r="LUV11" s="16"/>
      <c r="LUW11" s="16"/>
      <c r="LUX11" s="16"/>
      <c r="LUY11" s="16"/>
      <c r="LUZ11" s="16"/>
      <c r="LVA11" s="16"/>
      <c r="LVB11" s="16"/>
      <c r="LVC11" s="16"/>
      <c r="LVD11" s="16"/>
      <c r="LVE11" s="16"/>
      <c r="LVF11" s="16"/>
      <c r="LVG11" s="16"/>
      <c r="LVH11" s="16"/>
      <c r="LVI11" s="16"/>
      <c r="LVJ11" s="16"/>
      <c r="LVK11" s="16"/>
      <c r="LVL11" s="16"/>
      <c r="LVM11" s="16"/>
      <c r="LVN11" s="16"/>
      <c r="LVO11" s="16"/>
      <c r="LVP11" s="16"/>
      <c r="LVQ11" s="16"/>
      <c r="LVR11" s="16"/>
      <c r="LVS11" s="16"/>
      <c r="LVT11" s="16"/>
      <c r="LVU11" s="16"/>
      <c r="LVV11" s="16"/>
      <c r="LVW11" s="16"/>
      <c r="LVX11" s="16"/>
      <c r="LVY11" s="16"/>
      <c r="LVZ11" s="16"/>
      <c r="LWA11" s="16"/>
      <c r="LWB11" s="16"/>
      <c r="LWC11" s="16"/>
      <c r="LWD11" s="16"/>
      <c r="LWE11" s="16"/>
      <c r="LWF11" s="16"/>
      <c r="LWG11" s="16"/>
      <c r="LWH11" s="16"/>
      <c r="LWI11" s="16"/>
      <c r="LWJ11" s="16"/>
      <c r="LWK11" s="16"/>
      <c r="LWL11" s="16"/>
      <c r="LWM11" s="16"/>
      <c r="LWN11" s="16"/>
      <c r="LWO11" s="16"/>
      <c r="LWP11" s="16"/>
      <c r="LWQ11" s="16"/>
      <c r="LWR11" s="16"/>
      <c r="LWS11" s="16"/>
      <c r="LWT11" s="16"/>
      <c r="LWU11" s="16"/>
      <c r="LWV11" s="16"/>
      <c r="LWW11" s="16"/>
      <c r="LWX11" s="16"/>
      <c r="LWY11" s="16"/>
      <c r="LWZ11" s="16"/>
      <c r="LXA11" s="16"/>
      <c r="LXB11" s="16"/>
      <c r="LXC11" s="16"/>
      <c r="LXD11" s="16"/>
      <c r="LXE11" s="16"/>
      <c r="LXF11" s="16"/>
      <c r="LXG11" s="16"/>
      <c r="LXH11" s="16"/>
      <c r="LXI11" s="16"/>
      <c r="LXJ11" s="16"/>
      <c r="LXK11" s="16"/>
      <c r="LXL11" s="16"/>
      <c r="LXM11" s="16"/>
      <c r="LXN11" s="16"/>
      <c r="LXO11" s="16"/>
      <c r="LXP11" s="16"/>
      <c r="LXQ11" s="16"/>
      <c r="LXR11" s="16"/>
      <c r="LXS11" s="16"/>
      <c r="LXT11" s="16"/>
      <c r="LXU11" s="16"/>
      <c r="LXV11" s="16"/>
      <c r="LXW11" s="16"/>
      <c r="LXX11" s="16"/>
      <c r="LXY11" s="16"/>
      <c r="LXZ11" s="16"/>
      <c r="LYA11" s="16"/>
      <c r="LYB11" s="16"/>
      <c r="LYC11" s="16"/>
      <c r="LYD11" s="16"/>
      <c r="LYE11" s="16"/>
      <c r="LYF11" s="16"/>
      <c r="LYG11" s="16"/>
      <c r="LYH11" s="16"/>
      <c r="LYI11" s="16"/>
      <c r="LYJ11" s="16"/>
      <c r="LYK11" s="16"/>
      <c r="LYL11" s="16"/>
      <c r="LYM11" s="16"/>
      <c r="LYN11" s="16"/>
      <c r="LYO11" s="16"/>
      <c r="LYP11" s="16"/>
      <c r="LYQ11" s="16"/>
      <c r="LYR11" s="16"/>
      <c r="LYS11" s="16"/>
      <c r="LYT11" s="16"/>
      <c r="LYU11" s="16"/>
      <c r="LYV11" s="16"/>
      <c r="LYW11" s="16"/>
      <c r="LYX11" s="16"/>
      <c r="LYY11" s="16"/>
      <c r="LYZ11" s="16"/>
      <c r="LZA11" s="16"/>
      <c r="LZB11" s="16"/>
      <c r="LZC11" s="16"/>
      <c r="LZD11" s="16"/>
      <c r="LZE11" s="16"/>
      <c r="LZF11" s="16"/>
      <c r="LZG11" s="16"/>
      <c r="LZH11" s="16"/>
      <c r="LZI11" s="16"/>
      <c r="LZJ11" s="16"/>
      <c r="LZK11" s="16"/>
      <c r="LZL11" s="16"/>
      <c r="LZM11" s="16"/>
      <c r="LZN11" s="16"/>
      <c r="LZO11" s="16"/>
      <c r="LZP11" s="16"/>
      <c r="LZQ11" s="16"/>
      <c r="LZR11" s="16"/>
      <c r="LZS11" s="16"/>
      <c r="LZT11" s="16"/>
      <c r="LZU11" s="16"/>
      <c r="LZV11" s="16"/>
      <c r="LZW11" s="16"/>
      <c r="LZX11" s="16"/>
      <c r="LZY11" s="16"/>
      <c r="LZZ11" s="16"/>
      <c r="MAA11" s="16"/>
      <c r="MAB11" s="16"/>
      <c r="MAC11" s="16"/>
      <c r="MAD11" s="16"/>
      <c r="MAE11" s="16"/>
      <c r="MAF11" s="16"/>
      <c r="MAG11" s="16"/>
      <c r="MAH11" s="16"/>
      <c r="MAI11" s="16"/>
      <c r="MAJ11" s="16"/>
      <c r="MAK11" s="16"/>
      <c r="MAL11" s="16"/>
      <c r="MAM11" s="16"/>
      <c r="MAN11" s="16"/>
      <c r="MAO11" s="16"/>
      <c r="MAP11" s="16"/>
      <c r="MAQ11" s="16"/>
      <c r="MAR11" s="16"/>
      <c r="MAS11" s="16"/>
      <c r="MAT11" s="16"/>
      <c r="MAU11" s="16"/>
      <c r="MAV11" s="16"/>
      <c r="MAW11" s="16"/>
      <c r="MAX11" s="16"/>
      <c r="MAY11" s="16"/>
      <c r="MAZ11" s="16"/>
      <c r="MBA11" s="16"/>
      <c r="MBB11" s="16"/>
      <c r="MBC11" s="16"/>
      <c r="MBD11" s="16"/>
      <c r="MBE11" s="16"/>
      <c r="MBF11" s="16"/>
      <c r="MBG11" s="16"/>
      <c r="MBH11" s="16"/>
      <c r="MBI11" s="16"/>
      <c r="MBJ11" s="16"/>
      <c r="MBK11" s="16"/>
      <c r="MBL11" s="16"/>
      <c r="MBM11" s="16"/>
      <c r="MBN11" s="16"/>
      <c r="MBO11" s="16"/>
      <c r="MBP11" s="16"/>
      <c r="MBQ11" s="16"/>
      <c r="MBR11" s="16"/>
      <c r="MBS11" s="16"/>
      <c r="MBT11" s="16"/>
      <c r="MBU11" s="16"/>
      <c r="MBV11" s="16"/>
      <c r="MBW11" s="16"/>
      <c r="MBX11" s="16"/>
      <c r="MBY11" s="16"/>
      <c r="MBZ11" s="16"/>
      <c r="MCA11" s="16"/>
      <c r="MCB11" s="16"/>
      <c r="MCC11" s="16"/>
      <c r="MCD11" s="16"/>
      <c r="MCE11" s="16"/>
      <c r="MCF11" s="16"/>
      <c r="MCG11" s="16"/>
      <c r="MCH11" s="16"/>
      <c r="MCI11" s="16"/>
      <c r="MCJ11" s="16"/>
      <c r="MCK11" s="16"/>
      <c r="MCL11" s="16"/>
      <c r="MCM11" s="16"/>
      <c r="MCN11" s="16"/>
      <c r="MCO11" s="16"/>
      <c r="MCP11" s="16"/>
      <c r="MCQ11" s="16"/>
      <c r="MCR11" s="16"/>
      <c r="MCS11" s="16"/>
      <c r="MCT11" s="16"/>
      <c r="MCU11" s="16"/>
      <c r="MCV11" s="16"/>
      <c r="MCW11" s="16"/>
      <c r="MCX11" s="16"/>
      <c r="MCY11" s="16"/>
      <c r="MCZ11" s="16"/>
      <c r="MDA11" s="16"/>
      <c r="MDB11" s="16"/>
      <c r="MDC11" s="16"/>
      <c r="MDD11" s="16"/>
      <c r="MDE11" s="16"/>
      <c r="MDF11" s="16"/>
      <c r="MDG11" s="16"/>
      <c r="MDH11" s="16"/>
      <c r="MDI11" s="16"/>
      <c r="MDJ11" s="16"/>
      <c r="MDK11" s="16"/>
      <c r="MDL11" s="16"/>
      <c r="MDM11" s="16"/>
      <c r="MDN11" s="16"/>
      <c r="MDO11" s="16"/>
      <c r="MDP11" s="16"/>
      <c r="MDQ11" s="16"/>
      <c r="MDR11" s="16"/>
      <c r="MDS11" s="16"/>
      <c r="MDT11" s="16"/>
      <c r="MDU11" s="16"/>
      <c r="MDV11" s="16"/>
      <c r="MDW11" s="16"/>
      <c r="MDX11" s="16"/>
      <c r="MDY11" s="16"/>
      <c r="MDZ11" s="16"/>
      <c r="MEA11" s="16"/>
      <c r="MEB11" s="16"/>
      <c r="MEC11" s="16"/>
      <c r="MED11" s="16"/>
      <c r="MEE11" s="16"/>
      <c r="MEF11" s="16"/>
      <c r="MEG11" s="16"/>
      <c r="MEH11" s="16"/>
      <c r="MEI11" s="16"/>
      <c r="MEJ11" s="16"/>
      <c r="MEK11" s="16"/>
      <c r="MEL11" s="16"/>
      <c r="MEM11" s="16"/>
      <c r="MEN11" s="16"/>
      <c r="MEO11" s="16"/>
      <c r="MEP11" s="16"/>
      <c r="MEQ11" s="16"/>
      <c r="MER11" s="16"/>
      <c r="MES11" s="16"/>
      <c r="MET11" s="16"/>
      <c r="MEU11" s="16"/>
      <c r="MEV11" s="16"/>
      <c r="MEW11" s="16"/>
      <c r="MEX11" s="16"/>
      <c r="MEY11" s="16"/>
      <c r="MEZ11" s="16"/>
      <c r="MFA11" s="16"/>
      <c r="MFB11" s="16"/>
      <c r="MFC11" s="16"/>
      <c r="MFD11" s="16"/>
      <c r="MFE11" s="16"/>
      <c r="MFF11" s="16"/>
      <c r="MFG11" s="16"/>
      <c r="MFH11" s="16"/>
      <c r="MFI11" s="16"/>
      <c r="MFJ11" s="16"/>
      <c r="MFK11" s="16"/>
      <c r="MFL11" s="16"/>
      <c r="MFM11" s="16"/>
      <c r="MFN11" s="16"/>
      <c r="MFO11" s="16"/>
      <c r="MFP11" s="16"/>
      <c r="MFQ11" s="16"/>
      <c r="MFR11" s="16"/>
      <c r="MFS11" s="16"/>
      <c r="MFT11" s="16"/>
      <c r="MFU11" s="16"/>
      <c r="MFV11" s="16"/>
      <c r="MFW11" s="16"/>
      <c r="MFX11" s="16"/>
      <c r="MFY11" s="16"/>
      <c r="MFZ11" s="16"/>
      <c r="MGA11" s="16"/>
      <c r="MGB11" s="16"/>
      <c r="MGC11" s="16"/>
      <c r="MGD11" s="16"/>
      <c r="MGE11" s="16"/>
      <c r="MGF11" s="16"/>
      <c r="MGG11" s="16"/>
      <c r="MGH11" s="16"/>
      <c r="MGI11" s="16"/>
      <c r="MGJ11" s="16"/>
      <c r="MGK11" s="16"/>
      <c r="MGL11" s="16"/>
      <c r="MGM11" s="16"/>
      <c r="MGN11" s="16"/>
      <c r="MGO11" s="16"/>
      <c r="MGP11" s="16"/>
      <c r="MGQ11" s="16"/>
      <c r="MGR11" s="16"/>
      <c r="MGS11" s="16"/>
      <c r="MGT11" s="16"/>
      <c r="MGU11" s="16"/>
      <c r="MGV11" s="16"/>
      <c r="MGW11" s="16"/>
      <c r="MGX11" s="16"/>
      <c r="MGY11" s="16"/>
      <c r="MGZ11" s="16"/>
      <c r="MHA11" s="16"/>
      <c r="MHB11" s="16"/>
      <c r="MHC11" s="16"/>
      <c r="MHD11" s="16"/>
      <c r="MHE11" s="16"/>
      <c r="MHF11" s="16"/>
      <c r="MHG11" s="16"/>
      <c r="MHH11" s="16"/>
      <c r="MHI11" s="16"/>
      <c r="MHJ11" s="16"/>
      <c r="MHK11" s="16"/>
      <c r="MHL11" s="16"/>
      <c r="MHM11" s="16"/>
      <c r="MHN11" s="16"/>
      <c r="MHO11" s="16"/>
      <c r="MHP11" s="16"/>
      <c r="MHQ11" s="16"/>
      <c r="MHR11" s="16"/>
      <c r="MHS11" s="16"/>
      <c r="MHT11" s="16"/>
      <c r="MHU11" s="16"/>
      <c r="MHV11" s="16"/>
      <c r="MHW11" s="16"/>
      <c r="MHX11" s="16"/>
      <c r="MHY11" s="16"/>
      <c r="MHZ11" s="16"/>
      <c r="MIA11" s="16"/>
      <c r="MIB11" s="16"/>
      <c r="MIC11" s="16"/>
      <c r="MID11" s="16"/>
      <c r="MIE11" s="16"/>
      <c r="MIF11" s="16"/>
      <c r="MIG11" s="16"/>
      <c r="MIH11" s="16"/>
      <c r="MII11" s="16"/>
      <c r="MIJ11" s="16"/>
      <c r="MIK11" s="16"/>
      <c r="MIL11" s="16"/>
      <c r="MIM11" s="16"/>
      <c r="MIN11" s="16"/>
      <c r="MIO11" s="16"/>
      <c r="MIP11" s="16"/>
      <c r="MIQ11" s="16"/>
      <c r="MIR11" s="16"/>
      <c r="MIS11" s="16"/>
      <c r="MIT11" s="16"/>
      <c r="MIU11" s="16"/>
      <c r="MIV11" s="16"/>
      <c r="MIW11" s="16"/>
      <c r="MIX11" s="16"/>
      <c r="MIY11" s="16"/>
      <c r="MIZ11" s="16"/>
      <c r="MJA11" s="16"/>
      <c r="MJB11" s="16"/>
      <c r="MJC11" s="16"/>
      <c r="MJD11" s="16"/>
      <c r="MJE11" s="16"/>
      <c r="MJF11" s="16"/>
      <c r="MJG11" s="16"/>
      <c r="MJH11" s="16"/>
      <c r="MJI11" s="16"/>
      <c r="MJJ11" s="16"/>
      <c r="MJK11" s="16"/>
      <c r="MJL11" s="16"/>
      <c r="MJM11" s="16"/>
      <c r="MJN11" s="16"/>
      <c r="MJO11" s="16"/>
      <c r="MJP11" s="16"/>
      <c r="MJQ11" s="16"/>
      <c r="MJR11" s="16"/>
      <c r="MJS11" s="16"/>
      <c r="MJT11" s="16"/>
      <c r="MJU11" s="16"/>
      <c r="MJV11" s="16"/>
      <c r="MJW11" s="16"/>
      <c r="MJX11" s="16"/>
      <c r="MJY11" s="16"/>
      <c r="MJZ11" s="16"/>
      <c r="MKA11" s="16"/>
      <c r="MKB11" s="16"/>
      <c r="MKC11" s="16"/>
      <c r="MKD11" s="16"/>
      <c r="MKE11" s="16"/>
      <c r="MKF11" s="16"/>
      <c r="MKG11" s="16"/>
      <c r="MKH11" s="16"/>
      <c r="MKI11" s="16"/>
      <c r="MKJ11" s="16"/>
      <c r="MKK11" s="16"/>
      <c r="MKL11" s="16"/>
      <c r="MKM11" s="16"/>
      <c r="MKN11" s="16"/>
      <c r="MKO11" s="16"/>
      <c r="MKP11" s="16"/>
      <c r="MKQ11" s="16"/>
      <c r="MKR11" s="16"/>
      <c r="MKS11" s="16"/>
      <c r="MKT11" s="16"/>
      <c r="MKU11" s="16"/>
      <c r="MKV11" s="16"/>
      <c r="MKW11" s="16"/>
      <c r="MKX11" s="16"/>
      <c r="MKY11" s="16"/>
      <c r="MKZ11" s="16"/>
      <c r="MLA11" s="16"/>
      <c r="MLB11" s="16"/>
      <c r="MLC11" s="16"/>
      <c r="MLD11" s="16"/>
      <c r="MLE11" s="16"/>
      <c r="MLF11" s="16"/>
      <c r="MLG11" s="16"/>
      <c r="MLH11" s="16"/>
      <c r="MLI11" s="16"/>
      <c r="MLJ11" s="16"/>
      <c r="MLK11" s="16"/>
      <c r="MLL11" s="16"/>
      <c r="MLM11" s="16"/>
      <c r="MLN11" s="16"/>
      <c r="MLO11" s="16"/>
      <c r="MLP11" s="16"/>
      <c r="MLQ11" s="16"/>
      <c r="MLR11" s="16"/>
      <c r="MLS11" s="16"/>
      <c r="MLT11" s="16"/>
      <c r="MLU11" s="16"/>
      <c r="MLV11" s="16"/>
      <c r="MLW11" s="16"/>
      <c r="MLX11" s="16"/>
      <c r="MLY11" s="16"/>
      <c r="MLZ11" s="16"/>
      <c r="MMA11" s="16"/>
      <c r="MMB11" s="16"/>
      <c r="MMC11" s="16"/>
      <c r="MMD11" s="16"/>
      <c r="MME11" s="16"/>
      <c r="MMF11" s="16"/>
      <c r="MMG11" s="16"/>
      <c r="MMH11" s="16"/>
      <c r="MMI11" s="16"/>
      <c r="MMJ11" s="16"/>
      <c r="MMK11" s="16"/>
      <c r="MML11" s="16"/>
      <c r="MMM11" s="16"/>
      <c r="MMN11" s="16"/>
      <c r="MMO11" s="16"/>
      <c r="MMP11" s="16"/>
      <c r="MMQ11" s="16"/>
      <c r="MMR11" s="16"/>
      <c r="MMS11" s="16"/>
      <c r="MMT11" s="16"/>
      <c r="MMU11" s="16"/>
      <c r="MMV11" s="16"/>
      <c r="MMW11" s="16"/>
      <c r="MMX11" s="16"/>
      <c r="MMY11" s="16"/>
      <c r="MMZ11" s="16"/>
      <c r="MNA11" s="16"/>
      <c r="MNB11" s="16"/>
      <c r="MNC11" s="16"/>
      <c r="MND11" s="16"/>
      <c r="MNE11" s="16"/>
      <c r="MNF11" s="16"/>
      <c r="MNG11" s="16"/>
      <c r="MNH11" s="16"/>
      <c r="MNI11" s="16"/>
      <c r="MNJ11" s="16"/>
      <c r="MNK11" s="16"/>
      <c r="MNL11" s="16"/>
      <c r="MNM11" s="16"/>
      <c r="MNN11" s="16"/>
      <c r="MNO11" s="16"/>
      <c r="MNP11" s="16"/>
      <c r="MNQ11" s="16"/>
      <c r="MNR11" s="16"/>
      <c r="MNS11" s="16"/>
      <c r="MNT11" s="16"/>
      <c r="MNU11" s="16"/>
      <c r="MNV11" s="16"/>
      <c r="MNW11" s="16"/>
      <c r="MNX11" s="16"/>
      <c r="MNY11" s="16"/>
      <c r="MNZ11" s="16"/>
      <c r="MOA11" s="16"/>
      <c r="MOB11" s="16"/>
      <c r="MOC11" s="16"/>
      <c r="MOD11" s="16"/>
      <c r="MOE11" s="16"/>
      <c r="MOF11" s="16"/>
      <c r="MOG11" s="16"/>
      <c r="MOH11" s="16"/>
      <c r="MOI11" s="16"/>
      <c r="MOJ11" s="16"/>
      <c r="MOK11" s="16"/>
      <c r="MOL11" s="16"/>
      <c r="MOM11" s="16"/>
      <c r="MON11" s="16"/>
      <c r="MOO11" s="16"/>
      <c r="MOP11" s="16"/>
      <c r="MOQ11" s="16"/>
      <c r="MOR11" s="16"/>
      <c r="MOS11" s="16"/>
      <c r="MOT11" s="16"/>
      <c r="MOU11" s="16"/>
      <c r="MOV11" s="16"/>
      <c r="MOW11" s="16"/>
      <c r="MOX11" s="16"/>
      <c r="MOY11" s="16"/>
      <c r="MOZ11" s="16"/>
      <c r="MPA11" s="16"/>
      <c r="MPB11" s="16"/>
      <c r="MPC11" s="16"/>
      <c r="MPD11" s="16"/>
      <c r="MPE11" s="16"/>
      <c r="MPF11" s="16"/>
      <c r="MPG11" s="16"/>
      <c r="MPH11" s="16"/>
      <c r="MPI11" s="16"/>
      <c r="MPJ11" s="16"/>
      <c r="MPK11" s="16"/>
      <c r="MPL11" s="16"/>
      <c r="MPM11" s="16"/>
      <c r="MPN11" s="16"/>
      <c r="MPO11" s="16"/>
      <c r="MPP11" s="16"/>
      <c r="MPQ11" s="16"/>
      <c r="MPR11" s="16"/>
      <c r="MPS11" s="16"/>
      <c r="MPT11" s="16"/>
      <c r="MPU11" s="16"/>
      <c r="MPV11" s="16"/>
      <c r="MPW11" s="16"/>
      <c r="MPX11" s="16"/>
      <c r="MPY11" s="16"/>
      <c r="MPZ11" s="16"/>
      <c r="MQA11" s="16"/>
      <c r="MQB11" s="16"/>
      <c r="MQC11" s="16"/>
      <c r="MQD11" s="16"/>
      <c r="MQE11" s="16"/>
      <c r="MQF11" s="16"/>
      <c r="MQG11" s="16"/>
      <c r="MQH11" s="16"/>
      <c r="MQI11" s="16"/>
      <c r="MQJ11" s="16"/>
      <c r="MQK11" s="16"/>
      <c r="MQL11" s="16"/>
      <c r="MQM11" s="16"/>
      <c r="MQN11" s="16"/>
      <c r="MQO11" s="16"/>
      <c r="MQP11" s="16"/>
      <c r="MQQ11" s="16"/>
      <c r="MQR11" s="16"/>
      <c r="MQS11" s="16"/>
      <c r="MQT11" s="16"/>
      <c r="MQU11" s="16"/>
      <c r="MQV11" s="16"/>
      <c r="MQW11" s="16"/>
      <c r="MQX11" s="16"/>
      <c r="MQY11" s="16"/>
      <c r="MQZ11" s="16"/>
      <c r="MRA11" s="16"/>
      <c r="MRB11" s="16"/>
      <c r="MRC11" s="16"/>
      <c r="MRD11" s="16"/>
      <c r="MRE11" s="16"/>
      <c r="MRF11" s="16"/>
      <c r="MRG11" s="16"/>
      <c r="MRH11" s="16"/>
      <c r="MRI11" s="16"/>
      <c r="MRJ11" s="16"/>
      <c r="MRK11" s="16"/>
      <c r="MRL11" s="16"/>
      <c r="MRM11" s="16"/>
      <c r="MRN11" s="16"/>
      <c r="MRO11" s="16"/>
      <c r="MRP11" s="16"/>
      <c r="MRQ11" s="16"/>
      <c r="MRR11" s="16"/>
      <c r="MRS11" s="16"/>
      <c r="MRT11" s="16"/>
      <c r="MRU11" s="16"/>
      <c r="MRV11" s="16"/>
      <c r="MRW11" s="16"/>
      <c r="MRX11" s="16"/>
      <c r="MRY11" s="16"/>
      <c r="MRZ11" s="16"/>
      <c r="MSA11" s="16"/>
      <c r="MSB11" s="16"/>
      <c r="MSC11" s="16"/>
      <c r="MSD11" s="16"/>
      <c r="MSE11" s="16"/>
      <c r="MSF11" s="16"/>
      <c r="MSG11" s="16"/>
      <c r="MSH11" s="16"/>
      <c r="MSI11" s="16"/>
      <c r="MSJ11" s="16"/>
      <c r="MSK11" s="16"/>
      <c r="MSL11" s="16"/>
      <c r="MSM11" s="16"/>
      <c r="MSN11" s="16"/>
      <c r="MSO11" s="16"/>
      <c r="MSP11" s="16"/>
      <c r="MSQ11" s="16"/>
      <c r="MSR11" s="16"/>
      <c r="MSS11" s="16"/>
      <c r="MST11" s="16"/>
      <c r="MSU11" s="16"/>
      <c r="MSV11" s="16"/>
      <c r="MSW11" s="16"/>
      <c r="MSX11" s="16"/>
      <c r="MSY11" s="16"/>
      <c r="MSZ11" s="16"/>
      <c r="MTA11" s="16"/>
      <c r="MTB11" s="16"/>
      <c r="MTC11" s="16"/>
      <c r="MTD11" s="16"/>
      <c r="MTE11" s="16"/>
      <c r="MTF11" s="16"/>
      <c r="MTG11" s="16"/>
      <c r="MTH11" s="16"/>
      <c r="MTI11" s="16"/>
      <c r="MTJ11" s="16"/>
      <c r="MTK11" s="16"/>
      <c r="MTL11" s="16"/>
      <c r="MTM11" s="16"/>
      <c r="MTN11" s="16"/>
      <c r="MTO11" s="16"/>
      <c r="MTP11" s="16"/>
      <c r="MTQ11" s="16"/>
      <c r="MTR11" s="16"/>
      <c r="MTS11" s="16"/>
      <c r="MTT11" s="16"/>
      <c r="MTU11" s="16"/>
      <c r="MTV11" s="16"/>
      <c r="MTW11" s="16"/>
      <c r="MTX11" s="16"/>
      <c r="MTY11" s="16"/>
      <c r="MTZ11" s="16"/>
      <c r="MUA11" s="16"/>
      <c r="MUB11" s="16"/>
      <c r="MUC11" s="16"/>
      <c r="MUD11" s="16"/>
      <c r="MUE11" s="16"/>
      <c r="MUF11" s="16"/>
      <c r="MUG11" s="16"/>
      <c r="MUH11" s="16"/>
      <c r="MUI11" s="16"/>
      <c r="MUJ11" s="16"/>
      <c r="MUK11" s="16"/>
      <c r="MUL11" s="16"/>
      <c r="MUM11" s="16"/>
      <c r="MUN11" s="16"/>
      <c r="MUO11" s="16"/>
      <c r="MUP11" s="16"/>
      <c r="MUQ11" s="16"/>
      <c r="MUR11" s="16"/>
      <c r="MUS11" s="16"/>
      <c r="MUT11" s="16"/>
      <c r="MUU11" s="16"/>
      <c r="MUV11" s="16"/>
      <c r="MUW11" s="16"/>
      <c r="MUX11" s="16"/>
      <c r="MUY11" s="16"/>
      <c r="MUZ11" s="16"/>
      <c r="MVA11" s="16"/>
      <c r="MVB11" s="16"/>
      <c r="MVC11" s="16"/>
      <c r="MVD11" s="16"/>
      <c r="MVE11" s="16"/>
      <c r="MVF11" s="16"/>
      <c r="MVG11" s="16"/>
      <c r="MVH11" s="16"/>
      <c r="MVI11" s="16"/>
      <c r="MVJ11" s="16"/>
      <c r="MVK11" s="16"/>
      <c r="MVL11" s="16"/>
      <c r="MVM11" s="16"/>
      <c r="MVN11" s="16"/>
      <c r="MVO11" s="16"/>
      <c r="MVP11" s="16"/>
      <c r="MVQ11" s="16"/>
      <c r="MVR11" s="16"/>
      <c r="MVS11" s="16"/>
      <c r="MVT11" s="16"/>
      <c r="MVU11" s="16"/>
      <c r="MVV11" s="16"/>
      <c r="MVW11" s="16"/>
      <c r="MVX11" s="16"/>
      <c r="MVY11" s="16"/>
      <c r="MVZ11" s="16"/>
      <c r="MWA11" s="16"/>
      <c r="MWB11" s="16"/>
      <c r="MWC11" s="16"/>
      <c r="MWD11" s="16"/>
      <c r="MWE11" s="16"/>
      <c r="MWF11" s="16"/>
      <c r="MWG11" s="16"/>
      <c r="MWH11" s="16"/>
      <c r="MWI11" s="16"/>
      <c r="MWJ11" s="16"/>
      <c r="MWK11" s="16"/>
      <c r="MWL11" s="16"/>
      <c r="MWM11" s="16"/>
      <c r="MWN11" s="16"/>
      <c r="MWO11" s="16"/>
      <c r="MWP11" s="16"/>
      <c r="MWQ11" s="16"/>
      <c r="MWR11" s="16"/>
      <c r="MWS11" s="16"/>
      <c r="MWT11" s="16"/>
      <c r="MWU11" s="16"/>
      <c r="MWV11" s="16"/>
      <c r="MWW11" s="16"/>
      <c r="MWX11" s="16"/>
      <c r="MWY11" s="16"/>
      <c r="MWZ11" s="16"/>
      <c r="MXA11" s="16"/>
      <c r="MXB11" s="16"/>
      <c r="MXC11" s="16"/>
      <c r="MXD11" s="16"/>
      <c r="MXE11" s="16"/>
      <c r="MXF11" s="16"/>
      <c r="MXG11" s="16"/>
      <c r="MXH11" s="16"/>
      <c r="MXI11" s="16"/>
      <c r="MXJ11" s="16"/>
      <c r="MXK11" s="16"/>
      <c r="MXL11" s="16"/>
      <c r="MXM11" s="16"/>
      <c r="MXN11" s="16"/>
      <c r="MXO11" s="16"/>
      <c r="MXP11" s="16"/>
      <c r="MXQ11" s="16"/>
      <c r="MXR11" s="16"/>
      <c r="MXS11" s="16"/>
      <c r="MXT11" s="16"/>
      <c r="MXU11" s="16"/>
      <c r="MXV11" s="16"/>
      <c r="MXW11" s="16"/>
      <c r="MXX11" s="16"/>
      <c r="MXY11" s="16"/>
      <c r="MXZ11" s="16"/>
      <c r="MYA11" s="16"/>
      <c r="MYB11" s="16"/>
      <c r="MYC11" s="16"/>
      <c r="MYD11" s="16"/>
      <c r="MYE11" s="16"/>
      <c r="MYF11" s="16"/>
      <c r="MYG11" s="16"/>
      <c r="MYH11" s="16"/>
      <c r="MYI11" s="16"/>
      <c r="MYJ11" s="16"/>
      <c r="MYK11" s="16"/>
      <c r="MYL11" s="16"/>
      <c r="MYM11" s="16"/>
      <c r="MYN11" s="16"/>
      <c r="MYO11" s="16"/>
      <c r="MYP11" s="16"/>
      <c r="MYQ11" s="16"/>
      <c r="MYR11" s="16"/>
      <c r="MYS11" s="16"/>
      <c r="MYT11" s="16"/>
      <c r="MYU11" s="16"/>
      <c r="MYV11" s="16"/>
      <c r="MYW11" s="16"/>
      <c r="MYX11" s="16"/>
      <c r="MYY11" s="16"/>
      <c r="MYZ11" s="16"/>
      <c r="MZA11" s="16"/>
      <c r="MZB11" s="16"/>
      <c r="MZC11" s="16"/>
      <c r="MZD11" s="16"/>
      <c r="MZE11" s="16"/>
      <c r="MZF11" s="16"/>
      <c r="MZG11" s="16"/>
      <c r="MZH11" s="16"/>
      <c r="MZI11" s="16"/>
      <c r="MZJ11" s="16"/>
      <c r="MZK11" s="16"/>
      <c r="MZL11" s="16"/>
      <c r="MZM11" s="16"/>
      <c r="MZN11" s="16"/>
      <c r="MZO11" s="16"/>
      <c r="MZP11" s="16"/>
      <c r="MZQ11" s="16"/>
      <c r="MZR11" s="16"/>
      <c r="MZS11" s="16"/>
      <c r="MZT11" s="16"/>
      <c r="MZU11" s="16"/>
      <c r="MZV11" s="16"/>
      <c r="MZW11" s="16"/>
      <c r="MZX11" s="16"/>
      <c r="MZY11" s="16"/>
      <c r="MZZ11" s="16"/>
      <c r="NAA11" s="16"/>
      <c r="NAB11" s="16"/>
      <c r="NAC11" s="16"/>
      <c r="NAD11" s="16"/>
      <c r="NAE11" s="16"/>
      <c r="NAF11" s="16"/>
      <c r="NAG11" s="16"/>
      <c r="NAH11" s="16"/>
      <c r="NAI11" s="16"/>
      <c r="NAJ11" s="16"/>
      <c r="NAK11" s="16"/>
      <c r="NAL11" s="16"/>
      <c r="NAM11" s="16"/>
      <c r="NAN11" s="16"/>
      <c r="NAO11" s="16"/>
      <c r="NAP11" s="16"/>
      <c r="NAQ11" s="16"/>
      <c r="NAR11" s="16"/>
      <c r="NAS11" s="16"/>
      <c r="NAT11" s="16"/>
      <c r="NAU11" s="16"/>
      <c r="NAV11" s="16"/>
      <c r="NAW11" s="16"/>
      <c r="NAX11" s="16"/>
      <c r="NAY11" s="16"/>
      <c r="NAZ11" s="16"/>
      <c r="NBA11" s="16"/>
      <c r="NBB11" s="16"/>
      <c r="NBC11" s="16"/>
      <c r="NBD11" s="16"/>
      <c r="NBE11" s="16"/>
      <c r="NBF11" s="16"/>
      <c r="NBG11" s="16"/>
      <c r="NBH11" s="16"/>
      <c r="NBI11" s="16"/>
      <c r="NBJ11" s="16"/>
      <c r="NBK11" s="16"/>
      <c r="NBL11" s="16"/>
      <c r="NBM11" s="16"/>
      <c r="NBN11" s="16"/>
      <c r="NBO11" s="16"/>
      <c r="NBP11" s="16"/>
      <c r="NBQ11" s="16"/>
      <c r="NBR11" s="16"/>
      <c r="NBS11" s="16"/>
      <c r="NBT11" s="16"/>
      <c r="NBU11" s="16"/>
      <c r="NBV11" s="16"/>
      <c r="NBW11" s="16"/>
      <c r="NBX11" s="16"/>
      <c r="NBY11" s="16"/>
      <c r="NBZ11" s="16"/>
      <c r="NCA11" s="16"/>
      <c r="NCB11" s="16"/>
      <c r="NCC11" s="16"/>
      <c r="NCD11" s="16"/>
      <c r="NCE11" s="16"/>
      <c r="NCF11" s="16"/>
      <c r="NCG11" s="16"/>
      <c r="NCH11" s="16"/>
      <c r="NCI11" s="16"/>
      <c r="NCJ11" s="16"/>
      <c r="NCK11" s="16"/>
      <c r="NCL11" s="16"/>
      <c r="NCM11" s="16"/>
      <c r="NCN11" s="16"/>
      <c r="NCO11" s="16"/>
      <c r="NCP11" s="16"/>
      <c r="NCQ11" s="16"/>
      <c r="NCR11" s="16"/>
      <c r="NCS11" s="16"/>
      <c r="NCT11" s="16"/>
      <c r="NCU11" s="16"/>
      <c r="NCV11" s="16"/>
      <c r="NCW11" s="16"/>
      <c r="NCX11" s="16"/>
      <c r="NCY11" s="16"/>
      <c r="NCZ11" s="16"/>
      <c r="NDA11" s="16"/>
      <c r="NDB11" s="16"/>
      <c r="NDC11" s="16"/>
      <c r="NDD11" s="16"/>
      <c r="NDE11" s="16"/>
      <c r="NDF11" s="16"/>
      <c r="NDG11" s="16"/>
      <c r="NDH11" s="16"/>
      <c r="NDI11" s="16"/>
      <c r="NDJ11" s="16"/>
      <c r="NDK11" s="16"/>
      <c r="NDL11" s="16"/>
      <c r="NDM11" s="16"/>
      <c r="NDN11" s="16"/>
      <c r="NDO11" s="16"/>
      <c r="NDP11" s="16"/>
      <c r="NDQ11" s="16"/>
      <c r="NDR11" s="16"/>
      <c r="NDS11" s="16"/>
      <c r="NDT11" s="16"/>
      <c r="NDU11" s="16"/>
      <c r="NDV11" s="16"/>
      <c r="NDW11" s="16"/>
      <c r="NDX11" s="16"/>
      <c r="NDY11" s="16"/>
      <c r="NDZ11" s="16"/>
      <c r="NEA11" s="16"/>
      <c r="NEB11" s="16"/>
      <c r="NEC11" s="16"/>
      <c r="NED11" s="16"/>
      <c r="NEE11" s="16"/>
      <c r="NEF11" s="16"/>
      <c r="NEG11" s="16"/>
      <c r="NEH11" s="16"/>
      <c r="NEI11" s="16"/>
      <c r="NEJ11" s="16"/>
      <c r="NEK11" s="16"/>
      <c r="NEL11" s="16"/>
      <c r="NEM11" s="16"/>
      <c r="NEN11" s="16"/>
      <c r="NEO11" s="16"/>
      <c r="NEP11" s="16"/>
      <c r="NEQ11" s="16"/>
      <c r="NER11" s="16"/>
      <c r="NES11" s="16"/>
      <c r="NET11" s="16"/>
      <c r="NEU11" s="16"/>
      <c r="NEV11" s="16"/>
      <c r="NEW11" s="16"/>
      <c r="NEX11" s="16"/>
      <c r="NEY11" s="16"/>
      <c r="NEZ11" s="16"/>
      <c r="NFA11" s="16"/>
      <c r="NFB11" s="16"/>
      <c r="NFC11" s="16"/>
      <c r="NFD11" s="16"/>
      <c r="NFE11" s="16"/>
      <c r="NFF11" s="16"/>
      <c r="NFG11" s="16"/>
      <c r="NFH11" s="16"/>
      <c r="NFI11" s="16"/>
      <c r="NFJ11" s="16"/>
      <c r="NFK11" s="16"/>
      <c r="NFL11" s="16"/>
      <c r="NFM11" s="16"/>
      <c r="NFN11" s="16"/>
      <c r="NFO11" s="16"/>
      <c r="NFP11" s="16"/>
      <c r="NFQ11" s="16"/>
      <c r="NFR11" s="16"/>
      <c r="NFS11" s="16"/>
      <c r="NFT11" s="16"/>
      <c r="NFU11" s="16"/>
      <c r="NFV11" s="16"/>
      <c r="NFW11" s="16"/>
      <c r="NFX11" s="16"/>
      <c r="NFY11" s="16"/>
      <c r="NFZ11" s="16"/>
      <c r="NGA11" s="16"/>
      <c r="NGB11" s="16"/>
      <c r="NGC11" s="16"/>
      <c r="NGD11" s="16"/>
      <c r="NGE11" s="16"/>
      <c r="NGF11" s="16"/>
      <c r="NGG11" s="16"/>
      <c r="NGH11" s="16"/>
      <c r="NGI11" s="16"/>
      <c r="NGJ11" s="16"/>
      <c r="NGK11" s="16"/>
      <c r="NGL11" s="16"/>
      <c r="NGM11" s="16"/>
      <c r="NGN11" s="16"/>
      <c r="NGO11" s="16"/>
      <c r="NGP11" s="16"/>
      <c r="NGQ11" s="16"/>
      <c r="NGR11" s="16"/>
      <c r="NGS11" s="16"/>
      <c r="NGT11" s="16"/>
      <c r="NGU11" s="16"/>
      <c r="NGV11" s="16"/>
      <c r="NGW11" s="16"/>
      <c r="NGX11" s="16"/>
      <c r="NGY11" s="16"/>
      <c r="NGZ11" s="16"/>
      <c r="NHA11" s="16"/>
      <c r="NHB11" s="16"/>
      <c r="NHC11" s="16"/>
      <c r="NHD11" s="16"/>
      <c r="NHE11" s="16"/>
      <c r="NHF11" s="16"/>
      <c r="NHG11" s="16"/>
      <c r="NHH11" s="16"/>
      <c r="NHI11" s="16"/>
      <c r="NHJ11" s="16"/>
      <c r="NHK11" s="16"/>
      <c r="NHL11" s="16"/>
      <c r="NHM11" s="16"/>
      <c r="NHN11" s="16"/>
      <c r="NHO11" s="16"/>
      <c r="NHP11" s="16"/>
      <c r="NHQ11" s="16"/>
      <c r="NHR11" s="16"/>
      <c r="NHS11" s="16"/>
      <c r="NHT11" s="16"/>
      <c r="NHU11" s="16"/>
      <c r="NHV11" s="16"/>
      <c r="NHW11" s="16"/>
      <c r="NHX11" s="16"/>
      <c r="NHY11" s="16"/>
      <c r="NHZ11" s="16"/>
      <c r="NIA11" s="16"/>
      <c r="NIB11" s="16"/>
      <c r="NIC11" s="16"/>
      <c r="NID11" s="16"/>
      <c r="NIE11" s="16"/>
      <c r="NIF11" s="16"/>
      <c r="NIG11" s="16"/>
      <c r="NIH11" s="16"/>
      <c r="NII11" s="16"/>
      <c r="NIJ11" s="16"/>
      <c r="NIK11" s="16"/>
      <c r="NIL11" s="16"/>
      <c r="NIM11" s="16"/>
      <c r="NIN11" s="16"/>
      <c r="NIO11" s="16"/>
      <c r="NIP11" s="16"/>
      <c r="NIQ11" s="16"/>
      <c r="NIR11" s="16"/>
      <c r="NIS11" s="16"/>
      <c r="NIT11" s="16"/>
      <c r="NIU11" s="16"/>
      <c r="NIV11" s="16"/>
      <c r="NIW11" s="16"/>
      <c r="NIX11" s="16"/>
      <c r="NIY11" s="16"/>
      <c r="NIZ11" s="16"/>
      <c r="NJA11" s="16"/>
      <c r="NJB11" s="16"/>
      <c r="NJC11" s="16"/>
      <c r="NJD11" s="16"/>
      <c r="NJE11" s="16"/>
      <c r="NJF11" s="16"/>
      <c r="NJG11" s="16"/>
      <c r="NJH11" s="16"/>
      <c r="NJI11" s="16"/>
      <c r="NJJ11" s="16"/>
      <c r="NJK11" s="16"/>
      <c r="NJL11" s="16"/>
      <c r="NJM11" s="16"/>
      <c r="NJN11" s="16"/>
      <c r="NJO11" s="16"/>
      <c r="NJP11" s="16"/>
      <c r="NJQ11" s="16"/>
      <c r="NJR11" s="16"/>
      <c r="NJS11" s="16"/>
      <c r="NJT11" s="16"/>
      <c r="NJU11" s="16"/>
      <c r="NJV11" s="16"/>
      <c r="NJW11" s="16"/>
      <c r="NJX11" s="16"/>
      <c r="NJY11" s="16"/>
      <c r="NJZ11" s="16"/>
      <c r="NKA11" s="16"/>
      <c r="NKB11" s="16"/>
      <c r="NKC11" s="16"/>
      <c r="NKD11" s="16"/>
      <c r="NKE11" s="16"/>
      <c r="NKF11" s="16"/>
      <c r="NKG11" s="16"/>
      <c r="NKH11" s="16"/>
      <c r="NKI11" s="16"/>
      <c r="NKJ11" s="16"/>
      <c r="NKK11" s="16"/>
      <c r="NKL11" s="16"/>
      <c r="NKM11" s="16"/>
      <c r="NKN11" s="16"/>
      <c r="NKO11" s="16"/>
      <c r="NKP11" s="16"/>
      <c r="NKQ11" s="16"/>
      <c r="NKR11" s="16"/>
      <c r="NKS11" s="16"/>
      <c r="NKT11" s="16"/>
      <c r="NKU11" s="16"/>
      <c r="NKV11" s="16"/>
      <c r="NKW11" s="16"/>
      <c r="NKX11" s="16"/>
      <c r="NKY11" s="16"/>
      <c r="NKZ11" s="16"/>
      <c r="NLA11" s="16"/>
      <c r="NLB11" s="16"/>
      <c r="NLC11" s="16"/>
      <c r="NLD11" s="16"/>
      <c r="NLE11" s="16"/>
      <c r="NLF11" s="16"/>
      <c r="NLG11" s="16"/>
      <c r="NLH11" s="16"/>
      <c r="NLI11" s="16"/>
      <c r="NLJ11" s="16"/>
      <c r="NLK11" s="16"/>
      <c r="NLL11" s="16"/>
      <c r="NLM11" s="16"/>
      <c r="NLN11" s="16"/>
      <c r="NLO11" s="16"/>
      <c r="NLP11" s="16"/>
      <c r="NLQ11" s="16"/>
      <c r="NLR11" s="16"/>
      <c r="NLS11" s="16"/>
      <c r="NLT11" s="16"/>
      <c r="NLU11" s="16"/>
      <c r="NLV11" s="16"/>
      <c r="NLW11" s="16"/>
      <c r="NLX11" s="16"/>
      <c r="NLY11" s="16"/>
      <c r="NLZ11" s="16"/>
      <c r="NMA11" s="16"/>
      <c r="NMB11" s="16"/>
      <c r="NMC11" s="16"/>
      <c r="NMD11" s="16"/>
      <c r="NME11" s="16"/>
      <c r="NMF11" s="16"/>
      <c r="NMG11" s="16"/>
      <c r="NMH11" s="16"/>
      <c r="NMI11" s="16"/>
      <c r="NMJ11" s="16"/>
      <c r="NMK11" s="16"/>
      <c r="NML11" s="16"/>
      <c r="NMM11" s="16"/>
      <c r="NMN11" s="16"/>
      <c r="NMO11" s="16"/>
      <c r="NMP11" s="16"/>
      <c r="NMQ11" s="16"/>
      <c r="NMR11" s="16"/>
      <c r="NMS11" s="16"/>
      <c r="NMT11" s="16"/>
      <c r="NMU11" s="16"/>
      <c r="NMV11" s="16"/>
      <c r="NMW11" s="16"/>
      <c r="NMX11" s="16"/>
      <c r="NMY11" s="16"/>
      <c r="NMZ11" s="16"/>
      <c r="NNA11" s="16"/>
      <c r="NNB11" s="16"/>
      <c r="NNC11" s="16"/>
      <c r="NND11" s="16"/>
      <c r="NNE11" s="16"/>
      <c r="NNF11" s="16"/>
      <c r="NNG11" s="16"/>
      <c r="NNH11" s="16"/>
      <c r="NNI11" s="16"/>
      <c r="NNJ11" s="16"/>
      <c r="NNK11" s="16"/>
      <c r="NNL11" s="16"/>
      <c r="NNM11" s="16"/>
      <c r="NNN11" s="16"/>
      <c r="NNO11" s="16"/>
      <c r="NNP11" s="16"/>
      <c r="NNQ11" s="16"/>
      <c r="NNR11" s="16"/>
      <c r="NNS11" s="16"/>
      <c r="NNT11" s="16"/>
      <c r="NNU11" s="16"/>
      <c r="NNV11" s="16"/>
      <c r="NNW11" s="16"/>
      <c r="NNX11" s="16"/>
      <c r="NNY11" s="16"/>
      <c r="NNZ11" s="16"/>
      <c r="NOA11" s="16"/>
      <c r="NOB11" s="16"/>
      <c r="NOC11" s="16"/>
      <c r="NOD11" s="16"/>
      <c r="NOE11" s="16"/>
      <c r="NOF11" s="16"/>
      <c r="NOG11" s="16"/>
      <c r="NOH11" s="16"/>
      <c r="NOI11" s="16"/>
      <c r="NOJ11" s="16"/>
      <c r="NOK11" s="16"/>
      <c r="NOL11" s="16"/>
      <c r="NOM11" s="16"/>
      <c r="NON11" s="16"/>
      <c r="NOO11" s="16"/>
      <c r="NOP11" s="16"/>
      <c r="NOQ11" s="16"/>
      <c r="NOR11" s="16"/>
      <c r="NOS11" s="16"/>
      <c r="NOT11" s="16"/>
      <c r="NOU11" s="16"/>
      <c r="NOV11" s="16"/>
      <c r="NOW11" s="16"/>
      <c r="NOX11" s="16"/>
      <c r="NOY11" s="16"/>
      <c r="NOZ11" s="16"/>
      <c r="NPA11" s="16"/>
      <c r="NPB11" s="16"/>
      <c r="NPC11" s="16"/>
      <c r="NPD11" s="16"/>
      <c r="NPE11" s="16"/>
      <c r="NPF11" s="16"/>
      <c r="NPG11" s="16"/>
      <c r="NPH11" s="16"/>
      <c r="NPI11" s="16"/>
      <c r="NPJ11" s="16"/>
      <c r="NPK11" s="16"/>
      <c r="NPL11" s="16"/>
      <c r="NPM11" s="16"/>
      <c r="NPN11" s="16"/>
      <c r="NPO11" s="16"/>
      <c r="NPP11" s="16"/>
      <c r="NPQ11" s="16"/>
      <c r="NPR11" s="16"/>
      <c r="NPS11" s="16"/>
      <c r="NPT11" s="16"/>
      <c r="NPU11" s="16"/>
      <c r="NPV11" s="16"/>
      <c r="NPW11" s="16"/>
      <c r="NPX11" s="16"/>
      <c r="NPY11" s="16"/>
      <c r="NPZ11" s="16"/>
      <c r="NQA11" s="16"/>
      <c r="NQB11" s="16"/>
      <c r="NQC11" s="16"/>
      <c r="NQD11" s="16"/>
      <c r="NQE11" s="16"/>
      <c r="NQF11" s="16"/>
      <c r="NQG11" s="16"/>
      <c r="NQH11" s="16"/>
      <c r="NQI11" s="16"/>
      <c r="NQJ11" s="16"/>
      <c r="NQK11" s="16"/>
      <c r="NQL11" s="16"/>
      <c r="NQM11" s="16"/>
      <c r="NQN11" s="16"/>
      <c r="NQO11" s="16"/>
      <c r="NQP11" s="16"/>
      <c r="NQQ11" s="16"/>
      <c r="NQR11" s="16"/>
      <c r="NQS11" s="16"/>
      <c r="NQT11" s="16"/>
      <c r="NQU11" s="16"/>
      <c r="NQV11" s="16"/>
      <c r="NQW11" s="16"/>
      <c r="NQX11" s="16"/>
      <c r="NQY11" s="16"/>
      <c r="NQZ11" s="16"/>
      <c r="NRA11" s="16"/>
      <c r="NRB11" s="16"/>
      <c r="NRC11" s="16"/>
      <c r="NRD11" s="16"/>
      <c r="NRE11" s="16"/>
      <c r="NRF11" s="16"/>
      <c r="NRG11" s="16"/>
      <c r="NRH11" s="16"/>
      <c r="NRI11" s="16"/>
      <c r="NRJ11" s="16"/>
      <c r="NRK11" s="16"/>
      <c r="NRL11" s="16"/>
      <c r="NRM11" s="16"/>
      <c r="NRN11" s="16"/>
      <c r="NRO11" s="16"/>
      <c r="NRP11" s="16"/>
      <c r="NRQ11" s="16"/>
      <c r="NRR11" s="16"/>
      <c r="NRS11" s="16"/>
      <c r="NRT11" s="16"/>
      <c r="NRU11" s="16"/>
      <c r="NRV11" s="16"/>
      <c r="NRW11" s="16"/>
      <c r="NRX11" s="16"/>
      <c r="NRY11" s="16"/>
      <c r="NRZ11" s="16"/>
      <c r="NSA11" s="16"/>
      <c r="NSB11" s="16"/>
      <c r="NSC11" s="16"/>
      <c r="NSD11" s="16"/>
      <c r="NSE11" s="16"/>
      <c r="NSF11" s="16"/>
      <c r="NSG11" s="16"/>
      <c r="NSH11" s="16"/>
      <c r="NSI11" s="16"/>
      <c r="NSJ11" s="16"/>
      <c r="NSK11" s="16"/>
      <c r="NSL11" s="16"/>
      <c r="NSM11" s="16"/>
      <c r="NSN11" s="16"/>
      <c r="NSO11" s="16"/>
      <c r="NSP11" s="16"/>
      <c r="NSQ11" s="16"/>
      <c r="NSR11" s="16"/>
      <c r="NSS11" s="16"/>
      <c r="NST11" s="16"/>
      <c r="NSU11" s="16"/>
      <c r="NSV11" s="16"/>
      <c r="NSW11" s="16"/>
      <c r="NSX11" s="16"/>
      <c r="NSY11" s="16"/>
      <c r="NSZ11" s="16"/>
      <c r="NTA11" s="16"/>
      <c r="NTB11" s="16"/>
      <c r="NTC11" s="16"/>
      <c r="NTD11" s="16"/>
      <c r="NTE11" s="16"/>
      <c r="NTF11" s="16"/>
      <c r="NTG11" s="16"/>
      <c r="NTH11" s="16"/>
      <c r="NTI11" s="16"/>
      <c r="NTJ11" s="16"/>
      <c r="NTK11" s="16"/>
      <c r="NTL11" s="16"/>
      <c r="NTM11" s="16"/>
      <c r="NTN11" s="16"/>
      <c r="NTO11" s="16"/>
      <c r="NTP11" s="16"/>
      <c r="NTQ11" s="16"/>
      <c r="NTR11" s="16"/>
      <c r="NTS11" s="16"/>
      <c r="NTT11" s="16"/>
      <c r="NTU11" s="16"/>
      <c r="NTV11" s="16"/>
      <c r="NTW11" s="16"/>
      <c r="NTX11" s="16"/>
      <c r="NTY11" s="16"/>
      <c r="NTZ11" s="16"/>
      <c r="NUA11" s="16"/>
      <c r="NUB11" s="16"/>
      <c r="NUC11" s="16"/>
      <c r="NUD11" s="16"/>
      <c r="NUE11" s="16"/>
      <c r="NUF11" s="16"/>
      <c r="NUG11" s="16"/>
      <c r="NUH11" s="16"/>
      <c r="NUI11" s="16"/>
      <c r="NUJ11" s="16"/>
      <c r="NUK11" s="16"/>
      <c r="NUL11" s="16"/>
      <c r="NUM11" s="16"/>
      <c r="NUN11" s="16"/>
      <c r="NUO11" s="16"/>
      <c r="NUP11" s="16"/>
      <c r="NUQ11" s="16"/>
      <c r="NUR11" s="16"/>
      <c r="NUS11" s="16"/>
      <c r="NUT11" s="16"/>
      <c r="NUU11" s="16"/>
      <c r="NUV11" s="16"/>
      <c r="NUW11" s="16"/>
      <c r="NUX11" s="16"/>
      <c r="NUY11" s="16"/>
      <c r="NUZ11" s="16"/>
      <c r="NVA11" s="16"/>
      <c r="NVB11" s="16"/>
      <c r="NVC11" s="16"/>
      <c r="NVD11" s="16"/>
      <c r="NVE11" s="16"/>
      <c r="NVF11" s="16"/>
      <c r="NVG11" s="16"/>
      <c r="NVH11" s="16"/>
      <c r="NVI11" s="16"/>
      <c r="NVJ11" s="16"/>
      <c r="NVK11" s="16"/>
      <c r="NVL11" s="16"/>
      <c r="NVM11" s="16"/>
      <c r="NVN11" s="16"/>
      <c r="NVO11" s="16"/>
      <c r="NVP11" s="16"/>
      <c r="NVQ11" s="16"/>
      <c r="NVR11" s="16"/>
      <c r="NVS11" s="16"/>
      <c r="NVT11" s="16"/>
      <c r="NVU11" s="16"/>
      <c r="NVV11" s="16"/>
      <c r="NVW11" s="16"/>
      <c r="NVX11" s="16"/>
      <c r="NVY11" s="16"/>
      <c r="NVZ11" s="16"/>
      <c r="NWA11" s="16"/>
      <c r="NWB11" s="16"/>
      <c r="NWC11" s="16"/>
      <c r="NWD11" s="16"/>
      <c r="NWE11" s="16"/>
      <c r="NWF11" s="16"/>
      <c r="NWG11" s="16"/>
      <c r="NWH11" s="16"/>
      <c r="NWI11" s="16"/>
      <c r="NWJ11" s="16"/>
      <c r="NWK11" s="16"/>
      <c r="NWL11" s="16"/>
      <c r="NWM11" s="16"/>
      <c r="NWN11" s="16"/>
      <c r="NWO11" s="16"/>
      <c r="NWP11" s="16"/>
      <c r="NWQ11" s="16"/>
      <c r="NWR11" s="16"/>
      <c r="NWS11" s="16"/>
      <c r="NWT11" s="16"/>
      <c r="NWU11" s="16"/>
      <c r="NWV11" s="16"/>
      <c r="NWW11" s="16"/>
      <c r="NWX11" s="16"/>
      <c r="NWY11" s="16"/>
      <c r="NWZ11" s="16"/>
      <c r="NXA11" s="16"/>
      <c r="NXB11" s="16"/>
      <c r="NXC11" s="16"/>
      <c r="NXD11" s="16"/>
      <c r="NXE11" s="16"/>
      <c r="NXF11" s="16"/>
      <c r="NXG11" s="16"/>
      <c r="NXH11" s="16"/>
      <c r="NXI11" s="16"/>
      <c r="NXJ11" s="16"/>
      <c r="NXK11" s="16"/>
      <c r="NXL11" s="16"/>
      <c r="NXM11" s="16"/>
      <c r="NXN11" s="16"/>
      <c r="NXO11" s="16"/>
      <c r="NXP11" s="16"/>
      <c r="NXQ11" s="16"/>
      <c r="NXR11" s="16"/>
      <c r="NXS11" s="16"/>
      <c r="NXT11" s="16"/>
      <c r="NXU11" s="16"/>
      <c r="NXV11" s="16"/>
      <c r="NXW11" s="16"/>
      <c r="NXX11" s="16"/>
      <c r="NXY11" s="16"/>
      <c r="NXZ11" s="16"/>
      <c r="NYA11" s="16"/>
      <c r="NYB11" s="16"/>
      <c r="NYC11" s="16"/>
      <c r="NYD11" s="16"/>
      <c r="NYE11" s="16"/>
      <c r="NYF11" s="16"/>
      <c r="NYG11" s="16"/>
      <c r="NYH11" s="16"/>
      <c r="NYI11" s="16"/>
      <c r="NYJ11" s="16"/>
      <c r="NYK11" s="16"/>
      <c r="NYL11" s="16"/>
      <c r="NYM11" s="16"/>
      <c r="NYN11" s="16"/>
      <c r="NYO11" s="16"/>
      <c r="NYP11" s="16"/>
      <c r="NYQ11" s="16"/>
      <c r="NYR11" s="16"/>
      <c r="NYS11" s="16"/>
      <c r="NYT11" s="16"/>
      <c r="NYU11" s="16"/>
      <c r="NYV11" s="16"/>
      <c r="NYW11" s="16"/>
      <c r="NYX11" s="16"/>
      <c r="NYY11" s="16"/>
      <c r="NYZ11" s="16"/>
      <c r="NZA11" s="16"/>
      <c r="NZB11" s="16"/>
      <c r="NZC11" s="16"/>
      <c r="NZD11" s="16"/>
      <c r="NZE11" s="16"/>
      <c r="NZF11" s="16"/>
      <c r="NZG11" s="16"/>
      <c r="NZH11" s="16"/>
      <c r="NZI11" s="16"/>
      <c r="NZJ11" s="16"/>
      <c r="NZK11" s="16"/>
      <c r="NZL11" s="16"/>
      <c r="NZM11" s="16"/>
      <c r="NZN11" s="16"/>
      <c r="NZO11" s="16"/>
      <c r="NZP11" s="16"/>
      <c r="NZQ11" s="16"/>
      <c r="NZR11" s="16"/>
      <c r="NZS11" s="16"/>
      <c r="NZT11" s="16"/>
      <c r="NZU11" s="16"/>
      <c r="NZV11" s="16"/>
      <c r="NZW11" s="16"/>
      <c r="NZX11" s="16"/>
      <c r="NZY11" s="16"/>
      <c r="NZZ11" s="16"/>
      <c r="OAA11" s="16"/>
      <c r="OAB11" s="16"/>
      <c r="OAC11" s="16"/>
      <c r="OAD11" s="16"/>
      <c r="OAE11" s="16"/>
      <c r="OAF11" s="16"/>
      <c r="OAG11" s="16"/>
      <c r="OAH11" s="16"/>
      <c r="OAI11" s="16"/>
      <c r="OAJ11" s="16"/>
      <c r="OAK11" s="16"/>
      <c r="OAL11" s="16"/>
      <c r="OAM11" s="16"/>
      <c r="OAN11" s="16"/>
      <c r="OAO11" s="16"/>
      <c r="OAP11" s="16"/>
      <c r="OAQ11" s="16"/>
      <c r="OAR11" s="16"/>
      <c r="OAS11" s="16"/>
      <c r="OAT11" s="16"/>
      <c r="OAU11" s="16"/>
      <c r="OAV11" s="16"/>
      <c r="OAW11" s="16"/>
      <c r="OAX11" s="16"/>
      <c r="OAY11" s="16"/>
      <c r="OAZ11" s="16"/>
      <c r="OBA11" s="16"/>
      <c r="OBB11" s="16"/>
      <c r="OBC11" s="16"/>
      <c r="OBD11" s="16"/>
      <c r="OBE11" s="16"/>
      <c r="OBF11" s="16"/>
      <c r="OBG11" s="16"/>
      <c r="OBH11" s="16"/>
      <c r="OBI11" s="16"/>
      <c r="OBJ11" s="16"/>
      <c r="OBK11" s="16"/>
      <c r="OBL11" s="16"/>
      <c r="OBM11" s="16"/>
      <c r="OBN11" s="16"/>
      <c r="OBO11" s="16"/>
      <c r="OBP11" s="16"/>
      <c r="OBQ11" s="16"/>
      <c r="OBR11" s="16"/>
      <c r="OBS11" s="16"/>
      <c r="OBT11" s="16"/>
      <c r="OBU11" s="16"/>
      <c r="OBV11" s="16"/>
      <c r="OBW11" s="16"/>
      <c r="OBX11" s="16"/>
      <c r="OBY11" s="16"/>
      <c r="OBZ11" s="16"/>
      <c r="OCA11" s="16"/>
      <c r="OCB11" s="16"/>
      <c r="OCC11" s="16"/>
      <c r="OCD11" s="16"/>
      <c r="OCE11" s="16"/>
      <c r="OCF11" s="16"/>
      <c r="OCG11" s="16"/>
      <c r="OCH11" s="16"/>
      <c r="OCI11" s="16"/>
      <c r="OCJ11" s="16"/>
      <c r="OCK11" s="16"/>
      <c r="OCL11" s="16"/>
      <c r="OCM11" s="16"/>
      <c r="OCN11" s="16"/>
      <c r="OCO11" s="16"/>
      <c r="OCP11" s="16"/>
      <c r="OCQ11" s="16"/>
      <c r="OCR11" s="16"/>
      <c r="OCS11" s="16"/>
      <c r="OCT11" s="16"/>
      <c r="OCU11" s="16"/>
      <c r="OCV11" s="16"/>
      <c r="OCW11" s="16"/>
      <c r="OCX11" s="16"/>
      <c r="OCY11" s="16"/>
      <c r="OCZ11" s="16"/>
      <c r="ODA11" s="16"/>
      <c r="ODB11" s="16"/>
      <c r="ODC11" s="16"/>
      <c r="ODD11" s="16"/>
      <c r="ODE11" s="16"/>
      <c r="ODF11" s="16"/>
      <c r="ODG11" s="16"/>
      <c r="ODH11" s="16"/>
      <c r="ODI11" s="16"/>
      <c r="ODJ11" s="16"/>
      <c r="ODK11" s="16"/>
      <c r="ODL11" s="16"/>
      <c r="ODM11" s="16"/>
      <c r="ODN11" s="16"/>
      <c r="ODO11" s="16"/>
      <c r="ODP11" s="16"/>
      <c r="ODQ11" s="16"/>
      <c r="ODR11" s="16"/>
      <c r="ODS11" s="16"/>
      <c r="ODT11" s="16"/>
      <c r="ODU11" s="16"/>
      <c r="ODV11" s="16"/>
      <c r="ODW11" s="16"/>
      <c r="ODX11" s="16"/>
      <c r="ODY11" s="16"/>
      <c r="ODZ11" s="16"/>
      <c r="OEA11" s="16"/>
      <c r="OEB11" s="16"/>
      <c r="OEC11" s="16"/>
      <c r="OED11" s="16"/>
      <c r="OEE11" s="16"/>
      <c r="OEF11" s="16"/>
      <c r="OEG11" s="16"/>
      <c r="OEH11" s="16"/>
      <c r="OEI11" s="16"/>
      <c r="OEJ11" s="16"/>
      <c r="OEK11" s="16"/>
      <c r="OEL11" s="16"/>
      <c r="OEM11" s="16"/>
      <c r="OEN11" s="16"/>
      <c r="OEO11" s="16"/>
      <c r="OEP11" s="16"/>
      <c r="OEQ11" s="16"/>
      <c r="OER11" s="16"/>
      <c r="OES11" s="16"/>
      <c r="OET11" s="16"/>
      <c r="OEU11" s="16"/>
      <c r="OEV11" s="16"/>
      <c r="OEW11" s="16"/>
      <c r="OEX11" s="16"/>
      <c r="OEY11" s="16"/>
      <c r="OEZ11" s="16"/>
      <c r="OFA11" s="16"/>
      <c r="OFB11" s="16"/>
      <c r="OFC11" s="16"/>
      <c r="OFD11" s="16"/>
      <c r="OFE11" s="16"/>
      <c r="OFF11" s="16"/>
      <c r="OFG11" s="16"/>
      <c r="OFH11" s="16"/>
      <c r="OFI11" s="16"/>
      <c r="OFJ11" s="16"/>
      <c r="OFK11" s="16"/>
      <c r="OFL11" s="16"/>
      <c r="OFM11" s="16"/>
      <c r="OFN11" s="16"/>
      <c r="OFO11" s="16"/>
      <c r="OFP11" s="16"/>
      <c r="OFQ11" s="16"/>
      <c r="OFR11" s="16"/>
      <c r="OFS11" s="16"/>
      <c r="OFT11" s="16"/>
      <c r="OFU11" s="16"/>
      <c r="OFV11" s="16"/>
      <c r="OFW11" s="16"/>
      <c r="OFX11" s="16"/>
      <c r="OFY11" s="16"/>
      <c r="OFZ11" s="16"/>
      <c r="OGA11" s="16"/>
      <c r="OGB11" s="16"/>
      <c r="OGC11" s="16"/>
      <c r="OGD11" s="16"/>
      <c r="OGE11" s="16"/>
      <c r="OGF11" s="16"/>
      <c r="OGG11" s="16"/>
      <c r="OGH11" s="16"/>
      <c r="OGI11" s="16"/>
      <c r="OGJ11" s="16"/>
      <c r="OGK11" s="16"/>
      <c r="OGL11" s="16"/>
      <c r="OGM11" s="16"/>
      <c r="OGN11" s="16"/>
      <c r="OGO11" s="16"/>
      <c r="OGP11" s="16"/>
      <c r="OGQ11" s="16"/>
      <c r="OGR11" s="16"/>
      <c r="OGS11" s="16"/>
      <c r="OGT11" s="16"/>
      <c r="OGU11" s="16"/>
      <c r="OGV11" s="16"/>
      <c r="OGW11" s="16"/>
      <c r="OGX11" s="16"/>
      <c r="OGY11" s="16"/>
      <c r="OGZ11" s="16"/>
      <c r="OHA11" s="16"/>
      <c r="OHB11" s="16"/>
      <c r="OHC11" s="16"/>
      <c r="OHD11" s="16"/>
      <c r="OHE11" s="16"/>
      <c r="OHF11" s="16"/>
      <c r="OHG11" s="16"/>
      <c r="OHH11" s="16"/>
      <c r="OHI11" s="16"/>
      <c r="OHJ11" s="16"/>
      <c r="OHK11" s="16"/>
      <c r="OHL11" s="16"/>
      <c r="OHM11" s="16"/>
      <c r="OHN11" s="16"/>
      <c r="OHO11" s="16"/>
      <c r="OHP11" s="16"/>
      <c r="OHQ11" s="16"/>
      <c r="OHR11" s="16"/>
      <c r="OHS11" s="16"/>
      <c r="OHT11" s="16"/>
      <c r="OHU11" s="16"/>
      <c r="OHV11" s="16"/>
      <c r="OHW11" s="16"/>
      <c r="OHX11" s="16"/>
      <c r="OHY11" s="16"/>
      <c r="OHZ11" s="16"/>
      <c r="OIA11" s="16"/>
      <c r="OIB11" s="16"/>
      <c r="OIC11" s="16"/>
      <c r="OID11" s="16"/>
      <c r="OIE11" s="16"/>
      <c r="OIF11" s="16"/>
      <c r="OIG11" s="16"/>
      <c r="OIH11" s="16"/>
      <c r="OII11" s="16"/>
      <c r="OIJ11" s="16"/>
      <c r="OIK11" s="16"/>
      <c r="OIL11" s="16"/>
      <c r="OIM11" s="16"/>
      <c r="OIN11" s="16"/>
      <c r="OIO11" s="16"/>
      <c r="OIP11" s="16"/>
      <c r="OIQ11" s="16"/>
      <c r="OIR11" s="16"/>
      <c r="OIS11" s="16"/>
      <c r="OIT11" s="16"/>
      <c r="OIU11" s="16"/>
      <c r="OIV11" s="16"/>
      <c r="OIW11" s="16"/>
      <c r="OIX11" s="16"/>
      <c r="OIY11" s="16"/>
      <c r="OIZ11" s="16"/>
      <c r="OJA11" s="16"/>
      <c r="OJB11" s="16"/>
      <c r="OJC11" s="16"/>
      <c r="OJD11" s="16"/>
      <c r="OJE11" s="16"/>
      <c r="OJF11" s="16"/>
      <c r="OJG11" s="16"/>
      <c r="OJH11" s="16"/>
      <c r="OJI11" s="16"/>
      <c r="OJJ11" s="16"/>
      <c r="OJK11" s="16"/>
      <c r="OJL11" s="16"/>
      <c r="OJM11" s="16"/>
      <c r="OJN11" s="16"/>
      <c r="OJO11" s="16"/>
      <c r="OJP11" s="16"/>
      <c r="OJQ11" s="16"/>
      <c r="OJR11" s="16"/>
      <c r="OJS11" s="16"/>
      <c r="OJT11" s="16"/>
      <c r="OJU11" s="16"/>
      <c r="OJV11" s="16"/>
      <c r="OJW11" s="16"/>
      <c r="OJX11" s="16"/>
      <c r="OJY11" s="16"/>
      <c r="OJZ11" s="16"/>
      <c r="OKA11" s="16"/>
      <c r="OKB11" s="16"/>
      <c r="OKC11" s="16"/>
      <c r="OKD11" s="16"/>
      <c r="OKE11" s="16"/>
      <c r="OKF11" s="16"/>
      <c r="OKG11" s="16"/>
      <c r="OKH11" s="16"/>
      <c r="OKI11" s="16"/>
      <c r="OKJ11" s="16"/>
      <c r="OKK11" s="16"/>
      <c r="OKL11" s="16"/>
      <c r="OKM11" s="16"/>
      <c r="OKN11" s="16"/>
      <c r="OKO11" s="16"/>
      <c r="OKP11" s="16"/>
      <c r="OKQ11" s="16"/>
      <c r="OKR11" s="16"/>
      <c r="OKS11" s="16"/>
      <c r="OKT11" s="16"/>
      <c r="OKU11" s="16"/>
      <c r="OKV11" s="16"/>
      <c r="OKW11" s="16"/>
      <c r="OKX11" s="16"/>
      <c r="OKY11" s="16"/>
      <c r="OKZ11" s="16"/>
      <c r="OLA11" s="16"/>
      <c r="OLB11" s="16"/>
      <c r="OLC11" s="16"/>
      <c r="OLD11" s="16"/>
      <c r="OLE11" s="16"/>
      <c r="OLF11" s="16"/>
      <c r="OLG11" s="16"/>
      <c r="OLH11" s="16"/>
      <c r="OLI11" s="16"/>
      <c r="OLJ11" s="16"/>
      <c r="OLK11" s="16"/>
      <c r="OLL11" s="16"/>
      <c r="OLM11" s="16"/>
      <c r="OLN11" s="16"/>
      <c r="OLO11" s="16"/>
      <c r="OLP11" s="16"/>
      <c r="OLQ11" s="16"/>
      <c r="OLR11" s="16"/>
      <c r="OLS11" s="16"/>
      <c r="OLT11" s="16"/>
      <c r="OLU11" s="16"/>
      <c r="OLV11" s="16"/>
      <c r="OLW11" s="16"/>
      <c r="OLX11" s="16"/>
      <c r="OLY11" s="16"/>
      <c r="OLZ11" s="16"/>
      <c r="OMA11" s="16"/>
      <c r="OMB11" s="16"/>
      <c r="OMC11" s="16"/>
      <c r="OMD11" s="16"/>
      <c r="OME11" s="16"/>
      <c r="OMF11" s="16"/>
      <c r="OMG11" s="16"/>
      <c r="OMH11" s="16"/>
      <c r="OMI11" s="16"/>
      <c r="OMJ11" s="16"/>
      <c r="OMK11" s="16"/>
      <c r="OML11" s="16"/>
      <c r="OMM11" s="16"/>
      <c r="OMN11" s="16"/>
      <c r="OMO11" s="16"/>
      <c r="OMP11" s="16"/>
      <c r="OMQ11" s="16"/>
      <c r="OMR11" s="16"/>
      <c r="OMS11" s="16"/>
      <c r="OMT11" s="16"/>
      <c r="OMU11" s="16"/>
      <c r="OMV11" s="16"/>
      <c r="OMW11" s="16"/>
      <c r="OMX11" s="16"/>
      <c r="OMY11" s="16"/>
      <c r="OMZ11" s="16"/>
      <c r="ONA11" s="16"/>
      <c r="ONB11" s="16"/>
      <c r="ONC11" s="16"/>
      <c r="OND11" s="16"/>
      <c r="ONE11" s="16"/>
      <c r="ONF11" s="16"/>
      <c r="ONG11" s="16"/>
      <c r="ONH11" s="16"/>
      <c r="ONI11" s="16"/>
      <c r="ONJ11" s="16"/>
      <c r="ONK11" s="16"/>
      <c r="ONL11" s="16"/>
      <c r="ONM11" s="16"/>
      <c r="ONN11" s="16"/>
      <c r="ONO11" s="16"/>
      <c r="ONP11" s="16"/>
      <c r="ONQ11" s="16"/>
      <c r="ONR11" s="16"/>
      <c r="ONS11" s="16"/>
      <c r="ONT11" s="16"/>
      <c r="ONU11" s="16"/>
      <c r="ONV11" s="16"/>
      <c r="ONW11" s="16"/>
      <c r="ONX11" s="16"/>
      <c r="ONY11" s="16"/>
      <c r="ONZ11" s="16"/>
      <c r="OOA11" s="16"/>
      <c r="OOB11" s="16"/>
      <c r="OOC11" s="16"/>
      <c r="OOD11" s="16"/>
      <c r="OOE11" s="16"/>
      <c r="OOF11" s="16"/>
      <c r="OOG11" s="16"/>
      <c r="OOH11" s="16"/>
      <c r="OOI11" s="16"/>
      <c r="OOJ11" s="16"/>
      <c r="OOK11" s="16"/>
      <c r="OOL11" s="16"/>
      <c r="OOM11" s="16"/>
      <c r="OON11" s="16"/>
      <c r="OOO11" s="16"/>
      <c r="OOP11" s="16"/>
      <c r="OOQ11" s="16"/>
      <c r="OOR11" s="16"/>
      <c r="OOS11" s="16"/>
      <c r="OOT11" s="16"/>
      <c r="OOU11" s="16"/>
      <c r="OOV11" s="16"/>
      <c r="OOW11" s="16"/>
      <c r="OOX11" s="16"/>
      <c r="OOY11" s="16"/>
      <c r="OOZ11" s="16"/>
      <c r="OPA11" s="16"/>
      <c r="OPB11" s="16"/>
      <c r="OPC11" s="16"/>
      <c r="OPD11" s="16"/>
      <c r="OPE11" s="16"/>
      <c r="OPF11" s="16"/>
      <c r="OPG11" s="16"/>
      <c r="OPH11" s="16"/>
      <c r="OPI11" s="16"/>
      <c r="OPJ11" s="16"/>
      <c r="OPK11" s="16"/>
      <c r="OPL11" s="16"/>
      <c r="OPM11" s="16"/>
      <c r="OPN11" s="16"/>
      <c r="OPO11" s="16"/>
      <c r="OPP11" s="16"/>
      <c r="OPQ11" s="16"/>
      <c r="OPR11" s="16"/>
      <c r="OPS11" s="16"/>
      <c r="OPT11" s="16"/>
      <c r="OPU11" s="16"/>
      <c r="OPV11" s="16"/>
      <c r="OPW11" s="16"/>
      <c r="OPX11" s="16"/>
      <c r="OPY11" s="16"/>
      <c r="OPZ11" s="16"/>
      <c r="OQA11" s="16"/>
      <c r="OQB11" s="16"/>
      <c r="OQC11" s="16"/>
      <c r="OQD11" s="16"/>
      <c r="OQE11" s="16"/>
      <c r="OQF11" s="16"/>
      <c r="OQG11" s="16"/>
      <c r="OQH11" s="16"/>
      <c r="OQI11" s="16"/>
      <c r="OQJ11" s="16"/>
      <c r="OQK11" s="16"/>
      <c r="OQL11" s="16"/>
      <c r="OQM11" s="16"/>
      <c r="OQN11" s="16"/>
      <c r="OQO11" s="16"/>
      <c r="OQP11" s="16"/>
      <c r="OQQ11" s="16"/>
      <c r="OQR11" s="16"/>
      <c r="OQS11" s="16"/>
      <c r="OQT11" s="16"/>
      <c r="OQU11" s="16"/>
      <c r="OQV11" s="16"/>
      <c r="OQW11" s="16"/>
      <c r="OQX11" s="16"/>
      <c r="OQY11" s="16"/>
      <c r="OQZ11" s="16"/>
      <c r="ORA11" s="16"/>
      <c r="ORB11" s="16"/>
      <c r="ORC11" s="16"/>
      <c r="ORD11" s="16"/>
      <c r="ORE11" s="16"/>
      <c r="ORF11" s="16"/>
      <c r="ORG11" s="16"/>
      <c r="ORH11" s="16"/>
      <c r="ORI11" s="16"/>
      <c r="ORJ11" s="16"/>
      <c r="ORK11" s="16"/>
      <c r="ORL11" s="16"/>
      <c r="ORM11" s="16"/>
      <c r="ORN11" s="16"/>
      <c r="ORO11" s="16"/>
      <c r="ORP11" s="16"/>
      <c r="ORQ11" s="16"/>
      <c r="ORR11" s="16"/>
      <c r="ORS11" s="16"/>
      <c r="ORT11" s="16"/>
      <c r="ORU11" s="16"/>
      <c r="ORV11" s="16"/>
      <c r="ORW11" s="16"/>
      <c r="ORX11" s="16"/>
      <c r="ORY11" s="16"/>
      <c r="ORZ11" s="16"/>
      <c r="OSA11" s="16"/>
      <c r="OSB11" s="16"/>
      <c r="OSC11" s="16"/>
      <c r="OSD11" s="16"/>
      <c r="OSE11" s="16"/>
      <c r="OSF11" s="16"/>
      <c r="OSG11" s="16"/>
      <c r="OSH11" s="16"/>
      <c r="OSI11" s="16"/>
      <c r="OSJ11" s="16"/>
      <c r="OSK11" s="16"/>
      <c r="OSL11" s="16"/>
      <c r="OSM11" s="16"/>
      <c r="OSN11" s="16"/>
      <c r="OSO11" s="16"/>
      <c r="OSP11" s="16"/>
      <c r="OSQ11" s="16"/>
      <c r="OSR11" s="16"/>
      <c r="OSS11" s="16"/>
      <c r="OST11" s="16"/>
      <c r="OSU11" s="16"/>
      <c r="OSV11" s="16"/>
      <c r="OSW11" s="16"/>
      <c r="OSX11" s="16"/>
      <c r="OSY11" s="16"/>
      <c r="OSZ11" s="16"/>
      <c r="OTA11" s="16"/>
      <c r="OTB11" s="16"/>
      <c r="OTC11" s="16"/>
      <c r="OTD11" s="16"/>
      <c r="OTE11" s="16"/>
      <c r="OTF11" s="16"/>
      <c r="OTG11" s="16"/>
      <c r="OTH11" s="16"/>
      <c r="OTI11" s="16"/>
      <c r="OTJ11" s="16"/>
      <c r="OTK11" s="16"/>
      <c r="OTL11" s="16"/>
      <c r="OTM11" s="16"/>
      <c r="OTN11" s="16"/>
      <c r="OTO11" s="16"/>
      <c r="OTP11" s="16"/>
      <c r="OTQ11" s="16"/>
      <c r="OTR11" s="16"/>
      <c r="OTS11" s="16"/>
      <c r="OTT11" s="16"/>
      <c r="OTU11" s="16"/>
      <c r="OTV11" s="16"/>
      <c r="OTW11" s="16"/>
      <c r="OTX11" s="16"/>
      <c r="OTY11" s="16"/>
      <c r="OTZ11" s="16"/>
      <c r="OUA11" s="16"/>
      <c r="OUB11" s="16"/>
      <c r="OUC11" s="16"/>
      <c r="OUD11" s="16"/>
      <c r="OUE11" s="16"/>
      <c r="OUF11" s="16"/>
      <c r="OUG11" s="16"/>
      <c r="OUH11" s="16"/>
      <c r="OUI11" s="16"/>
      <c r="OUJ11" s="16"/>
      <c r="OUK11" s="16"/>
      <c r="OUL11" s="16"/>
      <c r="OUM11" s="16"/>
      <c r="OUN11" s="16"/>
      <c r="OUO11" s="16"/>
      <c r="OUP11" s="16"/>
      <c r="OUQ11" s="16"/>
      <c r="OUR11" s="16"/>
      <c r="OUS11" s="16"/>
      <c r="OUT11" s="16"/>
      <c r="OUU11" s="16"/>
      <c r="OUV11" s="16"/>
      <c r="OUW11" s="16"/>
      <c r="OUX11" s="16"/>
      <c r="OUY11" s="16"/>
      <c r="OUZ11" s="16"/>
      <c r="OVA11" s="16"/>
      <c r="OVB11" s="16"/>
      <c r="OVC11" s="16"/>
      <c r="OVD11" s="16"/>
      <c r="OVE11" s="16"/>
      <c r="OVF11" s="16"/>
      <c r="OVG11" s="16"/>
      <c r="OVH11" s="16"/>
      <c r="OVI11" s="16"/>
      <c r="OVJ11" s="16"/>
      <c r="OVK11" s="16"/>
      <c r="OVL11" s="16"/>
      <c r="OVM11" s="16"/>
      <c r="OVN11" s="16"/>
      <c r="OVO11" s="16"/>
      <c r="OVP11" s="16"/>
      <c r="OVQ11" s="16"/>
      <c r="OVR11" s="16"/>
      <c r="OVS11" s="16"/>
      <c r="OVT11" s="16"/>
      <c r="OVU11" s="16"/>
      <c r="OVV11" s="16"/>
      <c r="OVW11" s="16"/>
      <c r="OVX11" s="16"/>
      <c r="OVY11" s="16"/>
      <c r="OVZ11" s="16"/>
      <c r="OWA11" s="16"/>
      <c r="OWB11" s="16"/>
      <c r="OWC11" s="16"/>
      <c r="OWD11" s="16"/>
      <c r="OWE11" s="16"/>
      <c r="OWF11" s="16"/>
      <c r="OWG11" s="16"/>
      <c r="OWH11" s="16"/>
      <c r="OWI11" s="16"/>
      <c r="OWJ11" s="16"/>
      <c r="OWK11" s="16"/>
      <c r="OWL11" s="16"/>
      <c r="OWM11" s="16"/>
      <c r="OWN11" s="16"/>
      <c r="OWO11" s="16"/>
      <c r="OWP11" s="16"/>
      <c r="OWQ11" s="16"/>
      <c r="OWR11" s="16"/>
      <c r="OWS11" s="16"/>
      <c r="OWT11" s="16"/>
      <c r="OWU11" s="16"/>
      <c r="OWV11" s="16"/>
      <c r="OWW11" s="16"/>
      <c r="OWX11" s="16"/>
      <c r="OWY11" s="16"/>
      <c r="OWZ11" s="16"/>
      <c r="OXA11" s="16"/>
      <c r="OXB11" s="16"/>
      <c r="OXC11" s="16"/>
      <c r="OXD11" s="16"/>
      <c r="OXE11" s="16"/>
      <c r="OXF11" s="16"/>
      <c r="OXG11" s="16"/>
      <c r="OXH11" s="16"/>
      <c r="OXI11" s="16"/>
      <c r="OXJ11" s="16"/>
      <c r="OXK11" s="16"/>
      <c r="OXL11" s="16"/>
      <c r="OXM11" s="16"/>
      <c r="OXN11" s="16"/>
      <c r="OXO11" s="16"/>
      <c r="OXP11" s="16"/>
      <c r="OXQ11" s="16"/>
      <c r="OXR11" s="16"/>
      <c r="OXS11" s="16"/>
      <c r="OXT11" s="16"/>
      <c r="OXU11" s="16"/>
      <c r="OXV11" s="16"/>
      <c r="OXW11" s="16"/>
      <c r="OXX11" s="16"/>
      <c r="OXY11" s="16"/>
      <c r="OXZ11" s="16"/>
      <c r="OYA11" s="16"/>
      <c r="OYB11" s="16"/>
      <c r="OYC11" s="16"/>
      <c r="OYD11" s="16"/>
      <c r="OYE11" s="16"/>
      <c r="OYF11" s="16"/>
      <c r="OYG11" s="16"/>
      <c r="OYH11" s="16"/>
      <c r="OYI11" s="16"/>
      <c r="OYJ11" s="16"/>
      <c r="OYK11" s="16"/>
      <c r="OYL11" s="16"/>
      <c r="OYM11" s="16"/>
      <c r="OYN11" s="16"/>
      <c r="OYO11" s="16"/>
      <c r="OYP11" s="16"/>
      <c r="OYQ11" s="16"/>
      <c r="OYR11" s="16"/>
      <c r="OYS11" s="16"/>
      <c r="OYT11" s="16"/>
      <c r="OYU11" s="16"/>
      <c r="OYV11" s="16"/>
      <c r="OYW11" s="16"/>
      <c r="OYX11" s="16"/>
      <c r="OYY11" s="16"/>
      <c r="OYZ11" s="16"/>
      <c r="OZA11" s="16"/>
      <c r="OZB11" s="16"/>
      <c r="OZC11" s="16"/>
      <c r="OZD11" s="16"/>
      <c r="OZE11" s="16"/>
      <c r="OZF11" s="16"/>
      <c r="OZG11" s="16"/>
      <c r="OZH11" s="16"/>
      <c r="OZI11" s="16"/>
      <c r="OZJ11" s="16"/>
      <c r="OZK11" s="16"/>
      <c r="OZL11" s="16"/>
      <c r="OZM11" s="16"/>
      <c r="OZN11" s="16"/>
      <c r="OZO11" s="16"/>
      <c r="OZP11" s="16"/>
      <c r="OZQ11" s="16"/>
      <c r="OZR11" s="16"/>
      <c r="OZS11" s="16"/>
      <c r="OZT11" s="16"/>
      <c r="OZU11" s="16"/>
      <c r="OZV11" s="16"/>
      <c r="OZW11" s="16"/>
      <c r="OZX11" s="16"/>
      <c r="OZY11" s="16"/>
      <c r="OZZ11" s="16"/>
      <c r="PAA11" s="16"/>
      <c r="PAB11" s="16"/>
      <c r="PAC11" s="16"/>
      <c r="PAD11" s="16"/>
      <c r="PAE11" s="16"/>
      <c r="PAF11" s="16"/>
      <c r="PAG11" s="16"/>
      <c r="PAH11" s="16"/>
      <c r="PAI11" s="16"/>
      <c r="PAJ11" s="16"/>
      <c r="PAK11" s="16"/>
      <c r="PAL11" s="16"/>
      <c r="PAM11" s="16"/>
      <c r="PAN11" s="16"/>
      <c r="PAO11" s="16"/>
      <c r="PAP11" s="16"/>
      <c r="PAQ11" s="16"/>
      <c r="PAR11" s="16"/>
      <c r="PAS11" s="16"/>
      <c r="PAT11" s="16"/>
      <c r="PAU11" s="16"/>
      <c r="PAV11" s="16"/>
      <c r="PAW11" s="16"/>
      <c r="PAX11" s="16"/>
      <c r="PAY11" s="16"/>
      <c r="PAZ11" s="16"/>
      <c r="PBA11" s="16"/>
      <c r="PBB11" s="16"/>
      <c r="PBC11" s="16"/>
      <c r="PBD11" s="16"/>
      <c r="PBE11" s="16"/>
      <c r="PBF11" s="16"/>
      <c r="PBG11" s="16"/>
      <c r="PBH11" s="16"/>
      <c r="PBI11" s="16"/>
      <c r="PBJ11" s="16"/>
      <c r="PBK11" s="16"/>
      <c r="PBL11" s="16"/>
      <c r="PBM11" s="16"/>
      <c r="PBN11" s="16"/>
      <c r="PBO11" s="16"/>
      <c r="PBP11" s="16"/>
      <c r="PBQ11" s="16"/>
      <c r="PBR11" s="16"/>
      <c r="PBS11" s="16"/>
      <c r="PBT11" s="16"/>
      <c r="PBU11" s="16"/>
      <c r="PBV11" s="16"/>
      <c r="PBW11" s="16"/>
      <c r="PBX11" s="16"/>
      <c r="PBY11" s="16"/>
      <c r="PBZ11" s="16"/>
      <c r="PCA11" s="16"/>
      <c r="PCB11" s="16"/>
      <c r="PCC11" s="16"/>
      <c r="PCD11" s="16"/>
      <c r="PCE11" s="16"/>
      <c r="PCF11" s="16"/>
      <c r="PCG11" s="16"/>
      <c r="PCH11" s="16"/>
      <c r="PCI11" s="16"/>
      <c r="PCJ11" s="16"/>
      <c r="PCK11" s="16"/>
      <c r="PCL11" s="16"/>
      <c r="PCM11" s="16"/>
      <c r="PCN11" s="16"/>
      <c r="PCO11" s="16"/>
      <c r="PCP11" s="16"/>
      <c r="PCQ11" s="16"/>
      <c r="PCR11" s="16"/>
      <c r="PCS11" s="16"/>
      <c r="PCT11" s="16"/>
      <c r="PCU11" s="16"/>
      <c r="PCV11" s="16"/>
      <c r="PCW11" s="16"/>
      <c r="PCX11" s="16"/>
      <c r="PCY11" s="16"/>
      <c r="PCZ11" s="16"/>
      <c r="PDA11" s="16"/>
      <c r="PDB11" s="16"/>
      <c r="PDC11" s="16"/>
      <c r="PDD11" s="16"/>
      <c r="PDE11" s="16"/>
      <c r="PDF11" s="16"/>
      <c r="PDG11" s="16"/>
      <c r="PDH11" s="16"/>
      <c r="PDI11" s="16"/>
      <c r="PDJ11" s="16"/>
      <c r="PDK11" s="16"/>
      <c r="PDL11" s="16"/>
      <c r="PDM11" s="16"/>
      <c r="PDN11" s="16"/>
      <c r="PDO11" s="16"/>
      <c r="PDP11" s="16"/>
      <c r="PDQ11" s="16"/>
      <c r="PDR11" s="16"/>
      <c r="PDS11" s="16"/>
      <c r="PDT11" s="16"/>
      <c r="PDU11" s="16"/>
      <c r="PDV11" s="16"/>
      <c r="PDW11" s="16"/>
      <c r="PDX11" s="16"/>
      <c r="PDY11" s="16"/>
      <c r="PDZ11" s="16"/>
      <c r="PEA11" s="16"/>
      <c r="PEB11" s="16"/>
      <c r="PEC11" s="16"/>
      <c r="PED11" s="16"/>
      <c r="PEE11" s="16"/>
      <c r="PEF11" s="16"/>
      <c r="PEG11" s="16"/>
      <c r="PEH11" s="16"/>
      <c r="PEI11" s="16"/>
      <c r="PEJ11" s="16"/>
      <c r="PEK11" s="16"/>
      <c r="PEL11" s="16"/>
      <c r="PEM11" s="16"/>
      <c r="PEN11" s="16"/>
      <c r="PEO11" s="16"/>
      <c r="PEP11" s="16"/>
      <c r="PEQ11" s="16"/>
      <c r="PER11" s="16"/>
      <c r="PES11" s="16"/>
      <c r="PET11" s="16"/>
      <c r="PEU11" s="16"/>
      <c r="PEV11" s="16"/>
      <c r="PEW11" s="16"/>
      <c r="PEX11" s="16"/>
      <c r="PEY11" s="16"/>
      <c r="PEZ11" s="16"/>
      <c r="PFA11" s="16"/>
      <c r="PFB11" s="16"/>
      <c r="PFC11" s="16"/>
      <c r="PFD11" s="16"/>
      <c r="PFE11" s="16"/>
      <c r="PFF11" s="16"/>
      <c r="PFG11" s="16"/>
      <c r="PFH11" s="16"/>
      <c r="PFI11" s="16"/>
      <c r="PFJ11" s="16"/>
      <c r="PFK11" s="16"/>
      <c r="PFL11" s="16"/>
      <c r="PFM11" s="16"/>
      <c r="PFN11" s="16"/>
      <c r="PFO11" s="16"/>
      <c r="PFP11" s="16"/>
      <c r="PFQ11" s="16"/>
      <c r="PFR11" s="16"/>
      <c r="PFS11" s="16"/>
      <c r="PFT11" s="16"/>
      <c r="PFU11" s="16"/>
      <c r="PFV11" s="16"/>
      <c r="PFW11" s="16"/>
      <c r="PFX11" s="16"/>
      <c r="PFY11" s="16"/>
      <c r="PFZ11" s="16"/>
      <c r="PGA11" s="16"/>
      <c r="PGB11" s="16"/>
      <c r="PGC11" s="16"/>
      <c r="PGD11" s="16"/>
      <c r="PGE11" s="16"/>
      <c r="PGF11" s="16"/>
      <c r="PGG11" s="16"/>
      <c r="PGH11" s="16"/>
      <c r="PGI11" s="16"/>
      <c r="PGJ11" s="16"/>
      <c r="PGK11" s="16"/>
      <c r="PGL11" s="16"/>
      <c r="PGM11" s="16"/>
      <c r="PGN11" s="16"/>
      <c r="PGO11" s="16"/>
      <c r="PGP11" s="16"/>
      <c r="PGQ11" s="16"/>
      <c r="PGR11" s="16"/>
      <c r="PGS11" s="16"/>
      <c r="PGT11" s="16"/>
      <c r="PGU11" s="16"/>
      <c r="PGV11" s="16"/>
      <c r="PGW11" s="16"/>
      <c r="PGX11" s="16"/>
      <c r="PGY11" s="16"/>
      <c r="PGZ11" s="16"/>
      <c r="PHA11" s="16"/>
      <c r="PHB11" s="16"/>
      <c r="PHC11" s="16"/>
      <c r="PHD11" s="16"/>
      <c r="PHE11" s="16"/>
      <c r="PHF11" s="16"/>
      <c r="PHG11" s="16"/>
      <c r="PHH11" s="16"/>
      <c r="PHI11" s="16"/>
      <c r="PHJ11" s="16"/>
      <c r="PHK11" s="16"/>
      <c r="PHL11" s="16"/>
      <c r="PHM11" s="16"/>
      <c r="PHN11" s="16"/>
      <c r="PHO11" s="16"/>
      <c r="PHP11" s="16"/>
      <c r="PHQ11" s="16"/>
      <c r="PHR11" s="16"/>
      <c r="PHS11" s="16"/>
      <c r="PHT11" s="16"/>
      <c r="PHU11" s="16"/>
      <c r="PHV11" s="16"/>
      <c r="PHW11" s="16"/>
      <c r="PHX11" s="16"/>
      <c r="PHY11" s="16"/>
      <c r="PHZ11" s="16"/>
      <c r="PIA11" s="16"/>
      <c r="PIB11" s="16"/>
      <c r="PIC11" s="16"/>
      <c r="PID11" s="16"/>
      <c r="PIE11" s="16"/>
      <c r="PIF11" s="16"/>
      <c r="PIG11" s="16"/>
      <c r="PIH11" s="16"/>
      <c r="PII11" s="16"/>
      <c r="PIJ11" s="16"/>
      <c r="PIK11" s="16"/>
      <c r="PIL11" s="16"/>
      <c r="PIM11" s="16"/>
      <c r="PIN11" s="16"/>
      <c r="PIO11" s="16"/>
      <c r="PIP11" s="16"/>
      <c r="PIQ11" s="16"/>
      <c r="PIR11" s="16"/>
      <c r="PIS11" s="16"/>
      <c r="PIT11" s="16"/>
      <c r="PIU11" s="16"/>
      <c r="PIV11" s="16"/>
      <c r="PIW11" s="16"/>
      <c r="PIX11" s="16"/>
      <c r="PIY11" s="16"/>
      <c r="PIZ11" s="16"/>
      <c r="PJA11" s="16"/>
      <c r="PJB11" s="16"/>
      <c r="PJC11" s="16"/>
      <c r="PJD11" s="16"/>
      <c r="PJE11" s="16"/>
      <c r="PJF11" s="16"/>
      <c r="PJG11" s="16"/>
      <c r="PJH11" s="16"/>
      <c r="PJI11" s="16"/>
      <c r="PJJ11" s="16"/>
      <c r="PJK11" s="16"/>
      <c r="PJL11" s="16"/>
      <c r="PJM11" s="16"/>
      <c r="PJN11" s="16"/>
      <c r="PJO11" s="16"/>
      <c r="PJP11" s="16"/>
      <c r="PJQ11" s="16"/>
      <c r="PJR11" s="16"/>
      <c r="PJS11" s="16"/>
      <c r="PJT11" s="16"/>
      <c r="PJU11" s="16"/>
      <c r="PJV11" s="16"/>
      <c r="PJW11" s="16"/>
      <c r="PJX11" s="16"/>
      <c r="PJY11" s="16"/>
      <c r="PJZ11" s="16"/>
      <c r="PKA11" s="16"/>
      <c r="PKB11" s="16"/>
      <c r="PKC11" s="16"/>
      <c r="PKD11" s="16"/>
      <c r="PKE11" s="16"/>
      <c r="PKF11" s="16"/>
      <c r="PKG11" s="16"/>
      <c r="PKH11" s="16"/>
      <c r="PKI11" s="16"/>
      <c r="PKJ11" s="16"/>
      <c r="PKK11" s="16"/>
      <c r="PKL11" s="16"/>
      <c r="PKM11" s="16"/>
      <c r="PKN11" s="16"/>
      <c r="PKO11" s="16"/>
      <c r="PKP11" s="16"/>
      <c r="PKQ11" s="16"/>
      <c r="PKR11" s="16"/>
      <c r="PKS11" s="16"/>
      <c r="PKT11" s="16"/>
      <c r="PKU11" s="16"/>
      <c r="PKV11" s="16"/>
      <c r="PKW11" s="16"/>
      <c r="PKX11" s="16"/>
      <c r="PKY11" s="16"/>
      <c r="PKZ11" s="16"/>
      <c r="PLA11" s="16"/>
      <c r="PLB11" s="16"/>
      <c r="PLC11" s="16"/>
      <c r="PLD11" s="16"/>
      <c r="PLE11" s="16"/>
      <c r="PLF11" s="16"/>
      <c r="PLG11" s="16"/>
      <c r="PLH11" s="16"/>
      <c r="PLI11" s="16"/>
      <c r="PLJ11" s="16"/>
      <c r="PLK11" s="16"/>
      <c r="PLL11" s="16"/>
      <c r="PLM11" s="16"/>
      <c r="PLN11" s="16"/>
      <c r="PLO11" s="16"/>
      <c r="PLP11" s="16"/>
      <c r="PLQ11" s="16"/>
      <c r="PLR11" s="16"/>
      <c r="PLS11" s="16"/>
      <c r="PLT11" s="16"/>
      <c r="PLU11" s="16"/>
      <c r="PLV11" s="16"/>
      <c r="PLW11" s="16"/>
      <c r="PLX11" s="16"/>
      <c r="PLY11" s="16"/>
      <c r="PLZ11" s="16"/>
      <c r="PMA11" s="16"/>
      <c r="PMB11" s="16"/>
      <c r="PMC11" s="16"/>
      <c r="PMD11" s="16"/>
      <c r="PME11" s="16"/>
      <c r="PMF11" s="16"/>
      <c r="PMG11" s="16"/>
      <c r="PMH11" s="16"/>
      <c r="PMI11" s="16"/>
      <c r="PMJ11" s="16"/>
      <c r="PMK11" s="16"/>
      <c r="PML11" s="16"/>
      <c r="PMM11" s="16"/>
      <c r="PMN11" s="16"/>
      <c r="PMO11" s="16"/>
      <c r="PMP11" s="16"/>
      <c r="PMQ11" s="16"/>
      <c r="PMR11" s="16"/>
      <c r="PMS11" s="16"/>
      <c r="PMT11" s="16"/>
      <c r="PMU11" s="16"/>
      <c r="PMV11" s="16"/>
      <c r="PMW11" s="16"/>
      <c r="PMX11" s="16"/>
      <c r="PMY11" s="16"/>
      <c r="PMZ11" s="16"/>
      <c r="PNA11" s="16"/>
      <c r="PNB11" s="16"/>
      <c r="PNC11" s="16"/>
      <c r="PND11" s="16"/>
      <c r="PNE11" s="16"/>
      <c r="PNF11" s="16"/>
      <c r="PNG11" s="16"/>
      <c r="PNH11" s="16"/>
      <c r="PNI11" s="16"/>
      <c r="PNJ11" s="16"/>
      <c r="PNK11" s="16"/>
      <c r="PNL11" s="16"/>
      <c r="PNM11" s="16"/>
      <c r="PNN11" s="16"/>
      <c r="PNO11" s="16"/>
      <c r="PNP11" s="16"/>
      <c r="PNQ11" s="16"/>
      <c r="PNR11" s="16"/>
      <c r="PNS11" s="16"/>
      <c r="PNT11" s="16"/>
      <c r="PNU11" s="16"/>
      <c r="PNV11" s="16"/>
      <c r="PNW11" s="16"/>
      <c r="PNX11" s="16"/>
      <c r="PNY11" s="16"/>
      <c r="PNZ11" s="16"/>
      <c r="POA11" s="16"/>
      <c r="POB11" s="16"/>
      <c r="POC11" s="16"/>
      <c r="POD11" s="16"/>
      <c r="POE11" s="16"/>
      <c r="POF11" s="16"/>
      <c r="POG11" s="16"/>
      <c r="POH11" s="16"/>
      <c r="POI11" s="16"/>
      <c r="POJ11" s="16"/>
      <c r="POK11" s="16"/>
      <c r="POL11" s="16"/>
      <c r="POM11" s="16"/>
      <c r="PON11" s="16"/>
      <c r="POO11" s="16"/>
      <c r="POP11" s="16"/>
      <c r="POQ11" s="16"/>
      <c r="POR11" s="16"/>
      <c r="POS11" s="16"/>
      <c r="POT11" s="16"/>
      <c r="POU11" s="16"/>
      <c r="POV11" s="16"/>
      <c r="POW11" s="16"/>
      <c r="POX11" s="16"/>
      <c r="POY11" s="16"/>
      <c r="POZ11" s="16"/>
      <c r="PPA11" s="16"/>
      <c r="PPB11" s="16"/>
      <c r="PPC11" s="16"/>
      <c r="PPD11" s="16"/>
      <c r="PPE11" s="16"/>
      <c r="PPF11" s="16"/>
      <c r="PPG11" s="16"/>
      <c r="PPH11" s="16"/>
      <c r="PPI11" s="16"/>
      <c r="PPJ11" s="16"/>
      <c r="PPK11" s="16"/>
      <c r="PPL11" s="16"/>
      <c r="PPM11" s="16"/>
      <c r="PPN11" s="16"/>
      <c r="PPO11" s="16"/>
      <c r="PPP11" s="16"/>
      <c r="PPQ11" s="16"/>
      <c r="PPR11" s="16"/>
      <c r="PPS11" s="16"/>
      <c r="PPT11" s="16"/>
      <c r="PPU11" s="16"/>
      <c r="PPV11" s="16"/>
      <c r="PPW11" s="16"/>
      <c r="PPX11" s="16"/>
      <c r="PPY11" s="16"/>
      <c r="PPZ11" s="16"/>
      <c r="PQA11" s="16"/>
      <c r="PQB11" s="16"/>
      <c r="PQC11" s="16"/>
      <c r="PQD11" s="16"/>
      <c r="PQE11" s="16"/>
      <c r="PQF11" s="16"/>
      <c r="PQG11" s="16"/>
      <c r="PQH11" s="16"/>
      <c r="PQI11" s="16"/>
      <c r="PQJ11" s="16"/>
      <c r="PQK11" s="16"/>
      <c r="PQL11" s="16"/>
      <c r="PQM11" s="16"/>
      <c r="PQN11" s="16"/>
      <c r="PQO11" s="16"/>
      <c r="PQP11" s="16"/>
      <c r="PQQ11" s="16"/>
      <c r="PQR11" s="16"/>
      <c r="PQS11" s="16"/>
      <c r="PQT11" s="16"/>
      <c r="PQU11" s="16"/>
      <c r="PQV11" s="16"/>
      <c r="PQW11" s="16"/>
      <c r="PQX11" s="16"/>
      <c r="PQY11" s="16"/>
      <c r="PQZ11" s="16"/>
      <c r="PRA11" s="16"/>
      <c r="PRB11" s="16"/>
      <c r="PRC11" s="16"/>
      <c r="PRD11" s="16"/>
      <c r="PRE11" s="16"/>
      <c r="PRF11" s="16"/>
      <c r="PRG11" s="16"/>
      <c r="PRH11" s="16"/>
      <c r="PRI11" s="16"/>
      <c r="PRJ11" s="16"/>
      <c r="PRK11" s="16"/>
      <c r="PRL11" s="16"/>
      <c r="PRM11" s="16"/>
      <c r="PRN11" s="16"/>
      <c r="PRO11" s="16"/>
      <c r="PRP11" s="16"/>
      <c r="PRQ11" s="16"/>
      <c r="PRR11" s="16"/>
      <c r="PRS11" s="16"/>
      <c r="PRT11" s="16"/>
      <c r="PRU11" s="16"/>
      <c r="PRV11" s="16"/>
      <c r="PRW11" s="16"/>
      <c r="PRX11" s="16"/>
      <c r="PRY11" s="16"/>
      <c r="PRZ11" s="16"/>
      <c r="PSA11" s="16"/>
      <c r="PSB11" s="16"/>
      <c r="PSC11" s="16"/>
      <c r="PSD11" s="16"/>
      <c r="PSE11" s="16"/>
      <c r="PSF11" s="16"/>
      <c r="PSG11" s="16"/>
      <c r="PSH11" s="16"/>
      <c r="PSI11" s="16"/>
      <c r="PSJ11" s="16"/>
      <c r="PSK11" s="16"/>
      <c r="PSL11" s="16"/>
      <c r="PSM11" s="16"/>
      <c r="PSN11" s="16"/>
      <c r="PSO11" s="16"/>
      <c r="PSP11" s="16"/>
      <c r="PSQ11" s="16"/>
      <c r="PSR11" s="16"/>
      <c r="PSS11" s="16"/>
      <c r="PST11" s="16"/>
      <c r="PSU11" s="16"/>
      <c r="PSV11" s="16"/>
      <c r="PSW11" s="16"/>
      <c r="PSX11" s="16"/>
      <c r="PSY11" s="16"/>
      <c r="PSZ11" s="16"/>
      <c r="PTA11" s="16"/>
      <c r="PTB11" s="16"/>
      <c r="PTC11" s="16"/>
      <c r="PTD11" s="16"/>
      <c r="PTE11" s="16"/>
      <c r="PTF11" s="16"/>
      <c r="PTG11" s="16"/>
      <c r="PTH11" s="16"/>
      <c r="PTI11" s="16"/>
      <c r="PTJ11" s="16"/>
      <c r="PTK11" s="16"/>
      <c r="PTL11" s="16"/>
      <c r="PTM11" s="16"/>
      <c r="PTN11" s="16"/>
      <c r="PTO11" s="16"/>
      <c r="PTP11" s="16"/>
      <c r="PTQ11" s="16"/>
      <c r="PTR11" s="16"/>
      <c r="PTS11" s="16"/>
      <c r="PTT11" s="16"/>
      <c r="PTU11" s="16"/>
      <c r="PTV11" s="16"/>
      <c r="PTW11" s="16"/>
      <c r="PTX11" s="16"/>
      <c r="PTY11" s="16"/>
      <c r="PTZ11" s="16"/>
      <c r="PUA11" s="16"/>
      <c r="PUB11" s="16"/>
      <c r="PUC11" s="16"/>
      <c r="PUD11" s="16"/>
      <c r="PUE11" s="16"/>
      <c r="PUF11" s="16"/>
      <c r="PUG11" s="16"/>
      <c r="PUH11" s="16"/>
      <c r="PUI11" s="16"/>
      <c r="PUJ11" s="16"/>
      <c r="PUK11" s="16"/>
      <c r="PUL11" s="16"/>
      <c r="PUM11" s="16"/>
      <c r="PUN11" s="16"/>
      <c r="PUO11" s="16"/>
      <c r="PUP11" s="16"/>
      <c r="PUQ11" s="16"/>
      <c r="PUR11" s="16"/>
      <c r="PUS11" s="16"/>
      <c r="PUT11" s="16"/>
      <c r="PUU11" s="16"/>
      <c r="PUV11" s="16"/>
      <c r="PUW11" s="16"/>
      <c r="PUX11" s="16"/>
      <c r="PUY11" s="16"/>
      <c r="PUZ11" s="16"/>
      <c r="PVA11" s="16"/>
      <c r="PVB11" s="16"/>
      <c r="PVC11" s="16"/>
      <c r="PVD11" s="16"/>
      <c r="PVE11" s="16"/>
      <c r="PVF11" s="16"/>
      <c r="PVG11" s="16"/>
      <c r="PVH11" s="16"/>
      <c r="PVI11" s="16"/>
      <c r="PVJ11" s="16"/>
      <c r="PVK11" s="16"/>
      <c r="PVL11" s="16"/>
      <c r="PVM11" s="16"/>
      <c r="PVN11" s="16"/>
      <c r="PVO11" s="16"/>
      <c r="PVP11" s="16"/>
      <c r="PVQ11" s="16"/>
      <c r="PVR11" s="16"/>
      <c r="PVS11" s="16"/>
      <c r="PVT11" s="16"/>
      <c r="PVU11" s="16"/>
      <c r="PVV11" s="16"/>
      <c r="PVW11" s="16"/>
      <c r="PVX11" s="16"/>
      <c r="PVY11" s="16"/>
      <c r="PVZ11" s="16"/>
      <c r="PWA11" s="16"/>
      <c r="PWB11" s="16"/>
      <c r="PWC11" s="16"/>
      <c r="PWD11" s="16"/>
      <c r="PWE11" s="16"/>
      <c r="PWF11" s="16"/>
      <c r="PWG11" s="16"/>
      <c r="PWH11" s="16"/>
      <c r="PWI11" s="16"/>
      <c r="PWJ11" s="16"/>
      <c r="PWK11" s="16"/>
      <c r="PWL11" s="16"/>
      <c r="PWM11" s="16"/>
      <c r="PWN11" s="16"/>
      <c r="PWO11" s="16"/>
      <c r="PWP11" s="16"/>
      <c r="PWQ11" s="16"/>
      <c r="PWR11" s="16"/>
      <c r="PWS11" s="16"/>
      <c r="PWT11" s="16"/>
      <c r="PWU11" s="16"/>
      <c r="PWV11" s="16"/>
      <c r="PWW11" s="16"/>
      <c r="PWX11" s="16"/>
      <c r="PWY11" s="16"/>
      <c r="PWZ11" s="16"/>
      <c r="PXA11" s="16"/>
      <c r="PXB11" s="16"/>
      <c r="PXC11" s="16"/>
      <c r="PXD11" s="16"/>
      <c r="PXE11" s="16"/>
      <c r="PXF11" s="16"/>
      <c r="PXG11" s="16"/>
      <c r="PXH11" s="16"/>
      <c r="PXI11" s="16"/>
      <c r="PXJ11" s="16"/>
      <c r="PXK11" s="16"/>
      <c r="PXL11" s="16"/>
      <c r="PXM11" s="16"/>
      <c r="PXN11" s="16"/>
      <c r="PXO11" s="16"/>
      <c r="PXP11" s="16"/>
      <c r="PXQ11" s="16"/>
      <c r="PXR11" s="16"/>
      <c r="PXS11" s="16"/>
      <c r="PXT11" s="16"/>
      <c r="PXU11" s="16"/>
      <c r="PXV11" s="16"/>
      <c r="PXW11" s="16"/>
      <c r="PXX11" s="16"/>
      <c r="PXY11" s="16"/>
      <c r="PXZ11" s="16"/>
      <c r="PYA11" s="16"/>
      <c r="PYB11" s="16"/>
      <c r="PYC11" s="16"/>
      <c r="PYD11" s="16"/>
      <c r="PYE11" s="16"/>
      <c r="PYF11" s="16"/>
      <c r="PYG11" s="16"/>
      <c r="PYH11" s="16"/>
      <c r="PYI11" s="16"/>
      <c r="PYJ11" s="16"/>
      <c r="PYK11" s="16"/>
      <c r="PYL11" s="16"/>
      <c r="PYM11" s="16"/>
      <c r="PYN11" s="16"/>
      <c r="PYO11" s="16"/>
      <c r="PYP11" s="16"/>
      <c r="PYQ11" s="16"/>
      <c r="PYR11" s="16"/>
      <c r="PYS11" s="16"/>
      <c r="PYT11" s="16"/>
      <c r="PYU11" s="16"/>
      <c r="PYV11" s="16"/>
      <c r="PYW11" s="16"/>
      <c r="PYX11" s="16"/>
      <c r="PYY11" s="16"/>
      <c r="PYZ11" s="16"/>
      <c r="PZA11" s="16"/>
      <c r="PZB11" s="16"/>
      <c r="PZC11" s="16"/>
      <c r="PZD11" s="16"/>
      <c r="PZE11" s="16"/>
      <c r="PZF11" s="16"/>
      <c r="PZG11" s="16"/>
      <c r="PZH11" s="16"/>
      <c r="PZI11" s="16"/>
      <c r="PZJ11" s="16"/>
      <c r="PZK11" s="16"/>
      <c r="PZL11" s="16"/>
      <c r="PZM11" s="16"/>
      <c r="PZN11" s="16"/>
      <c r="PZO11" s="16"/>
      <c r="PZP11" s="16"/>
      <c r="PZQ11" s="16"/>
      <c r="PZR11" s="16"/>
      <c r="PZS11" s="16"/>
      <c r="PZT11" s="16"/>
      <c r="PZU11" s="16"/>
      <c r="PZV11" s="16"/>
      <c r="PZW11" s="16"/>
      <c r="PZX11" s="16"/>
      <c r="PZY11" s="16"/>
      <c r="PZZ11" s="16"/>
      <c r="QAA11" s="16"/>
      <c r="QAB11" s="16"/>
      <c r="QAC11" s="16"/>
      <c r="QAD11" s="16"/>
      <c r="QAE11" s="16"/>
      <c r="QAF11" s="16"/>
      <c r="QAG11" s="16"/>
      <c r="QAH11" s="16"/>
      <c r="QAI11" s="16"/>
      <c r="QAJ11" s="16"/>
      <c r="QAK11" s="16"/>
      <c r="QAL11" s="16"/>
      <c r="QAM11" s="16"/>
      <c r="QAN11" s="16"/>
      <c r="QAO11" s="16"/>
      <c r="QAP11" s="16"/>
      <c r="QAQ11" s="16"/>
      <c r="QAR11" s="16"/>
      <c r="QAS11" s="16"/>
      <c r="QAT11" s="16"/>
      <c r="QAU11" s="16"/>
      <c r="QAV11" s="16"/>
      <c r="QAW11" s="16"/>
      <c r="QAX11" s="16"/>
      <c r="QAY11" s="16"/>
      <c r="QAZ11" s="16"/>
      <c r="QBA11" s="16"/>
      <c r="QBB11" s="16"/>
      <c r="QBC11" s="16"/>
      <c r="QBD11" s="16"/>
      <c r="QBE11" s="16"/>
      <c r="QBF11" s="16"/>
      <c r="QBG11" s="16"/>
      <c r="QBH11" s="16"/>
      <c r="QBI11" s="16"/>
      <c r="QBJ11" s="16"/>
      <c r="QBK11" s="16"/>
      <c r="QBL11" s="16"/>
      <c r="QBM11" s="16"/>
      <c r="QBN11" s="16"/>
      <c r="QBO11" s="16"/>
      <c r="QBP11" s="16"/>
      <c r="QBQ11" s="16"/>
      <c r="QBR11" s="16"/>
      <c r="QBS11" s="16"/>
      <c r="QBT11" s="16"/>
      <c r="QBU11" s="16"/>
      <c r="QBV11" s="16"/>
      <c r="QBW11" s="16"/>
      <c r="QBX11" s="16"/>
      <c r="QBY11" s="16"/>
      <c r="QBZ11" s="16"/>
      <c r="QCA11" s="16"/>
      <c r="QCB11" s="16"/>
      <c r="QCC11" s="16"/>
      <c r="QCD11" s="16"/>
      <c r="QCE11" s="16"/>
      <c r="QCF11" s="16"/>
      <c r="QCG11" s="16"/>
      <c r="QCH11" s="16"/>
      <c r="QCI11" s="16"/>
      <c r="QCJ11" s="16"/>
      <c r="QCK11" s="16"/>
      <c r="QCL11" s="16"/>
      <c r="QCM11" s="16"/>
      <c r="QCN11" s="16"/>
      <c r="QCO11" s="16"/>
      <c r="QCP11" s="16"/>
      <c r="QCQ11" s="16"/>
      <c r="QCR11" s="16"/>
      <c r="QCS11" s="16"/>
      <c r="QCT11" s="16"/>
      <c r="QCU11" s="16"/>
      <c r="QCV11" s="16"/>
      <c r="QCW11" s="16"/>
      <c r="QCX11" s="16"/>
      <c r="QCY11" s="16"/>
      <c r="QCZ11" s="16"/>
      <c r="QDA11" s="16"/>
      <c r="QDB11" s="16"/>
      <c r="QDC11" s="16"/>
      <c r="QDD11" s="16"/>
      <c r="QDE11" s="16"/>
      <c r="QDF11" s="16"/>
      <c r="QDG11" s="16"/>
      <c r="QDH11" s="16"/>
      <c r="QDI11" s="16"/>
      <c r="QDJ11" s="16"/>
      <c r="QDK11" s="16"/>
      <c r="QDL11" s="16"/>
      <c r="QDM11" s="16"/>
      <c r="QDN11" s="16"/>
      <c r="QDO11" s="16"/>
      <c r="QDP11" s="16"/>
      <c r="QDQ11" s="16"/>
      <c r="QDR11" s="16"/>
      <c r="QDS11" s="16"/>
      <c r="QDT11" s="16"/>
      <c r="QDU11" s="16"/>
      <c r="QDV11" s="16"/>
      <c r="QDW11" s="16"/>
      <c r="QDX11" s="16"/>
      <c r="QDY11" s="16"/>
      <c r="QDZ11" s="16"/>
      <c r="QEA11" s="16"/>
      <c r="QEB11" s="16"/>
      <c r="QEC11" s="16"/>
      <c r="QED11" s="16"/>
      <c r="QEE11" s="16"/>
      <c r="QEF11" s="16"/>
      <c r="QEG11" s="16"/>
      <c r="QEH11" s="16"/>
      <c r="QEI11" s="16"/>
      <c r="QEJ11" s="16"/>
      <c r="QEK11" s="16"/>
      <c r="QEL11" s="16"/>
      <c r="QEM11" s="16"/>
      <c r="QEN11" s="16"/>
      <c r="QEO11" s="16"/>
      <c r="QEP11" s="16"/>
      <c r="QEQ11" s="16"/>
      <c r="QER11" s="16"/>
      <c r="QES11" s="16"/>
      <c r="QET11" s="16"/>
      <c r="QEU11" s="16"/>
      <c r="QEV11" s="16"/>
      <c r="QEW11" s="16"/>
      <c r="QEX11" s="16"/>
      <c r="QEY11" s="16"/>
      <c r="QEZ11" s="16"/>
      <c r="QFA11" s="16"/>
      <c r="QFB11" s="16"/>
      <c r="QFC11" s="16"/>
      <c r="QFD11" s="16"/>
      <c r="QFE11" s="16"/>
      <c r="QFF11" s="16"/>
      <c r="QFG11" s="16"/>
      <c r="QFH11" s="16"/>
      <c r="QFI11" s="16"/>
      <c r="QFJ11" s="16"/>
      <c r="QFK11" s="16"/>
      <c r="QFL11" s="16"/>
      <c r="QFM11" s="16"/>
      <c r="QFN11" s="16"/>
      <c r="QFO11" s="16"/>
      <c r="QFP11" s="16"/>
      <c r="QFQ11" s="16"/>
      <c r="QFR11" s="16"/>
      <c r="QFS11" s="16"/>
      <c r="QFT11" s="16"/>
      <c r="QFU11" s="16"/>
      <c r="QFV11" s="16"/>
      <c r="QFW11" s="16"/>
      <c r="QFX11" s="16"/>
      <c r="QFY11" s="16"/>
      <c r="QFZ11" s="16"/>
      <c r="QGA11" s="16"/>
      <c r="QGB11" s="16"/>
      <c r="QGC11" s="16"/>
      <c r="QGD11" s="16"/>
      <c r="QGE11" s="16"/>
      <c r="QGF11" s="16"/>
      <c r="QGG11" s="16"/>
      <c r="QGH11" s="16"/>
      <c r="QGI11" s="16"/>
      <c r="QGJ11" s="16"/>
      <c r="QGK11" s="16"/>
      <c r="QGL11" s="16"/>
      <c r="QGM11" s="16"/>
      <c r="QGN11" s="16"/>
      <c r="QGO11" s="16"/>
      <c r="QGP11" s="16"/>
      <c r="QGQ11" s="16"/>
      <c r="QGR11" s="16"/>
      <c r="QGS11" s="16"/>
      <c r="QGT11" s="16"/>
      <c r="QGU11" s="16"/>
      <c r="QGV11" s="16"/>
      <c r="QGW11" s="16"/>
      <c r="QGX11" s="16"/>
      <c r="QGY11" s="16"/>
      <c r="QGZ11" s="16"/>
      <c r="QHA11" s="16"/>
      <c r="QHB11" s="16"/>
      <c r="QHC11" s="16"/>
      <c r="QHD11" s="16"/>
      <c r="QHE11" s="16"/>
      <c r="QHF11" s="16"/>
      <c r="QHG11" s="16"/>
      <c r="QHH11" s="16"/>
      <c r="QHI11" s="16"/>
      <c r="QHJ11" s="16"/>
      <c r="QHK11" s="16"/>
      <c r="QHL11" s="16"/>
      <c r="QHM11" s="16"/>
      <c r="QHN11" s="16"/>
      <c r="QHO11" s="16"/>
      <c r="QHP11" s="16"/>
      <c r="QHQ11" s="16"/>
      <c r="QHR11" s="16"/>
      <c r="QHS11" s="16"/>
      <c r="QHT11" s="16"/>
      <c r="QHU11" s="16"/>
      <c r="QHV11" s="16"/>
      <c r="QHW11" s="16"/>
      <c r="QHX11" s="16"/>
      <c r="QHY11" s="16"/>
      <c r="QHZ11" s="16"/>
      <c r="QIA11" s="16"/>
      <c r="QIB11" s="16"/>
      <c r="QIC11" s="16"/>
      <c r="QID11" s="16"/>
      <c r="QIE11" s="16"/>
      <c r="QIF11" s="16"/>
      <c r="QIG11" s="16"/>
      <c r="QIH11" s="16"/>
      <c r="QII11" s="16"/>
      <c r="QIJ11" s="16"/>
      <c r="QIK11" s="16"/>
      <c r="QIL11" s="16"/>
      <c r="QIM11" s="16"/>
      <c r="QIN11" s="16"/>
      <c r="QIO11" s="16"/>
      <c r="QIP11" s="16"/>
      <c r="QIQ11" s="16"/>
      <c r="QIR11" s="16"/>
      <c r="QIS11" s="16"/>
      <c r="QIT11" s="16"/>
      <c r="QIU11" s="16"/>
      <c r="QIV11" s="16"/>
      <c r="QIW11" s="16"/>
      <c r="QIX11" s="16"/>
      <c r="QIY11" s="16"/>
      <c r="QIZ11" s="16"/>
      <c r="QJA11" s="16"/>
      <c r="QJB11" s="16"/>
      <c r="QJC11" s="16"/>
      <c r="QJD11" s="16"/>
      <c r="QJE11" s="16"/>
      <c r="QJF11" s="16"/>
      <c r="QJG11" s="16"/>
      <c r="QJH11" s="16"/>
      <c r="QJI11" s="16"/>
      <c r="QJJ11" s="16"/>
      <c r="QJK11" s="16"/>
      <c r="QJL11" s="16"/>
      <c r="QJM11" s="16"/>
      <c r="QJN11" s="16"/>
      <c r="QJO11" s="16"/>
      <c r="QJP11" s="16"/>
      <c r="QJQ11" s="16"/>
      <c r="QJR11" s="16"/>
      <c r="QJS11" s="16"/>
      <c r="QJT11" s="16"/>
      <c r="QJU11" s="16"/>
      <c r="QJV11" s="16"/>
      <c r="QJW11" s="16"/>
      <c r="QJX11" s="16"/>
      <c r="QJY11" s="16"/>
      <c r="QJZ11" s="16"/>
      <c r="QKA11" s="16"/>
      <c r="QKB11" s="16"/>
      <c r="QKC11" s="16"/>
      <c r="QKD11" s="16"/>
      <c r="QKE11" s="16"/>
      <c r="QKF11" s="16"/>
      <c r="QKG11" s="16"/>
      <c r="QKH11" s="16"/>
      <c r="QKI11" s="16"/>
      <c r="QKJ11" s="16"/>
      <c r="QKK11" s="16"/>
      <c r="QKL11" s="16"/>
      <c r="QKM11" s="16"/>
      <c r="QKN11" s="16"/>
      <c r="QKO11" s="16"/>
      <c r="QKP11" s="16"/>
      <c r="QKQ11" s="16"/>
      <c r="QKR11" s="16"/>
      <c r="QKS11" s="16"/>
      <c r="QKT11" s="16"/>
      <c r="QKU11" s="16"/>
      <c r="QKV11" s="16"/>
      <c r="QKW11" s="16"/>
      <c r="QKX11" s="16"/>
      <c r="QKY11" s="16"/>
      <c r="QKZ11" s="16"/>
      <c r="QLA11" s="16"/>
      <c r="QLB11" s="16"/>
      <c r="QLC11" s="16"/>
      <c r="QLD11" s="16"/>
      <c r="QLE11" s="16"/>
      <c r="QLF11" s="16"/>
      <c r="QLG11" s="16"/>
      <c r="QLH11" s="16"/>
      <c r="QLI11" s="16"/>
      <c r="QLJ11" s="16"/>
      <c r="QLK11" s="16"/>
      <c r="QLL11" s="16"/>
      <c r="QLM11" s="16"/>
      <c r="QLN11" s="16"/>
      <c r="QLO11" s="16"/>
      <c r="QLP11" s="16"/>
      <c r="QLQ11" s="16"/>
      <c r="QLR11" s="16"/>
      <c r="QLS11" s="16"/>
      <c r="QLT11" s="16"/>
      <c r="QLU11" s="16"/>
      <c r="QLV11" s="16"/>
      <c r="QLW11" s="16"/>
      <c r="QLX11" s="16"/>
      <c r="QLY11" s="16"/>
      <c r="QLZ11" s="16"/>
      <c r="QMA11" s="16"/>
      <c r="QMB11" s="16"/>
      <c r="QMC11" s="16"/>
      <c r="QMD11" s="16"/>
      <c r="QME11" s="16"/>
      <c r="QMF11" s="16"/>
      <c r="QMG11" s="16"/>
      <c r="QMH11" s="16"/>
      <c r="QMI11" s="16"/>
      <c r="QMJ11" s="16"/>
      <c r="QMK11" s="16"/>
      <c r="QML11" s="16"/>
      <c r="QMM11" s="16"/>
      <c r="QMN11" s="16"/>
      <c r="QMO11" s="16"/>
      <c r="QMP11" s="16"/>
      <c r="QMQ11" s="16"/>
      <c r="QMR11" s="16"/>
      <c r="QMS11" s="16"/>
      <c r="QMT11" s="16"/>
      <c r="QMU11" s="16"/>
      <c r="QMV11" s="16"/>
      <c r="QMW11" s="16"/>
      <c r="QMX11" s="16"/>
      <c r="QMY11" s="16"/>
      <c r="QMZ11" s="16"/>
      <c r="QNA11" s="16"/>
      <c r="QNB11" s="16"/>
      <c r="QNC11" s="16"/>
      <c r="QND11" s="16"/>
      <c r="QNE11" s="16"/>
      <c r="QNF11" s="16"/>
      <c r="QNG11" s="16"/>
      <c r="QNH11" s="16"/>
      <c r="QNI11" s="16"/>
      <c r="QNJ11" s="16"/>
      <c r="QNK11" s="16"/>
      <c r="QNL11" s="16"/>
      <c r="QNM11" s="16"/>
      <c r="QNN11" s="16"/>
      <c r="QNO11" s="16"/>
      <c r="QNP11" s="16"/>
      <c r="QNQ11" s="16"/>
      <c r="QNR11" s="16"/>
      <c r="QNS11" s="16"/>
      <c r="QNT11" s="16"/>
      <c r="QNU11" s="16"/>
      <c r="QNV11" s="16"/>
      <c r="QNW11" s="16"/>
      <c r="QNX11" s="16"/>
      <c r="QNY11" s="16"/>
      <c r="QNZ11" s="16"/>
      <c r="QOA11" s="16"/>
      <c r="QOB11" s="16"/>
      <c r="QOC11" s="16"/>
      <c r="QOD11" s="16"/>
      <c r="QOE11" s="16"/>
      <c r="QOF11" s="16"/>
      <c r="QOG11" s="16"/>
      <c r="QOH11" s="16"/>
      <c r="QOI11" s="16"/>
      <c r="QOJ11" s="16"/>
      <c r="QOK11" s="16"/>
      <c r="QOL11" s="16"/>
      <c r="QOM11" s="16"/>
      <c r="QON11" s="16"/>
      <c r="QOO11" s="16"/>
      <c r="QOP11" s="16"/>
      <c r="QOQ11" s="16"/>
      <c r="QOR11" s="16"/>
      <c r="QOS11" s="16"/>
      <c r="QOT11" s="16"/>
      <c r="QOU11" s="16"/>
      <c r="QOV11" s="16"/>
      <c r="QOW11" s="16"/>
      <c r="QOX11" s="16"/>
      <c r="QOY11" s="16"/>
      <c r="QOZ11" s="16"/>
      <c r="QPA11" s="16"/>
      <c r="QPB11" s="16"/>
      <c r="QPC11" s="16"/>
      <c r="QPD11" s="16"/>
      <c r="QPE11" s="16"/>
      <c r="QPF11" s="16"/>
      <c r="QPG11" s="16"/>
      <c r="QPH11" s="16"/>
      <c r="QPI11" s="16"/>
      <c r="QPJ11" s="16"/>
      <c r="QPK11" s="16"/>
      <c r="QPL11" s="16"/>
      <c r="QPM11" s="16"/>
      <c r="QPN11" s="16"/>
      <c r="QPO11" s="16"/>
      <c r="QPP11" s="16"/>
      <c r="QPQ11" s="16"/>
      <c r="QPR11" s="16"/>
      <c r="QPS11" s="16"/>
      <c r="QPT11" s="16"/>
      <c r="QPU11" s="16"/>
      <c r="QPV11" s="16"/>
      <c r="QPW11" s="16"/>
      <c r="QPX11" s="16"/>
      <c r="QPY11" s="16"/>
      <c r="QPZ11" s="16"/>
      <c r="QQA11" s="16"/>
      <c r="QQB11" s="16"/>
      <c r="QQC11" s="16"/>
      <c r="QQD11" s="16"/>
      <c r="QQE11" s="16"/>
      <c r="QQF11" s="16"/>
      <c r="QQG11" s="16"/>
      <c r="QQH11" s="16"/>
      <c r="QQI11" s="16"/>
      <c r="QQJ11" s="16"/>
      <c r="QQK11" s="16"/>
      <c r="QQL11" s="16"/>
      <c r="QQM11" s="16"/>
      <c r="QQN11" s="16"/>
      <c r="QQO11" s="16"/>
      <c r="QQP11" s="16"/>
      <c r="QQQ11" s="16"/>
      <c r="QQR11" s="16"/>
      <c r="QQS11" s="16"/>
      <c r="QQT11" s="16"/>
      <c r="QQU11" s="16"/>
      <c r="QQV11" s="16"/>
      <c r="QQW11" s="16"/>
      <c r="QQX11" s="16"/>
      <c r="QQY11" s="16"/>
      <c r="QQZ11" s="16"/>
      <c r="QRA11" s="16"/>
      <c r="QRB11" s="16"/>
      <c r="QRC11" s="16"/>
      <c r="QRD11" s="16"/>
      <c r="QRE11" s="16"/>
      <c r="QRF11" s="16"/>
      <c r="QRG11" s="16"/>
      <c r="QRH11" s="16"/>
      <c r="QRI11" s="16"/>
      <c r="QRJ11" s="16"/>
      <c r="QRK11" s="16"/>
      <c r="QRL11" s="16"/>
      <c r="QRM11" s="16"/>
      <c r="QRN11" s="16"/>
      <c r="QRO11" s="16"/>
      <c r="QRP11" s="16"/>
      <c r="QRQ11" s="16"/>
      <c r="QRR11" s="16"/>
      <c r="QRS11" s="16"/>
      <c r="QRT11" s="16"/>
      <c r="QRU11" s="16"/>
      <c r="QRV11" s="16"/>
      <c r="QRW11" s="16"/>
      <c r="QRX11" s="16"/>
      <c r="QRY11" s="16"/>
      <c r="QRZ11" s="16"/>
      <c r="QSA11" s="16"/>
      <c r="QSB11" s="16"/>
      <c r="QSC11" s="16"/>
      <c r="QSD11" s="16"/>
      <c r="QSE11" s="16"/>
      <c r="QSF11" s="16"/>
      <c r="QSG11" s="16"/>
      <c r="QSH11" s="16"/>
      <c r="QSI11" s="16"/>
      <c r="QSJ11" s="16"/>
      <c r="QSK11" s="16"/>
      <c r="QSL11" s="16"/>
      <c r="QSM11" s="16"/>
      <c r="QSN11" s="16"/>
      <c r="QSO11" s="16"/>
      <c r="QSP11" s="16"/>
      <c r="QSQ11" s="16"/>
      <c r="QSR11" s="16"/>
      <c r="QSS11" s="16"/>
      <c r="QST11" s="16"/>
      <c r="QSU11" s="16"/>
      <c r="QSV11" s="16"/>
      <c r="QSW11" s="16"/>
      <c r="QSX11" s="16"/>
      <c r="QSY11" s="16"/>
      <c r="QSZ11" s="16"/>
      <c r="QTA11" s="16"/>
      <c r="QTB11" s="16"/>
      <c r="QTC11" s="16"/>
      <c r="QTD11" s="16"/>
      <c r="QTE11" s="16"/>
      <c r="QTF11" s="16"/>
      <c r="QTG11" s="16"/>
      <c r="QTH11" s="16"/>
      <c r="QTI11" s="16"/>
      <c r="QTJ11" s="16"/>
      <c r="QTK11" s="16"/>
      <c r="QTL11" s="16"/>
      <c r="QTM11" s="16"/>
      <c r="QTN11" s="16"/>
      <c r="QTO11" s="16"/>
      <c r="QTP11" s="16"/>
      <c r="QTQ11" s="16"/>
      <c r="QTR11" s="16"/>
      <c r="QTS11" s="16"/>
      <c r="QTT11" s="16"/>
      <c r="QTU11" s="16"/>
      <c r="QTV11" s="16"/>
      <c r="QTW11" s="16"/>
      <c r="QTX11" s="16"/>
      <c r="QTY11" s="16"/>
      <c r="QTZ11" s="16"/>
      <c r="QUA11" s="16"/>
      <c r="QUB11" s="16"/>
      <c r="QUC11" s="16"/>
      <c r="QUD11" s="16"/>
      <c r="QUE11" s="16"/>
      <c r="QUF11" s="16"/>
      <c r="QUG11" s="16"/>
      <c r="QUH11" s="16"/>
      <c r="QUI11" s="16"/>
      <c r="QUJ11" s="16"/>
      <c r="QUK11" s="16"/>
      <c r="QUL11" s="16"/>
      <c r="QUM11" s="16"/>
      <c r="QUN11" s="16"/>
      <c r="QUO11" s="16"/>
      <c r="QUP11" s="16"/>
      <c r="QUQ11" s="16"/>
      <c r="QUR11" s="16"/>
      <c r="QUS11" s="16"/>
      <c r="QUT11" s="16"/>
      <c r="QUU11" s="16"/>
      <c r="QUV11" s="16"/>
      <c r="QUW11" s="16"/>
      <c r="QUX11" s="16"/>
      <c r="QUY11" s="16"/>
      <c r="QUZ11" s="16"/>
      <c r="QVA11" s="16"/>
      <c r="QVB11" s="16"/>
      <c r="QVC11" s="16"/>
      <c r="QVD11" s="16"/>
      <c r="QVE11" s="16"/>
      <c r="QVF11" s="16"/>
      <c r="QVG11" s="16"/>
      <c r="QVH11" s="16"/>
      <c r="QVI11" s="16"/>
      <c r="QVJ11" s="16"/>
      <c r="QVK11" s="16"/>
      <c r="QVL11" s="16"/>
      <c r="QVM11" s="16"/>
      <c r="QVN11" s="16"/>
      <c r="QVO11" s="16"/>
      <c r="QVP11" s="16"/>
      <c r="QVQ11" s="16"/>
      <c r="QVR11" s="16"/>
      <c r="QVS11" s="16"/>
      <c r="QVT11" s="16"/>
      <c r="QVU11" s="16"/>
      <c r="QVV11" s="16"/>
      <c r="QVW11" s="16"/>
      <c r="QVX11" s="16"/>
      <c r="QVY11" s="16"/>
      <c r="QVZ11" s="16"/>
      <c r="QWA11" s="16"/>
      <c r="QWB11" s="16"/>
      <c r="QWC11" s="16"/>
      <c r="QWD11" s="16"/>
      <c r="QWE11" s="16"/>
      <c r="QWF11" s="16"/>
      <c r="QWG11" s="16"/>
      <c r="QWH11" s="16"/>
      <c r="QWI11" s="16"/>
      <c r="QWJ11" s="16"/>
      <c r="QWK11" s="16"/>
      <c r="QWL11" s="16"/>
      <c r="QWM11" s="16"/>
      <c r="QWN11" s="16"/>
      <c r="QWO11" s="16"/>
      <c r="QWP11" s="16"/>
      <c r="QWQ11" s="16"/>
      <c r="QWR11" s="16"/>
      <c r="QWS11" s="16"/>
      <c r="QWT11" s="16"/>
      <c r="QWU11" s="16"/>
      <c r="QWV11" s="16"/>
      <c r="QWW11" s="16"/>
      <c r="QWX11" s="16"/>
      <c r="QWY11" s="16"/>
      <c r="QWZ11" s="16"/>
      <c r="QXA11" s="16"/>
      <c r="QXB11" s="16"/>
      <c r="QXC11" s="16"/>
      <c r="QXD11" s="16"/>
      <c r="QXE11" s="16"/>
      <c r="QXF11" s="16"/>
      <c r="QXG11" s="16"/>
      <c r="QXH11" s="16"/>
      <c r="QXI11" s="16"/>
      <c r="QXJ11" s="16"/>
      <c r="QXK11" s="16"/>
      <c r="QXL11" s="16"/>
      <c r="QXM11" s="16"/>
      <c r="QXN11" s="16"/>
      <c r="QXO11" s="16"/>
      <c r="QXP11" s="16"/>
      <c r="QXQ11" s="16"/>
      <c r="QXR11" s="16"/>
      <c r="QXS11" s="16"/>
      <c r="QXT11" s="16"/>
      <c r="QXU11" s="16"/>
      <c r="QXV11" s="16"/>
      <c r="QXW11" s="16"/>
      <c r="QXX11" s="16"/>
      <c r="QXY11" s="16"/>
      <c r="QXZ11" s="16"/>
      <c r="QYA11" s="16"/>
      <c r="QYB11" s="16"/>
      <c r="QYC11" s="16"/>
      <c r="QYD11" s="16"/>
      <c r="QYE11" s="16"/>
      <c r="QYF11" s="16"/>
      <c r="QYG11" s="16"/>
      <c r="QYH11" s="16"/>
      <c r="QYI11" s="16"/>
      <c r="QYJ11" s="16"/>
      <c r="QYK11" s="16"/>
      <c r="QYL11" s="16"/>
      <c r="QYM11" s="16"/>
      <c r="QYN11" s="16"/>
      <c r="QYO11" s="16"/>
      <c r="QYP11" s="16"/>
      <c r="QYQ11" s="16"/>
      <c r="QYR11" s="16"/>
      <c r="QYS11" s="16"/>
      <c r="QYT11" s="16"/>
      <c r="QYU11" s="16"/>
      <c r="QYV11" s="16"/>
      <c r="QYW11" s="16"/>
      <c r="QYX11" s="16"/>
      <c r="QYY11" s="16"/>
      <c r="QYZ11" s="16"/>
      <c r="QZA11" s="16"/>
      <c r="QZB11" s="16"/>
      <c r="QZC11" s="16"/>
      <c r="QZD11" s="16"/>
      <c r="QZE11" s="16"/>
      <c r="QZF11" s="16"/>
      <c r="QZG11" s="16"/>
      <c r="QZH11" s="16"/>
      <c r="QZI11" s="16"/>
      <c r="QZJ11" s="16"/>
      <c r="QZK11" s="16"/>
      <c r="QZL11" s="16"/>
      <c r="QZM11" s="16"/>
      <c r="QZN11" s="16"/>
      <c r="QZO11" s="16"/>
      <c r="QZP11" s="16"/>
      <c r="QZQ11" s="16"/>
      <c r="QZR11" s="16"/>
      <c r="QZS11" s="16"/>
      <c r="QZT11" s="16"/>
      <c r="QZU11" s="16"/>
      <c r="QZV11" s="16"/>
      <c r="QZW11" s="16"/>
      <c r="QZX11" s="16"/>
      <c r="QZY11" s="16"/>
      <c r="QZZ11" s="16"/>
      <c r="RAA11" s="16"/>
      <c r="RAB11" s="16"/>
      <c r="RAC11" s="16"/>
      <c r="RAD11" s="16"/>
      <c r="RAE11" s="16"/>
      <c r="RAF11" s="16"/>
      <c r="RAG11" s="16"/>
      <c r="RAH11" s="16"/>
      <c r="RAI11" s="16"/>
      <c r="RAJ11" s="16"/>
      <c r="RAK11" s="16"/>
      <c r="RAL11" s="16"/>
      <c r="RAM11" s="16"/>
      <c r="RAN11" s="16"/>
      <c r="RAO11" s="16"/>
      <c r="RAP11" s="16"/>
      <c r="RAQ11" s="16"/>
      <c r="RAR11" s="16"/>
      <c r="RAS11" s="16"/>
      <c r="RAT11" s="16"/>
      <c r="RAU11" s="16"/>
      <c r="RAV11" s="16"/>
      <c r="RAW11" s="16"/>
      <c r="RAX11" s="16"/>
      <c r="RAY11" s="16"/>
      <c r="RAZ11" s="16"/>
      <c r="RBA11" s="16"/>
      <c r="RBB11" s="16"/>
      <c r="RBC11" s="16"/>
      <c r="RBD11" s="16"/>
      <c r="RBE11" s="16"/>
      <c r="RBF11" s="16"/>
      <c r="RBG11" s="16"/>
      <c r="RBH11" s="16"/>
      <c r="RBI11" s="16"/>
      <c r="RBJ11" s="16"/>
      <c r="RBK11" s="16"/>
      <c r="RBL11" s="16"/>
      <c r="RBM11" s="16"/>
      <c r="RBN11" s="16"/>
      <c r="RBO11" s="16"/>
      <c r="RBP11" s="16"/>
      <c r="RBQ11" s="16"/>
      <c r="RBR11" s="16"/>
      <c r="RBS11" s="16"/>
      <c r="RBT11" s="16"/>
      <c r="RBU11" s="16"/>
      <c r="RBV11" s="16"/>
      <c r="RBW11" s="16"/>
      <c r="RBX11" s="16"/>
      <c r="RBY11" s="16"/>
      <c r="RBZ11" s="16"/>
      <c r="RCA11" s="16"/>
      <c r="RCB11" s="16"/>
      <c r="RCC11" s="16"/>
      <c r="RCD11" s="16"/>
      <c r="RCE11" s="16"/>
      <c r="RCF11" s="16"/>
      <c r="RCG11" s="16"/>
      <c r="RCH11" s="16"/>
      <c r="RCI11" s="16"/>
      <c r="RCJ11" s="16"/>
      <c r="RCK11" s="16"/>
      <c r="RCL11" s="16"/>
      <c r="RCM11" s="16"/>
      <c r="RCN11" s="16"/>
      <c r="RCO11" s="16"/>
      <c r="RCP11" s="16"/>
      <c r="RCQ11" s="16"/>
      <c r="RCR11" s="16"/>
      <c r="RCS11" s="16"/>
      <c r="RCT11" s="16"/>
      <c r="RCU11" s="16"/>
      <c r="RCV11" s="16"/>
      <c r="RCW11" s="16"/>
      <c r="RCX11" s="16"/>
      <c r="RCY11" s="16"/>
      <c r="RCZ11" s="16"/>
      <c r="RDA11" s="16"/>
      <c r="RDB11" s="16"/>
      <c r="RDC11" s="16"/>
      <c r="RDD11" s="16"/>
      <c r="RDE11" s="16"/>
      <c r="RDF11" s="16"/>
      <c r="RDG11" s="16"/>
      <c r="RDH11" s="16"/>
      <c r="RDI11" s="16"/>
      <c r="RDJ11" s="16"/>
      <c r="RDK11" s="16"/>
      <c r="RDL11" s="16"/>
      <c r="RDM11" s="16"/>
      <c r="RDN11" s="16"/>
      <c r="RDO11" s="16"/>
      <c r="RDP11" s="16"/>
      <c r="RDQ11" s="16"/>
      <c r="RDR11" s="16"/>
      <c r="RDS11" s="16"/>
      <c r="RDT11" s="16"/>
      <c r="RDU11" s="16"/>
      <c r="RDV11" s="16"/>
      <c r="RDW11" s="16"/>
      <c r="RDX11" s="16"/>
      <c r="RDY11" s="16"/>
      <c r="RDZ11" s="16"/>
      <c r="REA11" s="16"/>
      <c r="REB11" s="16"/>
      <c r="REC11" s="16"/>
      <c r="RED11" s="16"/>
      <c r="REE11" s="16"/>
      <c r="REF11" s="16"/>
      <c r="REG11" s="16"/>
      <c r="REH11" s="16"/>
      <c r="REI11" s="16"/>
      <c r="REJ11" s="16"/>
      <c r="REK11" s="16"/>
      <c r="REL11" s="16"/>
      <c r="REM11" s="16"/>
      <c r="REN11" s="16"/>
      <c r="REO11" s="16"/>
      <c r="REP11" s="16"/>
      <c r="REQ11" s="16"/>
      <c r="RER11" s="16"/>
      <c r="RES11" s="16"/>
      <c r="RET11" s="16"/>
      <c r="REU11" s="16"/>
      <c r="REV11" s="16"/>
      <c r="REW11" s="16"/>
      <c r="REX11" s="16"/>
      <c r="REY11" s="16"/>
      <c r="REZ11" s="16"/>
      <c r="RFA11" s="16"/>
      <c r="RFB11" s="16"/>
      <c r="RFC11" s="16"/>
      <c r="RFD11" s="16"/>
      <c r="RFE11" s="16"/>
      <c r="RFF11" s="16"/>
      <c r="RFG11" s="16"/>
      <c r="RFH11" s="16"/>
      <c r="RFI11" s="16"/>
      <c r="RFJ11" s="16"/>
      <c r="RFK11" s="16"/>
      <c r="RFL11" s="16"/>
      <c r="RFM11" s="16"/>
      <c r="RFN11" s="16"/>
      <c r="RFO11" s="16"/>
      <c r="RFP11" s="16"/>
      <c r="RFQ11" s="16"/>
      <c r="RFR11" s="16"/>
      <c r="RFS11" s="16"/>
      <c r="RFT11" s="16"/>
      <c r="RFU11" s="16"/>
      <c r="RFV11" s="16"/>
      <c r="RFW11" s="16"/>
      <c r="RFX11" s="16"/>
      <c r="RFY11" s="16"/>
      <c r="RFZ11" s="16"/>
      <c r="RGA11" s="16"/>
      <c r="RGB11" s="16"/>
      <c r="RGC11" s="16"/>
      <c r="RGD11" s="16"/>
      <c r="RGE11" s="16"/>
      <c r="RGF11" s="16"/>
      <c r="RGG11" s="16"/>
      <c r="RGH11" s="16"/>
      <c r="RGI11" s="16"/>
      <c r="RGJ11" s="16"/>
      <c r="RGK11" s="16"/>
      <c r="RGL11" s="16"/>
      <c r="RGM11" s="16"/>
      <c r="RGN11" s="16"/>
      <c r="RGO11" s="16"/>
      <c r="RGP11" s="16"/>
      <c r="RGQ11" s="16"/>
      <c r="RGR11" s="16"/>
      <c r="RGS11" s="16"/>
      <c r="RGT11" s="16"/>
      <c r="RGU11" s="16"/>
      <c r="RGV11" s="16"/>
      <c r="RGW11" s="16"/>
      <c r="RGX11" s="16"/>
      <c r="RGY11" s="16"/>
      <c r="RGZ11" s="16"/>
      <c r="RHA11" s="16"/>
      <c r="RHB11" s="16"/>
      <c r="RHC11" s="16"/>
      <c r="RHD11" s="16"/>
      <c r="RHE11" s="16"/>
      <c r="RHF11" s="16"/>
      <c r="RHG11" s="16"/>
      <c r="RHH11" s="16"/>
      <c r="RHI11" s="16"/>
      <c r="RHJ11" s="16"/>
      <c r="RHK11" s="16"/>
      <c r="RHL11" s="16"/>
      <c r="RHM11" s="16"/>
      <c r="RHN11" s="16"/>
      <c r="RHO11" s="16"/>
      <c r="RHP11" s="16"/>
      <c r="RHQ11" s="16"/>
      <c r="RHR11" s="16"/>
      <c r="RHS11" s="16"/>
      <c r="RHT11" s="16"/>
      <c r="RHU11" s="16"/>
      <c r="RHV11" s="16"/>
      <c r="RHW11" s="16"/>
      <c r="RHX11" s="16"/>
      <c r="RHY11" s="16"/>
      <c r="RHZ11" s="16"/>
      <c r="RIA11" s="16"/>
      <c r="RIB11" s="16"/>
      <c r="RIC11" s="16"/>
      <c r="RID11" s="16"/>
      <c r="RIE11" s="16"/>
      <c r="RIF11" s="16"/>
      <c r="RIG11" s="16"/>
      <c r="RIH11" s="16"/>
      <c r="RII11" s="16"/>
      <c r="RIJ11" s="16"/>
      <c r="RIK11" s="16"/>
      <c r="RIL11" s="16"/>
      <c r="RIM11" s="16"/>
      <c r="RIN11" s="16"/>
      <c r="RIO11" s="16"/>
      <c r="RIP11" s="16"/>
      <c r="RIQ11" s="16"/>
      <c r="RIR11" s="16"/>
      <c r="RIS11" s="16"/>
      <c r="RIT11" s="16"/>
      <c r="RIU11" s="16"/>
      <c r="RIV11" s="16"/>
      <c r="RIW11" s="16"/>
      <c r="RIX11" s="16"/>
      <c r="RIY11" s="16"/>
      <c r="RIZ11" s="16"/>
      <c r="RJA11" s="16"/>
      <c r="RJB11" s="16"/>
      <c r="RJC11" s="16"/>
      <c r="RJD11" s="16"/>
      <c r="RJE11" s="16"/>
      <c r="RJF11" s="16"/>
      <c r="RJG11" s="16"/>
      <c r="RJH11" s="16"/>
      <c r="RJI11" s="16"/>
      <c r="RJJ11" s="16"/>
      <c r="RJK11" s="16"/>
      <c r="RJL11" s="16"/>
      <c r="RJM11" s="16"/>
      <c r="RJN11" s="16"/>
      <c r="RJO11" s="16"/>
      <c r="RJP11" s="16"/>
      <c r="RJQ11" s="16"/>
      <c r="RJR11" s="16"/>
      <c r="RJS11" s="16"/>
      <c r="RJT11" s="16"/>
      <c r="RJU11" s="16"/>
      <c r="RJV11" s="16"/>
      <c r="RJW11" s="16"/>
      <c r="RJX11" s="16"/>
      <c r="RJY11" s="16"/>
      <c r="RJZ11" s="16"/>
      <c r="RKA11" s="16"/>
      <c r="RKB11" s="16"/>
      <c r="RKC11" s="16"/>
      <c r="RKD11" s="16"/>
      <c r="RKE11" s="16"/>
      <c r="RKF11" s="16"/>
      <c r="RKG11" s="16"/>
      <c r="RKH11" s="16"/>
      <c r="RKI11" s="16"/>
      <c r="RKJ11" s="16"/>
      <c r="RKK11" s="16"/>
      <c r="RKL11" s="16"/>
      <c r="RKM11" s="16"/>
      <c r="RKN11" s="16"/>
      <c r="RKO11" s="16"/>
      <c r="RKP11" s="16"/>
      <c r="RKQ11" s="16"/>
      <c r="RKR11" s="16"/>
      <c r="RKS11" s="16"/>
      <c r="RKT11" s="16"/>
      <c r="RKU11" s="16"/>
      <c r="RKV11" s="16"/>
      <c r="RKW11" s="16"/>
      <c r="RKX11" s="16"/>
      <c r="RKY11" s="16"/>
      <c r="RKZ11" s="16"/>
      <c r="RLA11" s="16"/>
      <c r="RLB11" s="16"/>
      <c r="RLC11" s="16"/>
      <c r="RLD11" s="16"/>
      <c r="RLE11" s="16"/>
      <c r="RLF11" s="16"/>
      <c r="RLG11" s="16"/>
      <c r="RLH11" s="16"/>
      <c r="RLI11" s="16"/>
      <c r="RLJ11" s="16"/>
      <c r="RLK11" s="16"/>
      <c r="RLL11" s="16"/>
      <c r="RLM11" s="16"/>
      <c r="RLN11" s="16"/>
      <c r="RLO11" s="16"/>
      <c r="RLP11" s="16"/>
      <c r="RLQ11" s="16"/>
      <c r="RLR11" s="16"/>
      <c r="RLS11" s="16"/>
      <c r="RLT11" s="16"/>
      <c r="RLU11" s="16"/>
      <c r="RLV11" s="16"/>
      <c r="RLW11" s="16"/>
      <c r="RLX11" s="16"/>
      <c r="RLY11" s="16"/>
      <c r="RLZ11" s="16"/>
      <c r="RMA11" s="16"/>
      <c r="RMB11" s="16"/>
      <c r="RMC11" s="16"/>
      <c r="RMD11" s="16"/>
      <c r="RME11" s="16"/>
      <c r="RMF11" s="16"/>
      <c r="RMG11" s="16"/>
      <c r="RMH11" s="16"/>
      <c r="RMI11" s="16"/>
      <c r="RMJ11" s="16"/>
      <c r="RMK11" s="16"/>
      <c r="RML11" s="16"/>
      <c r="RMM11" s="16"/>
      <c r="RMN11" s="16"/>
      <c r="RMO11" s="16"/>
      <c r="RMP11" s="16"/>
      <c r="RMQ11" s="16"/>
      <c r="RMR11" s="16"/>
      <c r="RMS11" s="16"/>
      <c r="RMT11" s="16"/>
      <c r="RMU11" s="16"/>
      <c r="RMV11" s="16"/>
      <c r="RMW11" s="16"/>
      <c r="RMX11" s="16"/>
      <c r="RMY11" s="16"/>
      <c r="RMZ11" s="16"/>
      <c r="RNA11" s="16"/>
      <c r="RNB11" s="16"/>
      <c r="RNC11" s="16"/>
      <c r="RND11" s="16"/>
      <c r="RNE11" s="16"/>
      <c r="RNF11" s="16"/>
      <c r="RNG11" s="16"/>
      <c r="RNH11" s="16"/>
      <c r="RNI11" s="16"/>
      <c r="RNJ11" s="16"/>
      <c r="RNK11" s="16"/>
      <c r="RNL11" s="16"/>
      <c r="RNM11" s="16"/>
      <c r="RNN11" s="16"/>
      <c r="RNO11" s="16"/>
      <c r="RNP11" s="16"/>
      <c r="RNQ11" s="16"/>
      <c r="RNR11" s="16"/>
      <c r="RNS11" s="16"/>
      <c r="RNT11" s="16"/>
      <c r="RNU11" s="16"/>
      <c r="RNV11" s="16"/>
      <c r="RNW11" s="16"/>
      <c r="RNX11" s="16"/>
      <c r="RNY11" s="16"/>
      <c r="RNZ11" s="16"/>
      <c r="ROA11" s="16"/>
      <c r="ROB11" s="16"/>
      <c r="ROC11" s="16"/>
      <c r="ROD11" s="16"/>
      <c r="ROE11" s="16"/>
      <c r="ROF11" s="16"/>
      <c r="ROG11" s="16"/>
      <c r="ROH11" s="16"/>
      <c r="ROI11" s="16"/>
      <c r="ROJ11" s="16"/>
      <c r="ROK11" s="16"/>
      <c r="ROL11" s="16"/>
      <c r="ROM11" s="16"/>
      <c r="RON11" s="16"/>
      <c r="ROO11" s="16"/>
      <c r="ROP11" s="16"/>
      <c r="ROQ11" s="16"/>
      <c r="ROR11" s="16"/>
      <c r="ROS11" s="16"/>
      <c r="ROT11" s="16"/>
      <c r="ROU11" s="16"/>
      <c r="ROV11" s="16"/>
      <c r="ROW11" s="16"/>
      <c r="ROX11" s="16"/>
      <c r="ROY11" s="16"/>
      <c r="ROZ11" s="16"/>
      <c r="RPA11" s="16"/>
      <c r="RPB11" s="16"/>
      <c r="RPC11" s="16"/>
      <c r="RPD11" s="16"/>
      <c r="RPE11" s="16"/>
      <c r="RPF11" s="16"/>
      <c r="RPG11" s="16"/>
      <c r="RPH11" s="16"/>
      <c r="RPI11" s="16"/>
      <c r="RPJ11" s="16"/>
      <c r="RPK11" s="16"/>
      <c r="RPL11" s="16"/>
      <c r="RPM11" s="16"/>
      <c r="RPN11" s="16"/>
      <c r="RPO11" s="16"/>
      <c r="RPP11" s="16"/>
      <c r="RPQ11" s="16"/>
      <c r="RPR11" s="16"/>
      <c r="RPS11" s="16"/>
      <c r="RPT11" s="16"/>
      <c r="RPU11" s="16"/>
      <c r="RPV11" s="16"/>
      <c r="RPW11" s="16"/>
      <c r="RPX11" s="16"/>
      <c r="RPY11" s="16"/>
      <c r="RPZ11" s="16"/>
      <c r="RQA11" s="16"/>
      <c r="RQB11" s="16"/>
      <c r="RQC11" s="16"/>
      <c r="RQD11" s="16"/>
      <c r="RQE11" s="16"/>
      <c r="RQF11" s="16"/>
      <c r="RQG11" s="16"/>
      <c r="RQH11" s="16"/>
      <c r="RQI11" s="16"/>
      <c r="RQJ11" s="16"/>
      <c r="RQK11" s="16"/>
      <c r="RQL11" s="16"/>
      <c r="RQM11" s="16"/>
      <c r="RQN11" s="16"/>
      <c r="RQO11" s="16"/>
      <c r="RQP11" s="16"/>
      <c r="RQQ11" s="16"/>
      <c r="RQR11" s="16"/>
      <c r="RQS11" s="16"/>
      <c r="RQT11" s="16"/>
      <c r="RQU11" s="16"/>
      <c r="RQV11" s="16"/>
      <c r="RQW11" s="16"/>
      <c r="RQX11" s="16"/>
      <c r="RQY11" s="16"/>
      <c r="RQZ11" s="16"/>
      <c r="RRA11" s="16"/>
      <c r="RRB11" s="16"/>
      <c r="RRC11" s="16"/>
      <c r="RRD11" s="16"/>
      <c r="RRE11" s="16"/>
      <c r="RRF11" s="16"/>
      <c r="RRG11" s="16"/>
      <c r="RRH11" s="16"/>
      <c r="RRI11" s="16"/>
      <c r="RRJ11" s="16"/>
      <c r="RRK11" s="16"/>
      <c r="RRL11" s="16"/>
      <c r="RRM11" s="16"/>
      <c r="RRN11" s="16"/>
      <c r="RRO11" s="16"/>
      <c r="RRP11" s="16"/>
      <c r="RRQ11" s="16"/>
      <c r="RRR11" s="16"/>
      <c r="RRS11" s="16"/>
      <c r="RRT11" s="16"/>
      <c r="RRU11" s="16"/>
      <c r="RRV11" s="16"/>
      <c r="RRW11" s="16"/>
      <c r="RRX11" s="16"/>
      <c r="RRY11" s="16"/>
      <c r="RRZ11" s="16"/>
      <c r="RSA11" s="16"/>
      <c r="RSB11" s="16"/>
      <c r="RSC11" s="16"/>
      <c r="RSD11" s="16"/>
      <c r="RSE11" s="16"/>
      <c r="RSF11" s="16"/>
      <c r="RSG11" s="16"/>
      <c r="RSH11" s="16"/>
      <c r="RSI11" s="16"/>
      <c r="RSJ11" s="16"/>
      <c r="RSK11" s="16"/>
      <c r="RSL11" s="16"/>
      <c r="RSM11" s="16"/>
      <c r="RSN11" s="16"/>
      <c r="RSO11" s="16"/>
      <c r="RSP11" s="16"/>
      <c r="RSQ11" s="16"/>
      <c r="RSR11" s="16"/>
      <c r="RSS11" s="16"/>
      <c r="RST11" s="16"/>
      <c r="RSU11" s="16"/>
      <c r="RSV11" s="16"/>
      <c r="RSW11" s="16"/>
      <c r="RSX11" s="16"/>
      <c r="RSY11" s="16"/>
      <c r="RSZ11" s="16"/>
      <c r="RTA11" s="16"/>
      <c r="RTB11" s="16"/>
      <c r="RTC11" s="16"/>
      <c r="RTD11" s="16"/>
      <c r="RTE11" s="16"/>
      <c r="RTF11" s="16"/>
      <c r="RTG11" s="16"/>
      <c r="RTH11" s="16"/>
      <c r="RTI11" s="16"/>
      <c r="RTJ11" s="16"/>
      <c r="RTK11" s="16"/>
      <c r="RTL11" s="16"/>
      <c r="RTM11" s="16"/>
      <c r="RTN11" s="16"/>
      <c r="RTO11" s="16"/>
      <c r="RTP11" s="16"/>
      <c r="RTQ11" s="16"/>
      <c r="RTR11" s="16"/>
      <c r="RTS11" s="16"/>
      <c r="RTT11" s="16"/>
      <c r="RTU11" s="16"/>
      <c r="RTV11" s="16"/>
      <c r="RTW11" s="16"/>
      <c r="RTX11" s="16"/>
      <c r="RTY11" s="16"/>
      <c r="RTZ11" s="16"/>
      <c r="RUA11" s="16"/>
      <c r="RUB11" s="16"/>
      <c r="RUC11" s="16"/>
      <c r="RUD11" s="16"/>
      <c r="RUE11" s="16"/>
      <c r="RUF11" s="16"/>
      <c r="RUG11" s="16"/>
      <c r="RUH11" s="16"/>
      <c r="RUI11" s="16"/>
      <c r="RUJ11" s="16"/>
      <c r="RUK11" s="16"/>
      <c r="RUL11" s="16"/>
      <c r="RUM11" s="16"/>
      <c r="RUN11" s="16"/>
      <c r="RUO11" s="16"/>
      <c r="RUP11" s="16"/>
      <c r="RUQ11" s="16"/>
      <c r="RUR11" s="16"/>
      <c r="RUS11" s="16"/>
      <c r="RUT11" s="16"/>
      <c r="RUU11" s="16"/>
      <c r="RUV11" s="16"/>
      <c r="RUW11" s="16"/>
      <c r="RUX11" s="16"/>
      <c r="RUY11" s="16"/>
      <c r="RUZ11" s="16"/>
      <c r="RVA11" s="16"/>
      <c r="RVB11" s="16"/>
      <c r="RVC11" s="16"/>
      <c r="RVD11" s="16"/>
      <c r="RVE11" s="16"/>
      <c r="RVF11" s="16"/>
      <c r="RVG11" s="16"/>
      <c r="RVH11" s="16"/>
      <c r="RVI11" s="16"/>
      <c r="RVJ11" s="16"/>
      <c r="RVK11" s="16"/>
      <c r="RVL11" s="16"/>
      <c r="RVM11" s="16"/>
      <c r="RVN11" s="16"/>
      <c r="RVO11" s="16"/>
      <c r="RVP11" s="16"/>
      <c r="RVQ11" s="16"/>
      <c r="RVR11" s="16"/>
      <c r="RVS11" s="16"/>
      <c r="RVT11" s="16"/>
      <c r="RVU11" s="16"/>
      <c r="RVV11" s="16"/>
      <c r="RVW11" s="16"/>
      <c r="RVX11" s="16"/>
      <c r="RVY11" s="16"/>
      <c r="RVZ11" s="16"/>
      <c r="RWA11" s="16"/>
      <c r="RWB11" s="16"/>
      <c r="RWC11" s="16"/>
      <c r="RWD11" s="16"/>
      <c r="RWE11" s="16"/>
      <c r="RWF11" s="16"/>
      <c r="RWG11" s="16"/>
      <c r="RWH11" s="16"/>
      <c r="RWI11" s="16"/>
      <c r="RWJ11" s="16"/>
      <c r="RWK11" s="16"/>
      <c r="RWL11" s="16"/>
      <c r="RWM11" s="16"/>
      <c r="RWN11" s="16"/>
      <c r="RWO11" s="16"/>
      <c r="RWP11" s="16"/>
      <c r="RWQ11" s="16"/>
      <c r="RWR11" s="16"/>
      <c r="RWS11" s="16"/>
      <c r="RWT11" s="16"/>
      <c r="RWU11" s="16"/>
      <c r="RWV11" s="16"/>
      <c r="RWW11" s="16"/>
      <c r="RWX11" s="16"/>
      <c r="RWY11" s="16"/>
      <c r="RWZ11" s="16"/>
      <c r="RXA11" s="16"/>
      <c r="RXB11" s="16"/>
      <c r="RXC11" s="16"/>
      <c r="RXD11" s="16"/>
      <c r="RXE11" s="16"/>
      <c r="RXF11" s="16"/>
      <c r="RXG11" s="16"/>
      <c r="RXH11" s="16"/>
      <c r="RXI11" s="16"/>
      <c r="RXJ11" s="16"/>
      <c r="RXK11" s="16"/>
      <c r="RXL11" s="16"/>
      <c r="RXM11" s="16"/>
      <c r="RXN11" s="16"/>
      <c r="RXO11" s="16"/>
      <c r="RXP11" s="16"/>
      <c r="RXQ11" s="16"/>
      <c r="RXR11" s="16"/>
      <c r="RXS11" s="16"/>
      <c r="RXT11" s="16"/>
      <c r="RXU11" s="16"/>
      <c r="RXV11" s="16"/>
      <c r="RXW11" s="16"/>
      <c r="RXX11" s="16"/>
      <c r="RXY11" s="16"/>
      <c r="RXZ11" s="16"/>
      <c r="RYA11" s="16"/>
      <c r="RYB11" s="16"/>
      <c r="RYC11" s="16"/>
      <c r="RYD11" s="16"/>
      <c r="RYE11" s="16"/>
      <c r="RYF11" s="16"/>
      <c r="RYG11" s="16"/>
      <c r="RYH11" s="16"/>
      <c r="RYI11" s="16"/>
      <c r="RYJ11" s="16"/>
      <c r="RYK11" s="16"/>
      <c r="RYL11" s="16"/>
      <c r="RYM11" s="16"/>
      <c r="RYN11" s="16"/>
      <c r="RYO11" s="16"/>
      <c r="RYP11" s="16"/>
      <c r="RYQ11" s="16"/>
      <c r="RYR11" s="16"/>
      <c r="RYS11" s="16"/>
      <c r="RYT11" s="16"/>
      <c r="RYU11" s="16"/>
      <c r="RYV11" s="16"/>
      <c r="RYW11" s="16"/>
      <c r="RYX11" s="16"/>
      <c r="RYY11" s="16"/>
      <c r="RYZ11" s="16"/>
      <c r="RZA11" s="16"/>
      <c r="RZB11" s="16"/>
      <c r="RZC11" s="16"/>
      <c r="RZD11" s="16"/>
      <c r="RZE11" s="16"/>
      <c r="RZF11" s="16"/>
      <c r="RZG11" s="16"/>
      <c r="RZH11" s="16"/>
      <c r="RZI11" s="16"/>
      <c r="RZJ11" s="16"/>
      <c r="RZK11" s="16"/>
      <c r="RZL11" s="16"/>
      <c r="RZM11" s="16"/>
      <c r="RZN11" s="16"/>
      <c r="RZO11" s="16"/>
      <c r="RZP11" s="16"/>
      <c r="RZQ11" s="16"/>
      <c r="RZR11" s="16"/>
      <c r="RZS11" s="16"/>
      <c r="RZT11" s="16"/>
      <c r="RZU11" s="16"/>
      <c r="RZV11" s="16"/>
      <c r="RZW11" s="16"/>
      <c r="RZX11" s="16"/>
      <c r="RZY11" s="16"/>
      <c r="RZZ11" s="16"/>
      <c r="SAA11" s="16"/>
      <c r="SAB11" s="16"/>
      <c r="SAC11" s="16"/>
      <c r="SAD11" s="16"/>
      <c r="SAE11" s="16"/>
      <c r="SAF11" s="16"/>
      <c r="SAG11" s="16"/>
      <c r="SAH11" s="16"/>
      <c r="SAI11" s="16"/>
      <c r="SAJ11" s="16"/>
      <c r="SAK11" s="16"/>
      <c r="SAL11" s="16"/>
      <c r="SAM11" s="16"/>
      <c r="SAN11" s="16"/>
      <c r="SAO11" s="16"/>
      <c r="SAP11" s="16"/>
      <c r="SAQ11" s="16"/>
      <c r="SAR11" s="16"/>
      <c r="SAS11" s="16"/>
      <c r="SAT11" s="16"/>
      <c r="SAU11" s="16"/>
      <c r="SAV11" s="16"/>
      <c r="SAW11" s="16"/>
      <c r="SAX11" s="16"/>
      <c r="SAY11" s="16"/>
      <c r="SAZ11" s="16"/>
      <c r="SBA11" s="16"/>
      <c r="SBB11" s="16"/>
      <c r="SBC11" s="16"/>
      <c r="SBD11" s="16"/>
      <c r="SBE11" s="16"/>
      <c r="SBF11" s="16"/>
      <c r="SBG11" s="16"/>
      <c r="SBH11" s="16"/>
      <c r="SBI11" s="16"/>
      <c r="SBJ11" s="16"/>
      <c r="SBK11" s="16"/>
      <c r="SBL11" s="16"/>
      <c r="SBM11" s="16"/>
      <c r="SBN11" s="16"/>
      <c r="SBO11" s="16"/>
      <c r="SBP11" s="16"/>
      <c r="SBQ11" s="16"/>
      <c r="SBR11" s="16"/>
      <c r="SBS11" s="16"/>
      <c r="SBT11" s="16"/>
      <c r="SBU11" s="16"/>
      <c r="SBV11" s="16"/>
      <c r="SBW11" s="16"/>
      <c r="SBX11" s="16"/>
      <c r="SBY11" s="16"/>
      <c r="SBZ11" s="16"/>
      <c r="SCA11" s="16"/>
      <c r="SCB11" s="16"/>
      <c r="SCC11" s="16"/>
      <c r="SCD11" s="16"/>
      <c r="SCE11" s="16"/>
      <c r="SCF11" s="16"/>
      <c r="SCG11" s="16"/>
      <c r="SCH11" s="16"/>
      <c r="SCI11" s="16"/>
      <c r="SCJ11" s="16"/>
      <c r="SCK11" s="16"/>
      <c r="SCL11" s="16"/>
      <c r="SCM11" s="16"/>
      <c r="SCN11" s="16"/>
      <c r="SCO11" s="16"/>
      <c r="SCP11" s="16"/>
      <c r="SCQ11" s="16"/>
      <c r="SCR11" s="16"/>
      <c r="SCS11" s="16"/>
      <c r="SCT11" s="16"/>
      <c r="SCU11" s="16"/>
      <c r="SCV11" s="16"/>
      <c r="SCW11" s="16"/>
      <c r="SCX11" s="16"/>
      <c r="SCY11" s="16"/>
      <c r="SCZ11" s="16"/>
      <c r="SDA11" s="16"/>
      <c r="SDB11" s="16"/>
      <c r="SDC11" s="16"/>
      <c r="SDD11" s="16"/>
      <c r="SDE11" s="16"/>
      <c r="SDF11" s="16"/>
      <c r="SDG11" s="16"/>
      <c r="SDH11" s="16"/>
      <c r="SDI11" s="16"/>
      <c r="SDJ11" s="16"/>
      <c r="SDK11" s="16"/>
      <c r="SDL11" s="16"/>
      <c r="SDM11" s="16"/>
      <c r="SDN11" s="16"/>
      <c r="SDO11" s="16"/>
      <c r="SDP11" s="16"/>
      <c r="SDQ11" s="16"/>
      <c r="SDR11" s="16"/>
      <c r="SDS11" s="16"/>
      <c r="SDT11" s="16"/>
      <c r="SDU11" s="16"/>
      <c r="SDV11" s="16"/>
      <c r="SDW11" s="16"/>
      <c r="SDX11" s="16"/>
      <c r="SDY11" s="16"/>
      <c r="SDZ11" s="16"/>
      <c r="SEA11" s="16"/>
      <c r="SEB11" s="16"/>
      <c r="SEC11" s="16"/>
      <c r="SED11" s="16"/>
      <c r="SEE11" s="16"/>
      <c r="SEF11" s="16"/>
      <c r="SEG11" s="16"/>
      <c r="SEH11" s="16"/>
      <c r="SEI11" s="16"/>
      <c r="SEJ11" s="16"/>
      <c r="SEK11" s="16"/>
      <c r="SEL11" s="16"/>
      <c r="SEM11" s="16"/>
      <c r="SEN11" s="16"/>
      <c r="SEO11" s="16"/>
      <c r="SEP11" s="16"/>
      <c r="SEQ11" s="16"/>
      <c r="SER11" s="16"/>
      <c r="SES11" s="16"/>
      <c r="SET11" s="16"/>
      <c r="SEU11" s="16"/>
      <c r="SEV11" s="16"/>
      <c r="SEW11" s="16"/>
      <c r="SEX11" s="16"/>
      <c r="SEY11" s="16"/>
      <c r="SEZ11" s="16"/>
      <c r="SFA11" s="16"/>
      <c r="SFB11" s="16"/>
      <c r="SFC11" s="16"/>
      <c r="SFD11" s="16"/>
      <c r="SFE11" s="16"/>
      <c r="SFF11" s="16"/>
      <c r="SFG11" s="16"/>
      <c r="SFH11" s="16"/>
      <c r="SFI11" s="16"/>
      <c r="SFJ11" s="16"/>
      <c r="SFK11" s="16"/>
      <c r="SFL11" s="16"/>
      <c r="SFM11" s="16"/>
      <c r="SFN11" s="16"/>
      <c r="SFO11" s="16"/>
      <c r="SFP11" s="16"/>
      <c r="SFQ11" s="16"/>
      <c r="SFR11" s="16"/>
      <c r="SFS11" s="16"/>
      <c r="SFT11" s="16"/>
      <c r="SFU11" s="16"/>
      <c r="SFV11" s="16"/>
      <c r="SFW11" s="16"/>
      <c r="SFX11" s="16"/>
      <c r="SFY11" s="16"/>
      <c r="SFZ11" s="16"/>
      <c r="SGA11" s="16"/>
      <c r="SGB11" s="16"/>
      <c r="SGC11" s="16"/>
      <c r="SGD11" s="16"/>
      <c r="SGE11" s="16"/>
      <c r="SGF11" s="16"/>
      <c r="SGG11" s="16"/>
      <c r="SGH11" s="16"/>
      <c r="SGI11" s="16"/>
      <c r="SGJ11" s="16"/>
      <c r="SGK11" s="16"/>
      <c r="SGL11" s="16"/>
      <c r="SGM11" s="16"/>
      <c r="SGN11" s="16"/>
      <c r="SGO11" s="16"/>
      <c r="SGP11" s="16"/>
      <c r="SGQ11" s="16"/>
      <c r="SGR11" s="16"/>
      <c r="SGS11" s="16"/>
      <c r="SGT11" s="16"/>
      <c r="SGU11" s="16"/>
      <c r="SGV11" s="16"/>
      <c r="SGW11" s="16"/>
      <c r="SGX11" s="16"/>
      <c r="SGY11" s="16"/>
      <c r="SGZ11" s="16"/>
      <c r="SHA11" s="16"/>
      <c r="SHB11" s="16"/>
      <c r="SHC11" s="16"/>
      <c r="SHD11" s="16"/>
      <c r="SHE11" s="16"/>
      <c r="SHF11" s="16"/>
      <c r="SHG11" s="16"/>
      <c r="SHH11" s="16"/>
      <c r="SHI11" s="16"/>
      <c r="SHJ11" s="16"/>
      <c r="SHK11" s="16"/>
      <c r="SHL11" s="16"/>
      <c r="SHM11" s="16"/>
      <c r="SHN11" s="16"/>
      <c r="SHO11" s="16"/>
      <c r="SHP11" s="16"/>
      <c r="SHQ11" s="16"/>
      <c r="SHR11" s="16"/>
      <c r="SHS11" s="16"/>
      <c r="SHT11" s="16"/>
      <c r="SHU11" s="16"/>
      <c r="SHV11" s="16"/>
      <c r="SHW11" s="16"/>
      <c r="SHX11" s="16"/>
      <c r="SHY11" s="16"/>
      <c r="SHZ11" s="16"/>
      <c r="SIA11" s="16"/>
      <c r="SIB11" s="16"/>
      <c r="SIC11" s="16"/>
      <c r="SID11" s="16"/>
      <c r="SIE11" s="16"/>
      <c r="SIF11" s="16"/>
      <c r="SIG11" s="16"/>
      <c r="SIH11" s="16"/>
      <c r="SII11" s="16"/>
      <c r="SIJ11" s="16"/>
      <c r="SIK11" s="16"/>
      <c r="SIL11" s="16"/>
      <c r="SIM11" s="16"/>
      <c r="SIN11" s="16"/>
      <c r="SIO11" s="16"/>
      <c r="SIP11" s="16"/>
      <c r="SIQ11" s="16"/>
      <c r="SIR11" s="16"/>
      <c r="SIS11" s="16"/>
      <c r="SIT11" s="16"/>
      <c r="SIU11" s="16"/>
      <c r="SIV11" s="16"/>
      <c r="SIW11" s="16"/>
      <c r="SIX11" s="16"/>
      <c r="SIY11" s="16"/>
      <c r="SIZ11" s="16"/>
      <c r="SJA11" s="16"/>
      <c r="SJB11" s="16"/>
      <c r="SJC11" s="16"/>
      <c r="SJD11" s="16"/>
      <c r="SJE11" s="16"/>
      <c r="SJF11" s="16"/>
      <c r="SJG11" s="16"/>
      <c r="SJH11" s="16"/>
      <c r="SJI11" s="16"/>
      <c r="SJJ11" s="16"/>
      <c r="SJK11" s="16"/>
      <c r="SJL11" s="16"/>
      <c r="SJM11" s="16"/>
      <c r="SJN11" s="16"/>
      <c r="SJO11" s="16"/>
      <c r="SJP11" s="16"/>
      <c r="SJQ11" s="16"/>
      <c r="SJR11" s="16"/>
      <c r="SJS11" s="16"/>
      <c r="SJT11" s="16"/>
      <c r="SJU11" s="16"/>
      <c r="SJV11" s="16"/>
      <c r="SJW11" s="16"/>
      <c r="SJX11" s="16"/>
      <c r="SJY11" s="16"/>
      <c r="SJZ11" s="16"/>
      <c r="SKA11" s="16"/>
      <c r="SKB11" s="16"/>
      <c r="SKC11" s="16"/>
      <c r="SKD11" s="16"/>
      <c r="SKE11" s="16"/>
      <c r="SKF11" s="16"/>
      <c r="SKG11" s="16"/>
      <c r="SKH11" s="16"/>
      <c r="SKI11" s="16"/>
      <c r="SKJ11" s="16"/>
      <c r="SKK11" s="16"/>
      <c r="SKL11" s="16"/>
      <c r="SKM11" s="16"/>
      <c r="SKN11" s="16"/>
      <c r="SKO11" s="16"/>
      <c r="SKP11" s="16"/>
      <c r="SKQ11" s="16"/>
      <c r="SKR11" s="16"/>
      <c r="SKS11" s="16"/>
      <c r="SKT11" s="16"/>
      <c r="SKU11" s="16"/>
      <c r="SKV11" s="16"/>
      <c r="SKW11" s="16"/>
      <c r="SKX11" s="16"/>
      <c r="SKY11" s="16"/>
      <c r="SKZ11" s="16"/>
      <c r="SLA11" s="16"/>
      <c r="SLB11" s="16"/>
      <c r="SLC11" s="16"/>
      <c r="SLD11" s="16"/>
      <c r="SLE11" s="16"/>
      <c r="SLF11" s="16"/>
      <c r="SLG11" s="16"/>
      <c r="SLH11" s="16"/>
      <c r="SLI11" s="16"/>
      <c r="SLJ11" s="16"/>
      <c r="SLK11" s="16"/>
      <c r="SLL11" s="16"/>
      <c r="SLM11" s="16"/>
      <c r="SLN11" s="16"/>
      <c r="SLO11" s="16"/>
      <c r="SLP11" s="16"/>
      <c r="SLQ11" s="16"/>
      <c r="SLR11" s="16"/>
      <c r="SLS11" s="16"/>
      <c r="SLT11" s="16"/>
      <c r="SLU11" s="16"/>
      <c r="SLV11" s="16"/>
      <c r="SLW11" s="16"/>
      <c r="SLX11" s="16"/>
      <c r="SLY11" s="16"/>
      <c r="SLZ11" s="16"/>
      <c r="SMA11" s="16"/>
      <c r="SMB11" s="16"/>
      <c r="SMC11" s="16"/>
      <c r="SMD11" s="16"/>
      <c r="SME11" s="16"/>
      <c r="SMF11" s="16"/>
      <c r="SMG11" s="16"/>
      <c r="SMH11" s="16"/>
      <c r="SMI11" s="16"/>
      <c r="SMJ11" s="16"/>
      <c r="SMK11" s="16"/>
      <c r="SML11" s="16"/>
      <c r="SMM11" s="16"/>
      <c r="SMN11" s="16"/>
      <c r="SMO11" s="16"/>
      <c r="SMP11" s="16"/>
      <c r="SMQ11" s="16"/>
      <c r="SMR11" s="16"/>
      <c r="SMS11" s="16"/>
      <c r="SMT11" s="16"/>
      <c r="SMU11" s="16"/>
      <c r="SMV11" s="16"/>
      <c r="SMW11" s="16"/>
      <c r="SMX11" s="16"/>
      <c r="SMY11" s="16"/>
      <c r="SMZ11" s="16"/>
      <c r="SNA11" s="16"/>
      <c r="SNB11" s="16"/>
      <c r="SNC11" s="16"/>
      <c r="SND11" s="16"/>
      <c r="SNE11" s="16"/>
      <c r="SNF11" s="16"/>
      <c r="SNG11" s="16"/>
      <c r="SNH11" s="16"/>
      <c r="SNI11" s="16"/>
      <c r="SNJ11" s="16"/>
      <c r="SNK11" s="16"/>
      <c r="SNL11" s="16"/>
      <c r="SNM11" s="16"/>
      <c r="SNN11" s="16"/>
      <c r="SNO11" s="16"/>
      <c r="SNP11" s="16"/>
      <c r="SNQ11" s="16"/>
      <c r="SNR11" s="16"/>
      <c r="SNS11" s="16"/>
      <c r="SNT11" s="16"/>
      <c r="SNU11" s="16"/>
      <c r="SNV11" s="16"/>
      <c r="SNW11" s="16"/>
      <c r="SNX11" s="16"/>
      <c r="SNY11" s="16"/>
      <c r="SNZ11" s="16"/>
      <c r="SOA11" s="16"/>
      <c r="SOB11" s="16"/>
      <c r="SOC11" s="16"/>
      <c r="SOD11" s="16"/>
      <c r="SOE11" s="16"/>
      <c r="SOF11" s="16"/>
      <c r="SOG11" s="16"/>
      <c r="SOH11" s="16"/>
      <c r="SOI11" s="16"/>
      <c r="SOJ11" s="16"/>
      <c r="SOK11" s="16"/>
      <c r="SOL11" s="16"/>
      <c r="SOM11" s="16"/>
      <c r="SON11" s="16"/>
      <c r="SOO11" s="16"/>
      <c r="SOP11" s="16"/>
      <c r="SOQ11" s="16"/>
      <c r="SOR11" s="16"/>
      <c r="SOS11" s="16"/>
      <c r="SOT11" s="16"/>
      <c r="SOU11" s="16"/>
      <c r="SOV11" s="16"/>
      <c r="SOW11" s="16"/>
      <c r="SOX11" s="16"/>
      <c r="SOY11" s="16"/>
      <c r="SOZ11" s="16"/>
      <c r="SPA11" s="16"/>
      <c r="SPB11" s="16"/>
      <c r="SPC11" s="16"/>
      <c r="SPD11" s="16"/>
      <c r="SPE11" s="16"/>
      <c r="SPF11" s="16"/>
      <c r="SPG11" s="16"/>
      <c r="SPH11" s="16"/>
      <c r="SPI11" s="16"/>
      <c r="SPJ11" s="16"/>
      <c r="SPK11" s="16"/>
      <c r="SPL11" s="16"/>
      <c r="SPM11" s="16"/>
      <c r="SPN11" s="16"/>
      <c r="SPO11" s="16"/>
      <c r="SPP11" s="16"/>
      <c r="SPQ11" s="16"/>
      <c r="SPR11" s="16"/>
      <c r="SPS11" s="16"/>
      <c r="SPT11" s="16"/>
      <c r="SPU11" s="16"/>
      <c r="SPV11" s="16"/>
      <c r="SPW11" s="16"/>
      <c r="SPX11" s="16"/>
      <c r="SPY11" s="16"/>
      <c r="SPZ11" s="16"/>
      <c r="SQA11" s="16"/>
      <c r="SQB11" s="16"/>
      <c r="SQC11" s="16"/>
      <c r="SQD11" s="16"/>
      <c r="SQE11" s="16"/>
      <c r="SQF11" s="16"/>
      <c r="SQG11" s="16"/>
      <c r="SQH11" s="16"/>
      <c r="SQI11" s="16"/>
      <c r="SQJ11" s="16"/>
      <c r="SQK11" s="16"/>
      <c r="SQL11" s="16"/>
      <c r="SQM11" s="16"/>
      <c r="SQN11" s="16"/>
      <c r="SQO11" s="16"/>
      <c r="SQP11" s="16"/>
      <c r="SQQ11" s="16"/>
      <c r="SQR11" s="16"/>
      <c r="SQS11" s="16"/>
      <c r="SQT11" s="16"/>
      <c r="SQU11" s="16"/>
      <c r="SQV11" s="16"/>
      <c r="SQW11" s="16"/>
      <c r="SQX11" s="16"/>
      <c r="SQY11" s="16"/>
      <c r="SQZ11" s="16"/>
      <c r="SRA11" s="16"/>
      <c r="SRB11" s="16"/>
      <c r="SRC11" s="16"/>
      <c r="SRD11" s="16"/>
      <c r="SRE11" s="16"/>
      <c r="SRF11" s="16"/>
      <c r="SRG11" s="16"/>
      <c r="SRH11" s="16"/>
      <c r="SRI11" s="16"/>
      <c r="SRJ11" s="16"/>
      <c r="SRK11" s="16"/>
      <c r="SRL11" s="16"/>
      <c r="SRM11" s="16"/>
      <c r="SRN11" s="16"/>
      <c r="SRO11" s="16"/>
      <c r="SRP11" s="16"/>
      <c r="SRQ11" s="16"/>
      <c r="SRR11" s="16"/>
      <c r="SRS11" s="16"/>
      <c r="SRT11" s="16"/>
      <c r="SRU11" s="16"/>
      <c r="SRV11" s="16"/>
      <c r="SRW11" s="16"/>
      <c r="SRX11" s="16"/>
      <c r="SRY11" s="16"/>
      <c r="SRZ11" s="16"/>
      <c r="SSA11" s="16"/>
      <c r="SSB11" s="16"/>
      <c r="SSC11" s="16"/>
      <c r="SSD11" s="16"/>
      <c r="SSE11" s="16"/>
      <c r="SSF11" s="16"/>
      <c r="SSG11" s="16"/>
      <c r="SSH11" s="16"/>
      <c r="SSI11" s="16"/>
      <c r="SSJ11" s="16"/>
      <c r="SSK11" s="16"/>
      <c r="SSL11" s="16"/>
      <c r="SSM11" s="16"/>
      <c r="SSN11" s="16"/>
      <c r="SSO11" s="16"/>
      <c r="SSP11" s="16"/>
      <c r="SSQ11" s="16"/>
      <c r="SSR11" s="16"/>
      <c r="SSS11" s="16"/>
      <c r="SST11" s="16"/>
      <c r="SSU11" s="16"/>
      <c r="SSV11" s="16"/>
      <c r="SSW11" s="16"/>
      <c r="SSX11" s="16"/>
      <c r="SSY11" s="16"/>
      <c r="SSZ11" s="16"/>
      <c r="STA11" s="16"/>
      <c r="STB11" s="16"/>
      <c r="STC11" s="16"/>
      <c r="STD11" s="16"/>
      <c r="STE11" s="16"/>
      <c r="STF11" s="16"/>
      <c r="STG11" s="16"/>
      <c r="STH11" s="16"/>
      <c r="STI11" s="16"/>
      <c r="STJ11" s="16"/>
      <c r="STK11" s="16"/>
      <c r="STL11" s="16"/>
      <c r="STM11" s="16"/>
      <c r="STN11" s="16"/>
      <c r="STO11" s="16"/>
      <c r="STP11" s="16"/>
      <c r="STQ11" s="16"/>
      <c r="STR11" s="16"/>
      <c r="STS11" s="16"/>
      <c r="STT11" s="16"/>
      <c r="STU11" s="16"/>
      <c r="STV11" s="16"/>
      <c r="STW11" s="16"/>
      <c r="STX11" s="16"/>
      <c r="STY11" s="16"/>
      <c r="STZ11" s="16"/>
      <c r="SUA11" s="16"/>
      <c r="SUB11" s="16"/>
      <c r="SUC11" s="16"/>
      <c r="SUD11" s="16"/>
      <c r="SUE11" s="16"/>
      <c r="SUF11" s="16"/>
      <c r="SUG11" s="16"/>
      <c r="SUH11" s="16"/>
      <c r="SUI11" s="16"/>
      <c r="SUJ11" s="16"/>
      <c r="SUK11" s="16"/>
      <c r="SUL11" s="16"/>
      <c r="SUM11" s="16"/>
      <c r="SUN11" s="16"/>
      <c r="SUO11" s="16"/>
      <c r="SUP11" s="16"/>
      <c r="SUQ11" s="16"/>
      <c r="SUR11" s="16"/>
      <c r="SUS11" s="16"/>
      <c r="SUT11" s="16"/>
      <c r="SUU11" s="16"/>
      <c r="SUV11" s="16"/>
      <c r="SUW11" s="16"/>
      <c r="SUX11" s="16"/>
      <c r="SUY11" s="16"/>
      <c r="SUZ11" s="16"/>
      <c r="SVA11" s="16"/>
      <c r="SVB11" s="16"/>
      <c r="SVC11" s="16"/>
      <c r="SVD11" s="16"/>
      <c r="SVE11" s="16"/>
      <c r="SVF11" s="16"/>
      <c r="SVG11" s="16"/>
      <c r="SVH11" s="16"/>
      <c r="SVI11" s="16"/>
      <c r="SVJ11" s="16"/>
      <c r="SVK11" s="16"/>
      <c r="SVL11" s="16"/>
      <c r="SVM11" s="16"/>
      <c r="SVN11" s="16"/>
      <c r="SVO11" s="16"/>
      <c r="SVP11" s="16"/>
      <c r="SVQ11" s="16"/>
      <c r="SVR11" s="16"/>
      <c r="SVS11" s="16"/>
      <c r="SVT11" s="16"/>
      <c r="SVU11" s="16"/>
      <c r="SVV11" s="16"/>
      <c r="SVW11" s="16"/>
      <c r="SVX11" s="16"/>
      <c r="SVY11" s="16"/>
      <c r="SVZ11" s="16"/>
      <c r="SWA11" s="16"/>
      <c r="SWB11" s="16"/>
      <c r="SWC11" s="16"/>
      <c r="SWD11" s="16"/>
      <c r="SWE11" s="16"/>
      <c r="SWF11" s="16"/>
      <c r="SWG11" s="16"/>
      <c r="SWH11" s="16"/>
      <c r="SWI11" s="16"/>
      <c r="SWJ11" s="16"/>
      <c r="SWK11" s="16"/>
      <c r="SWL11" s="16"/>
      <c r="SWM11" s="16"/>
      <c r="SWN11" s="16"/>
      <c r="SWO11" s="16"/>
      <c r="SWP11" s="16"/>
      <c r="SWQ11" s="16"/>
      <c r="SWR11" s="16"/>
      <c r="SWS11" s="16"/>
      <c r="SWT11" s="16"/>
      <c r="SWU11" s="16"/>
      <c r="SWV11" s="16"/>
      <c r="SWW11" s="16"/>
      <c r="SWX11" s="16"/>
      <c r="SWY11" s="16"/>
      <c r="SWZ11" s="16"/>
      <c r="SXA11" s="16"/>
      <c r="SXB11" s="16"/>
      <c r="SXC11" s="16"/>
      <c r="SXD11" s="16"/>
      <c r="SXE11" s="16"/>
      <c r="SXF11" s="16"/>
      <c r="SXG11" s="16"/>
      <c r="SXH11" s="16"/>
      <c r="SXI11" s="16"/>
      <c r="SXJ11" s="16"/>
      <c r="SXK11" s="16"/>
      <c r="SXL11" s="16"/>
      <c r="SXM11" s="16"/>
      <c r="SXN11" s="16"/>
      <c r="SXO11" s="16"/>
      <c r="SXP11" s="16"/>
      <c r="SXQ11" s="16"/>
      <c r="SXR11" s="16"/>
      <c r="SXS11" s="16"/>
      <c r="SXT11" s="16"/>
      <c r="SXU11" s="16"/>
      <c r="SXV11" s="16"/>
      <c r="SXW11" s="16"/>
      <c r="SXX11" s="16"/>
      <c r="SXY11" s="16"/>
      <c r="SXZ11" s="16"/>
      <c r="SYA11" s="16"/>
      <c r="SYB11" s="16"/>
      <c r="SYC11" s="16"/>
      <c r="SYD11" s="16"/>
      <c r="SYE11" s="16"/>
      <c r="SYF11" s="16"/>
      <c r="SYG11" s="16"/>
      <c r="SYH11" s="16"/>
      <c r="SYI11" s="16"/>
      <c r="SYJ11" s="16"/>
      <c r="SYK11" s="16"/>
      <c r="SYL11" s="16"/>
      <c r="SYM11" s="16"/>
      <c r="SYN11" s="16"/>
      <c r="SYO11" s="16"/>
      <c r="SYP11" s="16"/>
      <c r="SYQ11" s="16"/>
      <c r="SYR11" s="16"/>
      <c r="SYS11" s="16"/>
      <c r="SYT11" s="16"/>
      <c r="SYU11" s="16"/>
      <c r="SYV11" s="16"/>
      <c r="SYW11" s="16"/>
      <c r="SYX11" s="16"/>
      <c r="SYY11" s="16"/>
      <c r="SYZ11" s="16"/>
      <c r="SZA11" s="16"/>
      <c r="SZB11" s="16"/>
      <c r="SZC11" s="16"/>
      <c r="SZD11" s="16"/>
      <c r="SZE11" s="16"/>
      <c r="SZF11" s="16"/>
      <c r="SZG11" s="16"/>
      <c r="SZH11" s="16"/>
      <c r="SZI11" s="16"/>
      <c r="SZJ11" s="16"/>
      <c r="SZK11" s="16"/>
      <c r="SZL11" s="16"/>
      <c r="SZM11" s="16"/>
      <c r="SZN11" s="16"/>
      <c r="SZO11" s="16"/>
      <c r="SZP11" s="16"/>
      <c r="SZQ11" s="16"/>
      <c r="SZR11" s="16"/>
      <c r="SZS11" s="16"/>
      <c r="SZT11" s="16"/>
      <c r="SZU11" s="16"/>
      <c r="SZV11" s="16"/>
      <c r="SZW11" s="16"/>
      <c r="SZX11" s="16"/>
      <c r="SZY11" s="16"/>
      <c r="SZZ11" s="16"/>
      <c r="TAA11" s="16"/>
      <c r="TAB11" s="16"/>
      <c r="TAC11" s="16"/>
      <c r="TAD11" s="16"/>
      <c r="TAE11" s="16"/>
      <c r="TAF11" s="16"/>
      <c r="TAG11" s="16"/>
      <c r="TAH11" s="16"/>
      <c r="TAI11" s="16"/>
      <c r="TAJ11" s="16"/>
      <c r="TAK11" s="16"/>
      <c r="TAL11" s="16"/>
      <c r="TAM11" s="16"/>
      <c r="TAN11" s="16"/>
      <c r="TAO11" s="16"/>
      <c r="TAP11" s="16"/>
      <c r="TAQ11" s="16"/>
      <c r="TAR11" s="16"/>
      <c r="TAS11" s="16"/>
      <c r="TAT11" s="16"/>
      <c r="TAU11" s="16"/>
      <c r="TAV11" s="16"/>
      <c r="TAW11" s="16"/>
      <c r="TAX11" s="16"/>
      <c r="TAY11" s="16"/>
      <c r="TAZ11" s="16"/>
      <c r="TBA11" s="16"/>
      <c r="TBB11" s="16"/>
      <c r="TBC11" s="16"/>
      <c r="TBD11" s="16"/>
      <c r="TBE11" s="16"/>
      <c r="TBF11" s="16"/>
      <c r="TBG11" s="16"/>
      <c r="TBH11" s="16"/>
      <c r="TBI11" s="16"/>
      <c r="TBJ11" s="16"/>
      <c r="TBK11" s="16"/>
      <c r="TBL11" s="16"/>
      <c r="TBM11" s="16"/>
      <c r="TBN11" s="16"/>
      <c r="TBO11" s="16"/>
      <c r="TBP11" s="16"/>
      <c r="TBQ11" s="16"/>
      <c r="TBR11" s="16"/>
      <c r="TBS11" s="16"/>
      <c r="TBT11" s="16"/>
      <c r="TBU11" s="16"/>
      <c r="TBV11" s="16"/>
      <c r="TBW11" s="16"/>
      <c r="TBX11" s="16"/>
      <c r="TBY11" s="16"/>
      <c r="TBZ11" s="16"/>
      <c r="TCA11" s="16"/>
      <c r="TCB11" s="16"/>
      <c r="TCC11" s="16"/>
      <c r="TCD11" s="16"/>
      <c r="TCE11" s="16"/>
      <c r="TCF11" s="16"/>
      <c r="TCG11" s="16"/>
      <c r="TCH11" s="16"/>
      <c r="TCI11" s="16"/>
      <c r="TCJ11" s="16"/>
      <c r="TCK11" s="16"/>
      <c r="TCL11" s="16"/>
      <c r="TCM11" s="16"/>
      <c r="TCN11" s="16"/>
      <c r="TCO11" s="16"/>
      <c r="TCP11" s="16"/>
      <c r="TCQ11" s="16"/>
      <c r="TCR11" s="16"/>
      <c r="TCS11" s="16"/>
      <c r="TCT11" s="16"/>
      <c r="TCU11" s="16"/>
      <c r="TCV11" s="16"/>
      <c r="TCW11" s="16"/>
      <c r="TCX11" s="16"/>
      <c r="TCY11" s="16"/>
      <c r="TCZ11" s="16"/>
      <c r="TDA11" s="16"/>
      <c r="TDB11" s="16"/>
      <c r="TDC11" s="16"/>
      <c r="TDD11" s="16"/>
      <c r="TDE11" s="16"/>
      <c r="TDF11" s="16"/>
      <c r="TDG11" s="16"/>
      <c r="TDH11" s="16"/>
      <c r="TDI11" s="16"/>
      <c r="TDJ11" s="16"/>
      <c r="TDK11" s="16"/>
      <c r="TDL11" s="16"/>
      <c r="TDM11" s="16"/>
      <c r="TDN11" s="16"/>
      <c r="TDO11" s="16"/>
      <c r="TDP11" s="16"/>
      <c r="TDQ11" s="16"/>
      <c r="TDR11" s="16"/>
      <c r="TDS11" s="16"/>
      <c r="TDT11" s="16"/>
      <c r="TDU11" s="16"/>
      <c r="TDV11" s="16"/>
      <c r="TDW11" s="16"/>
      <c r="TDX11" s="16"/>
      <c r="TDY11" s="16"/>
      <c r="TDZ11" s="16"/>
      <c r="TEA11" s="16"/>
      <c r="TEB11" s="16"/>
      <c r="TEC11" s="16"/>
      <c r="TED11" s="16"/>
      <c r="TEE11" s="16"/>
      <c r="TEF11" s="16"/>
      <c r="TEG11" s="16"/>
      <c r="TEH11" s="16"/>
      <c r="TEI11" s="16"/>
      <c r="TEJ11" s="16"/>
      <c r="TEK11" s="16"/>
      <c r="TEL11" s="16"/>
      <c r="TEM11" s="16"/>
      <c r="TEN11" s="16"/>
      <c r="TEO11" s="16"/>
      <c r="TEP11" s="16"/>
      <c r="TEQ11" s="16"/>
      <c r="TER11" s="16"/>
      <c r="TES11" s="16"/>
      <c r="TET11" s="16"/>
      <c r="TEU11" s="16"/>
      <c r="TEV11" s="16"/>
      <c r="TEW11" s="16"/>
      <c r="TEX11" s="16"/>
      <c r="TEY11" s="16"/>
      <c r="TEZ11" s="16"/>
      <c r="TFA11" s="16"/>
      <c r="TFB11" s="16"/>
      <c r="TFC11" s="16"/>
      <c r="TFD11" s="16"/>
      <c r="TFE11" s="16"/>
      <c r="TFF11" s="16"/>
      <c r="TFG11" s="16"/>
      <c r="TFH11" s="16"/>
      <c r="TFI11" s="16"/>
      <c r="TFJ11" s="16"/>
      <c r="TFK11" s="16"/>
      <c r="TFL11" s="16"/>
      <c r="TFM11" s="16"/>
      <c r="TFN11" s="16"/>
      <c r="TFO11" s="16"/>
      <c r="TFP11" s="16"/>
      <c r="TFQ11" s="16"/>
      <c r="TFR11" s="16"/>
      <c r="TFS11" s="16"/>
      <c r="TFT11" s="16"/>
      <c r="TFU11" s="16"/>
      <c r="TFV11" s="16"/>
      <c r="TFW11" s="16"/>
      <c r="TFX11" s="16"/>
      <c r="TFY11" s="16"/>
      <c r="TFZ11" s="16"/>
      <c r="TGA11" s="16"/>
      <c r="TGB11" s="16"/>
      <c r="TGC11" s="16"/>
      <c r="TGD11" s="16"/>
      <c r="TGE11" s="16"/>
      <c r="TGF11" s="16"/>
      <c r="TGG11" s="16"/>
      <c r="TGH11" s="16"/>
      <c r="TGI11" s="16"/>
      <c r="TGJ11" s="16"/>
      <c r="TGK11" s="16"/>
      <c r="TGL11" s="16"/>
      <c r="TGM11" s="16"/>
      <c r="TGN11" s="16"/>
      <c r="TGO11" s="16"/>
      <c r="TGP11" s="16"/>
      <c r="TGQ11" s="16"/>
      <c r="TGR11" s="16"/>
      <c r="TGS11" s="16"/>
      <c r="TGT11" s="16"/>
      <c r="TGU11" s="16"/>
      <c r="TGV11" s="16"/>
      <c r="TGW11" s="16"/>
      <c r="TGX11" s="16"/>
      <c r="TGY11" s="16"/>
      <c r="TGZ11" s="16"/>
      <c r="THA11" s="16"/>
      <c r="THB11" s="16"/>
      <c r="THC11" s="16"/>
      <c r="THD11" s="16"/>
      <c r="THE11" s="16"/>
      <c r="THF11" s="16"/>
      <c r="THG11" s="16"/>
      <c r="THH11" s="16"/>
      <c r="THI11" s="16"/>
      <c r="THJ11" s="16"/>
      <c r="THK11" s="16"/>
      <c r="THL11" s="16"/>
      <c r="THM11" s="16"/>
      <c r="THN11" s="16"/>
      <c r="THO11" s="16"/>
      <c r="THP11" s="16"/>
      <c r="THQ11" s="16"/>
      <c r="THR11" s="16"/>
      <c r="THS11" s="16"/>
      <c r="THT11" s="16"/>
      <c r="THU11" s="16"/>
      <c r="THV11" s="16"/>
      <c r="THW11" s="16"/>
      <c r="THX11" s="16"/>
      <c r="THY11" s="16"/>
      <c r="THZ11" s="16"/>
      <c r="TIA11" s="16"/>
      <c r="TIB11" s="16"/>
      <c r="TIC11" s="16"/>
      <c r="TID11" s="16"/>
      <c r="TIE11" s="16"/>
      <c r="TIF11" s="16"/>
      <c r="TIG11" s="16"/>
      <c r="TIH11" s="16"/>
      <c r="TII11" s="16"/>
      <c r="TIJ11" s="16"/>
      <c r="TIK11" s="16"/>
      <c r="TIL11" s="16"/>
      <c r="TIM11" s="16"/>
      <c r="TIN11" s="16"/>
      <c r="TIO11" s="16"/>
      <c r="TIP11" s="16"/>
      <c r="TIQ11" s="16"/>
      <c r="TIR11" s="16"/>
      <c r="TIS11" s="16"/>
      <c r="TIT11" s="16"/>
      <c r="TIU11" s="16"/>
      <c r="TIV11" s="16"/>
      <c r="TIW11" s="16"/>
      <c r="TIX11" s="16"/>
      <c r="TIY11" s="16"/>
      <c r="TIZ11" s="16"/>
      <c r="TJA11" s="16"/>
      <c r="TJB11" s="16"/>
      <c r="TJC11" s="16"/>
      <c r="TJD11" s="16"/>
      <c r="TJE11" s="16"/>
      <c r="TJF11" s="16"/>
      <c r="TJG11" s="16"/>
      <c r="TJH11" s="16"/>
      <c r="TJI11" s="16"/>
      <c r="TJJ11" s="16"/>
      <c r="TJK11" s="16"/>
      <c r="TJL11" s="16"/>
      <c r="TJM11" s="16"/>
      <c r="TJN11" s="16"/>
      <c r="TJO11" s="16"/>
      <c r="TJP11" s="16"/>
      <c r="TJQ11" s="16"/>
      <c r="TJR11" s="16"/>
      <c r="TJS11" s="16"/>
      <c r="TJT11" s="16"/>
      <c r="TJU11" s="16"/>
      <c r="TJV11" s="16"/>
      <c r="TJW11" s="16"/>
      <c r="TJX11" s="16"/>
      <c r="TJY11" s="16"/>
      <c r="TJZ11" s="16"/>
      <c r="TKA11" s="16"/>
      <c r="TKB11" s="16"/>
      <c r="TKC11" s="16"/>
      <c r="TKD11" s="16"/>
      <c r="TKE11" s="16"/>
      <c r="TKF11" s="16"/>
      <c r="TKG11" s="16"/>
      <c r="TKH11" s="16"/>
      <c r="TKI11" s="16"/>
      <c r="TKJ11" s="16"/>
      <c r="TKK11" s="16"/>
      <c r="TKL11" s="16"/>
      <c r="TKM11" s="16"/>
      <c r="TKN11" s="16"/>
      <c r="TKO11" s="16"/>
      <c r="TKP11" s="16"/>
      <c r="TKQ11" s="16"/>
      <c r="TKR11" s="16"/>
      <c r="TKS11" s="16"/>
      <c r="TKT11" s="16"/>
      <c r="TKU11" s="16"/>
      <c r="TKV11" s="16"/>
      <c r="TKW11" s="16"/>
      <c r="TKX11" s="16"/>
      <c r="TKY11" s="16"/>
      <c r="TKZ11" s="16"/>
      <c r="TLA11" s="16"/>
      <c r="TLB11" s="16"/>
      <c r="TLC11" s="16"/>
      <c r="TLD11" s="16"/>
      <c r="TLE11" s="16"/>
      <c r="TLF11" s="16"/>
      <c r="TLG11" s="16"/>
      <c r="TLH11" s="16"/>
      <c r="TLI11" s="16"/>
      <c r="TLJ11" s="16"/>
      <c r="TLK11" s="16"/>
      <c r="TLL11" s="16"/>
      <c r="TLM11" s="16"/>
      <c r="TLN11" s="16"/>
      <c r="TLO11" s="16"/>
      <c r="TLP11" s="16"/>
      <c r="TLQ11" s="16"/>
      <c r="TLR11" s="16"/>
      <c r="TLS11" s="16"/>
      <c r="TLT11" s="16"/>
      <c r="TLU11" s="16"/>
      <c r="TLV11" s="16"/>
      <c r="TLW11" s="16"/>
      <c r="TLX11" s="16"/>
      <c r="TLY11" s="16"/>
      <c r="TLZ11" s="16"/>
      <c r="TMA11" s="16"/>
      <c r="TMB11" s="16"/>
      <c r="TMC11" s="16"/>
      <c r="TMD11" s="16"/>
      <c r="TME11" s="16"/>
      <c r="TMF11" s="16"/>
      <c r="TMG11" s="16"/>
      <c r="TMH11" s="16"/>
      <c r="TMI11" s="16"/>
      <c r="TMJ11" s="16"/>
      <c r="TMK11" s="16"/>
      <c r="TML11" s="16"/>
      <c r="TMM11" s="16"/>
      <c r="TMN11" s="16"/>
      <c r="TMO11" s="16"/>
      <c r="TMP11" s="16"/>
      <c r="TMQ11" s="16"/>
      <c r="TMR11" s="16"/>
      <c r="TMS11" s="16"/>
      <c r="TMT11" s="16"/>
      <c r="TMU11" s="16"/>
      <c r="TMV11" s="16"/>
      <c r="TMW11" s="16"/>
      <c r="TMX11" s="16"/>
      <c r="TMY11" s="16"/>
      <c r="TMZ11" s="16"/>
      <c r="TNA11" s="16"/>
      <c r="TNB11" s="16"/>
      <c r="TNC11" s="16"/>
      <c r="TND11" s="16"/>
      <c r="TNE11" s="16"/>
      <c r="TNF11" s="16"/>
      <c r="TNG11" s="16"/>
      <c r="TNH11" s="16"/>
      <c r="TNI11" s="16"/>
      <c r="TNJ11" s="16"/>
      <c r="TNK11" s="16"/>
      <c r="TNL11" s="16"/>
      <c r="TNM11" s="16"/>
      <c r="TNN11" s="16"/>
      <c r="TNO11" s="16"/>
      <c r="TNP11" s="16"/>
      <c r="TNQ11" s="16"/>
      <c r="TNR11" s="16"/>
      <c r="TNS11" s="16"/>
      <c r="TNT11" s="16"/>
      <c r="TNU11" s="16"/>
      <c r="TNV11" s="16"/>
      <c r="TNW11" s="16"/>
      <c r="TNX11" s="16"/>
      <c r="TNY11" s="16"/>
      <c r="TNZ11" s="16"/>
      <c r="TOA11" s="16"/>
      <c r="TOB11" s="16"/>
      <c r="TOC11" s="16"/>
      <c r="TOD11" s="16"/>
      <c r="TOE11" s="16"/>
      <c r="TOF11" s="16"/>
      <c r="TOG11" s="16"/>
      <c r="TOH11" s="16"/>
      <c r="TOI11" s="16"/>
      <c r="TOJ11" s="16"/>
      <c r="TOK11" s="16"/>
      <c r="TOL11" s="16"/>
      <c r="TOM11" s="16"/>
      <c r="TON11" s="16"/>
      <c r="TOO11" s="16"/>
      <c r="TOP11" s="16"/>
      <c r="TOQ11" s="16"/>
      <c r="TOR11" s="16"/>
      <c r="TOS11" s="16"/>
      <c r="TOT11" s="16"/>
      <c r="TOU11" s="16"/>
      <c r="TOV11" s="16"/>
      <c r="TOW11" s="16"/>
      <c r="TOX11" s="16"/>
      <c r="TOY11" s="16"/>
      <c r="TOZ11" s="16"/>
      <c r="TPA11" s="16"/>
      <c r="TPB11" s="16"/>
      <c r="TPC11" s="16"/>
      <c r="TPD11" s="16"/>
      <c r="TPE11" s="16"/>
      <c r="TPF11" s="16"/>
      <c r="TPG11" s="16"/>
      <c r="TPH11" s="16"/>
      <c r="TPI11" s="16"/>
      <c r="TPJ11" s="16"/>
      <c r="TPK11" s="16"/>
      <c r="TPL11" s="16"/>
      <c r="TPM11" s="16"/>
      <c r="TPN11" s="16"/>
      <c r="TPO11" s="16"/>
      <c r="TPP11" s="16"/>
      <c r="TPQ11" s="16"/>
      <c r="TPR11" s="16"/>
      <c r="TPS11" s="16"/>
      <c r="TPT11" s="16"/>
      <c r="TPU11" s="16"/>
      <c r="TPV11" s="16"/>
      <c r="TPW11" s="16"/>
      <c r="TPX11" s="16"/>
      <c r="TPY11" s="16"/>
      <c r="TPZ11" s="16"/>
      <c r="TQA11" s="16"/>
      <c r="TQB11" s="16"/>
      <c r="TQC11" s="16"/>
      <c r="TQD11" s="16"/>
      <c r="TQE11" s="16"/>
      <c r="TQF11" s="16"/>
      <c r="TQG11" s="16"/>
      <c r="TQH11" s="16"/>
      <c r="TQI11" s="16"/>
      <c r="TQJ11" s="16"/>
      <c r="TQK11" s="16"/>
      <c r="TQL11" s="16"/>
      <c r="TQM11" s="16"/>
      <c r="TQN11" s="16"/>
      <c r="TQO11" s="16"/>
      <c r="TQP11" s="16"/>
      <c r="TQQ11" s="16"/>
      <c r="TQR11" s="16"/>
      <c r="TQS11" s="16"/>
      <c r="TQT11" s="16"/>
      <c r="TQU11" s="16"/>
      <c r="TQV11" s="16"/>
      <c r="TQW11" s="16"/>
      <c r="TQX11" s="16"/>
      <c r="TQY11" s="16"/>
      <c r="TQZ11" s="16"/>
      <c r="TRA11" s="16"/>
      <c r="TRB11" s="16"/>
      <c r="TRC11" s="16"/>
      <c r="TRD11" s="16"/>
      <c r="TRE11" s="16"/>
      <c r="TRF11" s="16"/>
      <c r="TRG11" s="16"/>
      <c r="TRH11" s="16"/>
      <c r="TRI11" s="16"/>
      <c r="TRJ11" s="16"/>
      <c r="TRK11" s="16"/>
      <c r="TRL11" s="16"/>
      <c r="TRM11" s="16"/>
      <c r="TRN11" s="16"/>
      <c r="TRO11" s="16"/>
      <c r="TRP11" s="16"/>
      <c r="TRQ11" s="16"/>
      <c r="TRR11" s="16"/>
      <c r="TRS11" s="16"/>
      <c r="TRT11" s="16"/>
      <c r="TRU11" s="16"/>
      <c r="TRV11" s="16"/>
      <c r="TRW11" s="16"/>
      <c r="TRX11" s="16"/>
      <c r="TRY11" s="16"/>
      <c r="TRZ11" s="16"/>
      <c r="TSA11" s="16"/>
      <c r="TSB11" s="16"/>
      <c r="TSC11" s="16"/>
      <c r="TSD11" s="16"/>
      <c r="TSE11" s="16"/>
      <c r="TSF11" s="16"/>
      <c r="TSG11" s="16"/>
      <c r="TSH11" s="16"/>
      <c r="TSI11" s="16"/>
      <c r="TSJ11" s="16"/>
      <c r="TSK11" s="16"/>
      <c r="TSL11" s="16"/>
      <c r="TSM11" s="16"/>
      <c r="TSN11" s="16"/>
      <c r="TSO11" s="16"/>
      <c r="TSP11" s="16"/>
      <c r="TSQ11" s="16"/>
      <c r="TSR11" s="16"/>
      <c r="TSS11" s="16"/>
      <c r="TST11" s="16"/>
      <c r="TSU11" s="16"/>
      <c r="TSV11" s="16"/>
      <c r="TSW11" s="16"/>
      <c r="TSX11" s="16"/>
      <c r="TSY11" s="16"/>
      <c r="TSZ11" s="16"/>
      <c r="TTA11" s="16"/>
      <c r="TTB11" s="16"/>
      <c r="TTC11" s="16"/>
      <c r="TTD11" s="16"/>
      <c r="TTE11" s="16"/>
      <c r="TTF11" s="16"/>
      <c r="TTG11" s="16"/>
      <c r="TTH11" s="16"/>
      <c r="TTI11" s="16"/>
      <c r="TTJ11" s="16"/>
      <c r="TTK11" s="16"/>
      <c r="TTL11" s="16"/>
      <c r="TTM11" s="16"/>
      <c r="TTN11" s="16"/>
      <c r="TTO11" s="16"/>
      <c r="TTP11" s="16"/>
      <c r="TTQ11" s="16"/>
      <c r="TTR11" s="16"/>
      <c r="TTS11" s="16"/>
      <c r="TTT11" s="16"/>
      <c r="TTU11" s="16"/>
      <c r="TTV11" s="16"/>
      <c r="TTW11" s="16"/>
      <c r="TTX11" s="16"/>
      <c r="TTY11" s="16"/>
      <c r="TTZ11" s="16"/>
      <c r="TUA11" s="16"/>
      <c r="TUB11" s="16"/>
      <c r="TUC11" s="16"/>
      <c r="TUD11" s="16"/>
      <c r="TUE11" s="16"/>
      <c r="TUF11" s="16"/>
      <c r="TUG11" s="16"/>
      <c r="TUH11" s="16"/>
      <c r="TUI11" s="16"/>
      <c r="TUJ11" s="16"/>
      <c r="TUK11" s="16"/>
      <c r="TUL11" s="16"/>
      <c r="TUM11" s="16"/>
      <c r="TUN11" s="16"/>
      <c r="TUO11" s="16"/>
      <c r="TUP11" s="16"/>
      <c r="TUQ11" s="16"/>
      <c r="TUR11" s="16"/>
      <c r="TUS11" s="16"/>
      <c r="TUT11" s="16"/>
      <c r="TUU11" s="16"/>
      <c r="TUV11" s="16"/>
      <c r="TUW11" s="16"/>
      <c r="TUX11" s="16"/>
      <c r="TUY11" s="16"/>
      <c r="TUZ11" s="16"/>
      <c r="TVA11" s="16"/>
      <c r="TVB11" s="16"/>
      <c r="TVC11" s="16"/>
      <c r="TVD11" s="16"/>
      <c r="TVE11" s="16"/>
      <c r="TVF11" s="16"/>
      <c r="TVG11" s="16"/>
      <c r="TVH11" s="16"/>
      <c r="TVI11" s="16"/>
      <c r="TVJ11" s="16"/>
      <c r="TVK11" s="16"/>
      <c r="TVL11" s="16"/>
      <c r="TVM11" s="16"/>
      <c r="TVN11" s="16"/>
      <c r="TVO11" s="16"/>
      <c r="TVP11" s="16"/>
      <c r="TVQ11" s="16"/>
      <c r="TVR11" s="16"/>
      <c r="TVS11" s="16"/>
      <c r="TVT11" s="16"/>
      <c r="TVU11" s="16"/>
      <c r="TVV11" s="16"/>
      <c r="TVW11" s="16"/>
      <c r="TVX11" s="16"/>
      <c r="TVY11" s="16"/>
      <c r="TVZ11" s="16"/>
      <c r="TWA11" s="16"/>
      <c r="TWB11" s="16"/>
      <c r="TWC11" s="16"/>
      <c r="TWD11" s="16"/>
      <c r="TWE11" s="16"/>
      <c r="TWF11" s="16"/>
      <c r="TWG11" s="16"/>
      <c r="TWH11" s="16"/>
      <c r="TWI11" s="16"/>
      <c r="TWJ11" s="16"/>
      <c r="TWK11" s="16"/>
      <c r="TWL11" s="16"/>
      <c r="TWM11" s="16"/>
      <c r="TWN11" s="16"/>
      <c r="TWO11" s="16"/>
      <c r="TWP11" s="16"/>
      <c r="TWQ11" s="16"/>
      <c r="TWR11" s="16"/>
      <c r="TWS11" s="16"/>
      <c r="TWT11" s="16"/>
      <c r="TWU11" s="16"/>
      <c r="TWV11" s="16"/>
      <c r="TWW11" s="16"/>
      <c r="TWX11" s="16"/>
      <c r="TWY11" s="16"/>
      <c r="TWZ11" s="16"/>
      <c r="TXA11" s="16"/>
      <c r="TXB11" s="16"/>
      <c r="TXC11" s="16"/>
      <c r="TXD11" s="16"/>
      <c r="TXE11" s="16"/>
      <c r="TXF11" s="16"/>
      <c r="TXG11" s="16"/>
      <c r="TXH11" s="16"/>
      <c r="TXI11" s="16"/>
      <c r="TXJ11" s="16"/>
      <c r="TXK11" s="16"/>
      <c r="TXL11" s="16"/>
      <c r="TXM11" s="16"/>
      <c r="TXN11" s="16"/>
      <c r="TXO11" s="16"/>
      <c r="TXP11" s="16"/>
      <c r="TXQ11" s="16"/>
      <c r="TXR11" s="16"/>
      <c r="TXS11" s="16"/>
      <c r="TXT11" s="16"/>
      <c r="TXU11" s="16"/>
      <c r="TXV11" s="16"/>
      <c r="TXW11" s="16"/>
      <c r="TXX11" s="16"/>
      <c r="TXY11" s="16"/>
      <c r="TXZ11" s="16"/>
      <c r="TYA11" s="16"/>
      <c r="TYB11" s="16"/>
      <c r="TYC11" s="16"/>
      <c r="TYD11" s="16"/>
      <c r="TYE11" s="16"/>
      <c r="TYF11" s="16"/>
      <c r="TYG11" s="16"/>
      <c r="TYH11" s="16"/>
      <c r="TYI11" s="16"/>
      <c r="TYJ11" s="16"/>
      <c r="TYK11" s="16"/>
      <c r="TYL11" s="16"/>
      <c r="TYM11" s="16"/>
      <c r="TYN11" s="16"/>
      <c r="TYO11" s="16"/>
      <c r="TYP11" s="16"/>
      <c r="TYQ11" s="16"/>
      <c r="TYR11" s="16"/>
      <c r="TYS11" s="16"/>
      <c r="TYT11" s="16"/>
      <c r="TYU11" s="16"/>
      <c r="TYV11" s="16"/>
      <c r="TYW11" s="16"/>
      <c r="TYX11" s="16"/>
      <c r="TYY11" s="16"/>
      <c r="TYZ11" s="16"/>
      <c r="TZA11" s="16"/>
      <c r="TZB11" s="16"/>
      <c r="TZC11" s="16"/>
      <c r="TZD11" s="16"/>
      <c r="TZE11" s="16"/>
      <c r="TZF11" s="16"/>
      <c r="TZG11" s="16"/>
      <c r="TZH11" s="16"/>
      <c r="TZI11" s="16"/>
      <c r="TZJ11" s="16"/>
      <c r="TZK11" s="16"/>
      <c r="TZL11" s="16"/>
      <c r="TZM11" s="16"/>
      <c r="TZN11" s="16"/>
      <c r="TZO11" s="16"/>
      <c r="TZP11" s="16"/>
      <c r="TZQ11" s="16"/>
      <c r="TZR11" s="16"/>
      <c r="TZS11" s="16"/>
      <c r="TZT11" s="16"/>
      <c r="TZU11" s="16"/>
      <c r="TZV11" s="16"/>
      <c r="TZW11" s="16"/>
      <c r="TZX11" s="16"/>
      <c r="TZY11" s="16"/>
      <c r="TZZ11" s="16"/>
      <c r="UAA11" s="16"/>
      <c r="UAB11" s="16"/>
      <c r="UAC11" s="16"/>
      <c r="UAD11" s="16"/>
      <c r="UAE11" s="16"/>
      <c r="UAF11" s="16"/>
      <c r="UAG11" s="16"/>
      <c r="UAH11" s="16"/>
      <c r="UAI11" s="16"/>
      <c r="UAJ11" s="16"/>
      <c r="UAK11" s="16"/>
      <c r="UAL11" s="16"/>
      <c r="UAM11" s="16"/>
      <c r="UAN11" s="16"/>
      <c r="UAO11" s="16"/>
      <c r="UAP11" s="16"/>
      <c r="UAQ11" s="16"/>
      <c r="UAR11" s="16"/>
      <c r="UAS11" s="16"/>
      <c r="UAT11" s="16"/>
      <c r="UAU11" s="16"/>
      <c r="UAV11" s="16"/>
      <c r="UAW11" s="16"/>
      <c r="UAX11" s="16"/>
      <c r="UAY11" s="16"/>
      <c r="UAZ11" s="16"/>
      <c r="UBA11" s="16"/>
      <c r="UBB11" s="16"/>
      <c r="UBC11" s="16"/>
      <c r="UBD11" s="16"/>
      <c r="UBE11" s="16"/>
      <c r="UBF11" s="16"/>
      <c r="UBG11" s="16"/>
      <c r="UBH11" s="16"/>
      <c r="UBI11" s="16"/>
      <c r="UBJ11" s="16"/>
      <c r="UBK11" s="16"/>
      <c r="UBL11" s="16"/>
      <c r="UBM11" s="16"/>
      <c r="UBN11" s="16"/>
      <c r="UBO11" s="16"/>
      <c r="UBP11" s="16"/>
      <c r="UBQ11" s="16"/>
      <c r="UBR11" s="16"/>
      <c r="UBS11" s="16"/>
      <c r="UBT11" s="16"/>
      <c r="UBU11" s="16"/>
      <c r="UBV11" s="16"/>
      <c r="UBW11" s="16"/>
      <c r="UBX11" s="16"/>
      <c r="UBY11" s="16"/>
      <c r="UBZ11" s="16"/>
      <c r="UCA11" s="16"/>
      <c r="UCB11" s="16"/>
      <c r="UCC11" s="16"/>
      <c r="UCD11" s="16"/>
      <c r="UCE11" s="16"/>
      <c r="UCF11" s="16"/>
      <c r="UCG11" s="16"/>
      <c r="UCH11" s="16"/>
      <c r="UCI11" s="16"/>
      <c r="UCJ11" s="16"/>
      <c r="UCK11" s="16"/>
      <c r="UCL11" s="16"/>
      <c r="UCM11" s="16"/>
      <c r="UCN11" s="16"/>
      <c r="UCO11" s="16"/>
      <c r="UCP11" s="16"/>
      <c r="UCQ11" s="16"/>
      <c r="UCR11" s="16"/>
      <c r="UCS11" s="16"/>
      <c r="UCT11" s="16"/>
      <c r="UCU11" s="16"/>
      <c r="UCV11" s="16"/>
      <c r="UCW11" s="16"/>
      <c r="UCX11" s="16"/>
      <c r="UCY11" s="16"/>
      <c r="UCZ11" s="16"/>
      <c r="UDA11" s="16"/>
      <c r="UDB11" s="16"/>
      <c r="UDC11" s="16"/>
      <c r="UDD11" s="16"/>
      <c r="UDE11" s="16"/>
      <c r="UDF11" s="16"/>
      <c r="UDG11" s="16"/>
      <c r="UDH11" s="16"/>
      <c r="UDI11" s="16"/>
      <c r="UDJ11" s="16"/>
      <c r="UDK11" s="16"/>
      <c r="UDL11" s="16"/>
      <c r="UDM11" s="16"/>
      <c r="UDN11" s="16"/>
      <c r="UDO11" s="16"/>
      <c r="UDP11" s="16"/>
      <c r="UDQ11" s="16"/>
      <c r="UDR11" s="16"/>
      <c r="UDS11" s="16"/>
      <c r="UDT11" s="16"/>
      <c r="UDU11" s="16"/>
      <c r="UDV11" s="16"/>
      <c r="UDW11" s="16"/>
      <c r="UDX11" s="16"/>
      <c r="UDY11" s="16"/>
      <c r="UDZ11" s="16"/>
      <c r="UEA11" s="16"/>
      <c r="UEB11" s="16"/>
      <c r="UEC11" s="16"/>
      <c r="UED11" s="16"/>
      <c r="UEE11" s="16"/>
      <c r="UEF11" s="16"/>
      <c r="UEG11" s="16"/>
      <c r="UEH11" s="16"/>
      <c r="UEI11" s="16"/>
      <c r="UEJ11" s="16"/>
      <c r="UEK11" s="16"/>
      <c r="UEL11" s="16"/>
      <c r="UEM11" s="16"/>
      <c r="UEN11" s="16"/>
      <c r="UEO11" s="16"/>
      <c r="UEP11" s="16"/>
      <c r="UEQ11" s="16"/>
      <c r="UER11" s="16"/>
      <c r="UES11" s="16"/>
      <c r="UET11" s="16"/>
      <c r="UEU11" s="16"/>
      <c r="UEV11" s="16"/>
      <c r="UEW11" s="16"/>
      <c r="UEX11" s="16"/>
      <c r="UEY11" s="16"/>
      <c r="UEZ11" s="16"/>
      <c r="UFA11" s="16"/>
      <c r="UFB11" s="16"/>
      <c r="UFC11" s="16"/>
      <c r="UFD11" s="16"/>
      <c r="UFE11" s="16"/>
      <c r="UFF11" s="16"/>
      <c r="UFG11" s="16"/>
      <c r="UFH11" s="16"/>
      <c r="UFI11" s="16"/>
      <c r="UFJ11" s="16"/>
      <c r="UFK11" s="16"/>
      <c r="UFL11" s="16"/>
      <c r="UFM11" s="16"/>
      <c r="UFN11" s="16"/>
      <c r="UFO11" s="16"/>
      <c r="UFP11" s="16"/>
      <c r="UFQ11" s="16"/>
      <c r="UFR11" s="16"/>
      <c r="UFS11" s="16"/>
      <c r="UFT11" s="16"/>
      <c r="UFU11" s="16"/>
      <c r="UFV11" s="16"/>
      <c r="UFW11" s="16"/>
      <c r="UFX11" s="16"/>
      <c r="UFY11" s="16"/>
      <c r="UFZ11" s="16"/>
      <c r="UGA11" s="16"/>
      <c r="UGB11" s="16"/>
      <c r="UGC11" s="16"/>
      <c r="UGD11" s="16"/>
      <c r="UGE11" s="16"/>
      <c r="UGF11" s="16"/>
      <c r="UGG11" s="16"/>
      <c r="UGH11" s="16"/>
      <c r="UGI11" s="16"/>
      <c r="UGJ11" s="16"/>
      <c r="UGK11" s="16"/>
      <c r="UGL11" s="16"/>
      <c r="UGM11" s="16"/>
      <c r="UGN11" s="16"/>
      <c r="UGO11" s="16"/>
      <c r="UGP11" s="16"/>
      <c r="UGQ11" s="16"/>
      <c r="UGR11" s="16"/>
      <c r="UGS11" s="16"/>
      <c r="UGT11" s="16"/>
      <c r="UGU11" s="16"/>
      <c r="UGV11" s="16"/>
      <c r="UGW11" s="16"/>
      <c r="UGX11" s="16"/>
      <c r="UGY11" s="16"/>
      <c r="UGZ11" s="16"/>
      <c r="UHA11" s="16"/>
      <c r="UHB11" s="16"/>
      <c r="UHC11" s="16"/>
      <c r="UHD11" s="16"/>
      <c r="UHE11" s="16"/>
      <c r="UHF11" s="16"/>
      <c r="UHG11" s="16"/>
      <c r="UHH11" s="16"/>
      <c r="UHI11" s="16"/>
      <c r="UHJ11" s="16"/>
      <c r="UHK11" s="16"/>
      <c r="UHL11" s="16"/>
      <c r="UHM11" s="16"/>
      <c r="UHN11" s="16"/>
      <c r="UHO11" s="16"/>
      <c r="UHP11" s="16"/>
      <c r="UHQ11" s="16"/>
      <c r="UHR11" s="16"/>
      <c r="UHS11" s="16"/>
      <c r="UHT11" s="16"/>
      <c r="UHU11" s="16"/>
      <c r="UHV11" s="16"/>
      <c r="UHW11" s="16"/>
      <c r="UHX11" s="16"/>
      <c r="UHY11" s="16"/>
      <c r="UHZ11" s="16"/>
      <c r="UIA11" s="16"/>
      <c r="UIB11" s="16"/>
      <c r="UIC11" s="16"/>
      <c r="UID11" s="16"/>
      <c r="UIE11" s="16"/>
      <c r="UIF11" s="16"/>
      <c r="UIG11" s="16"/>
      <c r="UIH11" s="16"/>
      <c r="UII11" s="16"/>
      <c r="UIJ11" s="16"/>
      <c r="UIK11" s="16"/>
      <c r="UIL11" s="16"/>
      <c r="UIM11" s="16"/>
      <c r="UIN11" s="16"/>
      <c r="UIO11" s="16"/>
      <c r="UIP11" s="16"/>
      <c r="UIQ11" s="16"/>
      <c r="UIR11" s="16"/>
      <c r="UIS11" s="16"/>
      <c r="UIT11" s="16"/>
      <c r="UIU11" s="16"/>
      <c r="UIV11" s="16"/>
      <c r="UIW11" s="16"/>
      <c r="UIX11" s="16"/>
      <c r="UIY11" s="16"/>
      <c r="UIZ11" s="16"/>
      <c r="UJA11" s="16"/>
      <c r="UJB11" s="16"/>
      <c r="UJC11" s="16"/>
      <c r="UJD11" s="16"/>
      <c r="UJE11" s="16"/>
      <c r="UJF11" s="16"/>
      <c r="UJG11" s="16"/>
      <c r="UJH11" s="16"/>
      <c r="UJI11" s="16"/>
      <c r="UJJ11" s="16"/>
      <c r="UJK11" s="16"/>
      <c r="UJL11" s="16"/>
      <c r="UJM11" s="16"/>
      <c r="UJN11" s="16"/>
      <c r="UJO11" s="16"/>
      <c r="UJP11" s="16"/>
      <c r="UJQ11" s="16"/>
      <c r="UJR11" s="16"/>
      <c r="UJS11" s="16"/>
      <c r="UJT11" s="16"/>
      <c r="UJU11" s="16"/>
      <c r="UJV11" s="16"/>
      <c r="UJW11" s="16"/>
      <c r="UJX11" s="16"/>
      <c r="UJY11" s="16"/>
      <c r="UJZ11" s="16"/>
      <c r="UKA11" s="16"/>
      <c r="UKB11" s="16"/>
      <c r="UKC11" s="16"/>
      <c r="UKD11" s="16"/>
      <c r="UKE11" s="16"/>
      <c r="UKF11" s="16"/>
      <c r="UKG11" s="16"/>
      <c r="UKH11" s="16"/>
      <c r="UKI11" s="16"/>
      <c r="UKJ11" s="16"/>
      <c r="UKK11" s="16"/>
      <c r="UKL11" s="16"/>
      <c r="UKM11" s="16"/>
      <c r="UKN11" s="16"/>
      <c r="UKO11" s="16"/>
      <c r="UKP11" s="16"/>
      <c r="UKQ11" s="16"/>
      <c r="UKR11" s="16"/>
      <c r="UKS11" s="16"/>
      <c r="UKT11" s="16"/>
      <c r="UKU11" s="16"/>
      <c r="UKV11" s="16"/>
      <c r="UKW11" s="16"/>
      <c r="UKX11" s="16"/>
      <c r="UKY11" s="16"/>
      <c r="UKZ11" s="16"/>
      <c r="ULA11" s="16"/>
      <c r="ULB11" s="16"/>
      <c r="ULC11" s="16"/>
      <c r="ULD11" s="16"/>
      <c r="ULE11" s="16"/>
      <c r="ULF11" s="16"/>
      <c r="ULG11" s="16"/>
      <c r="ULH11" s="16"/>
      <c r="ULI11" s="16"/>
      <c r="ULJ11" s="16"/>
      <c r="ULK11" s="16"/>
      <c r="ULL11" s="16"/>
      <c r="ULM11" s="16"/>
      <c r="ULN11" s="16"/>
      <c r="ULO11" s="16"/>
      <c r="ULP11" s="16"/>
      <c r="ULQ11" s="16"/>
      <c r="ULR11" s="16"/>
      <c r="ULS11" s="16"/>
      <c r="ULT11" s="16"/>
      <c r="ULU11" s="16"/>
      <c r="ULV11" s="16"/>
      <c r="ULW11" s="16"/>
      <c r="ULX11" s="16"/>
      <c r="ULY11" s="16"/>
      <c r="ULZ11" s="16"/>
      <c r="UMA11" s="16"/>
      <c r="UMB11" s="16"/>
      <c r="UMC11" s="16"/>
      <c r="UMD11" s="16"/>
      <c r="UME11" s="16"/>
      <c r="UMF11" s="16"/>
      <c r="UMG11" s="16"/>
      <c r="UMH11" s="16"/>
      <c r="UMI11" s="16"/>
      <c r="UMJ11" s="16"/>
      <c r="UMK11" s="16"/>
      <c r="UML11" s="16"/>
      <c r="UMM11" s="16"/>
      <c r="UMN11" s="16"/>
      <c r="UMO11" s="16"/>
      <c r="UMP11" s="16"/>
      <c r="UMQ11" s="16"/>
      <c r="UMR11" s="16"/>
      <c r="UMS11" s="16"/>
      <c r="UMT11" s="16"/>
      <c r="UMU11" s="16"/>
      <c r="UMV11" s="16"/>
      <c r="UMW11" s="16"/>
      <c r="UMX11" s="16"/>
      <c r="UMY11" s="16"/>
      <c r="UMZ11" s="16"/>
      <c r="UNA11" s="16"/>
      <c r="UNB11" s="16"/>
      <c r="UNC11" s="16"/>
      <c r="UND11" s="16"/>
      <c r="UNE11" s="16"/>
      <c r="UNF11" s="16"/>
      <c r="UNG11" s="16"/>
      <c r="UNH11" s="16"/>
      <c r="UNI11" s="16"/>
      <c r="UNJ11" s="16"/>
      <c r="UNK11" s="16"/>
      <c r="UNL11" s="16"/>
      <c r="UNM11" s="16"/>
      <c r="UNN11" s="16"/>
      <c r="UNO11" s="16"/>
      <c r="UNP11" s="16"/>
      <c r="UNQ11" s="16"/>
      <c r="UNR11" s="16"/>
      <c r="UNS11" s="16"/>
      <c r="UNT11" s="16"/>
      <c r="UNU11" s="16"/>
      <c r="UNV11" s="16"/>
      <c r="UNW11" s="16"/>
      <c r="UNX11" s="16"/>
      <c r="UNY11" s="16"/>
      <c r="UNZ11" s="16"/>
      <c r="UOA11" s="16"/>
      <c r="UOB11" s="16"/>
      <c r="UOC11" s="16"/>
      <c r="UOD11" s="16"/>
      <c r="UOE11" s="16"/>
      <c r="UOF11" s="16"/>
      <c r="UOG11" s="16"/>
      <c r="UOH11" s="16"/>
      <c r="UOI11" s="16"/>
      <c r="UOJ11" s="16"/>
      <c r="UOK11" s="16"/>
      <c r="UOL11" s="16"/>
      <c r="UOM11" s="16"/>
      <c r="UON11" s="16"/>
      <c r="UOO11" s="16"/>
      <c r="UOP11" s="16"/>
      <c r="UOQ11" s="16"/>
      <c r="UOR11" s="16"/>
      <c r="UOS11" s="16"/>
      <c r="UOT11" s="16"/>
      <c r="UOU11" s="16"/>
      <c r="UOV11" s="16"/>
      <c r="UOW11" s="16"/>
      <c r="UOX11" s="16"/>
      <c r="UOY11" s="16"/>
      <c r="UOZ11" s="16"/>
      <c r="UPA11" s="16"/>
      <c r="UPB11" s="16"/>
      <c r="UPC11" s="16"/>
      <c r="UPD11" s="16"/>
      <c r="UPE11" s="16"/>
      <c r="UPF11" s="16"/>
      <c r="UPG11" s="16"/>
      <c r="UPH11" s="16"/>
      <c r="UPI11" s="16"/>
      <c r="UPJ11" s="16"/>
      <c r="UPK11" s="16"/>
      <c r="UPL11" s="16"/>
      <c r="UPM11" s="16"/>
      <c r="UPN11" s="16"/>
      <c r="UPO11" s="16"/>
      <c r="UPP11" s="16"/>
      <c r="UPQ11" s="16"/>
      <c r="UPR11" s="16"/>
      <c r="UPS11" s="16"/>
      <c r="UPT11" s="16"/>
      <c r="UPU11" s="16"/>
      <c r="UPV11" s="16"/>
      <c r="UPW11" s="16"/>
      <c r="UPX11" s="16"/>
      <c r="UPY11" s="16"/>
      <c r="UPZ11" s="16"/>
      <c r="UQA11" s="16"/>
      <c r="UQB11" s="16"/>
      <c r="UQC11" s="16"/>
      <c r="UQD11" s="16"/>
      <c r="UQE11" s="16"/>
      <c r="UQF11" s="16"/>
      <c r="UQG11" s="16"/>
      <c r="UQH11" s="16"/>
      <c r="UQI11" s="16"/>
      <c r="UQJ11" s="16"/>
      <c r="UQK11" s="16"/>
      <c r="UQL11" s="16"/>
      <c r="UQM11" s="16"/>
      <c r="UQN11" s="16"/>
      <c r="UQO11" s="16"/>
      <c r="UQP11" s="16"/>
      <c r="UQQ11" s="16"/>
      <c r="UQR11" s="16"/>
      <c r="UQS11" s="16"/>
      <c r="UQT11" s="16"/>
      <c r="UQU11" s="16"/>
      <c r="UQV11" s="16"/>
      <c r="UQW11" s="16"/>
      <c r="UQX11" s="16"/>
      <c r="UQY11" s="16"/>
      <c r="UQZ11" s="16"/>
      <c r="URA11" s="16"/>
      <c r="URB11" s="16"/>
      <c r="URC11" s="16"/>
      <c r="URD11" s="16"/>
      <c r="URE11" s="16"/>
      <c r="URF11" s="16"/>
      <c r="URG11" s="16"/>
      <c r="URH11" s="16"/>
      <c r="URI11" s="16"/>
      <c r="URJ11" s="16"/>
      <c r="URK11" s="16"/>
      <c r="URL11" s="16"/>
      <c r="URM11" s="16"/>
      <c r="URN11" s="16"/>
      <c r="URO11" s="16"/>
      <c r="URP11" s="16"/>
      <c r="URQ11" s="16"/>
      <c r="URR11" s="16"/>
      <c r="URS11" s="16"/>
      <c r="URT11" s="16"/>
      <c r="URU11" s="16"/>
      <c r="URV11" s="16"/>
      <c r="URW11" s="16"/>
      <c r="URX11" s="16"/>
      <c r="URY11" s="16"/>
      <c r="URZ11" s="16"/>
      <c r="USA11" s="16"/>
      <c r="USB11" s="16"/>
      <c r="USC11" s="16"/>
      <c r="USD11" s="16"/>
      <c r="USE11" s="16"/>
      <c r="USF11" s="16"/>
      <c r="USG11" s="16"/>
      <c r="USH11" s="16"/>
      <c r="USI11" s="16"/>
      <c r="USJ11" s="16"/>
      <c r="USK11" s="16"/>
      <c r="USL11" s="16"/>
      <c r="USM11" s="16"/>
      <c r="USN11" s="16"/>
      <c r="USO11" s="16"/>
      <c r="USP11" s="16"/>
      <c r="USQ11" s="16"/>
      <c r="USR11" s="16"/>
      <c r="USS11" s="16"/>
      <c r="UST11" s="16"/>
      <c r="USU11" s="16"/>
      <c r="USV11" s="16"/>
      <c r="USW11" s="16"/>
      <c r="USX11" s="16"/>
      <c r="USY11" s="16"/>
      <c r="USZ11" s="16"/>
      <c r="UTA11" s="16"/>
      <c r="UTB11" s="16"/>
      <c r="UTC11" s="16"/>
      <c r="UTD11" s="16"/>
      <c r="UTE11" s="16"/>
      <c r="UTF11" s="16"/>
      <c r="UTG11" s="16"/>
      <c r="UTH11" s="16"/>
      <c r="UTI11" s="16"/>
      <c r="UTJ11" s="16"/>
      <c r="UTK11" s="16"/>
      <c r="UTL11" s="16"/>
      <c r="UTM11" s="16"/>
      <c r="UTN11" s="16"/>
      <c r="UTO11" s="16"/>
      <c r="UTP11" s="16"/>
      <c r="UTQ11" s="16"/>
      <c r="UTR11" s="16"/>
      <c r="UTS11" s="16"/>
      <c r="UTT11" s="16"/>
      <c r="UTU11" s="16"/>
      <c r="UTV11" s="16"/>
      <c r="UTW11" s="16"/>
      <c r="UTX11" s="16"/>
      <c r="UTY11" s="16"/>
      <c r="UTZ11" s="16"/>
      <c r="UUA11" s="16"/>
      <c r="UUB11" s="16"/>
      <c r="UUC11" s="16"/>
      <c r="UUD11" s="16"/>
      <c r="UUE11" s="16"/>
      <c r="UUF11" s="16"/>
      <c r="UUG11" s="16"/>
      <c r="UUH11" s="16"/>
      <c r="UUI11" s="16"/>
      <c r="UUJ11" s="16"/>
      <c r="UUK11" s="16"/>
      <c r="UUL11" s="16"/>
      <c r="UUM11" s="16"/>
      <c r="UUN11" s="16"/>
      <c r="UUO11" s="16"/>
      <c r="UUP11" s="16"/>
      <c r="UUQ11" s="16"/>
      <c r="UUR11" s="16"/>
      <c r="UUS11" s="16"/>
      <c r="UUT11" s="16"/>
      <c r="UUU11" s="16"/>
      <c r="UUV11" s="16"/>
      <c r="UUW11" s="16"/>
      <c r="UUX11" s="16"/>
      <c r="UUY11" s="16"/>
      <c r="UUZ11" s="16"/>
      <c r="UVA11" s="16"/>
      <c r="UVB11" s="16"/>
      <c r="UVC11" s="16"/>
      <c r="UVD11" s="16"/>
      <c r="UVE11" s="16"/>
      <c r="UVF11" s="16"/>
      <c r="UVG11" s="16"/>
      <c r="UVH11" s="16"/>
      <c r="UVI11" s="16"/>
      <c r="UVJ11" s="16"/>
      <c r="UVK11" s="16"/>
      <c r="UVL11" s="16"/>
      <c r="UVM11" s="16"/>
      <c r="UVN11" s="16"/>
      <c r="UVO11" s="16"/>
      <c r="UVP11" s="16"/>
      <c r="UVQ11" s="16"/>
      <c r="UVR11" s="16"/>
      <c r="UVS11" s="16"/>
      <c r="UVT11" s="16"/>
      <c r="UVU11" s="16"/>
      <c r="UVV11" s="16"/>
      <c r="UVW11" s="16"/>
      <c r="UVX11" s="16"/>
      <c r="UVY11" s="16"/>
      <c r="UVZ11" s="16"/>
      <c r="UWA11" s="16"/>
      <c r="UWB11" s="16"/>
      <c r="UWC11" s="16"/>
      <c r="UWD11" s="16"/>
      <c r="UWE11" s="16"/>
      <c r="UWF11" s="16"/>
      <c r="UWG11" s="16"/>
      <c r="UWH11" s="16"/>
      <c r="UWI11" s="16"/>
      <c r="UWJ11" s="16"/>
      <c r="UWK11" s="16"/>
      <c r="UWL11" s="16"/>
      <c r="UWM11" s="16"/>
      <c r="UWN11" s="16"/>
      <c r="UWO11" s="16"/>
      <c r="UWP11" s="16"/>
      <c r="UWQ11" s="16"/>
      <c r="UWR11" s="16"/>
      <c r="UWS11" s="16"/>
      <c r="UWT11" s="16"/>
      <c r="UWU11" s="16"/>
      <c r="UWV11" s="16"/>
      <c r="UWW11" s="16"/>
      <c r="UWX11" s="16"/>
      <c r="UWY11" s="16"/>
      <c r="UWZ11" s="16"/>
      <c r="UXA11" s="16"/>
      <c r="UXB11" s="16"/>
      <c r="UXC11" s="16"/>
      <c r="UXD11" s="16"/>
      <c r="UXE11" s="16"/>
      <c r="UXF11" s="16"/>
      <c r="UXG11" s="16"/>
      <c r="UXH11" s="16"/>
      <c r="UXI11" s="16"/>
      <c r="UXJ11" s="16"/>
      <c r="UXK11" s="16"/>
      <c r="UXL11" s="16"/>
      <c r="UXM11" s="16"/>
      <c r="UXN11" s="16"/>
      <c r="UXO11" s="16"/>
      <c r="UXP11" s="16"/>
      <c r="UXQ11" s="16"/>
      <c r="UXR11" s="16"/>
      <c r="UXS11" s="16"/>
      <c r="UXT11" s="16"/>
      <c r="UXU11" s="16"/>
      <c r="UXV11" s="16"/>
      <c r="UXW11" s="16"/>
      <c r="UXX11" s="16"/>
      <c r="UXY11" s="16"/>
      <c r="UXZ11" s="16"/>
      <c r="UYA11" s="16"/>
      <c r="UYB11" s="16"/>
      <c r="UYC11" s="16"/>
      <c r="UYD11" s="16"/>
      <c r="UYE11" s="16"/>
      <c r="UYF11" s="16"/>
      <c r="UYG11" s="16"/>
      <c r="UYH11" s="16"/>
      <c r="UYI11" s="16"/>
      <c r="UYJ11" s="16"/>
      <c r="UYK11" s="16"/>
      <c r="UYL11" s="16"/>
      <c r="UYM11" s="16"/>
      <c r="UYN11" s="16"/>
      <c r="UYO11" s="16"/>
      <c r="UYP11" s="16"/>
      <c r="UYQ11" s="16"/>
      <c r="UYR11" s="16"/>
      <c r="UYS11" s="16"/>
      <c r="UYT11" s="16"/>
      <c r="UYU11" s="16"/>
      <c r="UYV11" s="16"/>
      <c r="UYW11" s="16"/>
      <c r="UYX11" s="16"/>
      <c r="UYY11" s="16"/>
      <c r="UYZ11" s="16"/>
      <c r="UZA11" s="16"/>
      <c r="UZB11" s="16"/>
      <c r="UZC11" s="16"/>
      <c r="UZD11" s="16"/>
      <c r="UZE11" s="16"/>
      <c r="UZF11" s="16"/>
      <c r="UZG11" s="16"/>
      <c r="UZH11" s="16"/>
      <c r="UZI11" s="16"/>
      <c r="UZJ11" s="16"/>
      <c r="UZK11" s="16"/>
      <c r="UZL11" s="16"/>
      <c r="UZM11" s="16"/>
      <c r="UZN11" s="16"/>
      <c r="UZO11" s="16"/>
      <c r="UZP11" s="16"/>
      <c r="UZQ11" s="16"/>
      <c r="UZR11" s="16"/>
      <c r="UZS11" s="16"/>
      <c r="UZT11" s="16"/>
      <c r="UZU11" s="16"/>
      <c r="UZV11" s="16"/>
      <c r="UZW11" s="16"/>
      <c r="UZX11" s="16"/>
      <c r="UZY11" s="16"/>
      <c r="UZZ11" s="16"/>
      <c r="VAA11" s="16"/>
      <c r="VAB11" s="16"/>
      <c r="VAC11" s="16"/>
      <c r="VAD11" s="16"/>
      <c r="VAE11" s="16"/>
      <c r="VAF11" s="16"/>
      <c r="VAG11" s="16"/>
      <c r="VAH11" s="16"/>
      <c r="VAI11" s="16"/>
      <c r="VAJ11" s="16"/>
      <c r="VAK11" s="16"/>
      <c r="VAL11" s="16"/>
      <c r="VAM11" s="16"/>
      <c r="VAN11" s="16"/>
      <c r="VAO11" s="16"/>
      <c r="VAP11" s="16"/>
      <c r="VAQ11" s="16"/>
      <c r="VAR11" s="16"/>
      <c r="VAS11" s="16"/>
      <c r="VAT11" s="16"/>
      <c r="VAU11" s="16"/>
      <c r="VAV11" s="16"/>
      <c r="VAW11" s="16"/>
      <c r="VAX11" s="16"/>
      <c r="VAY11" s="16"/>
      <c r="VAZ11" s="16"/>
      <c r="VBA11" s="16"/>
      <c r="VBB11" s="16"/>
      <c r="VBC11" s="16"/>
      <c r="VBD11" s="16"/>
      <c r="VBE11" s="16"/>
      <c r="VBF11" s="16"/>
      <c r="VBG11" s="16"/>
      <c r="VBH11" s="16"/>
      <c r="VBI11" s="16"/>
      <c r="VBJ11" s="16"/>
      <c r="VBK11" s="16"/>
      <c r="VBL11" s="16"/>
      <c r="VBM11" s="16"/>
      <c r="VBN11" s="16"/>
      <c r="VBO11" s="16"/>
      <c r="VBP11" s="16"/>
      <c r="VBQ11" s="16"/>
      <c r="VBR11" s="16"/>
      <c r="VBS11" s="16"/>
      <c r="VBT11" s="16"/>
      <c r="VBU11" s="16"/>
      <c r="VBV11" s="16"/>
      <c r="VBW11" s="16"/>
      <c r="VBX11" s="16"/>
      <c r="VBY11" s="16"/>
      <c r="VBZ11" s="16"/>
      <c r="VCA11" s="16"/>
      <c r="VCB11" s="16"/>
      <c r="VCC11" s="16"/>
      <c r="VCD11" s="16"/>
      <c r="VCE11" s="16"/>
      <c r="VCF11" s="16"/>
      <c r="VCG11" s="16"/>
      <c r="VCH11" s="16"/>
      <c r="VCI11" s="16"/>
      <c r="VCJ11" s="16"/>
      <c r="VCK11" s="16"/>
      <c r="VCL11" s="16"/>
      <c r="VCM11" s="16"/>
      <c r="VCN11" s="16"/>
      <c r="VCO11" s="16"/>
      <c r="VCP11" s="16"/>
      <c r="VCQ11" s="16"/>
      <c r="VCR11" s="16"/>
      <c r="VCS11" s="16"/>
      <c r="VCT11" s="16"/>
      <c r="VCU11" s="16"/>
      <c r="VCV11" s="16"/>
      <c r="VCW11" s="16"/>
      <c r="VCX11" s="16"/>
      <c r="VCY11" s="16"/>
      <c r="VCZ11" s="16"/>
      <c r="VDA11" s="16"/>
      <c r="VDB11" s="16"/>
      <c r="VDC11" s="16"/>
      <c r="VDD11" s="16"/>
      <c r="VDE11" s="16"/>
      <c r="VDF11" s="16"/>
      <c r="VDG11" s="16"/>
      <c r="VDH11" s="16"/>
      <c r="VDI11" s="16"/>
      <c r="VDJ11" s="16"/>
      <c r="VDK11" s="16"/>
      <c r="VDL11" s="16"/>
      <c r="VDM11" s="16"/>
      <c r="VDN11" s="16"/>
      <c r="VDO11" s="16"/>
      <c r="VDP11" s="16"/>
      <c r="VDQ11" s="16"/>
      <c r="VDR11" s="16"/>
      <c r="VDS11" s="16"/>
      <c r="VDT11" s="16"/>
      <c r="VDU11" s="16"/>
      <c r="VDV11" s="16"/>
      <c r="VDW11" s="16"/>
      <c r="VDX11" s="16"/>
      <c r="VDY11" s="16"/>
      <c r="VDZ11" s="16"/>
      <c r="VEA11" s="16"/>
      <c r="VEB11" s="16"/>
      <c r="VEC11" s="16"/>
      <c r="VED11" s="16"/>
      <c r="VEE11" s="16"/>
      <c r="VEF11" s="16"/>
      <c r="VEG11" s="16"/>
      <c r="VEH11" s="16"/>
      <c r="VEI11" s="16"/>
      <c r="VEJ11" s="16"/>
      <c r="VEK11" s="16"/>
      <c r="VEL11" s="16"/>
      <c r="VEM11" s="16"/>
      <c r="VEN11" s="16"/>
      <c r="VEO11" s="16"/>
      <c r="VEP11" s="16"/>
      <c r="VEQ11" s="16"/>
      <c r="VER11" s="16"/>
      <c r="VES11" s="16"/>
      <c r="VET11" s="16"/>
      <c r="VEU11" s="16"/>
      <c r="VEV11" s="16"/>
      <c r="VEW11" s="16"/>
      <c r="VEX11" s="16"/>
      <c r="VEY11" s="16"/>
      <c r="VEZ11" s="16"/>
      <c r="VFA11" s="16"/>
      <c r="VFB11" s="16"/>
      <c r="VFC11" s="16"/>
      <c r="VFD11" s="16"/>
      <c r="VFE11" s="16"/>
      <c r="VFF11" s="16"/>
      <c r="VFG11" s="16"/>
      <c r="VFH11" s="16"/>
      <c r="VFI11" s="16"/>
      <c r="VFJ11" s="16"/>
      <c r="VFK11" s="16"/>
      <c r="VFL11" s="16"/>
      <c r="VFM11" s="16"/>
      <c r="VFN11" s="16"/>
      <c r="VFO11" s="16"/>
      <c r="VFP11" s="16"/>
      <c r="VFQ11" s="16"/>
      <c r="VFR11" s="16"/>
      <c r="VFS11" s="16"/>
      <c r="VFT11" s="16"/>
      <c r="VFU11" s="16"/>
      <c r="VFV11" s="16"/>
      <c r="VFW11" s="16"/>
      <c r="VFX11" s="16"/>
      <c r="VFY11" s="16"/>
      <c r="VFZ11" s="16"/>
      <c r="VGA11" s="16"/>
      <c r="VGB11" s="16"/>
      <c r="VGC11" s="16"/>
      <c r="VGD11" s="16"/>
      <c r="VGE11" s="16"/>
      <c r="VGF11" s="16"/>
      <c r="VGG11" s="16"/>
      <c r="VGH11" s="16"/>
      <c r="VGI11" s="16"/>
      <c r="VGJ11" s="16"/>
      <c r="VGK11" s="16"/>
      <c r="VGL11" s="16"/>
      <c r="VGM11" s="16"/>
      <c r="VGN11" s="16"/>
      <c r="VGO11" s="16"/>
      <c r="VGP11" s="16"/>
      <c r="VGQ11" s="16"/>
      <c r="VGR11" s="16"/>
      <c r="VGS11" s="16"/>
      <c r="VGT11" s="16"/>
      <c r="VGU11" s="16"/>
      <c r="VGV11" s="16"/>
      <c r="VGW11" s="16"/>
      <c r="VGX11" s="16"/>
      <c r="VGY11" s="16"/>
      <c r="VGZ11" s="16"/>
      <c r="VHA11" s="16"/>
      <c r="VHB11" s="16"/>
      <c r="VHC11" s="16"/>
      <c r="VHD11" s="16"/>
      <c r="VHE11" s="16"/>
      <c r="VHF11" s="16"/>
      <c r="VHG11" s="16"/>
      <c r="VHH11" s="16"/>
      <c r="VHI11" s="16"/>
      <c r="VHJ11" s="16"/>
      <c r="VHK11" s="16"/>
      <c r="VHL11" s="16"/>
      <c r="VHM11" s="16"/>
      <c r="VHN11" s="16"/>
      <c r="VHO11" s="16"/>
      <c r="VHP11" s="16"/>
      <c r="VHQ11" s="16"/>
      <c r="VHR11" s="16"/>
      <c r="VHS11" s="16"/>
      <c r="VHT11" s="16"/>
      <c r="VHU11" s="16"/>
      <c r="VHV11" s="16"/>
      <c r="VHW11" s="16"/>
      <c r="VHX11" s="16"/>
      <c r="VHY11" s="16"/>
      <c r="VHZ11" s="16"/>
      <c r="VIA11" s="16"/>
      <c r="VIB11" s="16"/>
      <c r="VIC11" s="16"/>
      <c r="VID11" s="16"/>
      <c r="VIE11" s="16"/>
      <c r="VIF11" s="16"/>
      <c r="VIG11" s="16"/>
      <c r="VIH11" s="16"/>
      <c r="VII11" s="16"/>
      <c r="VIJ11" s="16"/>
      <c r="VIK11" s="16"/>
      <c r="VIL11" s="16"/>
      <c r="VIM11" s="16"/>
      <c r="VIN11" s="16"/>
      <c r="VIO11" s="16"/>
      <c r="VIP11" s="16"/>
      <c r="VIQ11" s="16"/>
      <c r="VIR11" s="16"/>
      <c r="VIS11" s="16"/>
      <c r="VIT11" s="16"/>
      <c r="VIU11" s="16"/>
      <c r="VIV11" s="16"/>
      <c r="VIW11" s="16"/>
      <c r="VIX11" s="16"/>
      <c r="VIY11" s="16"/>
      <c r="VIZ11" s="16"/>
      <c r="VJA11" s="16"/>
      <c r="VJB11" s="16"/>
      <c r="VJC11" s="16"/>
      <c r="VJD11" s="16"/>
      <c r="VJE11" s="16"/>
      <c r="VJF11" s="16"/>
      <c r="VJG11" s="16"/>
      <c r="VJH11" s="16"/>
      <c r="VJI11" s="16"/>
      <c r="VJJ11" s="16"/>
      <c r="VJK11" s="16"/>
      <c r="VJL11" s="16"/>
      <c r="VJM11" s="16"/>
      <c r="VJN11" s="16"/>
      <c r="VJO11" s="16"/>
      <c r="VJP11" s="16"/>
      <c r="VJQ11" s="16"/>
      <c r="VJR11" s="16"/>
      <c r="VJS11" s="16"/>
      <c r="VJT11" s="16"/>
      <c r="VJU11" s="16"/>
      <c r="VJV11" s="16"/>
      <c r="VJW11" s="16"/>
      <c r="VJX11" s="16"/>
      <c r="VJY11" s="16"/>
      <c r="VJZ11" s="16"/>
      <c r="VKA11" s="16"/>
      <c r="VKB11" s="16"/>
      <c r="VKC11" s="16"/>
      <c r="VKD11" s="16"/>
      <c r="VKE11" s="16"/>
      <c r="VKF11" s="16"/>
      <c r="VKG11" s="16"/>
      <c r="VKH11" s="16"/>
      <c r="VKI11" s="16"/>
      <c r="VKJ11" s="16"/>
      <c r="VKK11" s="16"/>
      <c r="VKL11" s="16"/>
      <c r="VKM11" s="16"/>
      <c r="VKN11" s="16"/>
      <c r="VKO11" s="16"/>
      <c r="VKP11" s="16"/>
      <c r="VKQ11" s="16"/>
      <c r="VKR11" s="16"/>
      <c r="VKS11" s="16"/>
      <c r="VKT11" s="16"/>
      <c r="VKU11" s="16"/>
      <c r="VKV11" s="16"/>
      <c r="VKW11" s="16"/>
      <c r="VKX11" s="16"/>
      <c r="VKY11" s="16"/>
      <c r="VKZ11" s="16"/>
      <c r="VLA11" s="16"/>
      <c r="VLB11" s="16"/>
      <c r="VLC11" s="16"/>
      <c r="VLD11" s="16"/>
      <c r="VLE11" s="16"/>
      <c r="VLF11" s="16"/>
      <c r="VLG11" s="16"/>
      <c r="VLH11" s="16"/>
      <c r="VLI11" s="16"/>
      <c r="VLJ11" s="16"/>
      <c r="VLK11" s="16"/>
      <c r="VLL11" s="16"/>
      <c r="VLM11" s="16"/>
      <c r="VLN11" s="16"/>
      <c r="VLO11" s="16"/>
      <c r="VLP11" s="16"/>
      <c r="VLQ11" s="16"/>
      <c r="VLR11" s="16"/>
      <c r="VLS11" s="16"/>
      <c r="VLT11" s="16"/>
      <c r="VLU11" s="16"/>
      <c r="VLV11" s="16"/>
      <c r="VLW11" s="16"/>
      <c r="VLX11" s="16"/>
      <c r="VLY11" s="16"/>
      <c r="VLZ11" s="16"/>
      <c r="VMA11" s="16"/>
      <c r="VMB11" s="16"/>
      <c r="VMC11" s="16"/>
      <c r="VMD11" s="16"/>
      <c r="VME11" s="16"/>
      <c r="VMF11" s="16"/>
      <c r="VMG11" s="16"/>
      <c r="VMH11" s="16"/>
      <c r="VMI11" s="16"/>
      <c r="VMJ11" s="16"/>
      <c r="VMK11" s="16"/>
      <c r="VML11" s="16"/>
      <c r="VMM11" s="16"/>
      <c r="VMN11" s="16"/>
      <c r="VMO11" s="16"/>
      <c r="VMP11" s="16"/>
      <c r="VMQ11" s="16"/>
      <c r="VMR11" s="16"/>
      <c r="VMS11" s="16"/>
      <c r="VMT11" s="16"/>
      <c r="VMU11" s="16"/>
      <c r="VMV11" s="16"/>
      <c r="VMW11" s="16"/>
      <c r="VMX11" s="16"/>
      <c r="VMY11" s="16"/>
      <c r="VMZ11" s="16"/>
      <c r="VNA11" s="16"/>
      <c r="VNB11" s="16"/>
      <c r="VNC11" s="16"/>
      <c r="VND11" s="16"/>
      <c r="VNE11" s="16"/>
      <c r="VNF11" s="16"/>
      <c r="VNG11" s="16"/>
      <c r="VNH11" s="16"/>
      <c r="VNI11" s="16"/>
      <c r="VNJ11" s="16"/>
      <c r="VNK11" s="16"/>
      <c r="VNL11" s="16"/>
      <c r="VNM11" s="16"/>
      <c r="VNN11" s="16"/>
      <c r="VNO11" s="16"/>
      <c r="VNP11" s="16"/>
      <c r="VNQ11" s="16"/>
      <c r="VNR11" s="16"/>
      <c r="VNS11" s="16"/>
      <c r="VNT11" s="16"/>
      <c r="VNU11" s="16"/>
      <c r="VNV11" s="16"/>
      <c r="VNW11" s="16"/>
      <c r="VNX11" s="16"/>
      <c r="VNY11" s="16"/>
      <c r="VNZ11" s="16"/>
      <c r="VOA11" s="16"/>
      <c r="VOB11" s="16"/>
      <c r="VOC11" s="16"/>
      <c r="VOD11" s="16"/>
      <c r="VOE11" s="16"/>
      <c r="VOF11" s="16"/>
      <c r="VOG11" s="16"/>
      <c r="VOH11" s="16"/>
      <c r="VOI11" s="16"/>
      <c r="VOJ11" s="16"/>
      <c r="VOK11" s="16"/>
      <c r="VOL11" s="16"/>
      <c r="VOM11" s="16"/>
      <c r="VON11" s="16"/>
      <c r="VOO11" s="16"/>
      <c r="VOP11" s="16"/>
      <c r="VOQ11" s="16"/>
      <c r="VOR11" s="16"/>
      <c r="VOS11" s="16"/>
      <c r="VOT11" s="16"/>
      <c r="VOU11" s="16"/>
      <c r="VOV11" s="16"/>
      <c r="VOW11" s="16"/>
      <c r="VOX11" s="16"/>
      <c r="VOY11" s="16"/>
      <c r="VOZ11" s="16"/>
      <c r="VPA11" s="16"/>
      <c r="VPB11" s="16"/>
      <c r="VPC11" s="16"/>
      <c r="VPD11" s="16"/>
      <c r="VPE11" s="16"/>
      <c r="VPF11" s="16"/>
      <c r="VPG11" s="16"/>
      <c r="VPH11" s="16"/>
      <c r="VPI11" s="16"/>
      <c r="VPJ11" s="16"/>
      <c r="VPK11" s="16"/>
      <c r="VPL11" s="16"/>
      <c r="VPM11" s="16"/>
      <c r="VPN11" s="16"/>
      <c r="VPO11" s="16"/>
      <c r="VPP11" s="16"/>
      <c r="VPQ11" s="16"/>
      <c r="VPR11" s="16"/>
      <c r="VPS11" s="16"/>
      <c r="VPT11" s="16"/>
      <c r="VPU11" s="16"/>
      <c r="VPV11" s="16"/>
      <c r="VPW11" s="16"/>
      <c r="VPX11" s="16"/>
      <c r="VPY11" s="16"/>
      <c r="VPZ11" s="16"/>
      <c r="VQA11" s="16"/>
      <c r="VQB11" s="16"/>
      <c r="VQC11" s="16"/>
      <c r="VQD11" s="16"/>
      <c r="VQE11" s="16"/>
      <c r="VQF11" s="16"/>
      <c r="VQG11" s="16"/>
      <c r="VQH11" s="16"/>
      <c r="VQI11" s="16"/>
      <c r="VQJ11" s="16"/>
      <c r="VQK11" s="16"/>
      <c r="VQL11" s="16"/>
      <c r="VQM11" s="16"/>
      <c r="VQN11" s="16"/>
      <c r="VQO11" s="16"/>
      <c r="VQP11" s="16"/>
      <c r="VQQ11" s="16"/>
      <c r="VQR11" s="16"/>
      <c r="VQS11" s="16"/>
      <c r="VQT11" s="16"/>
      <c r="VQU11" s="16"/>
      <c r="VQV11" s="16"/>
      <c r="VQW11" s="16"/>
      <c r="VQX11" s="16"/>
      <c r="VQY11" s="16"/>
      <c r="VQZ11" s="16"/>
      <c r="VRA11" s="16"/>
      <c r="VRB11" s="16"/>
      <c r="VRC11" s="16"/>
      <c r="VRD11" s="16"/>
      <c r="VRE11" s="16"/>
      <c r="VRF11" s="16"/>
      <c r="VRG11" s="16"/>
      <c r="VRH11" s="16"/>
      <c r="VRI11" s="16"/>
      <c r="VRJ11" s="16"/>
      <c r="VRK11" s="16"/>
      <c r="VRL11" s="16"/>
      <c r="VRM11" s="16"/>
      <c r="VRN11" s="16"/>
      <c r="VRO11" s="16"/>
      <c r="VRP11" s="16"/>
      <c r="VRQ11" s="16"/>
      <c r="VRR11" s="16"/>
      <c r="VRS11" s="16"/>
      <c r="VRT11" s="16"/>
      <c r="VRU11" s="16"/>
      <c r="VRV11" s="16"/>
      <c r="VRW11" s="16"/>
      <c r="VRX11" s="16"/>
      <c r="VRY11" s="16"/>
      <c r="VRZ11" s="16"/>
      <c r="VSA11" s="16"/>
      <c r="VSB11" s="16"/>
      <c r="VSC11" s="16"/>
      <c r="VSD11" s="16"/>
      <c r="VSE11" s="16"/>
      <c r="VSF11" s="16"/>
      <c r="VSG11" s="16"/>
      <c r="VSH11" s="16"/>
      <c r="VSI11" s="16"/>
      <c r="VSJ11" s="16"/>
      <c r="VSK11" s="16"/>
      <c r="VSL11" s="16"/>
      <c r="VSM11" s="16"/>
      <c r="VSN11" s="16"/>
      <c r="VSO11" s="16"/>
      <c r="VSP11" s="16"/>
      <c r="VSQ11" s="16"/>
      <c r="VSR11" s="16"/>
      <c r="VSS11" s="16"/>
      <c r="VST11" s="16"/>
      <c r="VSU11" s="16"/>
      <c r="VSV11" s="16"/>
      <c r="VSW11" s="16"/>
      <c r="VSX11" s="16"/>
      <c r="VSY11" s="16"/>
      <c r="VSZ11" s="16"/>
      <c r="VTA11" s="16"/>
      <c r="VTB11" s="16"/>
      <c r="VTC11" s="16"/>
      <c r="VTD11" s="16"/>
      <c r="VTE11" s="16"/>
      <c r="VTF11" s="16"/>
      <c r="VTG11" s="16"/>
      <c r="VTH11" s="16"/>
      <c r="VTI11" s="16"/>
      <c r="VTJ11" s="16"/>
      <c r="VTK11" s="16"/>
      <c r="VTL11" s="16"/>
      <c r="VTM11" s="16"/>
      <c r="VTN11" s="16"/>
      <c r="VTO11" s="16"/>
      <c r="VTP11" s="16"/>
      <c r="VTQ11" s="16"/>
      <c r="VTR11" s="16"/>
      <c r="VTS11" s="16"/>
      <c r="VTT11" s="16"/>
      <c r="VTU11" s="16"/>
      <c r="VTV11" s="16"/>
      <c r="VTW11" s="16"/>
      <c r="VTX11" s="16"/>
      <c r="VTY11" s="16"/>
      <c r="VTZ11" s="16"/>
      <c r="VUA11" s="16"/>
      <c r="VUB11" s="16"/>
      <c r="VUC11" s="16"/>
      <c r="VUD11" s="16"/>
      <c r="VUE11" s="16"/>
      <c r="VUF11" s="16"/>
      <c r="VUG11" s="16"/>
      <c r="VUH11" s="16"/>
      <c r="VUI11" s="16"/>
      <c r="VUJ11" s="16"/>
      <c r="VUK11" s="16"/>
      <c r="VUL11" s="16"/>
      <c r="VUM11" s="16"/>
      <c r="VUN11" s="16"/>
      <c r="VUO11" s="16"/>
      <c r="VUP11" s="16"/>
      <c r="VUQ11" s="16"/>
      <c r="VUR11" s="16"/>
      <c r="VUS11" s="16"/>
      <c r="VUT11" s="16"/>
      <c r="VUU11" s="16"/>
      <c r="VUV11" s="16"/>
      <c r="VUW11" s="16"/>
      <c r="VUX11" s="16"/>
      <c r="VUY11" s="16"/>
      <c r="VUZ11" s="16"/>
      <c r="VVA11" s="16"/>
      <c r="VVB11" s="16"/>
      <c r="VVC11" s="16"/>
      <c r="VVD11" s="16"/>
      <c r="VVE11" s="16"/>
      <c r="VVF11" s="16"/>
      <c r="VVG11" s="16"/>
      <c r="VVH11" s="16"/>
      <c r="VVI11" s="16"/>
      <c r="VVJ11" s="16"/>
      <c r="VVK11" s="16"/>
      <c r="VVL11" s="16"/>
      <c r="VVM11" s="16"/>
      <c r="VVN11" s="16"/>
      <c r="VVO11" s="16"/>
      <c r="VVP11" s="16"/>
      <c r="VVQ11" s="16"/>
      <c r="VVR11" s="16"/>
      <c r="VVS11" s="16"/>
      <c r="VVT11" s="16"/>
      <c r="VVU11" s="16"/>
      <c r="VVV11" s="16"/>
      <c r="VVW11" s="16"/>
      <c r="VVX11" s="16"/>
      <c r="VVY11" s="16"/>
      <c r="VVZ11" s="16"/>
      <c r="VWA11" s="16"/>
      <c r="VWB11" s="16"/>
      <c r="VWC11" s="16"/>
      <c r="VWD11" s="16"/>
      <c r="VWE11" s="16"/>
      <c r="VWF11" s="16"/>
      <c r="VWG11" s="16"/>
      <c r="VWH11" s="16"/>
      <c r="VWI11" s="16"/>
      <c r="VWJ11" s="16"/>
      <c r="VWK11" s="16"/>
      <c r="VWL11" s="16"/>
      <c r="VWM11" s="16"/>
      <c r="VWN11" s="16"/>
      <c r="VWO11" s="16"/>
      <c r="VWP11" s="16"/>
      <c r="VWQ11" s="16"/>
      <c r="VWR11" s="16"/>
      <c r="VWS11" s="16"/>
      <c r="VWT11" s="16"/>
      <c r="VWU11" s="16"/>
      <c r="VWV11" s="16"/>
      <c r="VWW11" s="16"/>
      <c r="VWX11" s="16"/>
      <c r="VWY11" s="16"/>
      <c r="VWZ11" s="16"/>
      <c r="VXA11" s="16"/>
      <c r="VXB11" s="16"/>
      <c r="VXC11" s="16"/>
      <c r="VXD11" s="16"/>
      <c r="VXE11" s="16"/>
      <c r="VXF11" s="16"/>
      <c r="VXG11" s="16"/>
      <c r="VXH11" s="16"/>
      <c r="VXI11" s="16"/>
      <c r="VXJ11" s="16"/>
      <c r="VXK11" s="16"/>
      <c r="VXL11" s="16"/>
      <c r="VXM11" s="16"/>
      <c r="VXN11" s="16"/>
      <c r="VXO11" s="16"/>
      <c r="VXP11" s="16"/>
      <c r="VXQ11" s="16"/>
      <c r="VXR11" s="16"/>
      <c r="VXS11" s="16"/>
      <c r="VXT11" s="16"/>
      <c r="VXU11" s="16"/>
      <c r="VXV11" s="16"/>
      <c r="VXW11" s="16"/>
      <c r="VXX11" s="16"/>
      <c r="VXY11" s="16"/>
      <c r="VXZ11" s="16"/>
      <c r="VYA11" s="16"/>
      <c r="VYB11" s="16"/>
      <c r="VYC11" s="16"/>
      <c r="VYD11" s="16"/>
      <c r="VYE11" s="16"/>
      <c r="VYF11" s="16"/>
      <c r="VYG11" s="16"/>
      <c r="VYH11" s="16"/>
      <c r="VYI11" s="16"/>
      <c r="VYJ11" s="16"/>
      <c r="VYK11" s="16"/>
      <c r="VYL11" s="16"/>
      <c r="VYM11" s="16"/>
      <c r="VYN11" s="16"/>
      <c r="VYO11" s="16"/>
      <c r="VYP11" s="16"/>
      <c r="VYQ11" s="16"/>
      <c r="VYR11" s="16"/>
      <c r="VYS11" s="16"/>
      <c r="VYT11" s="16"/>
      <c r="VYU11" s="16"/>
      <c r="VYV11" s="16"/>
      <c r="VYW11" s="16"/>
      <c r="VYX11" s="16"/>
      <c r="VYY11" s="16"/>
      <c r="VYZ11" s="16"/>
      <c r="VZA11" s="16"/>
      <c r="VZB11" s="16"/>
      <c r="VZC11" s="16"/>
      <c r="VZD11" s="16"/>
      <c r="VZE11" s="16"/>
      <c r="VZF11" s="16"/>
      <c r="VZG11" s="16"/>
      <c r="VZH11" s="16"/>
      <c r="VZI11" s="16"/>
      <c r="VZJ11" s="16"/>
      <c r="VZK11" s="16"/>
      <c r="VZL11" s="16"/>
      <c r="VZM11" s="16"/>
      <c r="VZN11" s="16"/>
      <c r="VZO11" s="16"/>
      <c r="VZP11" s="16"/>
      <c r="VZQ11" s="16"/>
      <c r="VZR11" s="16"/>
      <c r="VZS11" s="16"/>
      <c r="VZT11" s="16"/>
      <c r="VZU11" s="16"/>
      <c r="VZV11" s="16"/>
      <c r="VZW11" s="16"/>
      <c r="VZX11" s="16"/>
      <c r="VZY11" s="16"/>
      <c r="VZZ11" s="16"/>
      <c r="WAA11" s="16"/>
      <c r="WAB11" s="16"/>
      <c r="WAC11" s="16"/>
      <c r="WAD11" s="16"/>
      <c r="WAE11" s="16"/>
      <c r="WAF11" s="16"/>
      <c r="WAG11" s="16"/>
      <c r="WAH11" s="16"/>
      <c r="WAI11" s="16"/>
      <c r="WAJ11" s="16"/>
      <c r="WAK11" s="16"/>
      <c r="WAL11" s="16"/>
      <c r="WAM11" s="16"/>
      <c r="WAN11" s="16"/>
      <c r="WAO11" s="16"/>
      <c r="WAP11" s="16"/>
      <c r="WAQ11" s="16"/>
      <c r="WAR11" s="16"/>
      <c r="WAS11" s="16"/>
      <c r="WAT11" s="16"/>
      <c r="WAU11" s="16"/>
      <c r="WAV11" s="16"/>
      <c r="WAW11" s="16"/>
      <c r="WAX11" s="16"/>
      <c r="WAY11" s="16"/>
      <c r="WAZ11" s="16"/>
      <c r="WBA11" s="16"/>
      <c r="WBB11" s="16"/>
      <c r="WBC11" s="16"/>
      <c r="WBD11" s="16"/>
      <c r="WBE11" s="16"/>
      <c r="WBF11" s="16"/>
      <c r="WBG11" s="16"/>
      <c r="WBH11" s="16"/>
      <c r="WBI11" s="16"/>
      <c r="WBJ11" s="16"/>
      <c r="WBK11" s="16"/>
      <c r="WBL11" s="16"/>
      <c r="WBM11" s="16"/>
      <c r="WBN11" s="16"/>
      <c r="WBO11" s="16"/>
      <c r="WBP11" s="16"/>
      <c r="WBQ11" s="16"/>
      <c r="WBR11" s="16"/>
      <c r="WBS11" s="16"/>
      <c r="WBT11" s="16"/>
      <c r="WBU11" s="16"/>
      <c r="WBV11" s="16"/>
      <c r="WBW11" s="16"/>
      <c r="WBX11" s="16"/>
      <c r="WBY11" s="16"/>
      <c r="WBZ11" s="16"/>
      <c r="WCA11" s="16"/>
      <c r="WCB11" s="16"/>
      <c r="WCC11" s="16"/>
      <c r="WCD11" s="16"/>
      <c r="WCE11" s="16"/>
      <c r="WCF11" s="16"/>
      <c r="WCG11" s="16"/>
      <c r="WCH11" s="16"/>
      <c r="WCI11" s="16"/>
      <c r="WCJ11" s="16"/>
      <c r="WCK11" s="16"/>
      <c r="WCL11" s="16"/>
      <c r="WCM11" s="16"/>
      <c r="WCN11" s="16"/>
      <c r="WCO11" s="16"/>
      <c r="WCP11" s="16"/>
      <c r="WCQ11" s="16"/>
      <c r="WCR11" s="16"/>
      <c r="WCS11" s="16"/>
      <c r="WCT11" s="16"/>
      <c r="WCU11" s="16"/>
      <c r="WCV11" s="16"/>
      <c r="WCW11" s="16"/>
      <c r="WCX11" s="16"/>
      <c r="WCY11" s="16"/>
      <c r="WCZ11" s="16"/>
      <c r="WDA11" s="16"/>
      <c r="WDB11" s="16"/>
      <c r="WDC11" s="16"/>
      <c r="WDD11" s="16"/>
      <c r="WDE11" s="16"/>
      <c r="WDF11" s="16"/>
      <c r="WDG11" s="16"/>
      <c r="WDH11" s="16"/>
      <c r="WDI11" s="16"/>
      <c r="WDJ11" s="16"/>
      <c r="WDK11" s="16"/>
      <c r="WDL11" s="16"/>
      <c r="WDM11" s="16"/>
      <c r="WDN11" s="16"/>
      <c r="WDO11" s="16"/>
      <c r="WDP11" s="16"/>
      <c r="WDQ11" s="16"/>
      <c r="WDR11" s="16"/>
      <c r="WDS11" s="16"/>
      <c r="WDT11" s="16"/>
      <c r="WDU11" s="16"/>
      <c r="WDV11" s="16"/>
      <c r="WDW11" s="16"/>
      <c r="WDX11" s="16"/>
      <c r="WDY11" s="16"/>
      <c r="WDZ11" s="16"/>
      <c r="WEA11" s="16"/>
      <c r="WEB11" s="16"/>
      <c r="WEC11" s="16"/>
      <c r="WED11" s="16"/>
      <c r="WEE11" s="16"/>
      <c r="WEF11" s="16"/>
      <c r="WEG11" s="16"/>
      <c r="WEH11" s="16"/>
      <c r="WEI11" s="16"/>
      <c r="WEJ11" s="16"/>
      <c r="WEK11" s="16"/>
      <c r="WEL11" s="16"/>
      <c r="WEM11" s="16"/>
      <c r="WEN11" s="16"/>
      <c r="WEO11" s="16"/>
      <c r="WEP11" s="16"/>
      <c r="WEQ11" s="16"/>
      <c r="WER11" s="16"/>
      <c r="WES11" s="16"/>
      <c r="WET11" s="16"/>
      <c r="WEU11" s="16"/>
      <c r="WEV11" s="16"/>
      <c r="WEW11" s="16"/>
      <c r="WEX11" s="16"/>
      <c r="WEY11" s="16"/>
      <c r="WEZ11" s="16"/>
      <c r="WFA11" s="16"/>
      <c r="WFB11" s="16"/>
      <c r="WFC11" s="16"/>
      <c r="WFD11" s="16"/>
      <c r="WFE11" s="16"/>
      <c r="WFF11" s="16"/>
      <c r="WFG11" s="16"/>
      <c r="WFH11" s="16"/>
      <c r="WFI11" s="16"/>
      <c r="WFJ11" s="16"/>
      <c r="WFK11" s="16"/>
      <c r="WFL11" s="16"/>
      <c r="WFM11" s="16"/>
      <c r="WFN11" s="16"/>
      <c r="WFO11" s="16"/>
      <c r="WFP11" s="16"/>
      <c r="WFQ11" s="16"/>
      <c r="WFR11" s="16"/>
      <c r="WFS11" s="16"/>
      <c r="WFT11" s="16"/>
      <c r="WFU11" s="16"/>
      <c r="WFV11" s="16"/>
      <c r="WFW11" s="16"/>
      <c r="WFX11" s="16"/>
      <c r="WFY11" s="16"/>
      <c r="WFZ11" s="16"/>
      <c r="WGA11" s="16"/>
      <c r="WGB11" s="16"/>
      <c r="WGC11" s="16"/>
      <c r="WGD11" s="16"/>
      <c r="WGE11" s="16"/>
      <c r="WGF11" s="16"/>
      <c r="WGG11" s="16"/>
      <c r="WGH11" s="16"/>
      <c r="WGI11" s="16"/>
      <c r="WGJ11" s="16"/>
      <c r="WGK11" s="16"/>
      <c r="WGL11" s="16"/>
      <c r="WGM11" s="16"/>
      <c r="WGN11" s="16"/>
      <c r="WGO11" s="16"/>
      <c r="WGP11" s="16"/>
      <c r="WGQ11" s="16"/>
      <c r="WGR11" s="16"/>
      <c r="WGS11" s="16"/>
      <c r="WGT11" s="16"/>
      <c r="WGU11" s="16"/>
      <c r="WGV11" s="16"/>
      <c r="WGW11" s="16"/>
      <c r="WGX11" s="16"/>
      <c r="WGY11" s="16"/>
      <c r="WGZ11" s="16"/>
      <c r="WHA11" s="16"/>
      <c r="WHB11" s="16"/>
      <c r="WHC11" s="16"/>
      <c r="WHD11" s="16"/>
      <c r="WHE11" s="16"/>
      <c r="WHF11" s="16"/>
      <c r="WHG11" s="16"/>
      <c r="WHH11" s="16"/>
      <c r="WHI11" s="16"/>
      <c r="WHJ11" s="16"/>
      <c r="WHK11" s="16"/>
      <c r="WHL11" s="16"/>
      <c r="WHM11" s="16"/>
      <c r="WHN11" s="16"/>
      <c r="WHO11" s="16"/>
      <c r="WHP11" s="16"/>
      <c r="WHQ11" s="16"/>
      <c r="WHR11" s="16"/>
      <c r="WHS11" s="16"/>
      <c r="WHT11" s="16"/>
      <c r="WHU11" s="16"/>
      <c r="WHV11" s="16"/>
      <c r="WHW11" s="16"/>
      <c r="WHX11" s="16"/>
      <c r="WHY11" s="16"/>
      <c r="WHZ11" s="16"/>
      <c r="WIA11" s="16"/>
      <c r="WIB11" s="16"/>
      <c r="WIC11" s="16"/>
      <c r="WID11" s="16"/>
      <c r="WIE11" s="16"/>
      <c r="WIF11" s="16"/>
      <c r="WIG11" s="16"/>
      <c r="WIH11" s="16"/>
      <c r="WII11" s="16"/>
      <c r="WIJ11" s="16"/>
      <c r="WIK11" s="16"/>
      <c r="WIL11" s="16"/>
      <c r="WIM11" s="16"/>
      <c r="WIN11" s="16"/>
      <c r="WIO11" s="16"/>
      <c r="WIP11" s="16"/>
      <c r="WIQ11" s="16"/>
      <c r="WIR11" s="16"/>
      <c r="WIS11" s="16"/>
      <c r="WIT11" s="16"/>
      <c r="WIU11" s="16"/>
      <c r="WIV11" s="16"/>
      <c r="WIW11" s="16"/>
      <c r="WIX11" s="16"/>
      <c r="WIY11" s="16"/>
      <c r="WIZ11" s="16"/>
      <c r="WJA11" s="16"/>
      <c r="WJB11" s="16"/>
      <c r="WJC11" s="16"/>
      <c r="WJD11" s="16"/>
      <c r="WJE11" s="16"/>
      <c r="WJF11" s="16"/>
      <c r="WJG11" s="16"/>
      <c r="WJH11" s="16"/>
      <c r="WJI11" s="16"/>
      <c r="WJJ11" s="16"/>
      <c r="WJK11" s="16"/>
      <c r="WJL11" s="16"/>
      <c r="WJM11" s="16"/>
      <c r="WJN11" s="16"/>
      <c r="WJO11" s="16"/>
      <c r="WJP11" s="16"/>
      <c r="WJQ11" s="16"/>
      <c r="WJR11" s="16"/>
      <c r="WJS11" s="16"/>
      <c r="WJT11" s="16"/>
      <c r="WJU11" s="16"/>
      <c r="WJV11" s="16"/>
      <c r="WJW11" s="16"/>
      <c r="WJX11" s="16"/>
      <c r="WJY11" s="16"/>
      <c r="WJZ11" s="16"/>
      <c r="WKA11" s="16"/>
      <c r="WKB11" s="16"/>
      <c r="WKC11" s="16"/>
      <c r="WKD11" s="16"/>
      <c r="WKE11" s="16"/>
      <c r="WKF11" s="16"/>
      <c r="WKG11" s="16"/>
      <c r="WKH11" s="16"/>
      <c r="WKI11" s="16"/>
      <c r="WKJ11" s="16"/>
      <c r="WKK11" s="16"/>
      <c r="WKL11" s="16"/>
      <c r="WKM11" s="16"/>
      <c r="WKN11" s="16"/>
      <c r="WKO11" s="16"/>
      <c r="WKP11" s="16"/>
      <c r="WKQ11" s="16"/>
      <c r="WKR11" s="16"/>
      <c r="WKS11" s="16"/>
      <c r="WKT11" s="16"/>
      <c r="WKU11" s="16"/>
      <c r="WKV11" s="16"/>
      <c r="WKW11" s="16"/>
      <c r="WKX11" s="16"/>
      <c r="WKY11" s="16"/>
      <c r="WKZ11" s="16"/>
      <c r="WLA11" s="16"/>
      <c r="WLB11" s="16"/>
      <c r="WLC11" s="16"/>
      <c r="WLD11" s="16"/>
      <c r="WLE11" s="16"/>
      <c r="WLF11" s="16"/>
      <c r="WLG11" s="16"/>
      <c r="WLH11" s="16"/>
      <c r="WLI11" s="16"/>
      <c r="WLJ11" s="16"/>
      <c r="WLK11" s="16"/>
      <c r="WLL11" s="16"/>
      <c r="WLM11" s="16"/>
      <c r="WLN11" s="16"/>
      <c r="WLO11" s="16"/>
      <c r="WLP11" s="16"/>
      <c r="WLQ11" s="16"/>
      <c r="WLR11" s="16"/>
      <c r="WLS11" s="16"/>
      <c r="WLT11" s="16"/>
      <c r="WLU11" s="16"/>
      <c r="WLV11" s="16"/>
      <c r="WLW11" s="16"/>
      <c r="WLX11" s="16"/>
      <c r="WLY11" s="16"/>
      <c r="WLZ11" s="16"/>
      <c r="WMA11" s="16"/>
      <c r="WMB11" s="16"/>
      <c r="WMC11" s="16"/>
      <c r="WMD11" s="16"/>
      <c r="WME11" s="16"/>
      <c r="WMF11" s="16"/>
      <c r="WMG11" s="16"/>
      <c r="WMH11" s="16"/>
      <c r="WMI11" s="16"/>
      <c r="WMJ11" s="16"/>
      <c r="WMK11" s="16"/>
      <c r="WML11" s="16"/>
      <c r="WMM11" s="16"/>
      <c r="WMN11" s="16"/>
      <c r="WMO11" s="16"/>
      <c r="WMP11" s="16"/>
      <c r="WMQ11" s="16"/>
      <c r="WMR11" s="16"/>
      <c r="WMS11" s="16"/>
      <c r="WMT11" s="16"/>
      <c r="WMU11" s="16"/>
      <c r="WMV11" s="16"/>
      <c r="WMW11" s="16"/>
      <c r="WMX11" s="16"/>
      <c r="WMY11" s="16"/>
      <c r="WMZ11" s="16"/>
      <c r="WNA11" s="16"/>
      <c r="WNB11" s="16"/>
      <c r="WNC11" s="16"/>
      <c r="WND11" s="16"/>
      <c r="WNE11" s="16"/>
      <c r="WNF11" s="16"/>
      <c r="WNG11" s="16"/>
      <c r="WNH11" s="16"/>
      <c r="WNI11" s="16"/>
      <c r="WNJ11" s="16"/>
      <c r="WNK11" s="16"/>
      <c r="WNL11" s="16"/>
      <c r="WNM11" s="16"/>
      <c r="WNN11" s="16"/>
      <c r="WNO11" s="16"/>
      <c r="WNP11" s="16"/>
      <c r="WNQ11" s="16"/>
      <c r="WNR11" s="16"/>
      <c r="WNS11" s="16"/>
      <c r="WNT11" s="16"/>
      <c r="WNU11" s="16"/>
      <c r="WNV11" s="16"/>
      <c r="WNW11" s="16"/>
      <c r="WNX11" s="16"/>
      <c r="WNY11" s="16"/>
      <c r="WNZ11" s="16"/>
      <c r="WOA11" s="16"/>
      <c r="WOB11" s="16"/>
      <c r="WOC11" s="16"/>
      <c r="WOD11" s="16"/>
      <c r="WOE11" s="16"/>
      <c r="WOF11" s="16"/>
      <c r="WOG11" s="16"/>
      <c r="WOH11" s="16"/>
      <c r="WOI11" s="16"/>
      <c r="WOJ11" s="16"/>
      <c r="WOK11" s="16"/>
      <c r="WOL11" s="16"/>
      <c r="WOM11" s="16"/>
      <c r="WON11" s="16"/>
      <c r="WOO11" s="16"/>
      <c r="WOP11" s="16"/>
      <c r="WOQ11" s="16"/>
      <c r="WOR11" s="16"/>
      <c r="WOS11" s="16"/>
      <c r="WOT11" s="16"/>
      <c r="WOU11" s="16"/>
      <c r="WOV11" s="16"/>
      <c r="WOW11" s="16"/>
      <c r="WOX11" s="16"/>
      <c r="WOY11" s="16"/>
      <c r="WOZ11" s="16"/>
      <c r="WPA11" s="16"/>
      <c r="WPB11" s="16"/>
      <c r="WPC11" s="16"/>
      <c r="WPD11" s="16"/>
      <c r="WPE11" s="16"/>
      <c r="WPF11" s="16"/>
      <c r="WPG11" s="16"/>
      <c r="WPH11" s="16"/>
      <c r="WPI11" s="16"/>
      <c r="WPJ11" s="16"/>
      <c r="WPK11" s="16"/>
      <c r="WPL11" s="16"/>
      <c r="WPM11" s="16"/>
      <c r="WPN11" s="16"/>
      <c r="WPO11" s="16"/>
      <c r="WPP11" s="16"/>
      <c r="WPQ11" s="16"/>
      <c r="WPR11" s="16"/>
      <c r="WPS11" s="16"/>
      <c r="WPT11" s="16"/>
      <c r="WPU11" s="16"/>
      <c r="WPV11" s="16"/>
      <c r="WPW11" s="16"/>
      <c r="WPX11" s="16"/>
      <c r="WPY11" s="16"/>
      <c r="WPZ11" s="16"/>
      <c r="WQA11" s="16"/>
      <c r="WQB11" s="16"/>
      <c r="WQC11" s="16"/>
      <c r="WQD11" s="16"/>
      <c r="WQE11" s="16"/>
      <c r="WQF11" s="16"/>
      <c r="WQG11" s="16"/>
      <c r="WQH11" s="16"/>
      <c r="WQI11" s="16"/>
      <c r="WQJ11" s="16"/>
      <c r="WQK11" s="16"/>
      <c r="WQL11" s="16"/>
      <c r="WQM11" s="16"/>
      <c r="WQN11" s="16"/>
      <c r="WQO11" s="16"/>
      <c r="WQP11" s="16"/>
      <c r="WQQ11" s="16"/>
      <c r="WQR11" s="16"/>
      <c r="WQS11" s="16"/>
      <c r="WQT11" s="16"/>
      <c r="WQU11" s="16"/>
      <c r="WQV11" s="16"/>
      <c r="WQW11" s="16"/>
      <c r="WQX11" s="16"/>
      <c r="WQY11" s="16"/>
      <c r="WQZ11" s="16"/>
      <c r="WRA11" s="16"/>
      <c r="WRB11" s="16"/>
      <c r="WRC11" s="16"/>
      <c r="WRD11" s="16"/>
      <c r="WRE11" s="16"/>
      <c r="WRF11" s="16"/>
      <c r="WRG11" s="16"/>
      <c r="WRH11" s="16"/>
      <c r="WRI11" s="16"/>
      <c r="WRJ11" s="16"/>
      <c r="WRK11" s="16"/>
      <c r="WRL11" s="16"/>
      <c r="WRM11" s="16"/>
      <c r="WRN11" s="16"/>
      <c r="WRO11" s="16"/>
      <c r="WRP11" s="16"/>
      <c r="WRQ11" s="16"/>
      <c r="WRR11" s="16"/>
      <c r="WRS11" s="16"/>
      <c r="WRT11" s="16"/>
      <c r="WRU11" s="16"/>
      <c r="WRV11" s="16"/>
      <c r="WRW11" s="16"/>
      <c r="WRX11" s="16"/>
      <c r="WRY11" s="16"/>
      <c r="WRZ11" s="16"/>
      <c r="WSA11" s="16"/>
      <c r="WSB11" s="16"/>
      <c r="WSC11" s="16"/>
      <c r="WSD11" s="16"/>
      <c r="WSE11" s="16"/>
      <c r="WSF11" s="16"/>
      <c r="WSG11" s="16"/>
      <c r="WSH11" s="16"/>
      <c r="WSI11" s="16"/>
      <c r="WSJ11" s="16"/>
      <c r="WSK11" s="16"/>
      <c r="WSL11" s="16"/>
      <c r="WSM11" s="16"/>
      <c r="WSN11" s="16"/>
      <c r="WSO11" s="16"/>
      <c r="WSP11" s="16"/>
      <c r="WSQ11" s="16"/>
      <c r="WSR11" s="16"/>
      <c r="WSS11" s="16"/>
      <c r="WST11" s="16"/>
      <c r="WSU11" s="16"/>
      <c r="WSV11" s="16"/>
      <c r="WSW11" s="16"/>
      <c r="WSX11" s="16"/>
      <c r="WSY11" s="16"/>
      <c r="WSZ11" s="16"/>
      <c r="WTA11" s="16"/>
      <c r="WTB11" s="16"/>
      <c r="WTC11" s="16"/>
      <c r="WTD11" s="16"/>
      <c r="WTE11" s="16"/>
      <c r="WTF11" s="16"/>
      <c r="WTG11" s="16"/>
      <c r="WTH11" s="16"/>
      <c r="WTI11" s="16"/>
      <c r="WTJ11" s="16"/>
      <c r="WTK11" s="16"/>
      <c r="WTL11" s="16"/>
      <c r="WTM11" s="16"/>
      <c r="WTN11" s="16"/>
      <c r="WTO11" s="16"/>
      <c r="WTP11" s="16"/>
      <c r="WTQ11" s="16"/>
      <c r="WTR11" s="16"/>
      <c r="WTS11" s="16"/>
      <c r="WTT11" s="16"/>
      <c r="WTU11" s="16"/>
      <c r="WTV11" s="16"/>
      <c r="WTW11" s="16"/>
      <c r="WTX11" s="16"/>
      <c r="WTY11" s="16"/>
      <c r="WTZ11" s="16"/>
      <c r="WUA11" s="16"/>
      <c r="WUB11" s="16"/>
      <c r="WUC11" s="16"/>
      <c r="WUD11" s="16"/>
      <c r="WUE11" s="16"/>
      <c r="WUF11" s="16"/>
      <c r="WUG11" s="16"/>
      <c r="WUH11" s="16"/>
      <c r="WUI11" s="16"/>
      <c r="WUJ11" s="16"/>
      <c r="WUK11" s="16"/>
      <c r="WUL11" s="16"/>
      <c r="WUM11" s="16"/>
      <c r="WUN11" s="16"/>
      <c r="WUO11" s="16"/>
      <c r="WUP11" s="16"/>
      <c r="WUQ11" s="16"/>
      <c r="WUR11" s="16"/>
      <c r="WUS11" s="16"/>
      <c r="WUT11" s="16"/>
      <c r="WUU11" s="16"/>
      <c r="WUV11" s="16"/>
      <c r="WUW11" s="16"/>
      <c r="WUX11" s="16"/>
      <c r="WUY11" s="16"/>
      <c r="WUZ11" s="16"/>
      <c r="WVA11" s="16"/>
      <c r="WVB11" s="16"/>
      <c r="WVC11" s="16"/>
      <c r="WVD11" s="16"/>
      <c r="WVE11" s="16"/>
      <c r="WVF11" s="16"/>
      <c r="WVG11" s="16"/>
      <c r="WVH11" s="16"/>
      <c r="WVI11" s="16"/>
      <c r="WVJ11" s="16"/>
      <c r="WVK11" s="16"/>
      <c r="WVL11" s="16"/>
      <c r="WVM11" s="16"/>
      <c r="WVN11" s="16"/>
      <c r="WVO11" s="16"/>
      <c r="WVP11" s="16"/>
      <c r="WVQ11" s="16"/>
      <c r="WVR11" s="16"/>
      <c r="WVS11" s="16"/>
      <c r="WVT11" s="16"/>
      <c r="WVU11" s="16"/>
      <c r="WVV11" s="16"/>
      <c r="WVW11" s="16"/>
      <c r="WVX11" s="16"/>
      <c r="WVY11" s="16"/>
      <c r="WVZ11" s="16"/>
      <c r="WWA11" s="16"/>
      <c r="WWB11" s="16"/>
      <c r="WWC11" s="16"/>
      <c r="WWD11" s="16"/>
      <c r="WWE11" s="16"/>
      <c r="WWF11" s="16"/>
      <c r="WWG11" s="16"/>
      <c r="WWH11" s="16"/>
      <c r="WWI11" s="16"/>
      <c r="WWJ11" s="16"/>
      <c r="WWK11" s="16"/>
      <c r="WWL11" s="16"/>
      <c r="WWM11" s="16"/>
      <c r="WWN11" s="16"/>
      <c r="WWO11" s="16"/>
      <c r="WWP11" s="16"/>
      <c r="WWQ11" s="16"/>
      <c r="WWR11" s="16"/>
      <c r="WWS11" s="16"/>
      <c r="WWT11" s="16"/>
      <c r="WWU11" s="16"/>
      <c r="WWV11" s="16"/>
      <c r="WWW11" s="16"/>
      <c r="WWX11" s="16"/>
      <c r="WWY11" s="16"/>
      <c r="WWZ11" s="16"/>
      <c r="WXA11" s="16"/>
      <c r="WXB11" s="16"/>
      <c r="WXC11" s="16"/>
      <c r="WXD11" s="16"/>
      <c r="WXE11" s="16"/>
      <c r="WXF11" s="16"/>
      <c r="WXG11" s="16"/>
      <c r="WXH11" s="16"/>
      <c r="WXI11" s="16"/>
      <c r="WXJ11" s="16"/>
      <c r="WXK11" s="16"/>
      <c r="WXL11" s="16"/>
      <c r="WXM11" s="16"/>
      <c r="WXN11" s="16"/>
      <c r="WXO11" s="16"/>
      <c r="WXP11" s="16"/>
      <c r="WXQ11" s="16"/>
      <c r="WXR11" s="16"/>
      <c r="WXS11" s="16"/>
      <c r="WXT11" s="16"/>
      <c r="WXU11" s="16"/>
      <c r="WXV11" s="16"/>
      <c r="WXW11" s="16"/>
      <c r="WXX11" s="16"/>
      <c r="WXY11" s="16"/>
      <c r="WXZ11" s="16"/>
      <c r="WYA11" s="16"/>
      <c r="WYB11" s="16"/>
      <c r="WYC11" s="16"/>
      <c r="WYD11" s="16"/>
      <c r="WYE11" s="16"/>
      <c r="WYF11" s="16"/>
      <c r="WYG11" s="16"/>
      <c r="WYH11" s="16"/>
      <c r="WYI11" s="16"/>
      <c r="WYJ11" s="16"/>
      <c r="WYK11" s="16"/>
      <c r="WYL11" s="16"/>
      <c r="WYM11" s="16"/>
      <c r="WYN11" s="16"/>
      <c r="WYO11" s="16"/>
      <c r="WYP11" s="16"/>
      <c r="WYQ11" s="16"/>
      <c r="WYR11" s="16"/>
      <c r="WYS11" s="16"/>
      <c r="WYT11" s="16"/>
      <c r="WYU11" s="16"/>
      <c r="WYV11" s="16"/>
      <c r="WYW11" s="16"/>
      <c r="WYX11" s="16"/>
      <c r="WYY11" s="16"/>
      <c r="WYZ11" s="16"/>
      <c r="WZA11" s="16"/>
      <c r="WZB11" s="16"/>
      <c r="WZC11" s="16"/>
      <c r="WZD11" s="16"/>
      <c r="WZE11" s="16"/>
      <c r="WZF11" s="16"/>
      <c r="WZG11" s="16"/>
      <c r="WZH11" s="16"/>
      <c r="WZI11" s="16"/>
      <c r="WZJ11" s="16"/>
      <c r="WZK11" s="16"/>
      <c r="WZL11" s="16"/>
      <c r="WZM11" s="16"/>
      <c r="WZN11" s="16"/>
      <c r="WZO11" s="16"/>
      <c r="WZP11" s="16"/>
      <c r="WZQ11" s="16"/>
      <c r="WZR11" s="16"/>
      <c r="WZS11" s="16"/>
      <c r="WZT11" s="16"/>
      <c r="WZU11" s="16"/>
      <c r="WZV11" s="16"/>
      <c r="WZW11" s="16"/>
      <c r="WZX11" s="16"/>
      <c r="WZY11" s="16"/>
      <c r="WZZ11" s="16"/>
      <c r="XAA11" s="16"/>
      <c r="XAB11" s="16"/>
      <c r="XAC11" s="16"/>
      <c r="XAD11" s="16"/>
      <c r="XAE11" s="16"/>
      <c r="XAF11" s="16"/>
      <c r="XAG11" s="16"/>
      <c r="XAH11" s="16"/>
      <c r="XAI11" s="16"/>
      <c r="XAJ11" s="16"/>
      <c r="XAK11" s="16"/>
      <c r="XAL11" s="16"/>
      <c r="XAM11" s="16"/>
      <c r="XAN11" s="16"/>
      <c r="XAO11" s="16"/>
      <c r="XAP11" s="16"/>
      <c r="XAQ11" s="16"/>
      <c r="XAR11" s="16"/>
      <c r="XAS11" s="16"/>
      <c r="XAT11" s="16"/>
      <c r="XAU11" s="16"/>
      <c r="XAV11" s="16"/>
      <c r="XAW11" s="16"/>
      <c r="XAX11" s="16"/>
      <c r="XAY11" s="16"/>
      <c r="XAZ11" s="16"/>
      <c r="XBA11" s="16"/>
      <c r="XBB11" s="16"/>
      <c r="XBC11" s="16"/>
      <c r="XBD11" s="16"/>
      <c r="XBE11" s="16"/>
      <c r="XBF11" s="16"/>
      <c r="XBG11" s="16"/>
      <c r="XBH11" s="16"/>
      <c r="XBI11" s="16"/>
      <c r="XBJ11" s="16"/>
      <c r="XBK11" s="16"/>
      <c r="XBL11" s="16"/>
      <c r="XBM11" s="16"/>
      <c r="XBN11" s="16"/>
      <c r="XBO11" s="16"/>
      <c r="XBP11" s="16"/>
      <c r="XBQ11" s="16"/>
      <c r="XBR11" s="16"/>
      <c r="XBS11" s="16"/>
      <c r="XBT11" s="16"/>
      <c r="XBU11" s="16"/>
      <c r="XBV11" s="16"/>
      <c r="XBW11" s="16"/>
      <c r="XBX11" s="16"/>
      <c r="XBY11" s="16"/>
      <c r="XBZ11" s="16"/>
      <c r="XCA11" s="16"/>
      <c r="XCB11" s="16"/>
      <c r="XCC11" s="16"/>
      <c r="XCD11" s="16"/>
      <c r="XCE11" s="16"/>
      <c r="XCF11" s="16"/>
      <c r="XCG11" s="16"/>
      <c r="XCH11" s="16"/>
      <c r="XCI11" s="16"/>
      <c r="XCJ11" s="16"/>
      <c r="XCK11" s="16"/>
      <c r="XCL11" s="16"/>
      <c r="XCM11" s="16"/>
      <c r="XCN11" s="16"/>
      <c r="XCO11" s="16"/>
      <c r="XCP11" s="16"/>
      <c r="XCQ11" s="16"/>
      <c r="XCR11" s="16"/>
      <c r="XCS11" s="16"/>
      <c r="XCT11" s="16"/>
      <c r="XCU11" s="16"/>
      <c r="XCV11" s="16"/>
      <c r="XCW11" s="16"/>
      <c r="XCX11" s="16"/>
      <c r="XCY11" s="16"/>
      <c r="XCZ11" s="16"/>
      <c r="XDA11" s="16"/>
      <c r="XDB11" s="16"/>
      <c r="XDC11" s="16"/>
      <c r="XDD11" s="16"/>
      <c r="XDE11" s="16"/>
      <c r="XDF11" s="16"/>
      <c r="XDG11" s="16"/>
      <c r="XDH11" s="16"/>
      <c r="XDI11" s="16"/>
      <c r="XDJ11" s="16"/>
      <c r="XDK11" s="16"/>
      <c r="XDL11" s="16"/>
      <c r="XDM11" s="16"/>
      <c r="XDN11" s="16"/>
      <c r="XDO11" s="16"/>
      <c r="XDP11" s="16"/>
      <c r="XDQ11" s="16"/>
      <c r="XDR11" s="16"/>
      <c r="XDS11" s="16"/>
      <c r="XDT11" s="16"/>
      <c r="XDU11" s="16"/>
      <c r="XDV11" s="16"/>
      <c r="XDW11" s="16"/>
      <c r="XDX11" s="16"/>
      <c r="XDY11" s="16"/>
      <c r="XDZ11" s="16"/>
      <c r="XEA11" s="16"/>
      <c r="XEB11" s="16"/>
      <c r="XEC11" s="16"/>
      <c r="XED11" s="16"/>
      <c r="XEE11" s="16"/>
      <c r="XEF11" s="16"/>
      <c r="XEG11" s="16"/>
      <c r="XEH11" s="16"/>
    </row>
    <row r="12" spans="1:16362" ht="18.75" customHeight="1" x14ac:dyDescent="0.3">
      <c r="A12" s="1">
        <v>10</v>
      </c>
      <c r="B12" s="1" t="s">
        <v>5070</v>
      </c>
    </row>
    <row r="13" spans="1:16362" s="1" customFormat="1" ht="18" customHeight="1" x14ac:dyDescent="0.3">
      <c r="A13" s="1">
        <v>11</v>
      </c>
      <c r="B13" s="1" t="s">
        <v>5071</v>
      </c>
    </row>
    <row r="14" spans="1:16362" s="1" customFormat="1" ht="18" customHeight="1" x14ac:dyDescent="0.3">
      <c r="A14" s="16">
        <v>12</v>
      </c>
      <c r="B14" s="1" t="s">
        <v>5072</v>
      </c>
    </row>
    <row r="15" spans="1:16362" ht="18.75" customHeight="1" x14ac:dyDescent="0.3">
      <c r="A15" s="1">
        <v>13</v>
      </c>
      <c r="B15" s="2" t="s">
        <v>5073</v>
      </c>
    </row>
    <row r="16" spans="1:16362" ht="18.75" customHeight="1" x14ac:dyDescent="0.3">
      <c r="A16" s="1">
        <v>14</v>
      </c>
      <c r="B16" s="3" t="s">
        <v>5074</v>
      </c>
    </row>
    <row r="17" spans="1:2" ht="18.75" customHeight="1" x14ac:dyDescent="0.3">
      <c r="A17" s="1">
        <v>15</v>
      </c>
      <c r="B17" s="3" t="s">
        <v>5075</v>
      </c>
    </row>
    <row r="18" spans="1:2" ht="18.75" customHeight="1" x14ac:dyDescent="0.3">
      <c r="A18" s="16">
        <v>16</v>
      </c>
      <c r="B18" s="2" t="s">
        <v>5076</v>
      </c>
    </row>
    <row r="19" spans="1:2" ht="18.75" customHeight="1" x14ac:dyDescent="0.3">
      <c r="A19" s="1">
        <v>17</v>
      </c>
      <c r="B19" s="2" t="s">
        <v>5077</v>
      </c>
    </row>
    <row r="20" spans="1:2" ht="18.75" customHeight="1" x14ac:dyDescent="0.3">
      <c r="A20" s="1">
        <v>18</v>
      </c>
      <c r="B20" s="2" t="s">
        <v>5078</v>
      </c>
    </row>
    <row r="21" spans="1:2" ht="18.75" customHeight="1" x14ac:dyDescent="0.3">
      <c r="A21" s="1">
        <v>19</v>
      </c>
      <c r="B21" s="2" t="s">
        <v>5079</v>
      </c>
    </row>
    <row r="22" spans="1:2" ht="18.75" customHeight="1" x14ac:dyDescent="0.3">
      <c r="A22" s="16">
        <v>20</v>
      </c>
      <c r="B22" s="2" t="s">
        <v>5080</v>
      </c>
    </row>
    <row r="23" spans="1:2" ht="18.75" customHeight="1" x14ac:dyDescent="0.3">
      <c r="A23" s="1">
        <v>21</v>
      </c>
      <c r="B23" s="2" t="s">
        <v>5081</v>
      </c>
    </row>
    <row r="24" spans="1:2" ht="18.75" customHeight="1" x14ac:dyDescent="0.3">
      <c r="A24" s="1">
        <v>22</v>
      </c>
      <c r="B24" s="2" t="s">
        <v>5082</v>
      </c>
    </row>
    <row r="25" spans="1:2" ht="18.75" customHeight="1" x14ac:dyDescent="0.3">
      <c r="A25" s="1">
        <v>23</v>
      </c>
      <c r="B25" s="2" t="s">
        <v>5083</v>
      </c>
    </row>
    <row r="26" spans="1:2" ht="18.75" customHeight="1" x14ac:dyDescent="0.3">
      <c r="A26" s="16">
        <v>24</v>
      </c>
      <c r="B26" s="2" t="s">
        <v>5084</v>
      </c>
    </row>
    <row r="27" spans="1:2" ht="18.75" customHeight="1" x14ac:dyDescent="0.3">
      <c r="A27" s="1">
        <v>25</v>
      </c>
      <c r="B27" s="2" t="s">
        <v>5085</v>
      </c>
    </row>
    <row r="28" spans="1:2" ht="18.75" customHeight="1" x14ac:dyDescent="0.3">
      <c r="A28" s="1">
        <v>26</v>
      </c>
      <c r="B28" s="2" t="s">
        <v>5086</v>
      </c>
    </row>
    <row r="29" spans="1:2" ht="18.75" customHeight="1" x14ac:dyDescent="0.3">
      <c r="A29" s="1">
        <v>27</v>
      </c>
      <c r="B29" s="2" t="s">
        <v>5087</v>
      </c>
    </row>
    <row r="30" spans="1:2" ht="18.75" customHeight="1" x14ac:dyDescent="0.3">
      <c r="A30" s="16">
        <v>28</v>
      </c>
      <c r="B30" s="2" t="s">
        <v>5088</v>
      </c>
    </row>
    <row r="31" spans="1:2" ht="18.75" customHeight="1" x14ac:dyDescent="0.3">
      <c r="A31" s="1">
        <v>29</v>
      </c>
      <c r="B31" s="2" t="s">
        <v>5089</v>
      </c>
    </row>
    <row r="32" spans="1:2" ht="18.75" customHeight="1" x14ac:dyDescent="0.3">
      <c r="A32" s="1">
        <v>30</v>
      </c>
      <c r="B32" s="2" t="s">
        <v>5090</v>
      </c>
    </row>
    <row r="33" spans="1:2" ht="18.75" customHeight="1" x14ac:dyDescent="0.3">
      <c r="A33" s="1">
        <v>31</v>
      </c>
      <c r="B33" s="2" t="s">
        <v>5091</v>
      </c>
    </row>
    <row r="34" spans="1:2" ht="18.75" customHeight="1" x14ac:dyDescent="0.3">
      <c r="A34" s="16">
        <v>32</v>
      </c>
      <c r="B34" s="2" t="s">
        <v>5092</v>
      </c>
    </row>
    <row r="35" spans="1:2" ht="18.75" customHeight="1" x14ac:dyDescent="0.3">
      <c r="A35" s="1">
        <v>33</v>
      </c>
      <c r="B35" s="2" t="s">
        <v>5093</v>
      </c>
    </row>
    <row r="36" spans="1:2" ht="18.75" customHeight="1" x14ac:dyDescent="0.3">
      <c r="A36" s="1">
        <v>34</v>
      </c>
      <c r="B36" s="2" t="s">
        <v>5094</v>
      </c>
    </row>
    <row r="37" spans="1:2" ht="18.75" customHeight="1" x14ac:dyDescent="0.3">
      <c r="A37" s="1">
        <v>35</v>
      </c>
      <c r="B37" s="2" t="s">
        <v>5095</v>
      </c>
    </row>
    <row r="38" spans="1:2" ht="18.75" customHeight="1" x14ac:dyDescent="0.3">
      <c r="A38" s="16">
        <v>36</v>
      </c>
      <c r="B38" s="2" t="s">
        <v>5096</v>
      </c>
    </row>
    <row r="39" spans="1:2" ht="18.75" customHeight="1" x14ac:dyDescent="0.3">
      <c r="A39" s="1">
        <v>37</v>
      </c>
      <c r="B39" s="2" t="s">
        <v>5097</v>
      </c>
    </row>
    <row r="40" spans="1:2" ht="18.75" customHeight="1" x14ac:dyDescent="0.3">
      <c r="A40" s="1">
        <v>38</v>
      </c>
      <c r="B40" s="2" t="s">
        <v>5098</v>
      </c>
    </row>
    <row r="41" spans="1:2" ht="18.75" customHeight="1" x14ac:dyDescent="0.3">
      <c r="A41" s="1">
        <v>39</v>
      </c>
      <c r="B41" s="2" t="s">
        <v>5099</v>
      </c>
    </row>
    <row r="42" spans="1:2" ht="18.75" customHeight="1" x14ac:dyDescent="0.3">
      <c r="A42" s="16">
        <v>40</v>
      </c>
      <c r="B42" s="2" t="s">
        <v>5100</v>
      </c>
    </row>
    <row r="43" spans="1:2" ht="18.75" customHeight="1" x14ac:dyDescent="0.3">
      <c r="A43" s="1">
        <v>41</v>
      </c>
      <c r="B43" s="2" t="s">
        <v>5101</v>
      </c>
    </row>
    <row r="44" spans="1:2" ht="18.75" customHeight="1" x14ac:dyDescent="0.3">
      <c r="A44" s="1">
        <v>42</v>
      </c>
      <c r="B44" s="3" t="s">
        <v>5102</v>
      </c>
    </row>
    <row r="45" spans="1:2" ht="18.75" customHeight="1" x14ac:dyDescent="0.3">
      <c r="A45" s="1">
        <v>43</v>
      </c>
      <c r="B45" s="2" t="s">
        <v>5103</v>
      </c>
    </row>
    <row r="46" spans="1:2" ht="18.75" customHeight="1" x14ac:dyDescent="0.3">
      <c r="A46" s="16">
        <v>44</v>
      </c>
      <c r="B46" s="5" t="s">
        <v>5104</v>
      </c>
    </row>
    <row r="47" spans="1:2" ht="18.75" customHeight="1" x14ac:dyDescent="0.3">
      <c r="A47" s="1">
        <v>45</v>
      </c>
      <c r="B47" s="21" t="s">
        <v>5105</v>
      </c>
    </row>
    <row r="48" spans="1:2" ht="18.75" customHeight="1" x14ac:dyDescent="0.3">
      <c r="A48" s="1">
        <v>46</v>
      </c>
      <c r="B48" s="5" t="s">
        <v>5106</v>
      </c>
    </row>
    <row r="49" spans="1:3" ht="18.75" customHeight="1" x14ac:dyDescent="0.3">
      <c r="A49" s="1">
        <v>47</v>
      </c>
      <c r="B49" s="5" t="s">
        <v>5107</v>
      </c>
    </row>
    <row r="50" spans="1:3" ht="18.75" customHeight="1" x14ac:dyDescent="0.3">
      <c r="A50" s="16">
        <v>48</v>
      </c>
      <c r="B50" s="5" t="s">
        <v>5108</v>
      </c>
    </row>
    <row r="51" spans="1:3" ht="18.75" customHeight="1" x14ac:dyDescent="0.3">
      <c r="A51" s="1">
        <v>49</v>
      </c>
      <c r="B51" s="5" t="s">
        <v>5109</v>
      </c>
    </row>
    <row r="52" spans="1:3" ht="18.75" customHeight="1" x14ac:dyDescent="0.3">
      <c r="A52" s="1">
        <v>50</v>
      </c>
      <c r="B52" s="5" t="s">
        <v>5110</v>
      </c>
    </row>
    <row r="53" spans="1:3" ht="18.75" customHeight="1" x14ac:dyDescent="0.3">
      <c r="A53" s="1">
        <v>51</v>
      </c>
      <c r="B53" s="3" t="s">
        <v>5111</v>
      </c>
    </row>
    <row r="54" spans="1:3" ht="18.75" customHeight="1" x14ac:dyDescent="0.3">
      <c r="A54" s="16">
        <v>52</v>
      </c>
      <c r="B54" s="3" t="s">
        <v>5112</v>
      </c>
    </row>
    <row r="55" spans="1:3" ht="18.75" customHeight="1" x14ac:dyDescent="0.3">
      <c r="A55" s="1">
        <v>53</v>
      </c>
      <c r="B55" s="3" t="s">
        <v>5113</v>
      </c>
    </row>
    <row r="56" spans="1:3" ht="18.75" customHeight="1" x14ac:dyDescent="0.3">
      <c r="A56" s="1">
        <v>54</v>
      </c>
      <c r="B56" s="3" t="s">
        <v>5114</v>
      </c>
    </row>
    <row r="57" spans="1:3" ht="18.75" customHeight="1" x14ac:dyDescent="0.3">
      <c r="A57" s="1">
        <v>55</v>
      </c>
      <c r="B57" s="3" t="s">
        <v>5115</v>
      </c>
    </row>
    <row r="58" spans="1:3" ht="18.75" customHeight="1" x14ac:dyDescent="0.3">
      <c r="A58" s="16">
        <v>56</v>
      </c>
      <c r="B58" s="3" t="s">
        <v>5116</v>
      </c>
    </row>
    <row r="59" spans="1:3" ht="18.75" customHeight="1" x14ac:dyDescent="0.3">
      <c r="A59" s="1">
        <v>57</v>
      </c>
      <c r="B59" s="3" t="s">
        <v>5117</v>
      </c>
    </row>
    <row r="60" spans="1:3" ht="18.75" customHeight="1" x14ac:dyDescent="0.3">
      <c r="A60" s="1">
        <v>58</v>
      </c>
      <c r="B60" s="3" t="s">
        <v>5118</v>
      </c>
    </row>
    <row r="61" spans="1:3" ht="18.75" customHeight="1" x14ac:dyDescent="0.3">
      <c r="A61" s="1">
        <v>59</v>
      </c>
      <c r="B61" s="2" t="s">
        <v>5119</v>
      </c>
    </row>
    <row r="62" spans="1:3" ht="18.75" customHeight="1" x14ac:dyDescent="0.3">
      <c r="A62" s="16">
        <v>60</v>
      </c>
      <c r="B62" s="2" t="s">
        <v>5120</v>
      </c>
    </row>
    <row r="63" spans="1:3" ht="18.75" customHeight="1" x14ac:dyDescent="0.3">
      <c r="A63" s="1">
        <v>61</v>
      </c>
      <c r="B63" s="2" t="s">
        <v>5121</v>
      </c>
      <c r="C63" s="1"/>
    </row>
    <row r="64" spans="1:3" ht="18.75" customHeight="1" x14ac:dyDescent="0.3">
      <c r="A64" s="1">
        <v>62</v>
      </c>
      <c r="B64" s="2" t="s">
        <v>5122</v>
      </c>
      <c r="C64" s="1"/>
    </row>
    <row r="65" spans="1:2" ht="18.75" customHeight="1" x14ac:dyDescent="0.3">
      <c r="A65" s="1">
        <v>63</v>
      </c>
      <c r="B65" s="2" t="s">
        <v>5123</v>
      </c>
    </row>
    <row r="66" spans="1:2" ht="18.75" customHeight="1" x14ac:dyDescent="0.3">
      <c r="A66" s="16">
        <v>64</v>
      </c>
      <c r="B66" s="2" t="s">
        <v>5124</v>
      </c>
    </row>
    <row r="67" spans="1:2" ht="18.75" customHeight="1" x14ac:dyDescent="0.3">
      <c r="A67" s="1">
        <v>65</v>
      </c>
      <c r="B67" s="2" t="s">
        <v>5125</v>
      </c>
    </row>
    <row r="68" spans="1:2" ht="18.75" customHeight="1" x14ac:dyDescent="0.3">
      <c r="A68" s="1">
        <v>66</v>
      </c>
      <c r="B68" s="3" t="s">
        <v>5126</v>
      </c>
    </row>
    <row r="69" spans="1:2" ht="18.75" customHeight="1" x14ac:dyDescent="0.3">
      <c r="A69" s="1">
        <v>67</v>
      </c>
      <c r="B69" s="2" t="s">
        <v>5127</v>
      </c>
    </row>
    <row r="70" spans="1:2" ht="18.75" customHeight="1" x14ac:dyDescent="0.3">
      <c r="A70" s="16">
        <v>68</v>
      </c>
      <c r="B70" s="2" t="s">
        <v>5128</v>
      </c>
    </row>
    <row r="71" spans="1:2" ht="18.75" customHeight="1" x14ac:dyDescent="0.3">
      <c r="A71" s="1">
        <v>69</v>
      </c>
      <c r="B71" s="2" t="s">
        <v>5129</v>
      </c>
    </row>
    <row r="72" spans="1:2" ht="18.75" customHeight="1" x14ac:dyDescent="0.3">
      <c r="A72" s="1">
        <v>70</v>
      </c>
      <c r="B72" s="2" t="s">
        <v>5130</v>
      </c>
    </row>
    <row r="73" spans="1:2" ht="18.75" customHeight="1" x14ac:dyDescent="0.3">
      <c r="A73" s="1">
        <v>71</v>
      </c>
      <c r="B73" s="3" t="s">
        <v>5131</v>
      </c>
    </row>
    <row r="74" spans="1:2" ht="18.75" customHeight="1" x14ac:dyDescent="0.3">
      <c r="A74" s="16">
        <v>72</v>
      </c>
      <c r="B74" s="2" t="s">
        <v>5132</v>
      </c>
    </row>
    <row r="75" spans="1:2" ht="18.75" customHeight="1" x14ac:dyDescent="0.3">
      <c r="A75" s="1">
        <v>73</v>
      </c>
      <c r="B75" s="2" t="s">
        <v>5132</v>
      </c>
    </row>
    <row r="76" spans="1:2" ht="18.75" customHeight="1" x14ac:dyDescent="0.3">
      <c r="A76" s="1">
        <v>74</v>
      </c>
      <c r="B76" s="2" t="s">
        <v>5133</v>
      </c>
    </row>
    <row r="77" spans="1:2" ht="18.75" customHeight="1" x14ac:dyDescent="0.3">
      <c r="A77" s="1">
        <v>75</v>
      </c>
      <c r="B77" s="2" t="s">
        <v>5134</v>
      </c>
    </row>
    <row r="78" spans="1:2" ht="18.75" customHeight="1" x14ac:dyDescent="0.3">
      <c r="A78" s="16">
        <v>76</v>
      </c>
      <c r="B78" s="2" t="s">
        <v>5135</v>
      </c>
    </row>
    <row r="79" spans="1:2" ht="18.75" customHeight="1" x14ac:dyDescent="0.3">
      <c r="A79" s="1">
        <v>77</v>
      </c>
      <c r="B79" s="2" t="s">
        <v>5136</v>
      </c>
    </row>
    <row r="80" spans="1:2" ht="18.75" customHeight="1" x14ac:dyDescent="0.3">
      <c r="A80" s="1">
        <v>78</v>
      </c>
      <c r="B80" s="2" t="s">
        <v>5137</v>
      </c>
    </row>
    <row r="81" spans="1:2" ht="18.75" customHeight="1" x14ac:dyDescent="0.3">
      <c r="A81" s="1">
        <v>79</v>
      </c>
      <c r="B81" s="2" t="s">
        <v>5138</v>
      </c>
    </row>
    <row r="82" spans="1:2" ht="18.75" customHeight="1" x14ac:dyDescent="0.3">
      <c r="A82" s="16">
        <v>80</v>
      </c>
      <c r="B82" s="2" t="s">
        <v>5139</v>
      </c>
    </row>
    <row r="83" spans="1:2" ht="18.75" customHeight="1" x14ac:dyDescent="0.3">
      <c r="A83" s="1">
        <v>81</v>
      </c>
      <c r="B83" s="2" t="s">
        <v>5140</v>
      </c>
    </row>
    <row r="84" spans="1:2" ht="18.75" customHeight="1" x14ac:dyDescent="0.3">
      <c r="A84" s="1">
        <v>82</v>
      </c>
      <c r="B84" s="2" t="s">
        <v>5141</v>
      </c>
    </row>
    <row r="85" spans="1:2" ht="18.75" customHeight="1" x14ac:dyDescent="0.3">
      <c r="A85" s="1">
        <v>83</v>
      </c>
      <c r="B85" s="2" t="s">
        <v>5142</v>
      </c>
    </row>
    <row r="86" spans="1:2" ht="18.75" customHeight="1" x14ac:dyDescent="0.3">
      <c r="A86" s="16">
        <v>84</v>
      </c>
      <c r="B86" s="2" t="s">
        <v>5143</v>
      </c>
    </row>
    <row r="87" spans="1:2" ht="18.75" customHeight="1" x14ac:dyDescent="0.3">
      <c r="A87" s="1">
        <v>85</v>
      </c>
      <c r="B87" s="2" t="s">
        <v>5144</v>
      </c>
    </row>
    <row r="88" spans="1:2" ht="18.75" customHeight="1" x14ac:dyDescent="0.3">
      <c r="A88" s="1">
        <v>86</v>
      </c>
      <c r="B88" s="2" t="s">
        <v>5145</v>
      </c>
    </row>
    <row r="89" spans="1:2" ht="18.75" customHeight="1" x14ac:dyDescent="0.3">
      <c r="A89" s="1">
        <v>87</v>
      </c>
      <c r="B89" s="2" t="s">
        <v>5146</v>
      </c>
    </row>
    <row r="90" spans="1:2" ht="18.75" customHeight="1" x14ac:dyDescent="0.3">
      <c r="A90" s="16">
        <v>88</v>
      </c>
      <c r="B90" s="2" t="s">
        <v>5147</v>
      </c>
    </row>
    <row r="91" spans="1:2" ht="18.75" customHeight="1" x14ac:dyDescent="0.3">
      <c r="A91" s="1">
        <v>89</v>
      </c>
      <c r="B91" s="2" t="s">
        <v>5148</v>
      </c>
    </row>
    <row r="92" spans="1:2" ht="18.75" customHeight="1" x14ac:dyDescent="0.3">
      <c r="A92" s="1">
        <v>90</v>
      </c>
      <c r="B92" s="2" t="s">
        <v>5149</v>
      </c>
    </row>
    <row r="93" spans="1:2" ht="18.75" customHeight="1" x14ac:dyDescent="0.3">
      <c r="A93" s="1">
        <v>91</v>
      </c>
      <c r="B93" s="2" t="s">
        <v>5150</v>
      </c>
    </row>
    <row r="94" spans="1:2" ht="18.75" customHeight="1" x14ac:dyDescent="0.3">
      <c r="A94" s="16">
        <v>92</v>
      </c>
      <c r="B94" s="2" t="s">
        <v>5151</v>
      </c>
    </row>
    <row r="95" spans="1:2" ht="18.75" customHeight="1" x14ac:dyDescent="0.3">
      <c r="A95" s="1">
        <v>93</v>
      </c>
      <c r="B95" s="2" t="s">
        <v>5152</v>
      </c>
    </row>
    <row r="96" spans="1:2" ht="18.75" customHeight="1" x14ac:dyDescent="0.3">
      <c r="A96" s="1">
        <v>94</v>
      </c>
      <c r="B96" s="2" t="s">
        <v>5153</v>
      </c>
    </row>
    <row r="97" spans="1:2" ht="18.75" customHeight="1" x14ac:dyDescent="0.3">
      <c r="A97" s="1">
        <v>95</v>
      </c>
      <c r="B97" s="21" t="s">
        <v>5154</v>
      </c>
    </row>
    <row r="98" spans="1:2" ht="18.75" customHeight="1" x14ac:dyDescent="0.3">
      <c r="A98" s="16">
        <v>96</v>
      </c>
      <c r="B98" s="2" t="s">
        <v>5155</v>
      </c>
    </row>
    <row r="99" spans="1:2" ht="18.75" customHeight="1" x14ac:dyDescent="0.3">
      <c r="A99" s="1">
        <v>97</v>
      </c>
      <c r="B99" s="2" t="s">
        <v>5156</v>
      </c>
    </row>
    <row r="100" spans="1:2" ht="18.75" customHeight="1" x14ac:dyDescent="0.3">
      <c r="A100" s="1">
        <v>98</v>
      </c>
      <c r="B100" s="2" t="s">
        <v>5157</v>
      </c>
    </row>
    <row r="101" spans="1:2" ht="18.75" customHeight="1" x14ac:dyDescent="0.3">
      <c r="A101" s="1">
        <v>99</v>
      </c>
      <c r="B101" s="21" t="s">
        <v>5158</v>
      </c>
    </row>
    <row r="102" spans="1:2" ht="18.75" customHeight="1" x14ac:dyDescent="0.3">
      <c r="A102" s="16">
        <v>100</v>
      </c>
      <c r="B102" s="2" t="s">
        <v>5159</v>
      </c>
    </row>
    <row r="103" spans="1:2" ht="18.75" customHeight="1" x14ac:dyDescent="0.3">
      <c r="A103" s="1">
        <v>101</v>
      </c>
      <c r="B103" s="2" t="s">
        <v>5160</v>
      </c>
    </row>
    <row r="104" spans="1:2" ht="18.75" customHeight="1" x14ac:dyDescent="0.3">
      <c r="A104" s="1">
        <v>102</v>
      </c>
      <c r="B104" s="2" t="s">
        <v>5161</v>
      </c>
    </row>
    <row r="105" spans="1:2" ht="18.75" customHeight="1" x14ac:dyDescent="0.3">
      <c r="A105" s="1">
        <v>103</v>
      </c>
      <c r="B105" s="2" t="s">
        <v>5162</v>
      </c>
    </row>
    <row r="106" spans="1:2" ht="18.75" customHeight="1" x14ac:dyDescent="0.3">
      <c r="A106" s="16">
        <v>104</v>
      </c>
      <c r="B106" s="22" t="s">
        <v>5163</v>
      </c>
    </row>
    <row r="107" spans="1:2" ht="18.75" customHeight="1" x14ac:dyDescent="0.3">
      <c r="A107" s="1">
        <v>105</v>
      </c>
      <c r="B107" s="2" t="s">
        <v>5164</v>
      </c>
    </row>
    <row r="108" spans="1:2" ht="18.75" customHeight="1" x14ac:dyDescent="0.3">
      <c r="A108" s="1">
        <v>106</v>
      </c>
      <c r="B108" s="2" t="s">
        <v>5165</v>
      </c>
    </row>
    <row r="109" spans="1:2" ht="18.75" customHeight="1" x14ac:dyDescent="0.3">
      <c r="A109" s="1">
        <v>107</v>
      </c>
      <c r="B109" s="2" t="s">
        <v>5166</v>
      </c>
    </row>
    <row r="110" spans="1:2" ht="18.75" customHeight="1" x14ac:dyDescent="0.3">
      <c r="A110" s="16">
        <v>108</v>
      </c>
      <c r="B110" s="21" t="s">
        <v>5167</v>
      </c>
    </row>
    <row r="111" spans="1:2" ht="18.75" customHeight="1" x14ac:dyDescent="0.3">
      <c r="A111" s="1">
        <v>109</v>
      </c>
      <c r="B111" s="21" t="s">
        <v>5168</v>
      </c>
    </row>
    <row r="112" spans="1:2" ht="18.75" customHeight="1" x14ac:dyDescent="0.3">
      <c r="A112" s="1">
        <v>110</v>
      </c>
      <c r="B112" s="2" t="s">
        <v>5169</v>
      </c>
    </row>
    <row r="113" spans="1:2" ht="18.75" customHeight="1" x14ac:dyDescent="0.3">
      <c r="A113" s="1">
        <v>111</v>
      </c>
      <c r="B113" s="2" t="s">
        <v>5170</v>
      </c>
    </row>
    <row r="114" spans="1:2" ht="18.75" customHeight="1" x14ac:dyDescent="0.3">
      <c r="A114" s="16">
        <v>112</v>
      </c>
      <c r="B114" s="2" t="s">
        <v>5171</v>
      </c>
    </row>
    <row r="115" spans="1:2" ht="18.75" customHeight="1" x14ac:dyDescent="0.3">
      <c r="A115" s="1">
        <v>113</v>
      </c>
      <c r="B115" s="2" t="s">
        <v>5172</v>
      </c>
    </row>
    <row r="116" spans="1:2" ht="18.75" customHeight="1" x14ac:dyDescent="0.3">
      <c r="A116" s="1">
        <v>114</v>
      </c>
      <c r="B116" s="2" t="s">
        <v>5173</v>
      </c>
    </row>
    <row r="117" spans="1:2" ht="18.75" customHeight="1" x14ac:dyDescent="0.3">
      <c r="A117" s="1">
        <v>115</v>
      </c>
      <c r="B117" s="2" t="s">
        <v>5174</v>
      </c>
    </row>
    <row r="118" spans="1:2" ht="18.75" customHeight="1" x14ac:dyDescent="0.3">
      <c r="A118" s="16">
        <v>116</v>
      </c>
      <c r="B118" s="2" t="s">
        <v>5175</v>
      </c>
    </row>
    <row r="119" spans="1:2" ht="18.75" customHeight="1" x14ac:dyDescent="0.3">
      <c r="A119" s="1">
        <v>117</v>
      </c>
      <c r="B119" s="2" t="s">
        <v>5176</v>
      </c>
    </row>
    <row r="120" spans="1:2" ht="18.75" customHeight="1" x14ac:dyDescent="0.3">
      <c r="A120" s="1">
        <v>118</v>
      </c>
      <c r="B120" s="2" t="s">
        <v>5177</v>
      </c>
    </row>
    <row r="121" spans="1:2" ht="18.75" customHeight="1" x14ac:dyDescent="0.3">
      <c r="A121" s="1">
        <v>119</v>
      </c>
      <c r="B121" s="2" t="s">
        <v>5178</v>
      </c>
    </row>
    <row r="122" spans="1:2" ht="18.75" customHeight="1" x14ac:dyDescent="0.3">
      <c r="A122" s="16">
        <v>120</v>
      </c>
      <c r="B122" s="2" t="s">
        <v>5179</v>
      </c>
    </row>
    <row r="123" spans="1:2" ht="18.75" customHeight="1" x14ac:dyDescent="0.3">
      <c r="A123" s="1">
        <v>121</v>
      </c>
      <c r="B123" s="2" t="s">
        <v>5180</v>
      </c>
    </row>
    <row r="124" spans="1:2" ht="18.75" customHeight="1" x14ac:dyDescent="0.3">
      <c r="A124" s="1">
        <v>122</v>
      </c>
      <c r="B124" s="21" t="s">
        <v>5181</v>
      </c>
    </row>
    <row r="125" spans="1:2" ht="18.75" customHeight="1" x14ac:dyDescent="0.3">
      <c r="A125" s="1">
        <v>123</v>
      </c>
      <c r="B125" s="21" t="s">
        <v>5182</v>
      </c>
    </row>
    <row r="126" spans="1:2" ht="18.75" customHeight="1" x14ac:dyDescent="0.3">
      <c r="A126" s="16">
        <v>124</v>
      </c>
      <c r="B126" s="2" t="s">
        <v>5183</v>
      </c>
    </row>
    <row r="127" spans="1:2" ht="18.75" customHeight="1" x14ac:dyDescent="0.3">
      <c r="A127" s="1">
        <v>125</v>
      </c>
      <c r="B127" s="2" t="s">
        <v>5184</v>
      </c>
    </row>
    <row r="128" spans="1:2" ht="18.75" customHeight="1" x14ac:dyDescent="0.3">
      <c r="A128" s="1">
        <v>126</v>
      </c>
      <c r="B128" s="2" t="s">
        <v>5185</v>
      </c>
    </row>
    <row r="129" spans="1:2" ht="18.75" customHeight="1" x14ac:dyDescent="0.3">
      <c r="A129" s="1">
        <v>127</v>
      </c>
      <c r="B129" s="21" t="s">
        <v>5186</v>
      </c>
    </row>
    <row r="130" spans="1:2" ht="18.75" customHeight="1" x14ac:dyDescent="0.3">
      <c r="A130" s="16">
        <v>128</v>
      </c>
      <c r="B130" s="2" t="s">
        <v>5187</v>
      </c>
    </row>
    <row r="131" spans="1:2" ht="18.75" customHeight="1" x14ac:dyDescent="0.3">
      <c r="A131" s="1">
        <v>129</v>
      </c>
      <c r="B131" s="2" t="s">
        <v>5188</v>
      </c>
    </row>
    <row r="132" spans="1:2" ht="18.75" customHeight="1" x14ac:dyDescent="0.3">
      <c r="A132" s="1">
        <v>130</v>
      </c>
      <c r="B132" s="21" t="s">
        <v>5189</v>
      </c>
    </row>
    <row r="133" spans="1:2" ht="18.75" customHeight="1" x14ac:dyDescent="0.3">
      <c r="A133" s="1">
        <v>131</v>
      </c>
      <c r="B133" s="21" t="s">
        <v>5190</v>
      </c>
    </row>
    <row r="134" spans="1:2" ht="18.75" customHeight="1" x14ac:dyDescent="0.3">
      <c r="A134" s="16">
        <v>132</v>
      </c>
      <c r="B134" s="2" t="s">
        <v>5191</v>
      </c>
    </row>
    <row r="135" spans="1:2" ht="18.75" customHeight="1" x14ac:dyDescent="0.3">
      <c r="A135" s="1">
        <v>133</v>
      </c>
      <c r="B135" s="2" t="s">
        <v>5192</v>
      </c>
    </row>
    <row r="136" spans="1:2" ht="18.75" customHeight="1" x14ac:dyDescent="0.3">
      <c r="A136" s="1">
        <v>134</v>
      </c>
      <c r="B136" s="2" t="s">
        <v>5193</v>
      </c>
    </row>
    <row r="137" spans="1:2" ht="18.75" customHeight="1" x14ac:dyDescent="0.3">
      <c r="A137" s="1">
        <v>135</v>
      </c>
      <c r="B137" s="2" t="s">
        <v>5194</v>
      </c>
    </row>
    <row r="138" spans="1:2" ht="18.75" customHeight="1" x14ac:dyDescent="0.3">
      <c r="A138" s="16">
        <v>136</v>
      </c>
      <c r="B138" s="2" t="s">
        <v>5195</v>
      </c>
    </row>
    <row r="139" spans="1:2" ht="18.75" customHeight="1" x14ac:dyDescent="0.3">
      <c r="A139" s="1">
        <v>137</v>
      </c>
      <c r="B139" s="2" t="s">
        <v>5196</v>
      </c>
    </row>
    <row r="140" spans="1:2" ht="18.75" customHeight="1" x14ac:dyDescent="0.3">
      <c r="A140" s="1">
        <v>138</v>
      </c>
      <c r="B140" s="2" t="s">
        <v>5197</v>
      </c>
    </row>
    <row r="141" spans="1:2" ht="18.75" customHeight="1" x14ac:dyDescent="0.3">
      <c r="A141" s="1">
        <v>139</v>
      </c>
      <c r="B141" s="21" t="s">
        <v>5198</v>
      </c>
    </row>
    <row r="142" spans="1:2" ht="18.75" customHeight="1" x14ac:dyDescent="0.3">
      <c r="A142" s="16">
        <v>140</v>
      </c>
      <c r="B142" s="21" t="s">
        <v>5199</v>
      </c>
    </row>
    <row r="143" spans="1:2" ht="18.75" customHeight="1" x14ac:dyDescent="0.3">
      <c r="A143" s="1">
        <v>141</v>
      </c>
      <c r="B143" s="2" t="s">
        <v>5200</v>
      </c>
    </row>
    <row r="144" spans="1:2" ht="18.75" customHeight="1" x14ac:dyDescent="0.3">
      <c r="A144" s="1">
        <v>142</v>
      </c>
      <c r="B144" s="2" t="s">
        <v>5201</v>
      </c>
    </row>
    <row r="145" spans="1:2" ht="18.75" customHeight="1" x14ac:dyDescent="0.3">
      <c r="A145" s="1">
        <v>143</v>
      </c>
      <c r="B145" s="2" t="s">
        <v>5202</v>
      </c>
    </row>
    <row r="146" spans="1:2" ht="18.75" customHeight="1" x14ac:dyDescent="0.3">
      <c r="A146" s="16">
        <v>144</v>
      </c>
      <c r="B146" s="2" t="s">
        <v>5203</v>
      </c>
    </row>
    <row r="147" spans="1:2" ht="18.75" customHeight="1" x14ac:dyDescent="0.3">
      <c r="A147" s="1">
        <v>145</v>
      </c>
      <c r="B147" s="2" t="s">
        <v>5204</v>
      </c>
    </row>
    <row r="148" spans="1:2" ht="18.75" customHeight="1" x14ac:dyDescent="0.3">
      <c r="A148" s="1">
        <v>146</v>
      </c>
      <c r="B148" s="2" t="s">
        <v>5205</v>
      </c>
    </row>
    <row r="149" spans="1:2" ht="18.75" customHeight="1" x14ac:dyDescent="0.3">
      <c r="A149" s="1">
        <v>147</v>
      </c>
      <c r="B149" s="2" t="s">
        <v>5206</v>
      </c>
    </row>
    <row r="150" spans="1:2" ht="18.75" customHeight="1" x14ac:dyDescent="0.3">
      <c r="A150" s="16">
        <v>148</v>
      </c>
      <c r="B150" s="2" t="s">
        <v>5207</v>
      </c>
    </row>
    <row r="151" spans="1:2" ht="18.75" customHeight="1" x14ac:dyDescent="0.3">
      <c r="A151" s="1">
        <v>149</v>
      </c>
      <c r="B151" s="2" t="s">
        <v>5208</v>
      </c>
    </row>
    <row r="152" spans="1:2" ht="18.75" customHeight="1" x14ac:dyDescent="0.3">
      <c r="A152" s="1">
        <v>150</v>
      </c>
      <c r="B152" s="2" t="s">
        <v>5209</v>
      </c>
    </row>
    <row r="153" spans="1:2" ht="18.75" customHeight="1" x14ac:dyDescent="0.3">
      <c r="A153" s="1">
        <v>151</v>
      </c>
      <c r="B153" s="2" t="s">
        <v>5210</v>
      </c>
    </row>
    <row r="154" spans="1:2" ht="18.75" customHeight="1" x14ac:dyDescent="0.3">
      <c r="A154" s="16">
        <v>152</v>
      </c>
      <c r="B154" s="2" t="s">
        <v>5211</v>
      </c>
    </row>
    <row r="155" spans="1:2" ht="18.75" customHeight="1" x14ac:dyDescent="0.3">
      <c r="A155" s="1">
        <v>153</v>
      </c>
      <c r="B155" s="2" t="s">
        <v>5212</v>
      </c>
    </row>
    <row r="156" spans="1:2" ht="18.75" customHeight="1" x14ac:dyDescent="0.3">
      <c r="A156" s="1">
        <v>154</v>
      </c>
      <c r="B156" s="21" t="s">
        <v>5213</v>
      </c>
    </row>
    <row r="157" spans="1:2" ht="18.75" customHeight="1" x14ac:dyDescent="0.3">
      <c r="A157" s="1">
        <v>155</v>
      </c>
      <c r="B157" s="2" t="s">
        <v>5214</v>
      </c>
    </row>
    <row r="158" spans="1:2" ht="18.75" customHeight="1" x14ac:dyDescent="0.3">
      <c r="A158" s="16">
        <v>156</v>
      </c>
      <c r="B158" s="2" t="s">
        <v>5215</v>
      </c>
    </row>
    <row r="159" spans="1:2" ht="18.75" customHeight="1" x14ac:dyDescent="0.3">
      <c r="A159" s="1">
        <v>157</v>
      </c>
      <c r="B159" s="2" t="s">
        <v>5216</v>
      </c>
    </row>
    <row r="160" spans="1:2" ht="18.75" customHeight="1" x14ac:dyDescent="0.3">
      <c r="A160" s="1">
        <v>158</v>
      </c>
      <c r="B160" s="2" t="s">
        <v>5217</v>
      </c>
    </row>
    <row r="161" spans="1:2" ht="18.75" customHeight="1" x14ac:dyDescent="0.3">
      <c r="A161" s="1">
        <v>159</v>
      </c>
      <c r="B161" s="2" t="s">
        <v>5218</v>
      </c>
    </row>
    <row r="162" spans="1:2" ht="18.75" customHeight="1" x14ac:dyDescent="0.3">
      <c r="A162" s="16">
        <v>160</v>
      </c>
      <c r="B162" s="2" t="s">
        <v>5219</v>
      </c>
    </row>
    <row r="163" spans="1:2" ht="18.75" customHeight="1" x14ac:dyDescent="0.3">
      <c r="A163" s="1">
        <v>161</v>
      </c>
      <c r="B163" s="2" t="s">
        <v>5220</v>
      </c>
    </row>
    <row r="164" spans="1:2" ht="18.75" customHeight="1" x14ac:dyDescent="0.3">
      <c r="A164" s="1">
        <v>162</v>
      </c>
      <c r="B164" s="2" t="s">
        <v>5221</v>
      </c>
    </row>
    <row r="165" spans="1:2" ht="18.75" customHeight="1" x14ac:dyDescent="0.3">
      <c r="A165" s="1">
        <v>163</v>
      </c>
      <c r="B165" s="2" t="s">
        <v>5222</v>
      </c>
    </row>
    <row r="166" spans="1:2" ht="18.75" customHeight="1" x14ac:dyDescent="0.3">
      <c r="A166" s="16">
        <v>164</v>
      </c>
      <c r="B166" s="2" t="s">
        <v>5223</v>
      </c>
    </row>
    <row r="167" spans="1:2" ht="18.75" customHeight="1" x14ac:dyDescent="0.3">
      <c r="A167" s="1">
        <v>165</v>
      </c>
      <c r="B167" s="21" t="s">
        <v>5224</v>
      </c>
    </row>
    <row r="168" spans="1:2" ht="18.75" customHeight="1" x14ac:dyDescent="0.3">
      <c r="A168" s="1">
        <v>166</v>
      </c>
      <c r="B168" s="2" t="s">
        <v>5225</v>
      </c>
    </row>
    <row r="169" spans="1:2" ht="18.75" customHeight="1" x14ac:dyDescent="0.3">
      <c r="A169" s="1">
        <v>167</v>
      </c>
      <c r="B169" s="2" t="s">
        <v>5226</v>
      </c>
    </row>
    <row r="170" spans="1:2" ht="18.75" customHeight="1" x14ac:dyDescent="0.3">
      <c r="A170" s="16">
        <v>168</v>
      </c>
      <c r="B170" s="2" t="s">
        <v>5227</v>
      </c>
    </row>
    <row r="171" spans="1:2" ht="18.75" customHeight="1" x14ac:dyDescent="0.3">
      <c r="A171" s="1">
        <v>169</v>
      </c>
      <c r="B171" s="2" t="s">
        <v>5228</v>
      </c>
    </row>
    <row r="172" spans="1:2" ht="18.75" customHeight="1" x14ac:dyDescent="0.3">
      <c r="A172" s="1">
        <v>170</v>
      </c>
      <c r="B172" s="2" t="s">
        <v>5229</v>
      </c>
    </row>
    <row r="173" spans="1:2" ht="18.75" customHeight="1" x14ac:dyDescent="0.3">
      <c r="A173" s="1">
        <v>171</v>
      </c>
      <c r="B173" s="2" t="s">
        <v>5230</v>
      </c>
    </row>
    <row r="174" spans="1:2" ht="18.75" customHeight="1" x14ac:dyDescent="0.3">
      <c r="A174" s="16">
        <v>172</v>
      </c>
      <c r="B174" s="2" t="s">
        <v>5231</v>
      </c>
    </row>
    <row r="175" spans="1:2" ht="18.75" customHeight="1" x14ac:dyDescent="0.3">
      <c r="A175" s="1">
        <v>173</v>
      </c>
      <c r="B175" s="2" t="s">
        <v>5232</v>
      </c>
    </row>
    <row r="176" spans="1:2" ht="18.75" customHeight="1" x14ac:dyDescent="0.3">
      <c r="A176" s="1">
        <v>174</v>
      </c>
      <c r="B176" s="2" t="s">
        <v>5233</v>
      </c>
    </row>
    <row r="177" spans="1:2" ht="18.75" customHeight="1" x14ac:dyDescent="0.3">
      <c r="A177" s="1">
        <v>175</v>
      </c>
      <c r="B177" s="2" t="s">
        <v>5234</v>
      </c>
    </row>
    <row r="178" spans="1:2" ht="18.75" customHeight="1" x14ac:dyDescent="0.3">
      <c r="A178" s="16">
        <v>176</v>
      </c>
      <c r="B178" s="2" t="s">
        <v>5235</v>
      </c>
    </row>
    <row r="179" spans="1:2" ht="18.75" customHeight="1" x14ac:dyDescent="0.3">
      <c r="A179" s="1">
        <v>177</v>
      </c>
      <c r="B179" s="2" t="s">
        <v>5236</v>
      </c>
    </row>
    <row r="180" spans="1:2" ht="18.75" customHeight="1" x14ac:dyDescent="0.3">
      <c r="A180" s="1">
        <v>178</v>
      </c>
      <c r="B180" s="2" t="s">
        <v>5237</v>
      </c>
    </row>
    <row r="181" spans="1:2" ht="18.75" customHeight="1" x14ac:dyDescent="0.3">
      <c r="A181" s="1">
        <v>179</v>
      </c>
      <c r="B181" s="2" t="s">
        <v>5238</v>
      </c>
    </row>
    <row r="182" spans="1:2" ht="18.75" customHeight="1" x14ac:dyDescent="0.3">
      <c r="A182" s="16">
        <v>180</v>
      </c>
      <c r="B182" s="2" t="s">
        <v>5239</v>
      </c>
    </row>
    <row r="183" spans="1:2" ht="18.75" customHeight="1" x14ac:dyDescent="0.3">
      <c r="A183" s="1">
        <v>181</v>
      </c>
      <c r="B183" s="2" t="s">
        <v>5240</v>
      </c>
    </row>
    <row r="184" spans="1:2" ht="18.75" customHeight="1" x14ac:dyDescent="0.3">
      <c r="A184" s="1">
        <v>182</v>
      </c>
      <c r="B184" s="2" t="s">
        <v>5241</v>
      </c>
    </row>
    <row r="185" spans="1:2" ht="18.75" customHeight="1" x14ac:dyDescent="0.3">
      <c r="A185" s="1">
        <v>183</v>
      </c>
      <c r="B185" s="2" t="s">
        <v>1475</v>
      </c>
    </row>
    <row r="186" spans="1:2" ht="18.75" customHeight="1" x14ac:dyDescent="0.3">
      <c r="A186" s="16">
        <v>184</v>
      </c>
      <c r="B186" s="2" t="s">
        <v>5242</v>
      </c>
    </row>
    <row r="187" spans="1:2" ht="18.75" customHeight="1" x14ac:dyDescent="0.3">
      <c r="A187" s="1">
        <v>185</v>
      </c>
      <c r="B187" s="2" t="s">
        <v>5243</v>
      </c>
    </row>
    <row r="188" spans="1:2" ht="18.75" customHeight="1" x14ac:dyDescent="0.3">
      <c r="A188" s="1">
        <v>186</v>
      </c>
      <c r="B188" s="2" t="s">
        <v>5244</v>
      </c>
    </row>
    <row r="189" spans="1:2" ht="18.75" customHeight="1" x14ac:dyDescent="0.3">
      <c r="A189" s="1">
        <v>187</v>
      </c>
      <c r="B189" s="2" t="s">
        <v>5245</v>
      </c>
    </row>
    <row r="190" spans="1:2" ht="18.75" customHeight="1" x14ac:dyDescent="0.3">
      <c r="A190" s="16">
        <v>188</v>
      </c>
      <c r="B190" s="2" t="s">
        <v>5246</v>
      </c>
    </row>
    <row r="191" spans="1:2" ht="18.75" customHeight="1" x14ac:dyDescent="0.3">
      <c r="A191" s="1">
        <v>189</v>
      </c>
      <c r="B191" s="21" t="s">
        <v>5247</v>
      </c>
    </row>
    <row r="192" spans="1:2" ht="18.75" customHeight="1" x14ac:dyDescent="0.3">
      <c r="A192" s="1">
        <v>190</v>
      </c>
      <c r="B192" s="2" t="s">
        <v>5248</v>
      </c>
    </row>
    <row r="193" spans="1:2" ht="18.75" customHeight="1" x14ac:dyDescent="0.3">
      <c r="A193" s="1">
        <v>191</v>
      </c>
      <c r="B193" s="2" t="s">
        <v>5249</v>
      </c>
    </row>
    <row r="194" spans="1:2" ht="18.75" customHeight="1" x14ac:dyDescent="0.3">
      <c r="A194" s="16">
        <v>192</v>
      </c>
      <c r="B194" s="2" t="s">
        <v>5250</v>
      </c>
    </row>
    <row r="195" spans="1:2" ht="18.75" customHeight="1" x14ac:dyDescent="0.3">
      <c r="A195" s="1">
        <v>193</v>
      </c>
      <c r="B195" s="2" t="s">
        <v>5251</v>
      </c>
    </row>
    <row r="196" spans="1:2" ht="18.75" customHeight="1" x14ac:dyDescent="0.3">
      <c r="A196" s="1">
        <v>194</v>
      </c>
      <c r="B196" s="2" t="s">
        <v>5252</v>
      </c>
    </row>
    <row r="197" spans="1:2" ht="18.75" customHeight="1" x14ac:dyDescent="0.3">
      <c r="A197" s="1">
        <v>195</v>
      </c>
      <c r="B197" s="2" t="s">
        <v>5253</v>
      </c>
    </row>
    <row r="198" spans="1:2" ht="18.75" customHeight="1" x14ac:dyDescent="0.3">
      <c r="A198" s="16">
        <v>196</v>
      </c>
      <c r="B198" s="2" t="s">
        <v>5254</v>
      </c>
    </row>
    <row r="199" spans="1:2" ht="18.75" customHeight="1" x14ac:dyDescent="0.3">
      <c r="A199" s="1">
        <v>197</v>
      </c>
      <c r="B199" s="21" t="s">
        <v>5255</v>
      </c>
    </row>
    <row r="200" spans="1:2" ht="18.75" customHeight="1" x14ac:dyDescent="0.3">
      <c r="A200" s="1">
        <v>198</v>
      </c>
      <c r="B200" s="2" t="s">
        <v>5256</v>
      </c>
    </row>
    <row r="201" spans="1:2" ht="18.75" customHeight="1" x14ac:dyDescent="0.3">
      <c r="A201" s="1">
        <v>199</v>
      </c>
      <c r="B201" s="21" t="s">
        <v>5257</v>
      </c>
    </row>
    <row r="202" spans="1:2" ht="18.75" customHeight="1" x14ac:dyDescent="0.3">
      <c r="A202" s="16">
        <v>200</v>
      </c>
      <c r="B202" s="2" t="s">
        <v>5258</v>
      </c>
    </row>
    <row r="203" spans="1:2" ht="18.75" customHeight="1" x14ac:dyDescent="0.3">
      <c r="A203" s="1">
        <v>201</v>
      </c>
      <c r="B203" s="21" t="s">
        <v>5259</v>
      </c>
    </row>
    <row r="204" spans="1:2" ht="18.75" customHeight="1" x14ac:dyDescent="0.3">
      <c r="A204" s="1">
        <v>202</v>
      </c>
      <c r="B204" s="21" t="s">
        <v>5260</v>
      </c>
    </row>
    <row r="205" spans="1:2" ht="18.75" customHeight="1" x14ac:dyDescent="0.3">
      <c r="A205" s="1">
        <v>203</v>
      </c>
      <c r="B205" s="2" t="s">
        <v>5261</v>
      </c>
    </row>
    <row r="206" spans="1:2" ht="18.75" customHeight="1" x14ac:dyDescent="0.3">
      <c r="A206" s="16">
        <v>204</v>
      </c>
      <c r="B206" s="2" t="s">
        <v>5262</v>
      </c>
    </row>
    <row r="207" spans="1:2" ht="18.75" customHeight="1" x14ac:dyDescent="0.3">
      <c r="A207" s="1">
        <v>205</v>
      </c>
      <c r="B207" s="2" t="s">
        <v>5263</v>
      </c>
    </row>
    <row r="208" spans="1:2" ht="18.75" customHeight="1" x14ac:dyDescent="0.3">
      <c r="A208" s="1">
        <v>206</v>
      </c>
      <c r="B208" s="2" t="s">
        <v>5264</v>
      </c>
    </row>
    <row r="209" spans="1:2" ht="18.75" customHeight="1" x14ac:dyDescent="0.3">
      <c r="A209" s="1">
        <v>207</v>
      </c>
      <c r="B209" s="2" t="s">
        <v>5265</v>
      </c>
    </row>
    <row r="210" spans="1:2" ht="18.75" customHeight="1" x14ac:dyDescent="0.3">
      <c r="A210" s="16">
        <v>208</v>
      </c>
      <c r="B210" s="2" t="s">
        <v>5266</v>
      </c>
    </row>
    <row r="211" spans="1:2" ht="18.75" customHeight="1" x14ac:dyDescent="0.3">
      <c r="A211" s="1">
        <v>209</v>
      </c>
      <c r="B211" s="2" t="s">
        <v>5267</v>
      </c>
    </row>
    <row r="212" spans="1:2" ht="18.75" customHeight="1" x14ac:dyDescent="0.3">
      <c r="A212" s="1">
        <v>210</v>
      </c>
      <c r="B212" s="2" t="s">
        <v>5268</v>
      </c>
    </row>
    <row r="213" spans="1:2" ht="18.75" customHeight="1" x14ac:dyDescent="0.3">
      <c r="A213" s="1">
        <v>211</v>
      </c>
      <c r="B213" s="21" t="s">
        <v>5269</v>
      </c>
    </row>
    <row r="214" spans="1:2" ht="18.75" customHeight="1" x14ac:dyDescent="0.3">
      <c r="A214" s="16">
        <v>212</v>
      </c>
      <c r="B214" s="2" t="s">
        <v>5270</v>
      </c>
    </row>
    <row r="215" spans="1:2" ht="18.75" customHeight="1" x14ac:dyDescent="0.3">
      <c r="A215" s="1">
        <v>213</v>
      </c>
      <c r="B215" s="2" t="s">
        <v>5271</v>
      </c>
    </row>
    <row r="216" spans="1:2" ht="18.75" customHeight="1" x14ac:dyDescent="0.3">
      <c r="A216" s="1">
        <v>214</v>
      </c>
      <c r="B216" s="2" t="s">
        <v>5272</v>
      </c>
    </row>
    <row r="217" spans="1:2" ht="18.75" customHeight="1" x14ac:dyDescent="0.3">
      <c r="A217" s="1">
        <v>215</v>
      </c>
      <c r="B217" s="21" t="s">
        <v>5273</v>
      </c>
    </row>
    <row r="218" spans="1:2" ht="18.75" customHeight="1" x14ac:dyDescent="0.3">
      <c r="A218" s="16">
        <v>216</v>
      </c>
      <c r="B218" s="21" t="s">
        <v>5274</v>
      </c>
    </row>
    <row r="219" spans="1:2" ht="18.75" customHeight="1" x14ac:dyDescent="0.3">
      <c r="A219" s="1">
        <v>217</v>
      </c>
      <c r="B219" s="2" t="s">
        <v>5275</v>
      </c>
    </row>
    <row r="220" spans="1:2" ht="18.75" customHeight="1" x14ac:dyDescent="0.3">
      <c r="A220" s="1">
        <v>218</v>
      </c>
      <c r="B220" s="2" t="s">
        <v>5276</v>
      </c>
    </row>
    <row r="221" spans="1:2" ht="18.75" customHeight="1" x14ac:dyDescent="0.3">
      <c r="A221" s="1">
        <v>219</v>
      </c>
      <c r="B221" s="2" t="s">
        <v>5277</v>
      </c>
    </row>
    <row r="222" spans="1:2" ht="18.75" customHeight="1" x14ac:dyDescent="0.3">
      <c r="A222" s="16">
        <v>220</v>
      </c>
      <c r="B222" s="2" t="s">
        <v>5278</v>
      </c>
    </row>
    <row r="223" spans="1:2" ht="18.75" customHeight="1" x14ac:dyDescent="0.3">
      <c r="A223" s="1">
        <v>221</v>
      </c>
      <c r="B223" s="21" t="s">
        <v>5279</v>
      </c>
    </row>
    <row r="224" spans="1:2" ht="18.75" customHeight="1" x14ac:dyDescent="0.3">
      <c r="A224" s="1">
        <v>222</v>
      </c>
      <c r="B224" s="21" t="s">
        <v>5280</v>
      </c>
    </row>
    <row r="225" spans="1:2" ht="18.75" customHeight="1" x14ac:dyDescent="0.3">
      <c r="A225" s="1">
        <v>223</v>
      </c>
      <c r="B225" s="21" t="s">
        <v>5281</v>
      </c>
    </row>
    <row r="226" spans="1:2" ht="18.75" customHeight="1" x14ac:dyDescent="0.3">
      <c r="A226" s="16">
        <v>224</v>
      </c>
      <c r="B226" s="21" t="s">
        <v>5282</v>
      </c>
    </row>
    <row r="227" spans="1:2" ht="18.75" customHeight="1" x14ac:dyDescent="0.3">
      <c r="A227" s="1">
        <v>225</v>
      </c>
      <c r="B227" s="2" t="s">
        <v>5283</v>
      </c>
    </row>
    <row r="228" spans="1:2" ht="18.75" customHeight="1" x14ac:dyDescent="0.3">
      <c r="A228" s="1">
        <v>226</v>
      </c>
      <c r="B228" s="21" t="s">
        <v>5284</v>
      </c>
    </row>
    <row r="229" spans="1:2" ht="18.75" customHeight="1" x14ac:dyDescent="0.3">
      <c r="A229" s="1">
        <v>227</v>
      </c>
      <c r="B229" s="2" t="s">
        <v>5285</v>
      </c>
    </row>
    <row r="230" spans="1:2" ht="18.75" customHeight="1" x14ac:dyDescent="0.3">
      <c r="A230" s="16">
        <v>228</v>
      </c>
      <c r="B230" s="22" t="s">
        <v>5286</v>
      </c>
    </row>
    <row r="231" spans="1:2" ht="18.75" customHeight="1" x14ac:dyDescent="0.3">
      <c r="A231" s="1">
        <v>229</v>
      </c>
      <c r="B231" s="21" t="s">
        <v>5287</v>
      </c>
    </row>
    <row r="232" spans="1:2" ht="18.75" customHeight="1" x14ac:dyDescent="0.3">
      <c r="A232" s="1">
        <v>230</v>
      </c>
      <c r="B232" s="2" t="s">
        <v>5288</v>
      </c>
    </row>
    <row r="233" spans="1:2" ht="18.75" customHeight="1" x14ac:dyDescent="0.3">
      <c r="A233" s="1">
        <v>231</v>
      </c>
      <c r="B233" s="21" t="s">
        <v>5289</v>
      </c>
    </row>
    <row r="234" spans="1:2" ht="18.75" customHeight="1" x14ac:dyDescent="0.3">
      <c r="A234" s="16">
        <v>232</v>
      </c>
      <c r="B234" s="21" t="s">
        <v>5290</v>
      </c>
    </row>
    <row r="235" spans="1:2" ht="18.75" customHeight="1" x14ac:dyDescent="0.3">
      <c r="A235" s="1">
        <v>233</v>
      </c>
      <c r="B235" s="21" t="s">
        <v>5291</v>
      </c>
    </row>
    <row r="236" spans="1:2" ht="18.75" customHeight="1" x14ac:dyDescent="0.3">
      <c r="A236" s="1">
        <v>234</v>
      </c>
      <c r="B236" s="21" t="s">
        <v>5292</v>
      </c>
    </row>
    <row r="237" spans="1:2" ht="18.75" customHeight="1" x14ac:dyDescent="0.3">
      <c r="A237" s="1">
        <v>235</v>
      </c>
      <c r="B237" s="21" t="s">
        <v>5293</v>
      </c>
    </row>
    <row r="238" spans="1:2" ht="18.75" customHeight="1" x14ac:dyDescent="0.3">
      <c r="A238" s="16">
        <v>236</v>
      </c>
      <c r="B238" s="21" t="s">
        <v>5294</v>
      </c>
    </row>
    <row r="239" spans="1:2" ht="18.75" customHeight="1" x14ac:dyDescent="0.3">
      <c r="A239" s="1">
        <v>237</v>
      </c>
      <c r="B239" s="21" t="s">
        <v>5295</v>
      </c>
    </row>
    <row r="240" spans="1:2" ht="18.75" customHeight="1" x14ac:dyDescent="0.3">
      <c r="A240" s="1">
        <v>238</v>
      </c>
      <c r="B240" s="21" t="s">
        <v>5296</v>
      </c>
    </row>
    <row r="241" spans="1:2" ht="18.75" customHeight="1" x14ac:dyDescent="0.3">
      <c r="A241" s="1">
        <v>239</v>
      </c>
      <c r="B241" s="21" t="s">
        <v>5297</v>
      </c>
    </row>
    <row r="242" spans="1:2" ht="18.75" customHeight="1" x14ac:dyDescent="0.3">
      <c r="A242" s="16">
        <v>240</v>
      </c>
      <c r="B242" s="21" t="s">
        <v>5298</v>
      </c>
    </row>
    <row r="243" spans="1:2" ht="18.75" customHeight="1" x14ac:dyDescent="0.3">
      <c r="A243" s="1">
        <v>241</v>
      </c>
      <c r="B243" s="21" t="s">
        <v>5299</v>
      </c>
    </row>
    <row r="244" spans="1:2" ht="18.75" customHeight="1" x14ac:dyDescent="0.3">
      <c r="A244" s="1">
        <v>242</v>
      </c>
      <c r="B244" s="21" t="s">
        <v>5300</v>
      </c>
    </row>
    <row r="245" spans="1:2" ht="18.75" customHeight="1" x14ac:dyDescent="0.3">
      <c r="A245" s="1">
        <v>243</v>
      </c>
      <c r="B245" s="2" t="s">
        <v>5301</v>
      </c>
    </row>
    <row r="246" spans="1:2" ht="18.75" customHeight="1" x14ac:dyDescent="0.3">
      <c r="A246" s="16">
        <v>244</v>
      </c>
      <c r="B246" s="21" t="s">
        <v>5302</v>
      </c>
    </row>
    <row r="247" spans="1:2" ht="18.75" customHeight="1" x14ac:dyDescent="0.3">
      <c r="A247" s="1">
        <v>245</v>
      </c>
      <c r="B247" s="21" t="s">
        <v>5303</v>
      </c>
    </row>
    <row r="248" spans="1:2" ht="18.75" customHeight="1" x14ac:dyDescent="0.3">
      <c r="A248" s="1">
        <v>246</v>
      </c>
      <c r="B248" s="21" t="s">
        <v>5304</v>
      </c>
    </row>
    <row r="249" spans="1:2" ht="18.75" customHeight="1" x14ac:dyDescent="0.3">
      <c r="A249" s="1">
        <v>247</v>
      </c>
      <c r="B249" s="2" t="s">
        <v>5305</v>
      </c>
    </row>
    <row r="250" spans="1:2" ht="18.75" customHeight="1" x14ac:dyDescent="0.3">
      <c r="A250" s="16">
        <v>248</v>
      </c>
      <c r="B250" s="21" t="s">
        <v>5306</v>
      </c>
    </row>
    <row r="251" spans="1:2" ht="18.75" customHeight="1" x14ac:dyDescent="0.3">
      <c r="A251" s="1">
        <v>249</v>
      </c>
      <c r="B251" s="21" t="s">
        <v>5307</v>
      </c>
    </row>
    <row r="252" spans="1:2" ht="18.75" customHeight="1" x14ac:dyDescent="0.3">
      <c r="A252" s="1">
        <v>250</v>
      </c>
      <c r="B252" s="21" t="s">
        <v>5306</v>
      </c>
    </row>
    <row r="253" spans="1:2" ht="18.75" customHeight="1" x14ac:dyDescent="0.3">
      <c r="A253" s="1">
        <v>251</v>
      </c>
      <c r="B253" s="21" t="s">
        <v>5308</v>
      </c>
    </row>
    <row r="254" spans="1:2" ht="18.75" customHeight="1" x14ac:dyDescent="0.3">
      <c r="A254" s="16">
        <v>252</v>
      </c>
      <c r="B254" s="21" t="s">
        <v>5309</v>
      </c>
    </row>
    <row r="255" spans="1:2" ht="18.75" customHeight="1" x14ac:dyDescent="0.3">
      <c r="A255" s="1">
        <v>253</v>
      </c>
      <c r="B255" s="21" t="s">
        <v>5309</v>
      </c>
    </row>
    <row r="256" spans="1:2" ht="18.75" customHeight="1" x14ac:dyDescent="0.3">
      <c r="A256" s="1">
        <v>254</v>
      </c>
      <c r="B256" s="2" t="s">
        <v>5310</v>
      </c>
    </row>
    <row r="257" spans="1:2" ht="18.75" customHeight="1" x14ac:dyDescent="0.3">
      <c r="A257" s="1">
        <v>255</v>
      </c>
      <c r="B257" s="21" t="s">
        <v>5311</v>
      </c>
    </row>
    <row r="258" spans="1:2" ht="18.75" customHeight="1" x14ac:dyDescent="0.3">
      <c r="A258" s="16">
        <v>256</v>
      </c>
      <c r="B258" s="21" t="s">
        <v>5312</v>
      </c>
    </row>
    <row r="259" spans="1:2" ht="18.75" customHeight="1" x14ac:dyDescent="0.3">
      <c r="A259" s="1">
        <v>257</v>
      </c>
      <c r="B259" s="2" t="s">
        <v>5107</v>
      </c>
    </row>
    <row r="260" spans="1:2" ht="18.75" customHeight="1" x14ac:dyDescent="0.3">
      <c r="A260" s="1">
        <v>258</v>
      </c>
      <c r="B260" s="21" t="s">
        <v>5313</v>
      </c>
    </row>
    <row r="261" spans="1:2" ht="18.75" customHeight="1" x14ac:dyDescent="0.3">
      <c r="A261" s="1">
        <v>259</v>
      </c>
      <c r="B261" s="2" t="s">
        <v>5314</v>
      </c>
    </row>
    <row r="262" spans="1:2" ht="18.75" customHeight="1" x14ac:dyDescent="0.3">
      <c r="A262" s="16">
        <v>260</v>
      </c>
      <c r="B262" s="2" t="s">
        <v>5315</v>
      </c>
    </row>
    <row r="263" spans="1:2" ht="18.75" customHeight="1" x14ac:dyDescent="0.3">
      <c r="A263" s="1">
        <v>261</v>
      </c>
      <c r="B263" s="21" t="s">
        <v>5316</v>
      </c>
    </row>
    <row r="264" spans="1:2" ht="18.75" customHeight="1" x14ac:dyDescent="0.3">
      <c r="A264" s="1">
        <v>262</v>
      </c>
      <c r="B264" s="21" t="s">
        <v>5317</v>
      </c>
    </row>
    <row r="265" spans="1:2" ht="18.75" customHeight="1" x14ac:dyDescent="0.3">
      <c r="A265" s="1">
        <v>263</v>
      </c>
      <c r="B265" s="21" t="s">
        <v>5318</v>
      </c>
    </row>
    <row r="266" spans="1:2" ht="18.75" customHeight="1" x14ac:dyDescent="0.3">
      <c r="A266" s="16">
        <v>264</v>
      </c>
      <c r="B266" s="21" t="s">
        <v>5319</v>
      </c>
    </row>
    <row r="267" spans="1:2" ht="18.75" customHeight="1" x14ac:dyDescent="0.3">
      <c r="A267" s="1">
        <v>265</v>
      </c>
      <c r="B267" s="21" t="s">
        <v>5320</v>
      </c>
    </row>
    <row r="268" spans="1:2" ht="18.75" customHeight="1" x14ac:dyDescent="0.3">
      <c r="A268" s="1">
        <v>266</v>
      </c>
      <c r="B268" s="21" t="s">
        <v>5321</v>
      </c>
    </row>
    <row r="269" spans="1:2" ht="18.75" customHeight="1" x14ac:dyDescent="0.3">
      <c r="A269" s="1">
        <v>267</v>
      </c>
      <c r="B269" s="21" t="s">
        <v>5322</v>
      </c>
    </row>
    <row r="270" spans="1:2" ht="18.75" customHeight="1" x14ac:dyDescent="0.3">
      <c r="A270" s="16">
        <v>268</v>
      </c>
      <c r="B270" s="21" t="s">
        <v>5323</v>
      </c>
    </row>
    <row r="271" spans="1:2" ht="18.75" customHeight="1" x14ac:dyDescent="0.3">
      <c r="A271" s="1">
        <v>269</v>
      </c>
      <c r="B271" s="21" t="s">
        <v>5324</v>
      </c>
    </row>
    <row r="272" spans="1:2" ht="18.75" customHeight="1" x14ac:dyDescent="0.3">
      <c r="A272" s="1">
        <v>270</v>
      </c>
      <c r="B272" s="22" t="s">
        <v>5325</v>
      </c>
    </row>
    <row r="273" spans="1:2" ht="18.75" customHeight="1" x14ac:dyDescent="0.3">
      <c r="A273" s="1">
        <v>271</v>
      </c>
      <c r="B273" s="2" t="s">
        <v>5326</v>
      </c>
    </row>
    <row r="274" spans="1:2" ht="18.75" customHeight="1" x14ac:dyDescent="0.3">
      <c r="A274" s="16">
        <v>272</v>
      </c>
      <c r="B274" s="21" t="s">
        <v>5327</v>
      </c>
    </row>
    <row r="275" spans="1:2" ht="18.75" customHeight="1" x14ac:dyDescent="0.3">
      <c r="A275" s="1">
        <v>273</v>
      </c>
      <c r="B275" s="21" t="s">
        <v>5328</v>
      </c>
    </row>
    <row r="276" spans="1:2" ht="18.75" customHeight="1" x14ac:dyDescent="0.3">
      <c r="A276" s="1">
        <v>274</v>
      </c>
      <c r="B276" s="21" t="s">
        <v>5329</v>
      </c>
    </row>
    <row r="277" spans="1:2" ht="18.75" customHeight="1" x14ac:dyDescent="0.3">
      <c r="A277" s="1">
        <v>275</v>
      </c>
      <c r="B277" s="21" t="s">
        <v>5330</v>
      </c>
    </row>
    <row r="278" spans="1:2" ht="18.75" customHeight="1" x14ac:dyDescent="0.3">
      <c r="A278" s="16">
        <v>276</v>
      </c>
      <c r="B278" s="21" t="s">
        <v>5331</v>
      </c>
    </row>
    <row r="279" spans="1:2" ht="18.75" customHeight="1" x14ac:dyDescent="0.3">
      <c r="A279" s="1">
        <v>277</v>
      </c>
      <c r="B279" s="21" t="s">
        <v>5332</v>
      </c>
    </row>
    <row r="280" spans="1:2" ht="18.75" customHeight="1" x14ac:dyDescent="0.3">
      <c r="A280" s="1">
        <v>278</v>
      </c>
      <c r="B280" s="21" t="s">
        <v>5333</v>
      </c>
    </row>
    <row r="281" spans="1:2" ht="18.75" customHeight="1" x14ac:dyDescent="0.3">
      <c r="A281" s="1">
        <v>279</v>
      </c>
      <c r="B281" s="21" t="s">
        <v>5334</v>
      </c>
    </row>
    <row r="282" spans="1:2" ht="18.75" customHeight="1" x14ac:dyDescent="0.3">
      <c r="A282" s="16">
        <v>280</v>
      </c>
      <c r="B282" s="22" t="s">
        <v>5335</v>
      </c>
    </row>
    <row r="283" spans="1:2" ht="18.75" customHeight="1" x14ac:dyDescent="0.3">
      <c r="A283" s="1">
        <v>281</v>
      </c>
      <c r="B283" s="21" t="s">
        <v>5336</v>
      </c>
    </row>
    <row r="284" spans="1:2" ht="18.75" customHeight="1" x14ac:dyDescent="0.3">
      <c r="A284" s="1">
        <v>282</v>
      </c>
      <c r="B284" s="22" t="s">
        <v>5337</v>
      </c>
    </row>
    <row r="285" spans="1:2" ht="18.75" customHeight="1" x14ac:dyDescent="0.3">
      <c r="A285" s="1">
        <v>283</v>
      </c>
      <c r="B285" s="22" t="s">
        <v>5338</v>
      </c>
    </row>
    <row r="286" spans="1:2" ht="18.75" customHeight="1" x14ac:dyDescent="0.3">
      <c r="A286" s="16">
        <v>284</v>
      </c>
      <c r="B286" s="22" t="s">
        <v>5339</v>
      </c>
    </row>
    <row r="287" spans="1:2" ht="18.75" customHeight="1" x14ac:dyDescent="0.3">
      <c r="A287" s="1">
        <v>285</v>
      </c>
      <c r="B287" s="22" t="s">
        <v>5340</v>
      </c>
    </row>
    <row r="288" spans="1:2" ht="18.75" customHeight="1" x14ac:dyDescent="0.3">
      <c r="A288" s="1">
        <v>286</v>
      </c>
      <c r="B288" s="2" t="s">
        <v>5341</v>
      </c>
    </row>
    <row r="289" spans="1:2" ht="18.75" customHeight="1" x14ac:dyDescent="0.3">
      <c r="A289" s="1">
        <v>287</v>
      </c>
      <c r="B289" s="21" t="s">
        <v>5342</v>
      </c>
    </row>
    <row r="290" spans="1:2" ht="18.75" customHeight="1" x14ac:dyDescent="0.3">
      <c r="A290" s="16">
        <v>288</v>
      </c>
      <c r="B290" s="21" t="s">
        <v>5343</v>
      </c>
    </row>
    <row r="291" spans="1:2" ht="18.75" customHeight="1" x14ac:dyDescent="0.3">
      <c r="A291" s="1">
        <v>289</v>
      </c>
      <c r="B291" s="18" t="s">
        <v>5344</v>
      </c>
    </row>
    <row r="292" spans="1:2" ht="18.75" customHeight="1" x14ac:dyDescent="0.3">
      <c r="A292" s="16">
        <v>290</v>
      </c>
      <c r="B292" s="17" t="s">
        <v>5345</v>
      </c>
    </row>
    <row r="293" spans="1:2" ht="18.75" customHeight="1" x14ac:dyDescent="0.3">
      <c r="A293" s="1">
        <v>291</v>
      </c>
      <c r="B293" s="17" t="s">
        <v>5346</v>
      </c>
    </row>
    <row r="294" spans="1:2" ht="18.75" customHeight="1" x14ac:dyDescent="0.3">
      <c r="A294" s="16">
        <v>292</v>
      </c>
      <c r="B294" s="22" t="s">
        <v>5347</v>
      </c>
    </row>
    <row r="295" spans="1:2" ht="18.75" customHeight="1" x14ac:dyDescent="0.3">
      <c r="A295" s="1">
        <v>293</v>
      </c>
      <c r="B295" s="22" t="s">
        <v>5348</v>
      </c>
    </row>
    <row r="296" spans="1:2" ht="18.75" customHeight="1" x14ac:dyDescent="0.3">
      <c r="A296" s="1">
        <v>294</v>
      </c>
      <c r="B296" s="22" t="s">
        <v>5349</v>
      </c>
    </row>
    <row r="297" spans="1:2" ht="18.75" customHeight="1" x14ac:dyDescent="0.3">
      <c r="A297" s="1">
        <v>295</v>
      </c>
      <c r="B297" s="22" t="s">
        <v>5350</v>
      </c>
    </row>
    <row r="298" spans="1:2" ht="18.75" customHeight="1" x14ac:dyDescent="0.3">
      <c r="A298" s="16">
        <v>296</v>
      </c>
      <c r="B298" s="22" t="s">
        <v>5351</v>
      </c>
    </row>
    <row r="299" spans="1:2" ht="18.75" customHeight="1" x14ac:dyDescent="0.3">
      <c r="A299" s="1">
        <v>297</v>
      </c>
      <c r="B299" s="21" t="s">
        <v>5352</v>
      </c>
    </row>
    <row r="300" spans="1:2" ht="18.75" customHeight="1" x14ac:dyDescent="0.3">
      <c r="A300" s="1">
        <v>298</v>
      </c>
      <c r="B300" s="21" t="s">
        <v>5353</v>
      </c>
    </row>
    <row r="301" spans="1:2" ht="18.75" customHeight="1" x14ac:dyDescent="0.3">
      <c r="A301" s="1">
        <v>299</v>
      </c>
      <c r="B301" s="21" t="s">
        <v>5354</v>
      </c>
    </row>
    <row r="302" spans="1:2" ht="18.75" customHeight="1" x14ac:dyDescent="0.3">
      <c r="A302" s="16">
        <v>300</v>
      </c>
      <c r="B302" s="22" t="s">
        <v>5355</v>
      </c>
    </row>
    <row r="303" spans="1:2" ht="18.75" customHeight="1" x14ac:dyDescent="0.3">
      <c r="A303" s="1">
        <v>301</v>
      </c>
      <c r="B303" s="22" t="s">
        <v>5356</v>
      </c>
    </row>
    <row r="304" spans="1:2" ht="18.75" customHeight="1" x14ac:dyDescent="0.3">
      <c r="A304" s="1">
        <v>302</v>
      </c>
      <c r="B304" s="22" t="s">
        <v>5357</v>
      </c>
    </row>
    <row r="305" spans="1:2" ht="18.75" customHeight="1" x14ac:dyDescent="0.3">
      <c r="A305" s="1">
        <v>303</v>
      </c>
      <c r="B305" s="2" t="s">
        <v>5358</v>
      </c>
    </row>
    <row r="306" spans="1:2" ht="18.75" customHeight="1" x14ac:dyDescent="0.3">
      <c r="A306" s="16">
        <v>304</v>
      </c>
      <c r="B306" s="22" t="s">
        <v>5359</v>
      </c>
    </row>
    <row r="307" spans="1:2" ht="18.75" customHeight="1" x14ac:dyDescent="0.3">
      <c r="A307" s="1">
        <v>305</v>
      </c>
      <c r="B307" s="22" t="s">
        <v>5360</v>
      </c>
    </row>
    <row r="308" spans="1:2" ht="18.75" customHeight="1" x14ac:dyDescent="0.3">
      <c r="A308" s="1">
        <v>306</v>
      </c>
      <c r="B308" s="22" t="s">
        <v>5361</v>
      </c>
    </row>
    <row r="309" spans="1:2" ht="18.75" customHeight="1" x14ac:dyDescent="0.3">
      <c r="A309" s="2">
        <v>307</v>
      </c>
      <c r="B309" s="22" t="s">
        <v>5362</v>
      </c>
    </row>
    <row r="310" spans="1:2" ht="18.75" customHeight="1" x14ac:dyDescent="0.3">
      <c r="A310" s="2">
        <v>308</v>
      </c>
      <c r="B310" s="22" t="s">
        <v>5363</v>
      </c>
    </row>
    <row r="311" spans="1:2" ht="18.75" customHeight="1" x14ac:dyDescent="0.3">
      <c r="A311" s="2">
        <v>309</v>
      </c>
      <c r="B311" s="22" t="s">
        <v>5364</v>
      </c>
    </row>
    <row r="312" spans="1:2" ht="18.75" customHeight="1" x14ac:dyDescent="0.3">
      <c r="A312" s="2">
        <v>310</v>
      </c>
      <c r="B312" s="2" t="s">
        <v>5365</v>
      </c>
    </row>
    <row r="313" spans="1:2" ht="18.75" customHeight="1" x14ac:dyDescent="0.3">
      <c r="A313" s="2">
        <v>311</v>
      </c>
      <c r="B313" s="22" t="s">
        <v>5366</v>
      </c>
    </row>
    <row r="314" spans="1:2" ht="18.75" customHeight="1" x14ac:dyDescent="0.3">
      <c r="A314" s="2">
        <v>312</v>
      </c>
      <c r="B314" s="22" t="s">
        <v>5367</v>
      </c>
    </row>
    <row r="315" spans="1:2" ht="18.75" customHeight="1" x14ac:dyDescent="0.3">
      <c r="A315" s="2">
        <v>313</v>
      </c>
      <c r="B315" s="22" t="s">
        <v>5368</v>
      </c>
    </row>
    <row r="316" spans="1:2" ht="18.75" customHeight="1" x14ac:dyDescent="0.3">
      <c r="A316" s="2">
        <v>314</v>
      </c>
      <c r="B316" s="22" t="s">
        <v>5369</v>
      </c>
    </row>
    <row r="317" spans="1:2" ht="18.75" customHeight="1" x14ac:dyDescent="0.3">
      <c r="A317" s="2">
        <v>315</v>
      </c>
      <c r="B317" s="22" t="s">
        <v>5370</v>
      </c>
    </row>
    <row r="318" spans="1:2" ht="18.75" customHeight="1" x14ac:dyDescent="0.3">
      <c r="A318" s="2">
        <v>316</v>
      </c>
      <c r="B318" s="22" t="s">
        <v>5371</v>
      </c>
    </row>
    <row r="319" spans="1:2" ht="18.75" customHeight="1" x14ac:dyDescent="0.3">
      <c r="A319" s="2">
        <v>317</v>
      </c>
      <c r="B319" s="22" t="s">
        <v>5372</v>
      </c>
    </row>
    <row r="320" spans="1:2" ht="18.75" customHeight="1" x14ac:dyDescent="0.3">
      <c r="A320" s="2">
        <v>318</v>
      </c>
      <c r="B320" s="22" t="s">
        <v>5373</v>
      </c>
    </row>
    <row r="321" spans="1:2" ht="18.75" customHeight="1" x14ac:dyDescent="0.3">
      <c r="A321" s="2">
        <v>319</v>
      </c>
      <c r="B321" s="22" t="s">
        <v>5374</v>
      </c>
    </row>
    <row r="322" spans="1:2" ht="18.75" customHeight="1" x14ac:dyDescent="0.3">
      <c r="A322" s="2">
        <v>320</v>
      </c>
      <c r="B322" s="22" t="s">
        <v>5375</v>
      </c>
    </row>
    <row r="323" spans="1:2" ht="18.75" customHeight="1" x14ac:dyDescent="0.3">
      <c r="A323" s="2">
        <v>321</v>
      </c>
      <c r="B323" s="22" t="s">
        <v>5318</v>
      </c>
    </row>
    <row r="324" spans="1:2" ht="18.75" customHeight="1" x14ac:dyDescent="0.3">
      <c r="A324" s="2">
        <v>322</v>
      </c>
      <c r="B324" s="22" t="s">
        <v>5376</v>
      </c>
    </row>
    <row r="325" spans="1:2" ht="18.75" customHeight="1" x14ac:dyDescent="0.3">
      <c r="A325" s="2">
        <v>323</v>
      </c>
      <c r="B325" s="22" t="s">
        <v>5319</v>
      </c>
    </row>
    <row r="326" spans="1:2" ht="18.75" customHeight="1" x14ac:dyDescent="0.3">
      <c r="A326" s="2">
        <v>324</v>
      </c>
      <c r="B326" s="22" t="s">
        <v>5377</v>
      </c>
    </row>
    <row r="327" spans="1:2" ht="18.75" customHeight="1" x14ac:dyDescent="0.3">
      <c r="A327" s="2">
        <v>325</v>
      </c>
      <c r="B327" s="22" t="s">
        <v>5378</v>
      </c>
    </row>
    <row r="328" spans="1:2" ht="18.75" customHeight="1" x14ac:dyDescent="0.3">
      <c r="A328" s="2">
        <v>326</v>
      </c>
      <c r="B328" s="22" t="s">
        <v>5379</v>
      </c>
    </row>
    <row r="329" spans="1:2" ht="18.75" customHeight="1" x14ac:dyDescent="0.3">
      <c r="A329" s="2">
        <v>327</v>
      </c>
      <c r="B329" s="22" t="s">
        <v>5380</v>
      </c>
    </row>
    <row r="330" spans="1:2" ht="18.75" customHeight="1" x14ac:dyDescent="0.3">
      <c r="A330" s="2">
        <v>328</v>
      </c>
      <c r="B330" s="22" t="s">
        <v>5381</v>
      </c>
    </row>
    <row r="331" spans="1:2" ht="18.75" customHeight="1" x14ac:dyDescent="0.3">
      <c r="A331" s="2">
        <v>329</v>
      </c>
      <c r="B331" s="22" t="s">
        <v>5382</v>
      </c>
    </row>
    <row r="332" spans="1:2" ht="18.75" customHeight="1" x14ac:dyDescent="0.3">
      <c r="A332" s="2">
        <v>330</v>
      </c>
      <c r="B332" s="22" t="s">
        <v>5383</v>
      </c>
    </row>
    <row r="333" spans="1:2" ht="18.75" customHeight="1" x14ac:dyDescent="0.3">
      <c r="A333" s="2">
        <v>331</v>
      </c>
      <c r="B333" s="22" t="s">
        <v>5384</v>
      </c>
    </row>
    <row r="334" spans="1:2" ht="18.75" customHeight="1" x14ac:dyDescent="0.3">
      <c r="A334" s="2">
        <v>332</v>
      </c>
      <c r="B334" s="22" t="s">
        <v>5385</v>
      </c>
    </row>
    <row r="335" spans="1:2" ht="18.75" customHeight="1" x14ac:dyDescent="0.3">
      <c r="A335" s="2">
        <v>333</v>
      </c>
      <c r="B335" s="22" t="s">
        <v>5353</v>
      </c>
    </row>
    <row r="336" spans="1:2" ht="18.75" customHeight="1" x14ac:dyDescent="0.3">
      <c r="A336" s="2">
        <v>334</v>
      </c>
      <c r="B336" s="22" t="s">
        <v>5386</v>
      </c>
    </row>
    <row r="337" spans="1:2" ht="18.75" customHeight="1" x14ac:dyDescent="0.3">
      <c r="A337" s="2">
        <v>335</v>
      </c>
      <c r="B337" s="22" t="s">
        <v>5387</v>
      </c>
    </row>
    <row r="338" spans="1:2" ht="18.75" customHeight="1" x14ac:dyDescent="0.3">
      <c r="A338" s="2">
        <v>336</v>
      </c>
      <c r="B338" s="22" t="s">
        <v>5388</v>
      </c>
    </row>
    <row r="339" spans="1:2" ht="18.75" customHeight="1" x14ac:dyDescent="0.3">
      <c r="A339" s="2">
        <v>337</v>
      </c>
      <c r="B339" s="22" t="s">
        <v>5389</v>
      </c>
    </row>
    <row r="340" spans="1:2" ht="18.75" customHeight="1" x14ac:dyDescent="0.3">
      <c r="A340" s="2">
        <v>338</v>
      </c>
      <c r="B340" s="22" t="s">
        <v>5390</v>
      </c>
    </row>
    <row r="341" spans="1:2" ht="18.75" customHeight="1" x14ac:dyDescent="0.3">
      <c r="A341" s="2">
        <v>339</v>
      </c>
      <c r="B341" s="22" t="s">
        <v>5391</v>
      </c>
    </row>
    <row r="342" spans="1:2" ht="18.75" customHeight="1" x14ac:dyDescent="0.3">
      <c r="A342" s="2">
        <v>340</v>
      </c>
      <c r="B342" s="22" t="s">
        <v>5392</v>
      </c>
    </row>
    <row r="343" spans="1:2" ht="18.75" customHeight="1" x14ac:dyDescent="0.3">
      <c r="A343" s="2">
        <v>341</v>
      </c>
      <c r="B343" s="22" t="s">
        <v>5393</v>
      </c>
    </row>
    <row r="344" spans="1:2" ht="18.75" customHeight="1" x14ac:dyDescent="0.3">
      <c r="A344" s="2">
        <v>342</v>
      </c>
      <c r="B344" s="22" t="s">
        <v>5394</v>
      </c>
    </row>
    <row r="345" spans="1:2" ht="18.75" customHeight="1" x14ac:dyDescent="0.3">
      <c r="A345" s="2">
        <v>343</v>
      </c>
      <c r="B345" s="22" t="s">
        <v>5395</v>
      </c>
    </row>
    <row r="346" spans="1:2" ht="18.75" customHeight="1" x14ac:dyDescent="0.3">
      <c r="A346" s="2">
        <v>344</v>
      </c>
      <c r="B346" s="22" t="s">
        <v>5396</v>
      </c>
    </row>
    <row r="347" spans="1:2" ht="18.75" customHeight="1" x14ac:dyDescent="0.3">
      <c r="A347" s="2">
        <v>345</v>
      </c>
      <c r="B347" s="20" t="s">
        <v>5397</v>
      </c>
    </row>
    <row r="348" spans="1:2" ht="18.75" customHeight="1" x14ac:dyDescent="0.3">
      <c r="A348" s="2">
        <v>346</v>
      </c>
      <c r="B348" s="22" t="s">
        <v>5398</v>
      </c>
    </row>
    <row r="349" spans="1:2" ht="18.75" customHeight="1" x14ac:dyDescent="0.3">
      <c r="A349" s="2">
        <v>347</v>
      </c>
      <c r="B349" s="22" t="s">
        <v>5399</v>
      </c>
    </row>
    <row r="350" spans="1:2" ht="18.75" customHeight="1" x14ac:dyDescent="0.3">
      <c r="A350" s="2">
        <v>348</v>
      </c>
      <c r="B350" s="22" t="s">
        <v>5400</v>
      </c>
    </row>
    <row r="351" spans="1:2" ht="18.75" customHeight="1" x14ac:dyDescent="0.3">
      <c r="A351" s="2">
        <v>349</v>
      </c>
      <c r="B351" s="22" t="s">
        <v>5401</v>
      </c>
    </row>
    <row r="352" spans="1:2" ht="18.75" customHeight="1" x14ac:dyDescent="0.3">
      <c r="A352" s="2">
        <v>350</v>
      </c>
      <c r="B352" s="22" t="s">
        <v>5402</v>
      </c>
    </row>
    <row r="353" spans="1:2" ht="18.75" customHeight="1" x14ac:dyDescent="0.3">
      <c r="A353" s="2">
        <v>351</v>
      </c>
      <c r="B353" s="22" t="s">
        <v>5403</v>
      </c>
    </row>
    <row r="354" spans="1:2" ht="18.75" customHeight="1" x14ac:dyDescent="0.3">
      <c r="A354" s="2">
        <v>352</v>
      </c>
      <c r="B354" s="21" t="s">
        <v>5404</v>
      </c>
    </row>
    <row r="355" spans="1:2" ht="18.75" customHeight="1" x14ac:dyDescent="0.3">
      <c r="A355" s="2">
        <v>353</v>
      </c>
      <c r="B355" s="22" t="s">
        <v>5405</v>
      </c>
    </row>
    <row r="356" spans="1:2" ht="18.75" customHeight="1" x14ac:dyDescent="0.3">
      <c r="A356" s="2">
        <v>354</v>
      </c>
      <c r="B356" s="22" t="s">
        <v>5406</v>
      </c>
    </row>
    <row r="357" spans="1:2" ht="18.75" customHeight="1" x14ac:dyDescent="0.3">
      <c r="A357" s="2">
        <v>355</v>
      </c>
      <c r="B357" s="22" t="s">
        <v>5407</v>
      </c>
    </row>
    <row r="358" spans="1:2" ht="18.75" customHeight="1" x14ac:dyDescent="0.3">
      <c r="A358" s="2">
        <v>356</v>
      </c>
      <c r="B358" s="22" t="s">
        <v>5408</v>
      </c>
    </row>
    <row r="359" spans="1:2" ht="18.75" customHeight="1" x14ac:dyDescent="0.3">
      <c r="A359" s="2">
        <v>357</v>
      </c>
      <c r="B359" s="22" t="s">
        <v>5409</v>
      </c>
    </row>
    <row r="360" spans="1:2" ht="18.75" customHeight="1" x14ac:dyDescent="0.3">
      <c r="A360" s="2">
        <v>358</v>
      </c>
      <c r="B360" s="22" t="s">
        <v>5410</v>
      </c>
    </row>
    <row r="361" spans="1:2" ht="18.75" customHeight="1" x14ac:dyDescent="0.3">
      <c r="A361" s="2">
        <v>359</v>
      </c>
      <c r="B361" s="22" t="s">
        <v>5411</v>
      </c>
    </row>
    <row r="362" spans="1:2" ht="18.75" customHeight="1" x14ac:dyDescent="0.3">
      <c r="A362" s="2">
        <v>360</v>
      </c>
      <c r="B362" s="22" t="s">
        <v>5412</v>
      </c>
    </row>
    <row r="363" spans="1:2" ht="18.75" customHeight="1" x14ac:dyDescent="0.3">
      <c r="A363" s="2">
        <v>361</v>
      </c>
      <c r="B363" s="22" t="s">
        <v>5413</v>
      </c>
    </row>
    <row r="364" spans="1:2" ht="18.75" customHeight="1" x14ac:dyDescent="0.3">
      <c r="A364" s="2">
        <v>362</v>
      </c>
      <c r="B364" s="21" t="s">
        <v>5414</v>
      </c>
    </row>
    <row r="365" spans="1:2" ht="18.75" customHeight="1" x14ac:dyDescent="0.3">
      <c r="A365" s="2">
        <v>363</v>
      </c>
      <c r="B365" s="22" t="s">
        <v>5415</v>
      </c>
    </row>
    <row r="366" spans="1:2" ht="18.75" customHeight="1" x14ac:dyDescent="0.3">
      <c r="A366" s="2">
        <v>364</v>
      </c>
      <c r="B366" s="22" t="s">
        <v>5416</v>
      </c>
    </row>
    <row r="367" spans="1:2" ht="18.75" customHeight="1" x14ac:dyDescent="0.3">
      <c r="A367" s="2">
        <v>365</v>
      </c>
      <c r="B367" s="21" t="s">
        <v>5417</v>
      </c>
    </row>
    <row r="368" spans="1:2" ht="18.75" customHeight="1" x14ac:dyDescent="0.3">
      <c r="A368" s="2">
        <v>366</v>
      </c>
      <c r="B368" s="21" t="s">
        <v>5285</v>
      </c>
    </row>
    <row r="369" spans="1:2" ht="18.75" customHeight="1" x14ac:dyDescent="0.3">
      <c r="A369" s="2">
        <v>367</v>
      </c>
      <c r="B369" s="21" t="s">
        <v>5418</v>
      </c>
    </row>
    <row r="370" spans="1:2" ht="18.75" customHeight="1" x14ac:dyDescent="0.3">
      <c r="A370" s="2">
        <v>368</v>
      </c>
      <c r="B370" s="21" t="s">
        <v>5419</v>
      </c>
    </row>
    <row r="371" spans="1:2" ht="18.75" customHeight="1" x14ac:dyDescent="0.3">
      <c r="A371" s="2">
        <v>369</v>
      </c>
      <c r="B371" s="21" t="s">
        <v>5420</v>
      </c>
    </row>
    <row r="372" spans="1:2" ht="18.75" customHeight="1" x14ac:dyDescent="0.3">
      <c r="A372" s="2">
        <v>370</v>
      </c>
      <c r="B372" s="21" t="s">
        <v>5421</v>
      </c>
    </row>
    <row r="373" spans="1:2" ht="18.75" customHeight="1" x14ac:dyDescent="0.3">
      <c r="A373" s="2">
        <v>371</v>
      </c>
      <c r="B373" s="21" t="s">
        <v>5422</v>
      </c>
    </row>
    <row r="374" spans="1:2" ht="18.75" customHeight="1" x14ac:dyDescent="0.3">
      <c r="A374" s="2">
        <v>372</v>
      </c>
      <c r="B374" s="22" t="s">
        <v>5423</v>
      </c>
    </row>
    <row r="375" spans="1:2" ht="18.75" customHeight="1" x14ac:dyDescent="0.3">
      <c r="A375" s="2">
        <v>373</v>
      </c>
      <c r="B375" s="22" t="s">
        <v>5424</v>
      </c>
    </row>
    <row r="376" spans="1:2" ht="18.75" customHeight="1" x14ac:dyDescent="0.3">
      <c r="A376" s="2">
        <v>374</v>
      </c>
      <c r="B376" s="22" t="s">
        <v>5425</v>
      </c>
    </row>
    <row r="377" spans="1:2" ht="18.75" customHeight="1" x14ac:dyDescent="0.3">
      <c r="A377" s="2">
        <v>375</v>
      </c>
      <c r="B377" s="22" t="s">
        <v>5426</v>
      </c>
    </row>
    <row r="378" spans="1:2" ht="18.75" customHeight="1" x14ac:dyDescent="0.3">
      <c r="A378" s="2">
        <v>376</v>
      </c>
      <c r="B378" s="22" t="s">
        <v>5427</v>
      </c>
    </row>
    <row r="379" spans="1:2" ht="18.75" customHeight="1" x14ac:dyDescent="0.3">
      <c r="A379" s="2">
        <v>377</v>
      </c>
      <c r="B379" s="22" t="s">
        <v>5428</v>
      </c>
    </row>
    <row r="380" spans="1:2" ht="18.75" customHeight="1" x14ac:dyDescent="0.3">
      <c r="A380" s="2">
        <v>378</v>
      </c>
      <c r="B380" s="22" t="s">
        <v>5429</v>
      </c>
    </row>
    <row r="381" spans="1:2" ht="18.75" customHeight="1" x14ac:dyDescent="0.3">
      <c r="A381" s="2">
        <v>379</v>
      </c>
      <c r="B381" s="22" t="s">
        <v>5430</v>
      </c>
    </row>
    <row r="382" spans="1:2" ht="18.75" customHeight="1" x14ac:dyDescent="0.3">
      <c r="A382" s="2">
        <v>380</v>
      </c>
      <c r="B382" s="22" t="s">
        <v>5431</v>
      </c>
    </row>
    <row r="383" spans="1:2" ht="18.75" customHeight="1" x14ac:dyDescent="0.3">
      <c r="A383" s="2">
        <v>381</v>
      </c>
      <c r="B383" s="22" t="s">
        <v>5432</v>
      </c>
    </row>
    <row r="384" spans="1:2" ht="18.75" customHeight="1" x14ac:dyDescent="0.3">
      <c r="A384" s="2">
        <v>382</v>
      </c>
      <c r="B384" s="22" t="s">
        <v>5284</v>
      </c>
    </row>
    <row r="385" spans="1:2" ht="18.75" customHeight="1" x14ac:dyDescent="0.3">
      <c r="A385" s="2">
        <v>383</v>
      </c>
      <c r="B385" s="22" t="s">
        <v>5433</v>
      </c>
    </row>
    <row r="386" spans="1:2" ht="18.75" customHeight="1" x14ac:dyDescent="0.3">
      <c r="A386" s="2">
        <v>384</v>
      </c>
      <c r="B386" s="22" t="s">
        <v>5434</v>
      </c>
    </row>
    <row r="387" spans="1:2" ht="18.75" customHeight="1" x14ac:dyDescent="0.3">
      <c r="A387" s="2">
        <v>385</v>
      </c>
      <c r="B387" s="22" t="s">
        <v>5435</v>
      </c>
    </row>
    <row r="388" spans="1:2" ht="18.75" customHeight="1" x14ac:dyDescent="0.3">
      <c r="A388" s="2">
        <v>386</v>
      </c>
      <c r="B388" s="22" t="s">
        <v>5436</v>
      </c>
    </row>
    <row r="389" spans="1:2" ht="18.75" customHeight="1" x14ac:dyDescent="0.3">
      <c r="A389" s="2">
        <v>387</v>
      </c>
      <c r="B389" s="22" t="s">
        <v>5437</v>
      </c>
    </row>
    <row r="390" spans="1:2" ht="18.75" customHeight="1" x14ac:dyDescent="0.3">
      <c r="A390" s="2">
        <v>388</v>
      </c>
      <c r="B390" s="21" t="s">
        <v>5438</v>
      </c>
    </row>
    <row r="391" spans="1:2" ht="18.75" customHeight="1" x14ac:dyDescent="0.3">
      <c r="A391" s="2">
        <v>389</v>
      </c>
      <c r="B391" s="22" t="s">
        <v>5439</v>
      </c>
    </row>
    <row r="392" spans="1:2" ht="18.75" customHeight="1" x14ac:dyDescent="0.3">
      <c r="A392" s="2">
        <v>390</v>
      </c>
      <c r="B392" s="22" t="s">
        <v>5440</v>
      </c>
    </row>
    <row r="393" spans="1:2" ht="18.75" customHeight="1" x14ac:dyDescent="0.3">
      <c r="A393" s="2">
        <v>391</v>
      </c>
      <c r="B393" s="22" t="s">
        <v>5441</v>
      </c>
    </row>
    <row r="394" spans="1:2" ht="18.75" customHeight="1" x14ac:dyDescent="0.3">
      <c r="A394" s="2">
        <v>392</v>
      </c>
      <c r="B394" s="22" t="s">
        <v>5442</v>
      </c>
    </row>
    <row r="395" spans="1:2" ht="18.75" customHeight="1" x14ac:dyDescent="0.3">
      <c r="A395" s="2">
        <v>393</v>
      </c>
      <c r="B395" s="22" t="s">
        <v>5443</v>
      </c>
    </row>
    <row r="396" spans="1:2" ht="18.75" customHeight="1" x14ac:dyDescent="0.3">
      <c r="A396" s="2">
        <v>394</v>
      </c>
      <c r="B396" s="22" t="s">
        <v>5444</v>
      </c>
    </row>
    <row r="397" spans="1:2" ht="18.75" customHeight="1" x14ac:dyDescent="0.3">
      <c r="A397" s="2">
        <v>395</v>
      </c>
      <c r="B397" s="22" t="s">
        <v>5445</v>
      </c>
    </row>
    <row r="398" spans="1:2" ht="18.75" customHeight="1" x14ac:dyDescent="0.3">
      <c r="A398" s="2">
        <v>396</v>
      </c>
      <c r="B398" s="22" t="s">
        <v>5446</v>
      </c>
    </row>
    <row r="399" spans="1:2" ht="18.75" customHeight="1" x14ac:dyDescent="0.3">
      <c r="A399" s="2">
        <v>397</v>
      </c>
      <c r="B399" s="22" t="s">
        <v>5447</v>
      </c>
    </row>
    <row r="400" spans="1:2" ht="18.75" customHeight="1" x14ac:dyDescent="0.3">
      <c r="A400" s="2">
        <v>398</v>
      </c>
      <c r="B400" s="22" t="s">
        <v>5448</v>
      </c>
    </row>
    <row r="401" spans="1:2" ht="18.75" customHeight="1" x14ac:dyDescent="0.3">
      <c r="A401" s="2">
        <v>399</v>
      </c>
      <c r="B401" s="22" t="s">
        <v>5449</v>
      </c>
    </row>
    <row r="402" spans="1:2" ht="18.75" customHeight="1" x14ac:dyDescent="0.3">
      <c r="A402" s="2">
        <v>400</v>
      </c>
      <c r="B402" s="22" t="s">
        <v>5450</v>
      </c>
    </row>
    <row r="403" spans="1:2" ht="18.75" customHeight="1" x14ac:dyDescent="0.3">
      <c r="A403" s="2">
        <v>401</v>
      </c>
      <c r="B403" s="22" t="s">
        <v>5451</v>
      </c>
    </row>
    <row r="404" spans="1:2" ht="18.75" customHeight="1" x14ac:dyDescent="0.3">
      <c r="A404" s="2">
        <v>402</v>
      </c>
      <c r="B404" s="22" t="s">
        <v>5452</v>
      </c>
    </row>
    <row r="405" spans="1:2" ht="18.75" customHeight="1" x14ac:dyDescent="0.3">
      <c r="A405" s="2">
        <v>403</v>
      </c>
      <c r="B405" s="22" t="s">
        <v>5453</v>
      </c>
    </row>
    <row r="406" spans="1:2" ht="18.75" customHeight="1" x14ac:dyDescent="0.3">
      <c r="A406" s="2">
        <v>404</v>
      </c>
      <c r="B406" s="22" t="s">
        <v>5454</v>
      </c>
    </row>
    <row r="407" spans="1:2" ht="18.75" customHeight="1" x14ac:dyDescent="0.3">
      <c r="A407" s="2">
        <v>405</v>
      </c>
      <c r="B407" s="22" t="s">
        <v>5455</v>
      </c>
    </row>
    <row r="408" spans="1:2" ht="18.75" customHeight="1" x14ac:dyDescent="0.3">
      <c r="A408" s="2">
        <v>406</v>
      </c>
      <c r="B408" s="22" t="s">
        <v>5456</v>
      </c>
    </row>
    <row r="409" spans="1:2" ht="18.75" customHeight="1" x14ac:dyDescent="0.3">
      <c r="A409" s="2">
        <v>407</v>
      </c>
      <c r="B409" s="22" t="s">
        <v>5457</v>
      </c>
    </row>
    <row r="410" spans="1:2" ht="18.75" customHeight="1" x14ac:dyDescent="0.3">
      <c r="A410" s="2">
        <v>408</v>
      </c>
      <c r="B410" s="22" t="s">
        <v>5458</v>
      </c>
    </row>
    <row r="411" spans="1:2" ht="18.75" customHeight="1" x14ac:dyDescent="0.3">
      <c r="A411" s="2">
        <v>409</v>
      </c>
      <c r="B411" s="22" t="s">
        <v>5459</v>
      </c>
    </row>
    <row r="412" spans="1:2" ht="18.75" customHeight="1" x14ac:dyDescent="0.3">
      <c r="A412" s="2">
        <v>410</v>
      </c>
      <c r="B412" s="22" t="s">
        <v>5460</v>
      </c>
    </row>
    <row r="413" spans="1:2" ht="18.75" customHeight="1" x14ac:dyDescent="0.3">
      <c r="A413" s="2">
        <v>411</v>
      </c>
      <c r="B413" s="22" t="s">
        <v>5461</v>
      </c>
    </row>
    <row r="414" spans="1:2" ht="18.75" customHeight="1" x14ac:dyDescent="0.3">
      <c r="A414" s="2">
        <v>412</v>
      </c>
      <c r="B414" s="22" t="s">
        <v>5462</v>
      </c>
    </row>
    <row r="415" spans="1:2" ht="18.75" customHeight="1" x14ac:dyDescent="0.3">
      <c r="A415" s="2">
        <v>413</v>
      </c>
      <c r="B415" s="24" t="s">
        <v>5463</v>
      </c>
    </row>
    <row r="416" spans="1:2" ht="18.75" customHeight="1" x14ac:dyDescent="0.3">
      <c r="A416" s="2">
        <v>414</v>
      </c>
      <c r="B416" s="24" t="s">
        <v>5464</v>
      </c>
    </row>
    <row r="417" spans="1:2" ht="18.75" customHeight="1" x14ac:dyDescent="0.3">
      <c r="A417" s="2">
        <v>415</v>
      </c>
      <c r="B417" s="24" t="s">
        <v>5465</v>
      </c>
    </row>
    <row r="418" spans="1:2" ht="18.75" customHeight="1" x14ac:dyDescent="0.3">
      <c r="A418" s="2">
        <v>416</v>
      </c>
      <c r="B418" s="90" t="s">
        <v>5466</v>
      </c>
    </row>
    <row r="419" spans="1:2" ht="18.75" customHeight="1" x14ac:dyDescent="0.3">
      <c r="A419" s="2">
        <v>417</v>
      </c>
      <c r="B419" s="24" t="s">
        <v>5467</v>
      </c>
    </row>
    <row r="420" spans="1:2" ht="18.75" customHeight="1" x14ac:dyDescent="0.3">
      <c r="A420" s="2">
        <v>418</v>
      </c>
      <c r="B420" s="24" t="s">
        <v>5468</v>
      </c>
    </row>
    <row r="421" spans="1:2" ht="18.75" customHeight="1" x14ac:dyDescent="0.3">
      <c r="A421" s="2">
        <v>419</v>
      </c>
      <c r="B421" s="24" t="s">
        <v>5469</v>
      </c>
    </row>
    <row r="422" spans="1:2" ht="18.75" customHeight="1" x14ac:dyDescent="0.3">
      <c r="A422" s="2">
        <v>420</v>
      </c>
      <c r="B422" s="24" t="s">
        <v>5469</v>
      </c>
    </row>
    <row r="423" spans="1:2" ht="18.75" customHeight="1" x14ac:dyDescent="0.3">
      <c r="A423" s="2">
        <v>421</v>
      </c>
      <c r="B423" s="24" t="s">
        <v>5470</v>
      </c>
    </row>
    <row r="424" spans="1:2" ht="18.75" customHeight="1" x14ac:dyDescent="0.3">
      <c r="A424" s="2">
        <v>422</v>
      </c>
      <c r="B424" s="25" t="s">
        <v>5471</v>
      </c>
    </row>
    <row r="425" spans="1:2" ht="18.75" customHeight="1" x14ac:dyDescent="0.3">
      <c r="A425" s="2">
        <v>423</v>
      </c>
      <c r="B425" s="25" t="s">
        <v>5472</v>
      </c>
    </row>
    <row r="426" spans="1:2" ht="18.75" customHeight="1" x14ac:dyDescent="0.3">
      <c r="A426" s="2">
        <v>424</v>
      </c>
      <c r="B426" s="21" t="s">
        <v>5473</v>
      </c>
    </row>
    <row r="427" spans="1:2" ht="18.75" customHeight="1" x14ac:dyDescent="0.3">
      <c r="A427" s="2">
        <v>425</v>
      </c>
      <c r="B427" s="25" t="s">
        <v>5474</v>
      </c>
    </row>
    <row r="428" spans="1:2" ht="18.75" customHeight="1" x14ac:dyDescent="0.3">
      <c r="A428" s="2">
        <v>426</v>
      </c>
      <c r="B428" s="25" t="s">
        <v>5475</v>
      </c>
    </row>
    <row r="429" spans="1:2" ht="18.75" customHeight="1" x14ac:dyDescent="0.3">
      <c r="A429" s="2">
        <v>427</v>
      </c>
      <c r="B429" s="25" t="s">
        <v>5476</v>
      </c>
    </row>
    <row r="430" spans="1:2" ht="18.75" customHeight="1" x14ac:dyDescent="0.3">
      <c r="A430" s="2">
        <v>428</v>
      </c>
      <c r="B430" s="25" t="s">
        <v>5477</v>
      </c>
    </row>
    <row r="431" spans="1:2" ht="18.75" customHeight="1" x14ac:dyDescent="0.3">
      <c r="A431" s="2">
        <v>429</v>
      </c>
      <c r="B431" s="21" t="s">
        <v>5477</v>
      </c>
    </row>
    <row r="432" spans="1:2" ht="18.75" customHeight="1" x14ac:dyDescent="0.3">
      <c r="A432" s="2">
        <v>430</v>
      </c>
      <c r="B432" s="22" t="s">
        <v>5478</v>
      </c>
    </row>
    <row r="433" spans="1:2" ht="18.75" customHeight="1" x14ac:dyDescent="0.3">
      <c r="A433" s="2">
        <v>431</v>
      </c>
      <c r="B433" s="22" t="s">
        <v>5479</v>
      </c>
    </row>
    <row r="434" spans="1:2" ht="18.75" customHeight="1" x14ac:dyDescent="0.3">
      <c r="A434" s="2">
        <v>432</v>
      </c>
      <c r="B434" s="22" t="s">
        <v>5480</v>
      </c>
    </row>
    <row r="435" spans="1:2" ht="18.75" customHeight="1" x14ac:dyDescent="0.3">
      <c r="A435" s="2">
        <v>433</v>
      </c>
      <c r="B435" s="2" t="s">
        <v>5481</v>
      </c>
    </row>
    <row r="436" spans="1:2" ht="18.75" customHeight="1" x14ac:dyDescent="0.3">
      <c r="A436" s="2">
        <v>434</v>
      </c>
      <c r="B436" s="21" t="s">
        <v>5482</v>
      </c>
    </row>
    <row r="437" spans="1:2" ht="18.75" customHeight="1" x14ac:dyDescent="0.3">
      <c r="A437" s="2">
        <v>435</v>
      </c>
      <c r="B437" s="25" t="s">
        <v>5483</v>
      </c>
    </row>
    <row r="438" spans="1:2" ht="18.75" customHeight="1" x14ac:dyDescent="0.3">
      <c r="A438" s="2">
        <v>436</v>
      </c>
      <c r="B438" s="25" t="s">
        <v>5484</v>
      </c>
    </row>
    <row r="439" spans="1:2" ht="18.75" customHeight="1" x14ac:dyDescent="0.3">
      <c r="A439" s="2">
        <v>437</v>
      </c>
      <c r="B439" s="25" t="s">
        <v>5485</v>
      </c>
    </row>
    <row r="440" spans="1:2" ht="18.75" customHeight="1" x14ac:dyDescent="0.3">
      <c r="A440" s="2">
        <v>438</v>
      </c>
      <c r="B440" s="25" t="s">
        <v>5486</v>
      </c>
    </row>
    <row r="441" spans="1:2" ht="18.75" customHeight="1" x14ac:dyDescent="0.3">
      <c r="A441" s="2">
        <v>439</v>
      </c>
      <c r="B441" s="23" t="s">
        <v>5487</v>
      </c>
    </row>
    <row r="442" spans="1:2" ht="18.75" customHeight="1" x14ac:dyDescent="0.3">
      <c r="A442" s="2">
        <v>440</v>
      </c>
      <c r="B442" s="25" t="s">
        <v>5488</v>
      </c>
    </row>
    <row r="443" spans="1:2" ht="18.75" customHeight="1" x14ac:dyDescent="0.3">
      <c r="A443" s="2">
        <v>441</v>
      </c>
      <c r="B443" s="26" t="s">
        <v>5489</v>
      </c>
    </row>
    <row r="444" spans="1:2" ht="18.75" customHeight="1" x14ac:dyDescent="0.3">
      <c r="A444" s="2">
        <v>442</v>
      </c>
      <c r="B444" s="21" t="s">
        <v>5490</v>
      </c>
    </row>
    <row r="445" spans="1:2" ht="18.75" customHeight="1" x14ac:dyDescent="0.3">
      <c r="A445" s="2">
        <v>443</v>
      </c>
      <c r="B445" s="21" t="s">
        <v>5491</v>
      </c>
    </row>
    <row r="446" spans="1:2" ht="18.75" customHeight="1" x14ac:dyDescent="0.3">
      <c r="A446" s="2">
        <v>444</v>
      </c>
      <c r="B446" s="21" t="s">
        <v>5492</v>
      </c>
    </row>
    <row r="447" spans="1:2" ht="18.75" customHeight="1" x14ac:dyDescent="0.3">
      <c r="A447" s="2">
        <v>445</v>
      </c>
      <c r="B447" s="2" t="s">
        <v>5493</v>
      </c>
    </row>
    <row r="448" spans="1:2" ht="18.75" customHeight="1" x14ac:dyDescent="0.3">
      <c r="A448" s="2">
        <v>446</v>
      </c>
      <c r="B448" s="2" t="s">
        <v>5494</v>
      </c>
    </row>
    <row r="449" spans="1:2" ht="18.75" customHeight="1" x14ac:dyDescent="0.3">
      <c r="A449" s="2">
        <v>447</v>
      </c>
      <c r="B449" s="2" t="s">
        <v>5495</v>
      </c>
    </row>
    <row r="450" spans="1:2" ht="18.75" customHeight="1" x14ac:dyDescent="0.3">
      <c r="A450" s="2">
        <v>448</v>
      </c>
      <c r="B450" s="21" t="s">
        <v>5496</v>
      </c>
    </row>
    <row r="451" spans="1:2" ht="18.75" customHeight="1" x14ac:dyDescent="0.3">
      <c r="A451" s="2">
        <v>449</v>
      </c>
      <c r="B451" s="22" t="s">
        <v>5497</v>
      </c>
    </row>
    <row r="452" spans="1:2" ht="18.75" customHeight="1" x14ac:dyDescent="0.3">
      <c r="A452" s="2">
        <v>450</v>
      </c>
      <c r="B452" s="22" t="s">
        <v>5498</v>
      </c>
    </row>
    <row r="453" spans="1:2" ht="18.75" customHeight="1" x14ac:dyDescent="0.3">
      <c r="A453" s="2">
        <v>451</v>
      </c>
      <c r="B453" s="22" t="s">
        <v>5499</v>
      </c>
    </row>
    <row r="454" spans="1:2" ht="18.75" customHeight="1" x14ac:dyDescent="0.3">
      <c r="A454" s="2">
        <v>452</v>
      </c>
      <c r="B454" s="22" t="s">
        <v>5500</v>
      </c>
    </row>
    <row r="455" spans="1:2" ht="18.75" customHeight="1" x14ac:dyDescent="0.3">
      <c r="A455" s="2">
        <v>453</v>
      </c>
      <c r="B455" s="19" t="s">
        <v>5487</v>
      </c>
    </row>
    <row r="456" spans="1:2" ht="18.75" customHeight="1" x14ac:dyDescent="0.3">
      <c r="A456" s="2">
        <v>454</v>
      </c>
      <c r="B456" s="22" t="s">
        <v>5501</v>
      </c>
    </row>
    <row r="457" spans="1:2" ht="18.75" customHeight="1" x14ac:dyDescent="0.3">
      <c r="A457" s="2">
        <v>455</v>
      </c>
      <c r="B457" s="22" t="s">
        <v>5502</v>
      </c>
    </row>
    <row r="458" spans="1:2" ht="18.75" customHeight="1" x14ac:dyDescent="0.3">
      <c r="A458" s="2">
        <v>456</v>
      </c>
      <c r="B458" s="22" t="s">
        <v>5503</v>
      </c>
    </row>
    <row r="459" spans="1:2" ht="18.75" customHeight="1" x14ac:dyDescent="0.3">
      <c r="A459" s="2">
        <v>457</v>
      </c>
      <c r="B459" s="22" t="s">
        <v>5504</v>
      </c>
    </row>
    <row r="460" spans="1:2" ht="18.75" customHeight="1" x14ac:dyDescent="0.3">
      <c r="A460" s="2">
        <v>458</v>
      </c>
      <c r="B460" s="22" t="s">
        <v>5505</v>
      </c>
    </row>
    <row r="461" spans="1:2" ht="18.75" customHeight="1" x14ac:dyDescent="0.3">
      <c r="A461" s="2">
        <v>459</v>
      </c>
      <c r="B461" s="21" t="s">
        <v>5506</v>
      </c>
    </row>
    <row r="462" spans="1:2" ht="18.75" customHeight="1" x14ac:dyDescent="0.3">
      <c r="A462" s="2">
        <v>460</v>
      </c>
      <c r="B462" s="2" t="s">
        <v>5507</v>
      </c>
    </row>
    <row r="463" spans="1:2" ht="18.75" customHeight="1" x14ac:dyDescent="0.3">
      <c r="A463" s="2">
        <v>461</v>
      </c>
      <c r="B463" s="22" t="s">
        <v>5508</v>
      </c>
    </row>
    <row r="464" spans="1:2" ht="18.75" customHeight="1" x14ac:dyDescent="0.3">
      <c r="A464" s="2">
        <v>462</v>
      </c>
      <c r="B464" s="22" t="s">
        <v>5509</v>
      </c>
    </row>
    <row r="465" spans="1:2" ht="18.75" customHeight="1" x14ac:dyDescent="0.3">
      <c r="A465" s="2">
        <v>463</v>
      </c>
      <c r="B465" s="22" t="s">
        <v>5510</v>
      </c>
    </row>
    <row r="466" spans="1:2" ht="18.600000000000001" customHeight="1" x14ac:dyDescent="0.3">
      <c r="A466" s="2">
        <v>464</v>
      </c>
      <c r="B466" s="22" t="s">
        <v>5511</v>
      </c>
    </row>
    <row r="467" spans="1:2" ht="18.75" customHeight="1" x14ac:dyDescent="0.3">
      <c r="A467" s="2">
        <v>465</v>
      </c>
      <c r="B467" s="22" t="s">
        <v>5512</v>
      </c>
    </row>
    <row r="468" spans="1:2" ht="18.75" customHeight="1" x14ac:dyDescent="0.3">
      <c r="A468" s="2">
        <v>466</v>
      </c>
      <c r="B468" s="22" t="s">
        <v>5513</v>
      </c>
    </row>
    <row r="469" spans="1:2" ht="18.75" customHeight="1" x14ac:dyDescent="0.3">
      <c r="A469" s="2">
        <v>467</v>
      </c>
      <c r="B469" s="22" t="s">
        <v>5514</v>
      </c>
    </row>
    <row r="470" spans="1:2" ht="18.75" customHeight="1" x14ac:dyDescent="0.3">
      <c r="A470" s="2">
        <v>468</v>
      </c>
      <c r="B470" s="22" t="s">
        <v>5515</v>
      </c>
    </row>
    <row r="471" spans="1:2" ht="18.75" customHeight="1" x14ac:dyDescent="0.3">
      <c r="A471" s="2">
        <v>469</v>
      </c>
      <c r="B471" s="22" t="s">
        <v>5516</v>
      </c>
    </row>
    <row r="472" spans="1:2" ht="18.75" customHeight="1" x14ac:dyDescent="0.3">
      <c r="A472" s="2">
        <v>470</v>
      </c>
      <c r="B472" s="22" t="s">
        <v>5517</v>
      </c>
    </row>
    <row r="473" spans="1:2" ht="18.75" customHeight="1" x14ac:dyDescent="0.3">
      <c r="A473" s="2">
        <v>471</v>
      </c>
      <c r="B473" s="22" t="s">
        <v>5518</v>
      </c>
    </row>
    <row r="474" spans="1:2" ht="18.75" customHeight="1" x14ac:dyDescent="0.3">
      <c r="A474" s="2">
        <v>472</v>
      </c>
      <c r="B474" s="22" t="s">
        <v>5519</v>
      </c>
    </row>
    <row r="475" spans="1:2" ht="18.75" customHeight="1" x14ac:dyDescent="0.3">
      <c r="A475" s="2">
        <v>473</v>
      </c>
      <c r="B475" s="2" t="s">
        <v>5520</v>
      </c>
    </row>
    <row r="476" spans="1:2" ht="18.75" customHeight="1" x14ac:dyDescent="0.3">
      <c r="A476" s="2">
        <v>474</v>
      </c>
      <c r="B476" s="21" t="s">
        <v>5521</v>
      </c>
    </row>
    <row r="477" spans="1:2" ht="18.75" customHeight="1" x14ac:dyDescent="0.3">
      <c r="A477" s="2">
        <v>475</v>
      </c>
      <c r="B477" s="22" t="s">
        <v>5522</v>
      </c>
    </row>
    <row r="478" spans="1:2" ht="18.75" customHeight="1" x14ac:dyDescent="0.3">
      <c r="A478" s="2">
        <v>476</v>
      </c>
      <c r="B478" s="22" t="s">
        <v>5523</v>
      </c>
    </row>
    <row r="479" spans="1:2" ht="18.75" customHeight="1" x14ac:dyDescent="0.3">
      <c r="A479" s="2">
        <v>477</v>
      </c>
      <c r="B479" s="22" t="s">
        <v>5524</v>
      </c>
    </row>
    <row r="480" spans="1:2" ht="18.75" customHeight="1" x14ac:dyDescent="0.3">
      <c r="A480" s="2">
        <v>478</v>
      </c>
      <c r="B480" s="22" t="s">
        <v>5486</v>
      </c>
    </row>
    <row r="481" spans="1:2" ht="18.75" customHeight="1" x14ac:dyDescent="0.3">
      <c r="A481" s="2">
        <v>479</v>
      </c>
      <c r="B481" s="22" t="s">
        <v>5525</v>
      </c>
    </row>
    <row r="482" spans="1:2" ht="18.75" customHeight="1" x14ac:dyDescent="0.3">
      <c r="A482" s="2">
        <v>480</v>
      </c>
      <c r="B482" s="22" t="s">
        <v>5526</v>
      </c>
    </row>
    <row r="483" spans="1:2" ht="18.75" customHeight="1" x14ac:dyDescent="0.3">
      <c r="A483" s="2">
        <v>481</v>
      </c>
      <c r="B483" s="22" t="s">
        <v>5527</v>
      </c>
    </row>
    <row r="484" spans="1:2" ht="18.75" customHeight="1" x14ac:dyDescent="0.3">
      <c r="A484" s="2">
        <v>482</v>
      </c>
      <c r="B484" s="22" t="s">
        <v>5528</v>
      </c>
    </row>
    <row r="485" spans="1:2" ht="18.75" customHeight="1" x14ac:dyDescent="0.3">
      <c r="A485" s="2">
        <v>483</v>
      </c>
      <c r="B485" s="22" t="s">
        <v>5529</v>
      </c>
    </row>
    <row r="486" spans="1:2" ht="18.75" customHeight="1" x14ac:dyDescent="0.3">
      <c r="A486" s="2">
        <v>484</v>
      </c>
      <c r="B486" s="22" t="s">
        <v>5530</v>
      </c>
    </row>
    <row r="487" spans="1:2" ht="18.75" customHeight="1" x14ac:dyDescent="0.3">
      <c r="A487" s="2">
        <v>485</v>
      </c>
      <c r="B487" s="22" t="s">
        <v>5531</v>
      </c>
    </row>
    <row r="488" spans="1:2" ht="18.75" customHeight="1" x14ac:dyDescent="0.3">
      <c r="A488" s="2">
        <v>486</v>
      </c>
      <c r="B488" s="22" t="s">
        <v>5532</v>
      </c>
    </row>
    <row r="489" spans="1:2" ht="18.75" customHeight="1" x14ac:dyDescent="0.3">
      <c r="A489" s="2">
        <v>487</v>
      </c>
      <c r="B489" s="22" t="s">
        <v>5533</v>
      </c>
    </row>
    <row r="490" spans="1:2" ht="18.75" customHeight="1" x14ac:dyDescent="0.3">
      <c r="A490" s="2">
        <v>488</v>
      </c>
      <c r="B490" s="22" t="s">
        <v>5534</v>
      </c>
    </row>
    <row r="491" spans="1:2" ht="18.75" customHeight="1" x14ac:dyDescent="0.3">
      <c r="A491" s="2">
        <v>489</v>
      </c>
      <c r="B491" s="22" t="s">
        <v>5535</v>
      </c>
    </row>
    <row r="492" spans="1:2" ht="18.75" customHeight="1" x14ac:dyDescent="0.3">
      <c r="A492" s="2">
        <v>490</v>
      </c>
      <c r="B492" s="22" t="s">
        <v>5536</v>
      </c>
    </row>
    <row r="493" spans="1:2" ht="18.75" customHeight="1" x14ac:dyDescent="0.3">
      <c r="A493" s="2">
        <v>491</v>
      </c>
      <c r="B493" s="22" t="s">
        <v>5537</v>
      </c>
    </row>
    <row r="494" spans="1:2" ht="18.75" customHeight="1" x14ac:dyDescent="0.3">
      <c r="A494" s="2">
        <v>492</v>
      </c>
      <c r="B494" s="22" t="s">
        <v>5538</v>
      </c>
    </row>
    <row r="495" spans="1:2" ht="18.75" customHeight="1" x14ac:dyDescent="0.3">
      <c r="A495" s="2">
        <v>493</v>
      </c>
      <c r="B495" s="22" t="s">
        <v>5539</v>
      </c>
    </row>
    <row r="496" spans="1:2" ht="18.75" customHeight="1" x14ac:dyDescent="0.3">
      <c r="A496" s="2">
        <v>494</v>
      </c>
      <c r="B496" s="22" t="s">
        <v>5540</v>
      </c>
    </row>
    <row r="497" spans="1:2" ht="18.75" customHeight="1" x14ac:dyDescent="0.3">
      <c r="A497" s="2">
        <v>495</v>
      </c>
      <c r="B497" s="22" t="s">
        <v>5541</v>
      </c>
    </row>
    <row r="498" spans="1:2" ht="18.75" customHeight="1" x14ac:dyDescent="0.3">
      <c r="A498" s="2">
        <v>496</v>
      </c>
      <c r="B498" s="22" t="s">
        <v>5542</v>
      </c>
    </row>
    <row r="499" spans="1:2" ht="18.75" customHeight="1" x14ac:dyDescent="0.3">
      <c r="A499" s="2">
        <v>497</v>
      </c>
      <c r="B499" s="22" t="s">
        <v>5543</v>
      </c>
    </row>
    <row r="500" spans="1:2" ht="18.75" customHeight="1" x14ac:dyDescent="0.3">
      <c r="A500" s="2">
        <v>498</v>
      </c>
      <c r="B500" s="22" t="s">
        <v>5544</v>
      </c>
    </row>
    <row r="501" spans="1:2" ht="18.75" customHeight="1" x14ac:dyDescent="0.3">
      <c r="A501" s="2">
        <v>499</v>
      </c>
      <c r="B501" s="22" t="s">
        <v>5545</v>
      </c>
    </row>
    <row r="502" spans="1:2" ht="18.75" customHeight="1" x14ac:dyDescent="0.3">
      <c r="A502" s="2">
        <v>500</v>
      </c>
      <c r="B502" s="22" t="s">
        <v>5546</v>
      </c>
    </row>
    <row r="503" spans="1:2" ht="18.75" customHeight="1" x14ac:dyDescent="0.3">
      <c r="A503" s="2">
        <v>501</v>
      </c>
      <c r="B503" s="22" t="s">
        <v>5547</v>
      </c>
    </row>
    <row r="504" spans="1:2" ht="18.75" customHeight="1" x14ac:dyDescent="0.3">
      <c r="A504" s="2">
        <v>502</v>
      </c>
      <c r="B504" s="22" t="s">
        <v>5548</v>
      </c>
    </row>
    <row r="505" spans="1:2" ht="18.75" customHeight="1" x14ac:dyDescent="0.3">
      <c r="A505" s="2">
        <v>503</v>
      </c>
      <c r="B505" s="2" t="s">
        <v>5549</v>
      </c>
    </row>
    <row r="506" spans="1:2" ht="18.75" customHeight="1" x14ac:dyDescent="0.3">
      <c r="A506" s="2">
        <v>504</v>
      </c>
      <c r="B506" s="22" t="s">
        <v>5550</v>
      </c>
    </row>
    <row r="507" spans="1:2" ht="18.75" customHeight="1" x14ac:dyDescent="0.3">
      <c r="A507" s="2">
        <v>505</v>
      </c>
      <c r="B507" s="22" t="s">
        <v>5551</v>
      </c>
    </row>
    <row r="508" spans="1:2" ht="18.75" customHeight="1" x14ac:dyDescent="0.3">
      <c r="A508" s="2">
        <v>506</v>
      </c>
      <c r="B508" s="22" t="s">
        <v>5552</v>
      </c>
    </row>
    <row r="509" spans="1:2" ht="18.75" customHeight="1" x14ac:dyDescent="0.3">
      <c r="A509" s="2">
        <v>507</v>
      </c>
      <c r="B509" s="22" t="s">
        <v>5553</v>
      </c>
    </row>
    <row r="510" spans="1:2" ht="18.75" customHeight="1" x14ac:dyDescent="0.3">
      <c r="A510" s="2">
        <v>508</v>
      </c>
      <c r="B510" s="22" t="s">
        <v>5554</v>
      </c>
    </row>
    <row r="511" spans="1:2" ht="18.75" customHeight="1" x14ac:dyDescent="0.3">
      <c r="A511" s="2">
        <v>509</v>
      </c>
      <c r="B511" s="22" t="s">
        <v>5555</v>
      </c>
    </row>
    <row r="512" spans="1:2" ht="18.75" customHeight="1" x14ac:dyDescent="0.3">
      <c r="A512" s="2">
        <v>510</v>
      </c>
      <c r="B512" s="22" t="s">
        <v>5556</v>
      </c>
    </row>
    <row r="513" spans="1:2" ht="18.75" customHeight="1" x14ac:dyDescent="0.3">
      <c r="A513" s="2">
        <v>511</v>
      </c>
      <c r="B513" s="22" t="s">
        <v>5557</v>
      </c>
    </row>
    <row r="514" spans="1:2" ht="18.75" customHeight="1" x14ac:dyDescent="0.3">
      <c r="A514" s="2">
        <v>512</v>
      </c>
      <c r="B514" s="22" t="s">
        <v>5558</v>
      </c>
    </row>
    <row r="515" spans="1:2" ht="18.75" customHeight="1" x14ac:dyDescent="0.3">
      <c r="A515" s="2">
        <v>513</v>
      </c>
      <c r="B515" s="22" t="s">
        <v>5559</v>
      </c>
    </row>
    <row r="516" spans="1:2" ht="18.75" customHeight="1" x14ac:dyDescent="0.3">
      <c r="A516" s="2">
        <v>514</v>
      </c>
      <c r="B516" s="22" t="s">
        <v>5560</v>
      </c>
    </row>
    <row r="517" spans="1:2" ht="18.75" customHeight="1" x14ac:dyDescent="0.3">
      <c r="A517" s="2">
        <v>515</v>
      </c>
      <c r="B517" s="22" t="s">
        <v>5561</v>
      </c>
    </row>
    <row r="518" spans="1:2" ht="18.75" customHeight="1" x14ac:dyDescent="0.3">
      <c r="A518" s="2">
        <v>516</v>
      </c>
      <c r="B518" s="22" t="s">
        <v>5562</v>
      </c>
    </row>
    <row r="519" spans="1:2" ht="18.75" customHeight="1" x14ac:dyDescent="0.3">
      <c r="A519" s="2">
        <v>517</v>
      </c>
      <c r="B519" s="22" t="s">
        <v>5563</v>
      </c>
    </row>
    <row r="520" spans="1:2" ht="18.75" customHeight="1" x14ac:dyDescent="0.3">
      <c r="A520" s="2">
        <v>518</v>
      </c>
      <c r="B520" s="22" t="s">
        <v>5564</v>
      </c>
    </row>
    <row r="521" spans="1:2" ht="18.75" customHeight="1" x14ac:dyDescent="0.3">
      <c r="A521" s="2">
        <v>519</v>
      </c>
      <c r="B521" s="22" t="s">
        <v>5565</v>
      </c>
    </row>
    <row r="522" spans="1:2" ht="18.75" customHeight="1" x14ac:dyDescent="0.3">
      <c r="A522" s="2">
        <v>520</v>
      </c>
      <c r="B522" s="22" t="s">
        <v>5566</v>
      </c>
    </row>
    <row r="523" spans="1:2" ht="18.75" customHeight="1" x14ac:dyDescent="0.3">
      <c r="A523" s="2">
        <v>521</v>
      </c>
      <c r="B523" s="22" t="s">
        <v>5567</v>
      </c>
    </row>
    <row r="524" spans="1:2" ht="18.75" customHeight="1" x14ac:dyDescent="0.3">
      <c r="A524" s="2">
        <v>522</v>
      </c>
      <c r="B524" s="22" t="s">
        <v>5568</v>
      </c>
    </row>
    <row r="525" spans="1:2" ht="18.75" customHeight="1" x14ac:dyDescent="0.3">
      <c r="A525" s="2">
        <v>523</v>
      </c>
      <c r="B525" s="22" t="s">
        <v>5569</v>
      </c>
    </row>
    <row r="526" spans="1:2" ht="18.75" customHeight="1" x14ac:dyDescent="0.3">
      <c r="A526" s="2">
        <v>524</v>
      </c>
      <c r="B526" s="22" t="s">
        <v>5570</v>
      </c>
    </row>
    <row r="527" spans="1:2" ht="18.75" customHeight="1" x14ac:dyDescent="0.3">
      <c r="A527" s="2">
        <v>525</v>
      </c>
      <c r="B527" s="22" t="s">
        <v>5571</v>
      </c>
    </row>
    <row r="528" spans="1:2" ht="18.75" customHeight="1" x14ac:dyDescent="0.3">
      <c r="A528" s="2">
        <v>526</v>
      </c>
      <c r="B528" s="22" t="s">
        <v>5572</v>
      </c>
    </row>
    <row r="529" spans="1:2" ht="18.75" customHeight="1" x14ac:dyDescent="0.3">
      <c r="A529" s="2">
        <v>527</v>
      </c>
      <c r="B529" s="22" t="s">
        <v>5573</v>
      </c>
    </row>
    <row r="530" spans="1:2" ht="18.75" customHeight="1" x14ac:dyDescent="0.3">
      <c r="A530" s="2">
        <v>528</v>
      </c>
      <c r="B530" s="22" t="s">
        <v>5574</v>
      </c>
    </row>
    <row r="531" spans="1:2" ht="18.75" customHeight="1" x14ac:dyDescent="0.3">
      <c r="A531" s="2">
        <v>529</v>
      </c>
      <c r="B531" s="21" t="s">
        <v>5575</v>
      </c>
    </row>
    <row r="532" spans="1:2" ht="18.75" customHeight="1" x14ac:dyDescent="0.3">
      <c r="A532" s="2">
        <v>530</v>
      </c>
      <c r="B532" s="22" t="s">
        <v>5576</v>
      </c>
    </row>
    <row r="533" spans="1:2" ht="18.75" customHeight="1" x14ac:dyDescent="0.3">
      <c r="A533" s="2">
        <v>531</v>
      </c>
      <c r="B533" s="22" t="s">
        <v>5577</v>
      </c>
    </row>
    <row r="534" spans="1:2" ht="18.75" customHeight="1" x14ac:dyDescent="0.3">
      <c r="A534" s="2">
        <v>532</v>
      </c>
      <c r="B534" s="22" t="s">
        <v>5578</v>
      </c>
    </row>
    <row r="535" spans="1:2" ht="18.75" customHeight="1" x14ac:dyDescent="0.3">
      <c r="A535" s="2">
        <v>533</v>
      </c>
      <c r="B535" s="22" t="s">
        <v>5579</v>
      </c>
    </row>
    <row r="536" spans="1:2" ht="18.75" customHeight="1" x14ac:dyDescent="0.3">
      <c r="A536" s="2">
        <v>534</v>
      </c>
      <c r="B536" s="21" t="s">
        <v>5580</v>
      </c>
    </row>
    <row r="537" spans="1:2" ht="18.75" customHeight="1" x14ac:dyDescent="0.3">
      <c r="A537" s="2">
        <v>535</v>
      </c>
      <c r="B537" s="2" t="s">
        <v>5581</v>
      </c>
    </row>
    <row r="538" spans="1:2" ht="18.75" customHeight="1" x14ac:dyDescent="0.3">
      <c r="A538" s="2">
        <v>536</v>
      </c>
      <c r="B538" s="22" t="s">
        <v>5582</v>
      </c>
    </row>
    <row r="539" spans="1:2" ht="18.75" customHeight="1" x14ac:dyDescent="0.3">
      <c r="A539" s="2">
        <v>537</v>
      </c>
      <c r="B539" s="22" t="s">
        <v>5583</v>
      </c>
    </row>
    <row r="540" spans="1:2" ht="18.75" customHeight="1" x14ac:dyDescent="0.3">
      <c r="A540" s="2">
        <v>538</v>
      </c>
      <c r="B540" s="22" t="s">
        <v>5584</v>
      </c>
    </row>
    <row r="541" spans="1:2" ht="18.75" customHeight="1" x14ac:dyDescent="0.3">
      <c r="A541" s="2">
        <v>539</v>
      </c>
      <c r="B541" s="22" t="s">
        <v>5585</v>
      </c>
    </row>
    <row r="542" spans="1:2" ht="18.75" customHeight="1" x14ac:dyDescent="0.3">
      <c r="A542" s="2">
        <v>540</v>
      </c>
      <c r="B542" s="22" t="s">
        <v>5586</v>
      </c>
    </row>
    <row r="543" spans="1:2" ht="18.75" customHeight="1" x14ac:dyDescent="0.3">
      <c r="A543" s="2">
        <v>541</v>
      </c>
      <c r="B543" s="2" t="s">
        <v>5587</v>
      </c>
    </row>
    <row r="544" spans="1:2" ht="18.75" customHeight="1" x14ac:dyDescent="0.3">
      <c r="A544" s="2">
        <v>542</v>
      </c>
      <c r="B544" s="22" t="s">
        <v>5588</v>
      </c>
    </row>
    <row r="545" spans="1:2" ht="18.75" customHeight="1" x14ac:dyDescent="0.3">
      <c r="A545" s="2">
        <v>543</v>
      </c>
      <c r="B545" s="22" t="s">
        <v>5589</v>
      </c>
    </row>
    <row r="546" spans="1:2" ht="18.75" customHeight="1" x14ac:dyDescent="0.3">
      <c r="A546" s="2">
        <v>544</v>
      </c>
      <c r="B546" s="22" t="s">
        <v>5590</v>
      </c>
    </row>
    <row r="547" spans="1:2" ht="18.75" customHeight="1" x14ac:dyDescent="0.3">
      <c r="A547" s="2">
        <v>545</v>
      </c>
      <c r="B547" s="22" t="s">
        <v>5591</v>
      </c>
    </row>
    <row r="548" spans="1:2" ht="18.75" customHeight="1" x14ac:dyDescent="0.3">
      <c r="A548" s="2">
        <v>546</v>
      </c>
      <c r="B548" s="22" t="s">
        <v>5592</v>
      </c>
    </row>
    <row r="549" spans="1:2" ht="18.75" customHeight="1" x14ac:dyDescent="0.3">
      <c r="A549" s="2">
        <v>547</v>
      </c>
      <c r="B549" s="22" t="s">
        <v>5593</v>
      </c>
    </row>
    <row r="550" spans="1:2" ht="18.75" customHeight="1" x14ac:dyDescent="0.3">
      <c r="A550" s="2">
        <v>548</v>
      </c>
      <c r="B550" s="22" t="s">
        <v>5594</v>
      </c>
    </row>
    <row r="551" spans="1:2" ht="18.75" customHeight="1" x14ac:dyDescent="0.3">
      <c r="A551" s="2">
        <v>549</v>
      </c>
      <c r="B551" s="22" t="s">
        <v>5595</v>
      </c>
    </row>
    <row r="552" spans="1:2" ht="18.75" customHeight="1" x14ac:dyDescent="0.3">
      <c r="A552" s="2">
        <v>550</v>
      </c>
      <c r="B552" s="22" t="s">
        <v>5596</v>
      </c>
    </row>
    <row r="553" spans="1:2" ht="18.75" customHeight="1" x14ac:dyDescent="0.3">
      <c r="A553" s="2">
        <v>551</v>
      </c>
      <c r="B553" s="22" t="s">
        <v>5597</v>
      </c>
    </row>
    <row r="554" spans="1:2" ht="18.75" customHeight="1" x14ac:dyDescent="0.3">
      <c r="A554" s="2">
        <v>552</v>
      </c>
      <c r="B554" s="22" t="s">
        <v>5598</v>
      </c>
    </row>
    <row r="555" spans="1:2" ht="18.75" customHeight="1" x14ac:dyDescent="0.3">
      <c r="A555" s="2">
        <v>553</v>
      </c>
      <c r="B555" s="22" t="s">
        <v>5599</v>
      </c>
    </row>
    <row r="556" spans="1:2" ht="18.75" customHeight="1" x14ac:dyDescent="0.3">
      <c r="A556" s="2">
        <v>554</v>
      </c>
      <c r="B556" s="22" t="s">
        <v>5600</v>
      </c>
    </row>
    <row r="557" spans="1:2" ht="18.75" customHeight="1" x14ac:dyDescent="0.3">
      <c r="A557" s="2">
        <v>555</v>
      </c>
      <c r="B557" s="22" t="s">
        <v>5601</v>
      </c>
    </row>
    <row r="558" spans="1:2" ht="18.75" customHeight="1" x14ac:dyDescent="0.3">
      <c r="A558" s="2">
        <v>556</v>
      </c>
      <c r="B558" s="22" t="s">
        <v>5602</v>
      </c>
    </row>
    <row r="559" spans="1:2" ht="18.75" customHeight="1" x14ac:dyDescent="0.3">
      <c r="A559" s="2">
        <v>557</v>
      </c>
      <c r="B559" s="22" t="s">
        <v>5603</v>
      </c>
    </row>
    <row r="560" spans="1:2" ht="18.75" customHeight="1" x14ac:dyDescent="0.3">
      <c r="A560" s="2">
        <v>558</v>
      </c>
      <c r="B560" s="22" t="s">
        <v>5604</v>
      </c>
    </row>
    <row r="561" spans="1:2" ht="18.75" customHeight="1" x14ac:dyDescent="0.3">
      <c r="A561" s="2">
        <v>559</v>
      </c>
      <c r="B561" s="22" t="s">
        <v>5605</v>
      </c>
    </row>
    <row r="562" spans="1:2" ht="18.75" customHeight="1" x14ac:dyDescent="0.3">
      <c r="A562" s="2">
        <v>560</v>
      </c>
      <c r="B562" s="22" t="s">
        <v>5606</v>
      </c>
    </row>
    <row r="563" spans="1:2" ht="18.75" customHeight="1" x14ac:dyDescent="0.3">
      <c r="A563" s="2">
        <v>561</v>
      </c>
      <c r="B563" s="22" t="s">
        <v>5607</v>
      </c>
    </row>
    <row r="564" spans="1:2" ht="18.75" customHeight="1" x14ac:dyDescent="0.3">
      <c r="A564" s="2">
        <v>562</v>
      </c>
      <c r="B564" s="22" t="s">
        <v>5608</v>
      </c>
    </row>
    <row r="565" spans="1:2" ht="18.75" customHeight="1" x14ac:dyDescent="0.3">
      <c r="A565" s="2">
        <v>563</v>
      </c>
      <c r="B565" s="22" t="s">
        <v>5609</v>
      </c>
    </row>
    <row r="566" spans="1:2" ht="18.75" customHeight="1" x14ac:dyDescent="0.3">
      <c r="A566" s="2">
        <v>564</v>
      </c>
      <c r="B566" s="22" t="s">
        <v>5610</v>
      </c>
    </row>
    <row r="567" spans="1:2" ht="18.75" customHeight="1" x14ac:dyDescent="0.3">
      <c r="A567" s="2">
        <v>565</v>
      </c>
      <c r="B567" s="22" t="s">
        <v>5611</v>
      </c>
    </row>
    <row r="568" spans="1:2" ht="18.75" customHeight="1" x14ac:dyDescent="0.3">
      <c r="A568" s="2">
        <v>566</v>
      </c>
      <c r="B568" s="22" t="s">
        <v>5612</v>
      </c>
    </row>
    <row r="569" spans="1:2" ht="18.75" customHeight="1" x14ac:dyDescent="0.3">
      <c r="A569" s="2">
        <v>567</v>
      </c>
      <c r="B569" s="21" t="s">
        <v>5613</v>
      </c>
    </row>
    <row r="570" spans="1:2" ht="18.75" customHeight="1" x14ac:dyDescent="0.3">
      <c r="A570" s="2">
        <v>568</v>
      </c>
      <c r="B570" s="22" t="s">
        <v>5614</v>
      </c>
    </row>
    <row r="571" spans="1:2" ht="18.75" customHeight="1" x14ac:dyDescent="0.3">
      <c r="A571" s="2">
        <v>569</v>
      </c>
      <c r="B571" s="27" t="s">
        <v>5615</v>
      </c>
    </row>
    <row r="572" spans="1:2" ht="18.75" customHeight="1" x14ac:dyDescent="0.3">
      <c r="A572" s="2">
        <v>570</v>
      </c>
      <c r="B572" s="22" t="s">
        <v>5616</v>
      </c>
    </row>
    <row r="573" spans="1:2" ht="18.75" customHeight="1" x14ac:dyDescent="0.3">
      <c r="A573" s="2">
        <v>571</v>
      </c>
      <c r="B573" s="22" t="s">
        <v>5617</v>
      </c>
    </row>
    <row r="574" spans="1:2" ht="18.75" customHeight="1" x14ac:dyDescent="0.3">
      <c r="A574" s="2">
        <v>572</v>
      </c>
      <c r="B574" s="22" t="s">
        <v>5618</v>
      </c>
    </row>
    <row r="575" spans="1:2" ht="18.75" customHeight="1" x14ac:dyDescent="0.3">
      <c r="A575" s="2">
        <v>573</v>
      </c>
      <c r="B575" s="22" t="s">
        <v>5619</v>
      </c>
    </row>
    <row r="576" spans="1:2" ht="18.75" customHeight="1" x14ac:dyDescent="0.3">
      <c r="A576" s="2">
        <v>574</v>
      </c>
      <c r="B576" s="22" t="s">
        <v>5620</v>
      </c>
    </row>
    <row r="577" spans="1:2" ht="18.75" customHeight="1" x14ac:dyDescent="0.3">
      <c r="A577" s="2">
        <v>575</v>
      </c>
      <c r="B577" s="21" t="s">
        <v>5621</v>
      </c>
    </row>
    <row r="578" spans="1:2" ht="18.75" customHeight="1" x14ac:dyDescent="0.3">
      <c r="A578" s="2">
        <v>576</v>
      </c>
      <c r="B578" s="21" t="s">
        <v>5622</v>
      </c>
    </row>
    <row r="579" spans="1:2" ht="18.75" customHeight="1" x14ac:dyDescent="0.3">
      <c r="A579" s="2">
        <v>577</v>
      </c>
      <c r="B579" s="22" t="s">
        <v>5623</v>
      </c>
    </row>
    <row r="580" spans="1:2" ht="18.75" customHeight="1" x14ac:dyDescent="0.3">
      <c r="A580" s="2">
        <v>578</v>
      </c>
      <c r="B580" s="22" t="s">
        <v>5624</v>
      </c>
    </row>
    <row r="581" spans="1:2" ht="18.75" customHeight="1" x14ac:dyDescent="0.3">
      <c r="A581" s="2">
        <v>579</v>
      </c>
      <c r="B581" s="22" t="s">
        <v>5625</v>
      </c>
    </row>
    <row r="582" spans="1:2" ht="18.75" customHeight="1" x14ac:dyDescent="0.3">
      <c r="A582" s="2">
        <v>580</v>
      </c>
      <c r="B582" s="21" t="s">
        <v>5626</v>
      </c>
    </row>
    <row r="583" spans="1:2" ht="18.75" customHeight="1" x14ac:dyDescent="0.3">
      <c r="A583" s="2">
        <v>581</v>
      </c>
      <c r="B583" s="21" t="s">
        <v>5627</v>
      </c>
    </row>
    <row r="584" spans="1:2" ht="18.75" customHeight="1" x14ac:dyDescent="0.3">
      <c r="A584" s="2">
        <v>582</v>
      </c>
      <c r="B584" s="21" t="s">
        <v>5628</v>
      </c>
    </row>
    <row r="585" spans="1:2" ht="18.75" customHeight="1" x14ac:dyDescent="0.3">
      <c r="A585" s="2">
        <v>583</v>
      </c>
      <c r="B585" s="21" t="s">
        <v>5629</v>
      </c>
    </row>
    <row r="586" spans="1:2" ht="18.75" customHeight="1" x14ac:dyDescent="0.3">
      <c r="A586" s="2">
        <v>584</v>
      </c>
      <c r="B586" s="21" t="s">
        <v>5630</v>
      </c>
    </row>
    <row r="587" spans="1:2" ht="18.75" customHeight="1" x14ac:dyDescent="0.3">
      <c r="A587" s="2">
        <v>585</v>
      </c>
      <c r="B587" s="21" t="s">
        <v>5631</v>
      </c>
    </row>
    <row r="588" spans="1:2" ht="18.75" customHeight="1" x14ac:dyDescent="0.3">
      <c r="A588" s="2">
        <v>586</v>
      </c>
      <c r="B588" s="21" t="s">
        <v>5632</v>
      </c>
    </row>
    <row r="589" spans="1:2" ht="18.75" customHeight="1" x14ac:dyDescent="0.3">
      <c r="A589" s="2">
        <v>587</v>
      </c>
      <c r="B589" s="21" t="s">
        <v>5633</v>
      </c>
    </row>
    <row r="590" spans="1:2" ht="18.75" customHeight="1" x14ac:dyDescent="0.3">
      <c r="A590" s="2">
        <v>588</v>
      </c>
      <c r="B590" s="2" t="s">
        <v>5634</v>
      </c>
    </row>
    <row r="591" spans="1:2" ht="18.75" customHeight="1" x14ac:dyDescent="0.3">
      <c r="A591" s="2">
        <v>589</v>
      </c>
      <c r="B591" s="2" t="s">
        <v>5635</v>
      </c>
    </row>
    <row r="592" spans="1:2" ht="18.75" customHeight="1" x14ac:dyDescent="0.3">
      <c r="A592" s="2">
        <v>590</v>
      </c>
      <c r="B592" s="2" t="s">
        <v>5636</v>
      </c>
    </row>
    <row r="593" spans="1:2" ht="18.75" customHeight="1" x14ac:dyDescent="0.3">
      <c r="A593" s="2">
        <v>591</v>
      </c>
      <c r="B593" s="2" t="s">
        <v>5637</v>
      </c>
    </row>
    <row r="594" spans="1:2" ht="18.75" customHeight="1" x14ac:dyDescent="0.3">
      <c r="A594" s="2">
        <v>592</v>
      </c>
      <c r="B594" s="2" t="s">
        <v>5638</v>
      </c>
    </row>
    <row r="595" spans="1:2" ht="18.75" customHeight="1" x14ac:dyDescent="0.3">
      <c r="A595" s="2">
        <v>593</v>
      </c>
      <c r="B595" s="21" t="s">
        <v>5639</v>
      </c>
    </row>
    <row r="596" spans="1:2" ht="18.75" customHeight="1" x14ac:dyDescent="0.3">
      <c r="A596" s="2">
        <v>594</v>
      </c>
      <c r="B596" s="2" t="s">
        <v>5640</v>
      </c>
    </row>
    <row r="597" spans="1:2" ht="18.75" customHeight="1" x14ac:dyDescent="0.3">
      <c r="A597" s="2">
        <v>595</v>
      </c>
      <c r="B597" s="2" t="s">
        <v>5641</v>
      </c>
    </row>
    <row r="598" spans="1:2" ht="18.75" customHeight="1" x14ac:dyDescent="0.3">
      <c r="A598" s="2">
        <v>596</v>
      </c>
      <c r="B598" s="21" t="s">
        <v>5642</v>
      </c>
    </row>
    <row r="599" spans="1:2" ht="18.75" customHeight="1" x14ac:dyDescent="0.3">
      <c r="A599" s="2">
        <v>597</v>
      </c>
      <c r="B599" s="21" t="s">
        <v>5643</v>
      </c>
    </row>
    <row r="600" spans="1:2" ht="18.75" customHeight="1" x14ac:dyDescent="0.3">
      <c r="A600" s="2">
        <v>598</v>
      </c>
      <c r="B600" s="21" t="s">
        <v>5644</v>
      </c>
    </row>
    <row r="601" spans="1:2" ht="18.75" customHeight="1" x14ac:dyDescent="0.3">
      <c r="A601" s="2">
        <v>599</v>
      </c>
      <c r="B601" s="21" t="s">
        <v>5645</v>
      </c>
    </row>
    <row r="602" spans="1:2" ht="18.75" customHeight="1" x14ac:dyDescent="0.3">
      <c r="A602" s="2">
        <v>600</v>
      </c>
      <c r="B602" s="2" t="s">
        <v>5646</v>
      </c>
    </row>
    <row r="603" spans="1:2" ht="18.75" customHeight="1" x14ac:dyDescent="0.3">
      <c r="A603" s="2">
        <v>601</v>
      </c>
      <c r="B603" s="21" t="s">
        <v>5647</v>
      </c>
    </row>
    <row r="604" spans="1:2" ht="18.75" customHeight="1" x14ac:dyDescent="0.3">
      <c r="A604" s="2">
        <v>602</v>
      </c>
      <c r="B604" s="21" t="s">
        <v>5648</v>
      </c>
    </row>
    <row r="605" spans="1:2" ht="18.75" customHeight="1" x14ac:dyDescent="0.3">
      <c r="A605" s="2">
        <v>603</v>
      </c>
      <c r="B605" s="2" t="s">
        <v>5649</v>
      </c>
    </row>
    <row r="606" spans="1:2" ht="18.75" customHeight="1" x14ac:dyDescent="0.3">
      <c r="A606" s="2">
        <v>604</v>
      </c>
      <c r="B606" s="21" t="s">
        <v>5650</v>
      </c>
    </row>
    <row r="607" spans="1:2" ht="18.75" customHeight="1" x14ac:dyDescent="0.3">
      <c r="A607" s="2">
        <v>605</v>
      </c>
      <c r="B607" s="21" t="s">
        <v>5651</v>
      </c>
    </row>
    <row r="608" spans="1:2" ht="18.75" customHeight="1" x14ac:dyDescent="0.3">
      <c r="A608" s="2">
        <v>606</v>
      </c>
      <c r="B608" s="21" t="s">
        <v>5652</v>
      </c>
    </row>
    <row r="609" spans="1:2" ht="18.75" customHeight="1" x14ac:dyDescent="0.3">
      <c r="A609" s="2">
        <v>607</v>
      </c>
      <c r="B609" s="21" t="s">
        <v>5653</v>
      </c>
    </row>
    <row r="610" spans="1:2" ht="18.75" customHeight="1" x14ac:dyDescent="0.3">
      <c r="A610" s="2">
        <v>608</v>
      </c>
      <c r="B610" s="2" t="s">
        <v>5654</v>
      </c>
    </row>
    <row r="611" spans="1:2" ht="18.75" customHeight="1" x14ac:dyDescent="0.3">
      <c r="A611" s="2">
        <v>609</v>
      </c>
      <c r="B611" s="21" t="s">
        <v>5655</v>
      </c>
    </row>
    <row r="612" spans="1:2" ht="18.75" customHeight="1" x14ac:dyDescent="0.3">
      <c r="A612" s="2">
        <v>610</v>
      </c>
      <c r="B612" s="21" t="s">
        <v>7222</v>
      </c>
    </row>
    <row r="613" spans="1:2" ht="18.75" customHeight="1" x14ac:dyDescent="0.3">
      <c r="A613" s="2">
        <v>611</v>
      </c>
      <c r="B613" s="21" t="s">
        <v>5656</v>
      </c>
    </row>
    <row r="614" spans="1:2" ht="18.75" customHeight="1" x14ac:dyDescent="0.3">
      <c r="A614" s="2">
        <v>612</v>
      </c>
      <c r="B614" s="2" t="s">
        <v>5657</v>
      </c>
    </row>
    <row r="615" spans="1:2" ht="18.75" customHeight="1" x14ac:dyDescent="0.3">
      <c r="A615" s="2">
        <v>613</v>
      </c>
      <c r="B615" s="21" t="s">
        <v>5658</v>
      </c>
    </row>
    <row r="616" spans="1:2" ht="18.75" customHeight="1" x14ac:dyDescent="0.3">
      <c r="A616" s="2">
        <v>614</v>
      </c>
      <c r="B616" s="2" t="s">
        <v>5659</v>
      </c>
    </row>
    <row r="617" spans="1:2" ht="18.75" customHeight="1" x14ac:dyDescent="0.3">
      <c r="A617" s="2">
        <v>615</v>
      </c>
      <c r="B617" s="2" t="s">
        <v>5660</v>
      </c>
    </row>
    <row r="618" spans="1:2" ht="18.75" customHeight="1" x14ac:dyDescent="0.3">
      <c r="A618" s="2">
        <v>616</v>
      </c>
      <c r="B618" s="21" t="s">
        <v>5661</v>
      </c>
    </row>
    <row r="619" spans="1:2" ht="18.75" customHeight="1" x14ac:dyDescent="0.3">
      <c r="A619" s="2">
        <v>617</v>
      </c>
      <c r="B619" s="21" t="s">
        <v>5662</v>
      </c>
    </row>
    <row r="620" spans="1:2" ht="18.75" customHeight="1" x14ac:dyDescent="0.3">
      <c r="A620" s="2">
        <v>618</v>
      </c>
      <c r="B620" s="2" t="s">
        <v>5663</v>
      </c>
    </row>
    <row r="621" spans="1:2" ht="18.75" customHeight="1" x14ac:dyDescent="0.3">
      <c r="A621" s="2">
        <v>619</v>
      </c>
      <c r="B621" s="21" t="s">
        <v>5664</v>
      </c>
    </row>
    <row r="622" spans="1:2" ht="18.75" customHeight="1" x14ac:dyDescent="0.3">
      <c r="A622" s="2">
        <v>620</v>
      </c>
      <c r="B622" s="2" t="s">
        <v>5665</v>
      </c>
    </row>
    <row r="623" spans="1:2" ht="18.75" customHeight="1" x14ac:dyDescent="0.3">
      <c r="A623" s="2">
        <v>621</v>
      </c>
      <c r="B623" s="21" t="s">
        <v>5666</v>
      </c>
    </row>
    <row r="624" spans="1:2" ht="18.75" customHeight="1" x14ac:dyDescent="0.3">
      <c r="A624" s="2">
        <v>622</v>
      </c>
      <c r="B624" s="21" t="s">
        <v>5667</v>
      </c>
    </row>
    <row r="625" spans="1:2" ht="18.75" customHeight="1" x14ac:dyDescent="0.3">
      <c r="A625" s="2">
        <v>623</v>
      </c>
      <c r="B625" s="21" t="s">
        <v>5668</v>
      </c>
    </row>
    <row r="626" spans="1:2" ht="18.75" customHeight="1" x14ac:dyDescent="0.3">
      <c r="A626" s="2">
        <v>624</v>
      </c>
      <c r="B626" s="21" t="s">
        <v>5669</v>
      </c>
    </row>
    <row r="627" spans="1:2" ht="18.75" customHeight="1" x14ac:dyDescent="0.3">
      <c r="A627" s="2">
        <v>625</v>
      </c>
      <c r="B627" s="2" t="s">
        <v>5670</v>
      </c>
    </row>
    <row r="628" spans="1:2" ht="18.75" customHeight="1" x14ac:dyDescent="0.3">
      <c r="A628" s="2">
        <v>626</v>
      </c>
      <c r="B628" s="21" t="s">
        <v>5671</v>
      </c>
    </row>
    <row r="629" spans="1:2" ht="18.75" customHeight="1" x14ac:dyDescent="0.3">
      <c r="A629" s="2">
        <v>627</v>
      </c>
      <c r="B629" s="21" t="s">
        <v>5672</v>
      </c>
    </row>
    <row r="630" spans="1:2" ht="18.75" customHeight="1" x14ac:dyDescent="0.3">
      <c r="A630" s="2">
        <v>628</v>
      </c>
      <c r="B630" s="2" t="s">
        <v>5673</v>
      </c>
    </row>
    <row r="631" spans="1:2" ht="18.75" customHeight="1" x14ac:dyDescent="0.3">
      <c r="A631" s="2">
        <v>629</v>
      </c>
      <c r="B631" s="2" t="s">
        <v>5672</v>
      </c>
    </row>
    <row r="632" spans="1:2" ht="18.75" customHeight="1" x14ac:dyDescent="0.3">
      <c r="A632" s="2">
        <v>630</v>
      </c>
      <c r="B632" s="21" t="s">
        <v>5674</v>
      </c>
    </row>
    <row r="633" spans="1:2" ht="18.75" customHeight="1" x14ac:dyDescent="0.3">
      <c r="A633" s="2">
        <v>631</v>
      </c>
      <c r="B633" s="2" t="s">
        <v>5675</v>
      </c>
    </row>
    <row r="634" spans="1:2" ht="18.75" customHeight="1" x14ac:dyDescent="0.3">
      <c r="A634" s="2">
        <v>632</v>
      </c>
      <c r="B634" s="2" t="s">
        <v>5676</v>
      </c>
    </row>
    <row r="635" spans="1:2" ht="18.75" customHeight="1" x14ac:dyDescent="0.3">
      <c r="A635" s="2">
        <v>633</v>
      </c>
      <c r="B635" s="2" t="s">
        <v>5677</v>
      </c>
    </row>
    <row r="636" spans="1:2" ht="18.75" customHeight="1" x14ac:dyDescent="0.3">
      <c r="A636" s="2">
        <v>634</v>
      </c>
      <c r="B636" s="2" t="s">
        <v>5678</v>
      </c>
    </row>
    <row r="637" spans="1:2" ht="18.75" customHeight="1" x14ac:dyDescent="0.3">
      <c r="A637" s="2">
        <v>635</v>
      </c>
      <c r="B637" s="2" t="s">
        <v>5679</v>
      </c>
    </row>
    <row r="638" spans="1:2" ht="18.75" customHeight="1" x14ac:dyDescent="0.3">
      <c r="A638" s="2">
        <v>636</v>
      </c>
      <c r="B638" s="2" t="s">
        <v>5680</v>
      </c>
    </row>
    <row r="639" spans="1:2" ht="18.75" customHeight="1" x14ac:dyDescent="0.3">
      <c r="A639" s="2">
        <v>637</v>
      </c>
      <c r="B639" s="2" t="s">
        <v>5681</v>
      </c>
    </row>
    <row r="640" spans="1:2" ht="18.75" customHeight="1" x14ac:dyDescent="0.3">
      <c r="A640" s="2">
        <v>638</v>
      </c>
      <c r="B640" s="2" t="s">
        <v>5682</v>
      </c>
    </row>
    <row r="641" spans="1:2" ht="18.75" customHeight="1" x14ac:dyDescent="0.3">
      <c r="A641" s="2">
        <v>639</v>
      </c>
      <c r="B641" s="2" t="s">
        <v>5683</v>
      </c>
    </row>
    <row r="642" spans="1:2" ht="18.75" customHeight="1" x14ac:dyDescent="0.3">
      <c r="A642" s="2">
        <v>640</v>
      </c>
      <c r="B642" s="21" t="s">
        <v>5684</v>
      </c>
    </row>
    <row r="643" spans="1:2" ht="18.75" customHeight="1" x14ac:dyDescent="0.3">
      <c r="A643" s="2">
        <v>641</v>
      </c>
      <c r="B643" s="21" t="s">
        <v>5685</v>
      </c>
    </row>
    <row r="644" spans="1:2" ht="18.75" customHeight="1" x14ac:dyDescent="0.3">
      <c r="A644" s="2">
        <v>642</v>
      </c>
      <c r="B644" s="2" t="s">
        <v>5686</v>
      </c>
    </row>
    <row r="645" spans="1:2" ht="18.75" customHeight="1" x14ac:dyDescent="0.3">
      <c r="A645" s="2">
        <v>643</v>
      </c>
      <c r="B645" s="21" t="s">
        <v>5687</v>
      </c>
    </row>
    <row r="646" spans="1:2" ht="18.75" customHeight="1" x14ac:dyDescent="0.3">
      <c r="A646" s="2">
        <v>644</v>
      </c>
      <c r="B646" s="2" t="s">
        <v>5688</v>
      </c>
    </row>
    <row r="647" spans="1:2" ht="18.75" customHeight="1" x14ac:dyDescent="0.3">
      <c r="A647" s="2">
        <v>645</v>
      </c>
      <c r="B647" s="2" t="s">
        <v>5689</v>
      </c>
    </row>
    <row r="648" spans="1:2" ht="18.75" customHeight="1" x14ac:dyDescent="0.3">
      <c r="A648" s="2">
        <v>646</v>
      </c>
      <c r="B648" s="2" t="s">
        <v>5690</v>
      </c>
    </row>
    <row r="649" spans="1:2" ht="18.75" customHeight="1" x14ac:dyDescent="0.3">
      <c r="A649" s="2">
        <v>647</v>
      </c>
      <c r="B649" s="2" t="s">
        <v>5691</v>
      </c>
    </row>
    <row r="650" spans="1:2" ht="18.75" customHeight="1" x14ac:dyDescent="0.3">
      <c r="A650" s="2">
        <v>648</v>
      </c>
      <c r="B650" s="21" t="s">
        <v>5692</v>
      </c>
    </row>
    <row r="651" spans="1:2" ht="18.75" customHeight="1" x14ac:dyDescent="0.3">
      <c r="A651" s="2">
        <v>649</v>
      </c>
      <c r="B651" s="2" t="s">
        <v>5693</v>
      </c>
    </row>
    <row r="652" spans="1:2" ht="18.75" customHeight="1" x14ac:dyDescent="0.3">
      <c r="A652" s="2">
        <v>650</v>
      </c>
      <c r="B652" s="21" t="s">
        <v>5694</v>
      </c>
    </row>
    <row r="653" spans="1:2" ht="18.75" customHeight="1" x14ac:dyDescent="0.3">
      <c r="A653" s="2">
        <v>651</v>
      </c>
      <c r="B653" s="2" t="s">
        <v>5695</v>
      </c>
    </row>
    <row r="654" spans="1:2" ht="18.75" customHeight="1" x14ac:dyDescent="0.3">
      <c r="A654" s="2">
        <v>652</v>
      </c>
      <c r="B654" s="2" t="s">
        <v>5696</v>
      </c>
    </row>
    <row r="655" spans="1:2" ht="18.75" customHeight="1" x14ac:dyDescent="0.3">
      <c r="A655" s="2">
        <v>653</v>
      </c>
      <c r="B655" s="2" t="s">
        <v>5697</v>
      </c>
    </row>
    <row r="656" spans="1:2" ht="18.75" customHeight="1" x14ac:dyDescent="0.3">
      <c r="A656" s="2">
        <v>654</v>
      </c>
      <c r="B656" s="2" t="s">
        <v>5698</v>
      </c>
    </row>
    <row r="657" spans="1:2" ht="18.75" customHeight="1" x14ac:dyDescent="0.3">
      <c r="A657" s="2">
        <v>655</v>
      </c>
      <c r="B657" s="2" t="s">
        <v>5699</v>
      </c>
    </row>
    <row r="658" spans="1:2" ht="18.75" customHeight="1" x14ac:dyDescent="0.3">
      <c r="A658" s="2">
        <v>656</v>
      </c>
      <c r="B658" s="2" t="s">
        <v>5700</v>
      </c>
    </row>
    <row r="659" spans="1:2" ht="18.75" customHeight="1" x14ac:dyDescent="0.3">
      <c r="A659" s="2">
        <v>657</v>
      </c>
      <c r="B659" s="21" t="s">
        <v>5701</v>
      </c>
    </row>
    <row r="660" spans="1:2" ht="18.75" customHeight="1" x14ac:dyDescent="0.3">
      <c r="A660" s="2">
        <v>658</v>
      </c>
      <c r="B660" s="2" t="s">
        <v>5702</v>
      </c>
    </row>
    <row r="661" spans="1:2" ht="18.75" customHeight="1" x14ac:dyDescent="0.3">
      <c r="A661" s="2">
        <v>659</v>
      </c>
      <c r="B661" s="2" t="s">
        <v>5703</v>
      </c>
    </row>
    <row r="662" spans="1:2" ht="18.75" customHeight="1" x14ac:dyDescent="0.3">
      <c r="A662" s="2">
        <v>660</v>
      </c>
      <c r="B662" s="21" t="s">
        <v>5704</v>
      </c>
    </row>
    <row r="663" spans="1:2" ht="18.75" customHeight="1" x14ac:dyDescent="0.3">
      <c r="A663" s="2">
        <v>661</v>
      </c>
      <c r="B663" s="2" t="s">
        <v>5705</v>
      </c>
    </row>
    <row r="664" spans="1:2" ht="18.75" customHeight="1" x14ac:dyDescent="0.3">
      <c r="A664" s="2">
        <v>662</v>
      </c>
      <c r="B664" s="2" t="s">
        <v>5706</v>
      </c>
    </row>
    <row r="665" spans="1:2" ht="18.75" customHeight="1" x14ac:dyDescent="0.3">
      <c r="A665" s="2">
        <v>663</v>
      </c>
      <c r="B665" s="21" t="s">
        <v>5707</v>
      </c>
    </row>
    <row r="666" spans="1:2" ht="18.75" customHeight="1" x14ac:dyDescent="0.3">
      <c r="A666" s="2">
        <v>664</v>
      </c>
      <c r="B666" s="2" t="s">
        <v>5708</v>
      </c>
    </row>
    <row r="667" spans="1:2" ht="18.75" customHeight="1" x14ac:dyDescent="0.3">
      <c r="A667" s="2">
        <v>665</v>
      </c>
      <c r="B667" s="21" t="s">
        <v>5709</v>
      </c>
    </row>
    <row r="668" spans="1:2" ht="18.75" customHeight="1" x14ac:dyDescent="0.3">
      <c r="A668" s="2">
        <v>666</v>
      </c>
      <c r="B668" s="2" t="s">
        <v>5710</v>
      </c>
    </row>
    <row r="669" spans="1:2" ht="18.75" customHeight="1" x14ac:dyDescent="0.3">
      <c r="A669" s="2">
        <v>667</v>
      </c>
      <c r="B669" s="21" t="s">
        <v>5711</v>
      </c>
    </row>
    <row r="670" spans="1:2" ht="18.75" customHeight="1" x14ac:dyDescent="0.3">
      <c r="A670" s="2">
        <v>668</v>
      </c>
      <c r="B670" s="2" t="s">
        <v>5712</v>
      </c>
    </row>
    <row r="671" spans="1:2" ht="18.75" customHeight="1" x14ac:dyDescent="0.3">
      <c r="A671" s="2">
        <v>669</v>
      </c>
      <c r="B671" s="2" t="s">
        <v>5713</v>
      </c>
    </row>
    <row r="672" spans="1:2" ht="18.75" customHeight="1" x14ac:dyDescent="0.3">
      <c r="A672" s="2">
        <v>670</v>
      </c>
      <c r="B672" s="21" t="s">
        <v>5714</v>
      </c>
    </row>
    <row r="673" spans="1:2" ht="18.75" customHeight="1" x14ac:dyDescent="0.3">
      <c r="A673" s="2">
        <v>671</v>
      </c>
      <c r="B673" s="21" t="s">
        <v>5715</v>
      </c>
    </row>
    <row r="674" spans="1:2" ht="18.75" customHeight="1" x14ac:dyDescent="0.3">
      <c r="A674" s="2">
        <v>672</v>
      </c>
      <c r="B674" s="2" t="s">
        <v>5716</v>
      </c>
    </row>
    <row r="675" spans="1:2" ht="18.75" customHeight="1" x14ac:dyDescent="0.3">
      <c r="A675" s="2">
        <v>673</v>
      </c>
      <c r="B675" s="2" t="s">
        <v>5717</v>
      </c>
    </row>
    <row r="676" spans="1:2" ht="18.75" customHeight="1" x14ac:dyDescent="0.3">
      <c r="A676" s="2">
        <v>674</v>
      </c>
      <c r="B676" s="2" t="s">
        <v>5718</v>
      </c>
    </row>
    <row r="677" spans="1:2" ht="18.75" customHeight="1" x14ac:dyDescent="0.3">
      <c r="A677" s="2">
        <v>675</v>
      </c>
      <c r="B677" s="2" t="s">
        <v>5719</v>
      </c>
    </row>
    <row r="678" spans="1:2" ht="18.75" customHeight="1" x14ac:dyDescent="0.3">
      <c r="A678" s="2">
        <v>676</v>
      </c>
      <c r="B678" s="2" t="s">
        <v>5720</v>
      </c>
    </row>
    <row r="679" spans="1:2" ht="18.75" customHeight="1" x14ac:dyDescent="0.3">
      <c r="A679" s="2">
        <v>677</v>
      </c>
      <c r="B679" s="21" t="s">
        <v>5721</v>
      </c>
    </row>
    <row r="680" spans="1:2" ht="18.75" customHeight="1" x14ac:dyDescent="0.3">
      <c r="A680" s="2">
        <v>678</v>
      </c>
      <c r="B680" s="2" t="s">
        <v>5722</v>
      </c>
    </row>
    <row r="681" spans="1:2" ht="18.75" customHeight="1" x14ac:dyDescent="0.3">
      <c r="A681" s="2">
        <v>679</v>
      </c>
      <c r="B681" s="2" t="s">
        <v>5723</v>
      </c>
    </row>
    <row r="682" spans="1:2" ht="18.75" customHeight="1" x14ac:dyDescent="0.3">
      <c r="A682" s="2">
        <v>680</v>
      </c>
      <c r="B682" s="2" t="s">
        <v>5724</v>
      </c>
    </row>
    <row r="683" spans="1:2" ht="18.75" customHeight="1" x14ac:dyDescent="0.3">
      <c r="A683" s="2">
        <v>681</v>
      </c>
      <c r="B683" s="2" t="s">
        <v>5725</v>
      </c>
    </row>
    <row r="684" spans="1:2" ht="18.75" customHeight="1" x14ac:dyDescent="0.3">
      <c r="A684" s="2">
        <v>682</v>
      </c>
      <c r="B684" s="2" t="s">
        <v>5726</v>
      </c>
    </row>
    <row r="685" spans="1:2" ht="18.75" customHeight="1" x14ac:dyDescent="0.3">
      <c r="A685" s="2">
        <v>683</v>
      </c>
      <c r="B685" s="21" t="s">
        <v>5727</v>
      </c>
    </row>
    <row r="686" spans="1:2" ht="18.75" customHeight="1" x14ac:dyDescent="0.3">
      <c r="A686" s="2">
        <v>684</v>
      </c>
      <c r="B686" s="2" t="s">
        <v>5728</v>
      </c>
    </row>
    <row r="687" spans="1:2" ht="18.75" customHeight="1" x14ac:dyDescent="0.3">
      <c r="A687" s="2">
        <v>685</v>
      </c>
      <c r="B687" s="21" t="s">
        <v>5729</v>
      </c>
    </row>
    <row r="688" spans="1:2" ht="18.75" customHeight="1" x14ac:dyDescent="0.3">
      <c r="A688" s="2">
        <v>686</v>
      </c>
      <c r="B688" s="21" t="s">
        <v>5730</v>
      </c>
    </row>
    <row r="689" spans="1:2" ht="18.75" customHeight="1" x14ac:dyDescent="0.3">
      <c r="A689" s="2">
        <v>687</v>
      </c>
      <c r="B689" s="21" t="s">
        <v>5731</v>
      </c>
    </row>
    <row r="690" spans="1:2" ht="18.75" customHeight="1" x14ac:dyDescent="0.3">
      <c r="A690" s="2">
        <v>688</v>
      </c>
      <c r="B690" s="21" t="s">
        <v>5732</v>
      </c>
    </row>
    <row r="691" spans="1:2" ht="18.75" customHeight="1" x14ac:dyDescent="0.3">
      <c r="A691" s="2">
        <v>689</v>
      </c>
      <c r="B691" s="2" t="s">
        <v>5733</v>
      </c>
    </row>
    <row r="692" spans="1:2" ht="18.75" customHeight="1" x14ac:dyDescent="0.3">
      <c r="A692" s="2">
        <v>690</v>
      </c>
      <c r="B692" s="2" t="s">
        <v>5734</v>
      </c>
    </row>
    <row r="693" spans="1:2" ht="18.75" customHeight="1" x14ac:dyDescent="0.3">
      <c r="A693" s="2">
        <v>691</v>
      </c>
      <c r="B693" s="2" t="s">
        <v>5735</v>
      </c>
    </row>
    <row r="694" spans="1:2" ht="18.75" customHeight="1" x14ac:dyDescent="0.3">
      <c r="A694" s="2">
        <v>692</v>
      </c>
      <c r="B694" s="2" t="s">
        <v>5736</v>
      </c>
    </row>
    <row r="695" spans="1:2" ht="18.75" customHeight="1" x14ac:dyDescent="0.3">
      <c r="A695" s="2">
        <v>693</v>
      </c>
      <c r="B695" s="21" t="s">
        <v>5737</v>
      </c>
    </row>
    <row r="696" spans="1:2" ht="18.75" customHeight="1" x14ac:dyDescent="0.3">
      <c r="A696" s="2">
        <v>694</v>
      </c>
      <c r="B696" s="37" t="s">
        <v>5738</v>
      </c>
    </row>
    <row r="697" spans="1:2" ht="18.75" customHeight="1" x14ac:dyDescent="0.3">
      <c r="A697" s="2">
        <v>695</v>
      </c>
      <c r="B697" s="2" t="s">
        <v>5739</v>
      </c>
    </row>
    <row r="698" spans="1:2" ht="18.75" customHeight="1" x14ac:dyDescent="0.3">
      <c r="A698" s="2">
        <v>696</v>
      </c>
      <c r="B698" t="s">
        <v>5740</v>
      </c>
    </row>
    <row r="699" spans="1:2" ht="18.75" customHeight="1" x14ac:dyDescent="0.3">
      <c r="A699" s="2">
        <v>697</v>
      </c>
      <c r="B699" s="2" t="s">
        <v>5741</v>
      </c>
    </row>
    <row r="700" spans="1:2" ht="18.75" customHeight="1" x14ac:dyDescent="0.3">
      <c r="A700" s="2">
        <v>698</v>
      </c>
      <c r="B700" s="2" t="s">
        <v>5742</v>
      </c>
    </row>
    <row r="701" spans="1:2" ht="18.75" customHeight="1" x14ac:dyDescent="0.3">
      <c r="A701" s="2">
        <v>699</v>
      </c>
      <c r="B701" s="21" t="s">
        <v>5743</v>
      </c>
    </row>
    <row r="702" spans="1:2" ht="18.75" customHeight="1" x14ac:dyDescent="0.3">
      <c r="A702" s="2">
        <v>700</v>
      </c>
      <c r="B702" s="21" t="s">
        <v>5744</v>
      </c>
    </row>
    <row r="703" spans="1:2" ht="18.75" customHeight="1" x14ac:dyDescent="0.3">
      <c r="A703" s="2">
        <v>701</v>
      </c>
      <c r="B703" s="91" t="s">
        <v>5745</v>
      </c>
    </row>
    <row r="704" spans="1:2" ht="18.75" customHeight="1" x14ac:dyDescent="0.3">
      <c r="A704" s="2">
        <v>702</v>
      </c>
      <c r="B704" s="2" t="s">
        <v>5746</v>
      </c>
    </row>
    <row r="705" spans="1:2" ht="18.75" customHeight="1" x14ac:dyDescent="0.3">
      <c r="A705" s="2">
        <v>703</v>
      </c>
      <c r="B705" s="21" t="s">
        <v>5747</v>
      </c>
    </row>
    <row r="706" spans="1:2" ht="18.75" customHeight="1" x14ac:dyDescent="0.3">
      <c r="A706" s="2">
        <v>704</v>
      </c>
      <c r="B706" s="2" t="s">
        <v>5748</v>
      </c>
    </row>
    <row r="707" spans="1:2" ht="18.75" customHeight="1" x14ac:dyDescent="0.3">
      <c r="A707" s="2">
        <v>705</v>
      </c>
      <c r="B707" t="s">
        <v>5749</v>
      </c>
    </row>
    <row r="708" spans="1:2" ht="18.75" customHeight="1" x14ac:dyDescent="0.3">
      <c r="A708" s="2">
        <v>706</v>
      </c>
      <c r="B708" s="2" t="s">
        <v>5750</v>
      </c>
    </row>
    <row r="709" spans="1:2" ht="18.75" customHeight="1" x14ac:dyDescent="0.3">
      <c r="A709" s="2">
        <v>707</v>
      </c>
      <c r="B709" t="s">
        <v>5751</v>
      </c>
    </row>
    <row r="710" spans="1:2" ht="18.75" customHeight="1" x14ac:dyDescent="0.3">
      <c r="A710" s="2">
        <v>708</v>
      </c>
      <c r="B710" t="s">
        <v>5752</v>
      </c>
    </row>
    <row r="711" spans="1:2" ht="18.75" customHeight="1" x14ac:dyDescent="0.3">
      <c r="A711" s="2">
        <v>709</v>
      </c>
      <c r="B711" s="22" t="s">
        <v>5753</v>
      </c>
    </row>
    <row r="712" spans="1:2" ht="18.75" customHeight="1" x14ac:dyDescent="0.3">
      <c r="A712" s="2">
        <v>710</v>
      </c>
      <c r="B712" s="22" t="s">
        <v>5529</v>
      </c>
    </row>
    <row r="713" spans="1:2" ht="18.75" customHeight="1" x14ac:dyDescent="0.3">
      <c r="A713" s="2">
        <v>711</v>
      </c>
      <c r="B713" s="2" t="s">
        <v>5754</v>
      </c>
    </row>
    <row r="714" spans="1:2" ht="18.75" customHeight="1" x14ac:dyDescent="0.3">
      <c r="A714" s="2">
        <v>712</v>
      </c>
      <c r="B714" s="2" t="s">
        <v>5755</v>
      </c>
    </row>
    <row r="715" spans="1:2" ht="18.75" customHeight="1" x14ac:dyDescent="0.3">
      <c r="A715" s="2">
        <v>713</v>
      </c>
      <c r="B715" s="21" t="s">
        <v>5756</v>
      </c>
    </row>
    <row r="716" spans="1:2" ht="18.75" customHeight="1" x14ac:dyDescent="0.3">
      <c r="A716" s="2">
        <v>714</v>
      </c>
      <c r="B716" s="21" t="s">
        <v>5757</v>
      </c>
    </row>
    <row r="717" spans="1:2" ht="18.75" customHeight="1" x14ac:dyDescent="0.3">
      <c r="A717" s="2">
        <v>715</v>
      </c>
      <c r="B717" s="21" t="s">
        <v>5758</v>
      </c>
    </row>
    <row r="718" spans="1:2" ht="18.75" customHeight="1" x14ac:dyDescent="0.3">
      <c r="A718" s="2">
        <v>716</v>
      </c>
      <c r="B718" s="2" t="s">
        <v>5759</v>
      </c>
    </row>
    <row r="719" spans="1:2" ht="18.75" customHeight="1" x14ac:dyDescent="0.3">
      <c r="A719" s="2">
        <v>717</v>
      </c>
      <c r="B719" s="2" t="s">
        <v>5760</v>
      </c>
    </row>
    <row r="720" spans="1:2" ht="18.75" customHeight="1" x14ac:dyDescent="0.3">
      <c r="A720" s="2">
        <v>718</v>
      </c>
      <c r="B720" s="2" t="s">
        <v>5761</v>
      </c>
    </row>
    <row r="721" spans="1:2" ht="18.75" customHeight="1" x14ac:dyDescent="0.3">
      <c r="A721" s="2">
        <v>719</v>
      </c>
      <c r="B721" s="2" t="s">
        <v>5762</v>
      </c>
    </row>
    <row r="722" spans="1:2" ht="18.75" customHeight="1" x14ac:dyDescent="0.3">
      <c r="A722" s="2">
        <v>720</v>
      </c>
      <c r="B722" s="21" t="s">
        <v>5763</v>
      </c>
    </row>
    <row r="723" spans="1:2" ht="18.75" customHeight="1" x14ac:dyDescent="0.3">
      <c r="A723" s="2">
        <v>721</v>
      </c>
      <c r="B723" s="2" t="s">
        <v>5764</v>
      </c>
    </row>
    <row r="724" spans="1:2" ht="18.75" customHeight="1" x14ac:dyDescent="0.3">
      <c r="A724" s="2">
        <v>722</v>
      </c>
      <c r="B724" s="2" t="s">
        <v>5765</v>
      </c>
    </row>
    <row r="725" spans="1:2" ht="18.75" customHeight="1" x14ac:dyDescent="0.3">
      <c r="A725" s="2">
        <v>723</v>
      </c>
      <c r="B725" s="2" t="s">
        <v>5766</v>
      </c>
    </row>
    <row r="726" spans="1:2" ht="18.75" customHeight="1" x14ac:dyDescent="0.3">
      <c r="A726" s="2">
        <v>724</v>
      </c>
      <c r="B726" s="2" t="s">
        <v>5767</v>
      </c>
    </row>
    <row r="727" spans="1:2" ht="18.75" customHeight="1" x14ac:dyDescent="0.3">
      <c r="A727" s="2">
        <v>725</v>
      </c>
      <c r="B727" s="2" t="s">
        <v>5768</v>
      </c>
    </row>
    <row r="728" spans="1:2" ht="18.75" customHeight="1" x14ac:dyDescent="0.3">
      <c r="A728" s="2">
        <v>726</v>
      </c>
      <c r="B728" s="21" t="s">
        <v>5769</v>
      </c>
    </row>
    <row r="729" spans="1:2" ht="18.75" customHeight="1" x14ac:dyDescent="0.3">
      <c r="A729" s="2">
        <v>727</v>
      </c>
      <c r="B729" s="2" t="s">
        <v>5770</v>
      </c>
    </row>
    <row r="730" spans="1:2" ht="18.75" customHeight="1" x14ac:dyDescent="0.3">
      <c r="A730" s="2">
        <v>728</v>
      </c>
      <c r="B730" s="2" t="s">
        <v>5771</v>
      </c>
    </row>
    <row r="731" spans="1:2" ht="18.75" customHeight="1" x14ac:dyDescent="0.3">
      <c r="A731" s="2">
        <v>729</v>
      </c>
      <c r="B731" s="2" t="s">
        <v>5772</v>
      </c>
    </row>
    <row r="732" spans="1:2" ht="18.75" customHeight="1" x14ac:dyDescent="0.3">
      <c r="A732" s="2">
        <v>730</v>
      </c>
      <c r="B732" s="2" t="s">
        <v>5773</v>
      </c>
    </row>
    <row r="733" spans="1:2" ht="18.75" customHeight="1" x14ac:dyDescent="0.3">
      <c r="A733" s="2">
        <v>731</v>
      </c>
      <c r="B733" s="2" t="s">
        <v>5774</v>
      </c>
    </row>
    <row r="734" spans="1:2" ht="18.75" customHeight="1" x14ac:dyDescent="0.3">
      <c r="A734" s="2">
        <v>732</v>
      </c>
      <c r="B734" s="2" t="s">
        <v>5775</v>
      </c>
    </row>
    <row r="735" spans="1:2" ht="18.75" customHeight="1" x14ac:dyDescent="0.3">
      <c r="A735" s="2">
        <v>733</v>
      </c>
      <c r="B735" s="21" t="s">
        <v>5776</v>
      </c>
    </row>
    <row r="736" spans="1:2" ht="18.75" customHeight="1" x14ac:dyDescent="0.3">
      <c r="A736" s="2">
        <v>734</v>
      </c>
      <c r="B736" s="21" t="s">
        <v>5777</v>
      </c>
    </row>
    <row r="737" spans="1:2" ht="18.75" customHeight="1" x14ac:dyDescent="0.3">
      <c r="A737" s="2">
        <v>735</v>
      </c>
      <c r="B737" s="2" t="s">
        <v>5778</v>
      </c>
    </row>
    <row r="738" spans="1:2" ht="18.75" customHeight="1" x14ac:dyDescent="0.3">
      <c r="A738" s="2">
        <v>736</v>
      </c>
      <c r="B738" s="2" t="s">
        <v>5779</v>
      </c>
    </row>
    <row r="739" spans="1:2" ht="18.75" customHeight="1" x14ac:dyDescent="0.3">
      <c r="A739" s="2">
        <v>737</v>
      </c>
      <c r="B739" s="2" t="s">
        <v>5780</v>
      </c>
    </row>
    <row r="740" spans="1:2" ht="18.75" customHeight="1" x14ac:dyDescent="0.3">
      <c r="A740" s="2">
        <v>738</v>
      </c>
      <c r="B740" s="21" t="s">
        <v>5781</v>
      </c>
    </row>
    <row r="741" spans="1:2" ht="18.75" customHeight="1" x14ac:dyDescent="0.3">
      <c r="A741" s="2">
        <v>739</v>
      </c>
      <c r="B741" s="21" t="s">
        <v>5782</v>
      </c>
    </row>
    <row r="742" spans="1:2" ht="18.75" customHeight="1" x14ac:dyDescent="0.3">
      <c r="A742" s="2">
        <v>740</v>
      </c>
      <c r="B742" s="2" t="s">
        <v>5783</v>
      </c>
    </row>
    <row r="743" spans="1:2" ht="18.75" customHeight="1" x14ac:dyDescent="0.3">
      <c r="A743" s="2">
        <v>741</v>
      </c>
      <c r="B743" s="2" t="s">
        <v>5784</v>
      </c>
    </row>
    <row r="744" spans="1:2" ht="18.75" customHeight="1" x14ac:dyDescent="0.3">
      <c r="A744" s="2">
        <v>742</v>
      </c>
      <c r="B744" s="2" t="s">
        <v>5785</v>
      </c>
    </row>
    <row r="745" spans="1:2" ht="18.75" customHeight="1" x14ac:dyDescent="0.3">
      <c r="A745" s="2">
        <v>743</v>
      </c>
      <c r="B745" s="21" t="s">
        <v>5786</v>
      </c>
    </row>
    <row r="746" spans="1:2" ht="18.75" customHeight="1" x14ac:dyDescent="0.3">
      <c r="A746" s="2">
        <v>744</v>
      </c>
      <c r="B746" s="2" t="s">
        <v>5787</v>
      </c>
    </row>
    <row r="747" spans="1:2" ht="18.75" customHeight="1" x14ac:dyDescent="0.3">
      <c r="A747" s="2">
        <v>745</v>
      </c>
      <c r="B747" s="2" t="s">
        <v>5788</v>
      </c>
    </row>
    <row r="748" spans="1:2" ht="18.75" customHeight="1" x14ac:dyDescent="0.3">
      <c r="A748" s="2">
        <v>746</v>
      </c>
      <c r="B748" s="2" t="s">
        <v>5789</v>
      </c>
    </row>
    <row r="749" spans="1:2" ht="18.75" customHeight="1" x14ac:dyDescent="0.3">
      <c r="A749" s="2">
        <v>747</v>
      </c>
      <c r="B749" s="21" t="s">
        <v>5790</v>
      </c>
    </row>
    <row r="750" spans="1:2" ht="18.75" customHeight="1" x14ac:dyDescent="0.3">
      <c r="A750" s="2">
        <v>748</v>
      </c>
      <c r="B750" s="2" t="s">
        <v>5791</v>
      </c>
    </row>
    <row r="751" spans="1:2" ht="18.75" customHeight="1" x14ac:dyDescent="0.3">
      <c r="A751" s="2">
        <v>749</v>
      </c>
      <c r="B751" s="2" t="s">
        <v>5792</v>
      </c>
    </row>
    <row r="752" spans="1:2" ht="18.75" customHeight="1" x14ac:dyDescent="0.3">
      <c r="A752" s="2">
        <v>750</v>
      </c>
      <c r="B752" s="2" t="s">
        <v>5793</v>
      </c>
    </row>
    <row r="753" spans="1:2" ht="18.75" customHeight="1" x14ac:dyDescent="0.3">
      <c r="A753" s="2">
        <v>751</v>
      </c>
      <c r="B753" s="2" t="s">
        <v>5794</v>
      </c>
    </row>
    <row r="754" spans="1:2" ht="18.75" customHeight="1" x14ac:dyDescent="0.3">
      <c r="A754" s="2">
        <v>752</v>
      </c>
      <c r="B754" s="2" t="s">
        <v>5795</v>
      </c>
    </row>
    <row r="755" spans="1:2" ht="18.75" customHeight="1" x14ac:dyDescent="0.3">
      <c r="A755" s="2">
        <v>753</v>
      </c>
      <c r="B755" s="21" t="s">
        <v>2942</v>
      </c>
    </row>
    <row r="756" spans="1:2" ht="18.75" customHeight="1" x14ac:dyDescent="0.3">
      <c r="A756" s="2">
        <v>754</v>
      </c>
      <c r="B756" s="2" t="s">
        <v>5796</v>
      </c>
    </row>
    <row r="757" spans="1:2" ht="18.75" customHeight="1" x14ac:dyDescent="0.3">
      <c r="A757" s="2">
        <v>755</v>
      </c>
      <c r="B757" s="2" t="s">
        <v>5797</v>
      </c>
    </row>
    <row r="758" spans="1:2" ht="18.75" customHeight="1" x14ac:dyDescent="0.3">
      <c r="A758" s="2">
        <v>756</v>
      </c>
      <c r="B758" s="21" t="s">
        <v>5797</v>
      </c>
    </row>
    <row r="759" spans="1:2" ht="18.75" customHeight="1" x14ac:dyDescent="0.3">
      <c r="A759" s="2">
        <v>757</v>
      </c>
      <c r="B759" s="2" t="s">
        <v>5798</v>
      </c>
    </row>
    <row r="760" spans="1:2" ht="18.75" customHeight="1" x14ac:dyDescent="0.3">
      <c r="A760" s="2">
        <v>758</v>
      </c>
      <c r="B760" s="2" t="s">
        <v>5799</v>
      </c>
    </row>
    <row r="761" spans="1:2" ht="18.75" customHeight="1" x14ac:dyDescent="0.3">
      <c r="A761" s="2">
        <v>759</v>
      </c>
      <c r="B761" s="2" t="s">
        <v>5800</v>
      </c>
    </row>
    <row r="762" spans="1:2" ht="18.75" customHeight="1" x14ac:dyDescent="0.3">
      <c r="A762" s="2">
        <v>760</v>
      </c>
      <c r="B762" s="2" t="s">
        <v>5801</v>
      </c>
    </row>
    <row r="763" spans="1:2" ht="18.75" customHeight="1" x14ac:dyDescent="0.3">
      <c r="A763" s="2">
        <v>761</v>
      </c>
      <c r="B763" s="21" t="s">
        <v>5802</v>
      </c>
    </row>
    <row r="764" spans="1:2" ht="18.75" customHeight="1" x14ac:dyDescent="0.3">
      <c r="A764" s="2">
        <v>762</v>
      </c>
      <c r="B764" s="2" t="s">
        <v>5803</v>
      </c>
    </row>
    <row r="765" spans="1:2" ht="18.75" customHeight="1" x14ac:dyDescent="0.3">
      <c r="A765" s="2">
        <v>763</v>
      </c>
      <c r="B765" s="2" t="s">
        <v>5804</v>
      </c>
    </row>
    <row r="766" spans="1:2" ht="18.75" customHeight="1" x14ac:dyDescent="0.3">
      <c r="A766" s="2">
        <v>764</v>
      </c>
      <c r="B766" s="2" t="s">
        <v>5805</v>
      </c>
    </row>
    <row r="767" spans="1:2" ht="18.75" customHeight="1" x14ac:dyDescent="0.3">
      <c r="A767" s="2">
        <v>765</v>
      </c>
      <c r="B767" s="2" t="s">
        <v>5806</v>
      </c>
    </row>
    <row r="768" spans="1:2" ht="18.75" customHeight="1" x14ac:dyDescent="0.3">
      <c r="A768" s="2">
        <v>766</v>
      </c>
      <c r="B768" s="2" t="s">
        <v>5807</v>
      </c>
    </row>
    <row r="769" spans="1:2" ht="18.75" customHeight="1" x14ac:dyDescent="0.3">
      <c r="A769" s="2">
        <v>767</v>
      </c>
      <c r="B769" s="2" t="s">
        <v>5808</v>
      </c>
    </row>
    <row r="770" spans="1:2" ht="18.75" customHeight="1" x14ac:dyDescent="0.3">
      <c r="A770" s="2">
        <v>768</v>
      </c>
      <c r="B770" s="2" t="s">
        <v>5809</v>
      </c>
    </row>
    <row r="771" spans="1:2" ht="18.75" customHeight="1" x14ac:dyDescent="0.3">
      <c r="A771" s="2">
        <v>769</v>
      </c>
      <c r="B771" s="21" t="s">
        <v>5810</v>
      </c>
    </row>
    <row r="772" spans="1:2" ht="18.75" customHeight="1" x14ac:dyDescent="0.3">
      <c r="A772" s="2">
        <v>770</v>
      </c>
      <c r="B772" s="21" t="s">
        <v>5811</v>
      </c>
    </row>
    <row r="773" spans="1:2" ht="18.75" customHeight="1" x14ac:dyDescent="0.3">
      <c r="A773" s="2">
        <v>771</v>
      </c>
      <c r="B773" s="21" t="s">
        <v>5812</v>
      </c>
    </row>
    <row r="774" spans="1:2" ht="18.75" customHeight="1" x14ac:dyDescent="0.3">
      <c r="A774" s="2">
        <v>772</v>
      </c>
      <c r="B774" s="2" t="s">
        <v>5813</v>
      </c>
    </row>
    <row r="775" spans="1:2" ht="18.75" customHeight="1" x14ac:dyDescent="0.3">
      <c r="A775" s="2">
        <v>773</v>
      </c>
      <c r="B775" s="2" t="s">
        <v>5814</v>
      </c>
    </row>
    <row r="776" spans="1:2" ht="18.75" customHeight="1" x14ac:dyDescent="0.3">
      <c r="A776" s="2">
        <v>774</v>
      </c>
      <c r="B776" s="2" t="s">
        <v>5815</v>
      </c>
    </row>
    <row r="777" spans="1:2" ht="18.75" customHeight="1" x14ac:dyDescent="0.3">
      <c r="A777" s="2">
        <v>775</v>
      </c>
      <c r="B777" s="21" t="s">
        <v>5816</v>
      </c>
    </row>
    <row r="778" spans="1:2" ht="18.75" customHeight="1" x14ac:dyDescent="0.3">
      <c r="A778" s="2">
        <v>776</v>
      </c>
      <c r="B778" s="21" t="s">
        <v>5817</v>
      </c>
    </row>
    <row r="779" spans="1:2" ht="18.75" customHeight="1" x14ac:dyDescent="0.3">
      <c r="A779" s="2">
        <v>777</v>
      </c>
      <c r="B779" s="2" t="s">
        <v>5818</v>
      </c>
    </row>
    <row r="780" spans="1:2" ht="18.75" customHeight="1" x14ac:dyDescent="0.3">
      <c r="A780" s="2">
        <v>778</v>
      </c>
      <c r="B780" s="21" t="s">
        <v>5819</v>
      </c>
    </row>
    <row r="781" spans="1:2" ht="18.75" customHeight="1" x14ac:dyDescent="0.3">
      <c r="A781" s="2">
        <v>779</v>
      </c>
      <c r="B781" s="2" t="s">
        <v>5820</v>
      </c>
    </row>
    <row r="782" spans="1:2" ht="18.75" customHeight="1" x14ac:dyDescent="0.3">
      <c r="A782" s="2">
        <v>780</v>
      </c>
      <c r="B782" s="2" t="s">
        <v>5821</v>
      </c>
    </row>
    <row r="783" spans="1:2" ht="18.75" customHeight="1" x14ac:dyDescent="0.3">
      <c r="A783" s="2">
        <v>781</v>
      </c>
      <c r="B783" s="21" t="s">
        <v>5822</v>
      </c>
    </row>
    <row r="784" spans="1:2" ht="18.75" customHeight="1" x14ac:dyDescent="0.3">
      <c r="A784" s="2">
        <v>782</v>
      </c>
      <c r="B784" s="2" t="s">
        <v>5823</v>
      </c>
    </row>
    <row r="785" spans="1:2" ht="18.75" customHeight="1" x14ac:dyDescent="0.3">
      <c r="A785" s="2">
        <v>783</v>
      </c>
      <c r="B785" s="2" t="s">
        <v>5824</v>
      </c>
    </row>
    <row r="786" spans="1:2" ht="18.75" customHeight="1" x14ac:dyDescent="0.3">
      <c r="A786" s="2">
        <v>784</v>
      </c>
      <c r="B786" s="2" t="s">
        <v>5825</v>
      </c>
    </row>
    <row r="787" spans="1:2" ht="18.75" customHeight="1" x14ac:dyDescent="0.3">
      <c r="A787" s="2">
        <v>785</v>
      </c>
      <c r="B787" s="2" t="s">
        <v>5826</v>
      </c>
    </row>
    <row r="788" spans="1:2" ht="18.75" customHeight="1" x14ac:dyDescent="0.3">
      <c r="A788" s="2">
        <v>786</v>
      </c>
      <c r="B788" s="2" t="s">
        <v>5827</v>
      </c>
    </row>
    <row r="789" spans="1:2" ht="18.75" customHeight="1" x14ac:dyDescent="0.3">
      <c r="A789" s="2">
        <v>787</v>
      </c>
      <c r="B789" s="2" t="s">
        <v>5828</v>
      </c>
    </row>
    <row r="790" spans="1:2" ht="18.75" customHeight="1" x14ac:dyDescent="0.3">
      <c r="A790" s="2">
        <v>788</v>
      </c>
      <c r="B790" s="2" t="s">
        <v>5829</v>
      </c>
    </row>
    <row r="791" spans="1:2" ht="18.75" customHeight="1" x14ac:dyDescent="0.3">
      <c r="A791" s="2">
        <v>789</v>
      </c>
      <c r="B791" s="2" t="s">
        <v>5830</v>
      </c>
    </row>
    <row r="792" spans="1:2" ht="18.75" customHeight="1" x14ac:dyDescent="0.3">
      <c r="A792" s="2">
        <v>790</v>
      </c>
      <c r="B792" s="2" t="s">
        <v>5831</v>
      </c>
    </row>
    <row r="793" spans="1:2" ht="18.75" customHeight="1" x14ac:dyDescent="0.3">
      <c r="A793" s="2">
        <v>791</v>
      </c>
      <c r="B793" s="2" t="s">
        <v>5832</v>
      </c>
    </row>
    <row r="794" spans="1:2" ht="18.75" customHeight="1" x14ac:dyDescent="0.3">
      <c r="A794" s="2">
        <v>792</v>
      </c>
      <c r="B794" s="2" t="s">
        <v>5833</v>
      </c>
    </row>
    <row r="795" spans="1:2" ht="18.75" customHeight="1" x14ac:dyDescent="0.3">
      <c r="A795" s="2">
        <v>793</v>
      </c>
      <c r="B795" s="21" t="s">
        <v>5834</v>
      </c>
    </row>
    <row r="796" spans="1:2" ht="18.75" customHeight="1" x14ac:dyDescent="0.3">
      <c r="A796" s="2">
        <v>794</v>
      </c>
      <c r="B796" s="21" t="s">
        <v>5835</v>
      </c>
    </row>
    <row r="797" spans="1:2" ht="18.75" customHeight="1" x14ac:dyDescent="0.3">
      <c r="A797" s="2">
        <v>795</v>
      </c>
      <c r="B797" s="2" t="s">
        <v>5836</v>
      </c>
    </row>
    <row r="798" spans="1:2" ht="18.75" customHeight="1" x14ac:dyDescent="0.3">
      <c r="A798" s="2">
        <v>796</v>
      </c>
      <c r="B798" s="2" t="s">
        <v>5837</v>
      </c>
    </row>
    <row r="799" spans="1:2" ht="18.75" customHeight="1" x14ac:dyDescent="0.3">
      <c r="A799" s="2">
        <v>797</v>
      </c>
      <c r="B799" s="2" t="s">
        <v>5838</v>
      </c>
    </row>
    <row r="800" spans="1:2" ht="18.75" customHeight="1" x14ac:dyDescent="0.3">
      <c r="A800" s="2">
        <v>798</v>
      </c>
      <c r="B800" s="2" t="s">
        <v>5839</v>
      </c>
    </row>
    <row r="801" spans="1:2" ht="18.75" customHeight="1" x14ac:dyDescent="0.3">
      <c r="A801" s="2">
        <v>799</v>
      </c>
      <c r="B801" s="2" t="s">
        <v>5840</v>
      </c>
    </row>
    <row r="802" spans="1:2" ht="18.75" customHeight="1" x14ac:dyDescent="0.3">
      <c r="A802" s="2">
        <v>800</v>
      </c>
      <c r="B802" s="2" t="s">
        <v>5841</v>
      </c>
    </row>
    <row r="803" spans="1:2" ht="18.75" customHeight="1" x14ac:dyDescent="0.3">
      <c r="A803" s="2">
        <v>801</v>
      </c>
      <c r="B803" s="2" t="s">
        <v>5842</v>
      </c>
    </row>
    <row r="804" spans="1:2" ht="18.75" customHeight="1" x14ac:dyDescent="0.3">
      <c r="A804" s="2">
        <v>802</v>
      </c>
      <c r="B804" s="21" t="s">
        <v>5843</v>
      </c>
    </row>
    <row r="805" spans="1:2" ht="18.75" customHeight="1" x14ac:dyDescent="0.3">
      <c r="A805" s="2">
        <v>803</v>
      </c>
      <c r="B805" s="2" t="s">
        <v>5844</v>
      </c>
    </row>
    <row r="806" spans="1:2" ht="18.75" customHeight="1" x14ac:dyDescent="0.3">
      <c r="A806" s="2">
        <v>804</v>
      </c>
      <c r="B806" s="2" t="s">
        <v>5845</v>
      </c>
    </row>
    <row r="807" spans="1:2" ht="18.75" customHeight="1" x14ac:dyDescent="0.3">
      <c r="A807" s="2">
        <v>805</v>
      </c>
      <c r="B807" s="21" t="s">
        <v>5846</v>
      </c>
    </row>
    <row r="808" spans="1:2" ht="18.75" customHeight="1" x14ac:dyDescent="0.3">
      <c r="A808" s="2">
        <v>806</v>
      </c>
      <c r="B808" s="2" t="s">
        <v>5847</v>
      </c>
    </row>
    <row r="809" spans="1:2" ht="18.75" customHeight="1" x14ac:dyDescent="0.3">
      <c r="A809" s="2">
        <v>807</v>
      </c>
      <c r="B809" s="2" t="s">
        <v>5848</v>
      </c>
    </row>
    <row r="810" spans="1:2" ht="18.75" customHeight="1" x14ac:dyDescent="0.3">
      <c r="A810" s="2">
        <v>808</v>
      </c>
      <c r="B810" s="21" t="s">
        <v>5849</v>
      </c>
    </row>
    <row r="811" spans="1:2" ht="18.75" customHeight="1" x14ac:dyDescent="0.3">
      <c r="A811" s="2">
        <v>809</v>
      </c>
      <c r="B811" s="2" t="s">
        <v>5850</v>
      </c>
    </row>
    <row r="812" spans="1:2" ht="18.75" customHeight="1" x14ac:dyDescent="0.3">
      <c r="A812" s="2">
        <v>810</v>
      </c>
      <c r="B812" s="2" t="s">
        <v>5851</v>
      </c>
    </row>
    <row r="813" spans="1:2" ht="18.75" customHeight="1" x14ac:dyDescent="0.3">
      <c r="A813" s="2">
        <v>811</v>
      </c>
      <c r="B813" s="2" t="s">
        <v>5852</v>
      </c>
    </row>
    <row r="814" spans="1:2" ht="18.75" customHeight="1" x14ac:dyDescent="0.3">
      <c r="A814" s="2">
        <v>812</v>
      </c>
      <c r="B814" s="2" t="s">
        <v>5853</v>
      </c>
    </row>
    <row r="815" spans="1:2" ht="18.75" customHeight="1" x14ac:dyDescent="0.3">
      <c r="A815" s="2">
        <v>813</v>
      </c>
      <c r="B815" s="2" t="s">
        <v>5854</v>
      </c>
    </row>
    <row r="816" spans="1:2" ht="18.75" customHeight="1" x14ac:dyDescent="0.3">
      <c r="A816" s="2">
        <v>814</v>
      </c>
      <c r="B816" s="2" t="s">
        <v>5855</v>
      </c>
    </row>
    <row r="817" spans="1:2" ht="18.75" customHeight="1" x14ac:dyDescent="0.3">
      <c r="A817" s="2">
        <v>815</v>
      </c>
      <c r="B817" s="2" t="s">
        <v>5856</v>
      </c>
    </row>
    <row r="818" spans="1:2" ht="18.75" customHeight="1" x14ac:dyDescent="0.3">
      <c r="A818" s="2">
        <v>816</v>
      </c>
      <c r="B818" s="2" t="s">
        <v>5857</v>
      </c>
    </row>
    <row r="819" spans="1:2" ht="18.75" customHeight="1" x14ac:dyDescent="0.3">
      <c r="A819" s="2">
        <v>817</v>
      </c>
      <c r="B819" s="2" t="s">
        <v>5858</v>
      </c>
    </row>
    <row r="820" spans="1:2" ht="18.75" customHeight="1" x14ac:dyDescent="0.3">
      <c r="A820" s="2">
        <v>818</v>
      </c>
      <c r="B820" s="2" t="s">
        <v>5859</v>
      </c>
    </row>
    <row r="821" spans="1:2" ht="18.75" customHeight="1" x14ac:dyDescent="0.3">
      <c r="A821" s="2">
        <v>819</v>
      </c>
      <c r="B821" s="2" t="s">
        <v>5860</v>
      </c>
    </row>
    <row r="822" spans="1:2" ht="18.75" customHeight="1" x14ac:dyDescent="0.3">
      <c r="A822" s="2">
        <v>820</v>
      </c>
      <c r="B822" s="2" t="s">
        <v>5861</v>
      </c>
    </row>
    <row r="823" spans="1:2" ht="18.75" customHeight="1" x14ac:dyDescent="0.3">
      <c r="A823" s="2">
        <v>821</v>
      </c>
      <c r="B823" s="2" t="s">
        <v>5862</v>
      </c>
    </row>
    <row r="824" spans="1:2" ht="18.75" customHeight="1" x14ac:dyDescent="0.3">
      <c r="A824" s="2">
        <v>822</v>
      </c>
      <c r="B824" s="2" t="s">
        <v>5863</v>
      </c>
    </row>
    <row r="825" spans="1:2" ht="18.75" customHeight="1" x14ac:dyDescent="0.3">
      <c r="A825" s="2">
        <v>823</v>
      </c>
      <c r="B825" s="2" t="s">
        <v>5864</v>
      </c>
    </row>
    <row r="826" spans="1:2" ht="18.75" customHeight="1" x14ac:dyDescent="0.3">
      <c r="A826" s="2">
        <v>824</v>
      </c>
      <c r="B826" s="2" t="s">
        <v>5865</v>
      </c>
    </row>
    <row r="827" spans="1:2" ht="18.75" customHeight="1" x14ac:dyDescent="0.3">
      <c r="A827" s="2">
        <v>825</v>
      </c>
      <c r="B827" s="2" t="s">
        <v>5866</v>
      </c>
    </row>
    <row r="828" spans="1:2" ht="18.75" customHeight="1" x14ac:dyDescent="0.3">
      <c r="A828" s="2">
        <v>826</v>
      </c>
      <c r="B828" s="2" t="s">
        <v>5867</v>
      </c>
    </row>
    <row r="829" spans="1:2" ht="18.75" customHeight="1" x14ac:dyDescent="0.3">
      <c r="A829" s="2">
        <v>827</v>
      </c>
      <c r="B829" s="21" t="s">
        <v>5868</v>
      </c>
    </row>
    <row r="830" spans="1:2" ht="18.75" customHeight="1" x14ac:dyDescent="0.3">
      <c r="A830" s="2">
        <v>828</v>
      </c>
      <c r="B830" s="2" t="s">
        <v>5869</v>
      </c>
    </row>
    <row r="831" spans="1:2" ht="18.75" customHeight="1" x14ac:dyDescent="0.3">
      <c r="A831" s="2">
        <v>829</v>
      </c>
      <c r="B831" s="2" t="s">
        <v>5870</v>
      </c>
    </row>
    <row r="832" spans="1:2" ht="18.75" customHeight="1" x14ac:dyDescent="0.3">
      <c r="A832" s="2">
        <v>830</v>
      </c>
      <c r="B832" s="21" t="s">
        <v>5871</v>
      </c>
    </row>
    <row r="833" spans="1:2" ht="18.75" customHeight="1" x14ac:dyDescent="0.3">
      <c r="A833" s="2">
        <v>831</v>
      </c>
      <c r="B833" s="21" t="s">
        <v>5872</v>
      </c>
    </row>
    <row r="834" spans="1:2" ht="18.75" customHeight="1" x14ac:dyDescent="0.3">
      <c r="A834" s="2">
        <v>832</v>
      </c>
      <c r="B834" s="2" t="s">
        <v>5873</v>
      </c>
    </row>
    <row r="835" spans="1:2" ht="18.75" customHeight="1" x14ac:dyDescent="0.3">
      <c r="A835" s="2">
        <v>833</v>
      </c>
      <c r="B835" s="21" t="s">
        <v>5874</v>
      </c>
    </row>
    <row r="836" spans="1:2" ht="18.75" customHeight="1" x14ac:dyDescent="0.3">
      <c r="A836" s="2">
        <v>834</v>
      </c>
      <c r="B836" s="21" t="s">
        <v>5875</v>
      </c>
    </row>
    <row r="837" spans="1:2" ht="18.75" customHeight="1" x14ac:dyDescent="0.3">
      <c r="A837" s="2">
        <v>835</v>
      </c>
      <c r="B837" s="2" t="s">
        <v>5876</v>
      </c>
    </row>
    <row r="838" spans="1:2" ht="18.75" customHeight="1" x14ac:dyDescent="0.3">
      <c r="A838" s="2">
        <v>836</v>
      </c>
      <c r="B838" s="21" t="s">
        <v>5877</v>
      </c>
    </row>
    <row r="839" spans="1:2" ht="18.75" customHeight="1" x14ac:dyDescent="0.3">
      <c r="A839" s="2">
        <v>837</v>
      </c>
      <c r="B839" s="21" t="s">
        <v>5878</v>
      </c>
    </row>
    <row r="840" spans="1:2" ht="18.75" customHeight="1" x14ac:dyDescent="0.3">
      <c r="A840" s="2">
        <v>838</v>
      </c>
      <c r="B840" s="91" t="s">
        <v>5879</v>
      </c>
    </row>
    <row r="841" spans="1:2" ht="18.75" customHeight="1" x14ac:dyDescent="0.3">
      <c r="A841" s="2">
        <v>839</v>
      </c>
      <c r="B841" s="21" t="s">
        <v>5880</v>
      </c>
    </row>
    <row r="842" spans="1:2" ht="18.75" customHeight="1" x14ac:dyDescent="0.3">
      <c r="A842" s="2">
        <v>840</v>
      </c>
      <c r="B842" s="2" t="s">
        <v>5881</v>
      </c>
    </row>
    <row r="843" spans="1:2" ht="18.75" customHeight="1" x14ac:dyDescent="0.3">
      <c r="A843" s="2">
        <v>841</v>
      </c>
      <c r="B843" s="2" t="s">
        <v>5882</v>
      </c>
    </row>
    <row r="844" spans="1:2" ht="18.75" customHeight="1" x14ac:dyDescent="0.3">
      <c r="A844" s="2">
        <v>842</v>
      </c>
      <c r="B844" s="21" t="s">
        <v>5883</v>
      </c>
    </row>
    <row r="845" spans="1:2" ht="18.75" customHeight="1" x14ac:dyDescent="0.3">
      <c r="A845" s="2">
        <v>843</v>
      </c>
      <c r="B845" s="2" t="s">
        <v>5884</v>
      </c>
    </row>
    <row r="846" spans="1:2" ht="18.75" customHeight="1" x14ac:dyDescent="0.3">
      <c r="A846" s="2">
        <v>844</v>
      </c>
      <c r="B846" s="2" t="s">
        <v>5885</v>
      </c>
    </row>
    <row r="847" spans="1:2" ht="18.75" customHeight="1" x14ac:dyDescent="0.3">
      <c r="A847" s="2">
        <v>845</v>
      </c>
      <c r="B847" s="2" t="s">
        <v>5886</v>
      </c>
    </row>
    <row r="848" spans="1:2" ht="18.75" customHeight="1" x14ac:dyDescent="0.3">
      <c r="A848" s="2">
        <v>846</v>
      </c>
      <c r="B848" s="21" t="s">
        <v>5887</v>
      </c>
    </row>
    <row r="849" spans="1:2" ht="18.75" customHeight="1" x14ac:dyDescent="0.3">
      <c r="A849" s="2">
        <v>847</v>
      </c>
      <c r="B849" s="2" t="s">
        <v>5888</v>
      </c>
    </row>
    <row r="850" spans="1:2" ht="18.75" customHeight="1" x14ac:dyDescent="0.3">
      <c r="A850" s="2">
        <v>848</v>
      </c>
      <c r="B850" s="2" t="s">
        <v>5889</v>
      </c>
    </row>
    <row r="851" spans="1:2" ht="18.75" customHeight="1" x14ac:dyDescent="0.3">
      <c r="A851" s="2">
        <v>849</v>
      </c>
      <c r="B851" s="2" t="s">
        <v>5890</v>
      </c>
    </row>
    <row r="852" spans="1:2" ht="18.75" customHeight="1" x14ac:dyDescent="0.3">
      <c r="A852" s="2">
        <v>850</v>
      </c>
      <c r="B852" s="2" t="s">
        <v>5891</v>
      </c>
    </row>
    <row r="853" spans="1:2" ht="18.75" customHeight="1" x14ac:dyDescent="0.3">
      <c r="A853" s="2">
        <v>851</v>
      </c>
      <c r="B853" s="2" t="s">
        <v>5892</v>
      </c>
    </row>
    <row r="854" spans="1:2" ht="18.75" customHeight="1" x14ac:dyDescent="0.3">
      <c r="A854" s="2">
        <v>852</v>
      </c>
      <c r="B854" s="2" t="s">
        <v>5893</v>
      </c>
    </row>
    <row r="855" spans="1:2" ht="18.75" customHeight="1" x14ac:dyDescent="0.3">
      <c r="A855" s="2">
        <v>853</v>
      </c>
      <c r="B855" s="21" t="s">
        <v>5881</v>
      </c>
    </row>
    <row r="856" spans="1:2" ht="18.75" customHeight="1" x14ac:dyDescent="0.3">
      <c r="A856" s="2">
        <v>854</v>
      </c>
      <c r="B856" s="2" t="s">
        <v>5894</v>
      </c>
    </row>
    <row r="857" spans="1:2" ht="18.75" customHeight="1" x14ac:dyDescent="0.3">
      <c r="A857" s="2">
        <v>855</v>
      </c>
      <c r="B857" s="2" t="s">
        <v>5895</v>
      </c>
    </row>
    <row r="858" spans="1:2" ht="18.75" customHeight="1" x14ac:dyDescent="0.3">
      <c r="A858" s="2">
        <v>856</v>
      </c>
      <c r="B858" s="2" t="s">
        <v>5896</v>
      </c>
    </row>
    <row r="859" spans="1:2" ht="18.75" customHeight="1" x14ac:dyDescent="0.3">
      <c r="A859" s="2">
        <v>857</v>
      </c>
      <c r="B859" s="21" t="s">
        <v>5897</v>
      </c>
    </row>
    <row r="860" spans="1:2" ht="18.75" customHeight="1" x14ac:dyDescent="0.3">
      <c r="A860" s="2">
        <v>858</v>
      </c>
      <c r="B860" s="21" t="s">
        <v>5898</v>
      </c>
    </row>
    <row r="861" spans="1:2" ht="18.75" customHeight="1" x14ac:dyDescent="0.3">
      <c r="A861" s="2">
        <v>859</v>
      </c>
      <c r="B861" s="21" t="s">
        <v>5899</v>
      </c>
    </row>
    <row r="862" spans="1:2" ht="18.75" customHeight="1" x14ac:dyDescent="0.3">
      <c r="A862" s="2">
        <v>860</v>
      </c>
      <c r="B862" s="21" t="s">
        <v>5900</v>
      </c>
    </row>
    <row r="863" spans="1:2" ht="18.75" customHeight="1" x14ac:dyDescent="0.3">
      <c r="A863" s="2">
        <v>861</v>
      </c>
      <c r="B863" s="91" t="s">
        <v>5901</v>
      </c>
    </row>
    <row r="864" spans="1:2" ht="18.75" customHeight="1" x14ac:dyDescent="0.3">
      <c r="A864" s="2">
        <v>862</v>
      </c>
      <c r="B864" s="2" t="s">
        <v>5902</v>
      </c>
    </row>
    <row r="865" spans="1:2" ht="18.75" customHeight="1" x14ac:dyDescent="0.3">
      <c r="A865" s="2">
        <v>863</v>
      </c>
      <c r="B865" s="21" t="s">
        <v>5903</v>
      </c>
    </row>
    <row r="866" spans="1:2" ht="18.75" customHeight="1" x14ac:dyDescent="0.3">
      <c r="A866" s="2">
        <v>864</v>
      </c>
      <c r="B866" s="2" t="s">
        <v>5904</v>
      </c>
    </row>
    <row r="867" spans="1:2" ht="18.75" customHeight="1" x14ac:dyDescent="0.3">
      <c r="A867" s="2">
        <v>865</v>
      </c>
      <c r="B867" s="2" t="s">
        <v>5905</v>
      </c>
    </row>
    <row r="868" spans="1:2" ht="18.75" customHeight="1" x14ac:dyDescent="0.3">
      <c r="A868" s="2">
        <v>866</v>
      </c>
      <c r="B868" s="2" t="s">
        <v>5906</v>
      </c>
    </row>
    <row r="869" spans="1:2" ht="18.75" customHeight="1" x14ac:dyDescent="0.3">
      <c r="A869" s="2">
        <v>867</v>
      </c>
      <c r="B869" s="2" t="s">
        <v>5907</v>
      </c>
    </row>
    <row r="870" spans="1:2" ht="18.75" customHeight="1" x14ac:dyDescent="0.3">
      <c r="A870" s="2">
        <v>868</v>
      </c>
      <c r="B870" s="2" t="s">
        <v>5908</v>
      </c>
    </row>
    <row r="871" spans="1:2" ht="18.75" customHeight="1" x14ac:dyDescent="0.3">
      <c r="A871" s="2">
        <v>869</v>
      </c>
      <c r="B871" s="2" t="s">
        <v>5909</v>
      </c>
    </row>
    <row r="872" spans="1:2" ht="18.75" customHeight="1" x14ac:dyDescent="0.3">
      <c r="A872" s="2">
        <v>870</v>
      </c>
      <c r="B872" s="2" t="s">
        <v>5910</v>
      </c>
    </row>
    <row r="873" spans="1:2" ht="18.75" customHeight="1" x14ac:dyDescent="0.3">
      <c r="A873" s="2">
        <v>871</v>
      </c>
      <c r="B873" s="2" t="s">
        <v>5911</v>
      </c>
    </row>
    <row r="874" spans="1:2" ht="18.75" customHeight="1" x14ac:dyDescent="0.3">
      <c r="A874" s="2">
        <v>872</v>
      </c>
      <c r="B874" s="2" t="s">
        <v>5912</v>
      </c>
    </row>
    <row r="875" spans="1:2" ht="18.75" customHeight="1" x14ac:dyDescent="0.3">
      <c r="A875" s="2">
        <v>873</v>
      </c>
      <c r="B875" s="21" t="s">
        <v>5913</v>
      </c>
    </row>
    <row r="876" spans="1:2" ht="18.75" customHeight="1" x14ac:dyDescent="0.3">
      <c r="A876" s="2">
        <v>874</v>
      </c>
      <c r="B876" s="2" t="s">
        <v>5914</v>
      </c>
    </row>
    <row r="877" spans="1:2" ht="18.75" customHeight="1" x14ac:dyDescent="0.3">
      <c r="A877" s="2">
        <v>875</v>
      </c>
      <c r="B877" s="2" t="s">
        <v>5915</v>
      </c>
    </row>
    <row r="878" spans="1:2" ht="18.75" customHeight="1" x14ac:dyDescent="0.3">
      <c r="A878" s="2">
        <v>876</v>
      </c>
      <c r="B878" s="2" t="s">
        <v>5916</v>
      </c>
    </row>
    <row r="879" spans="1:2" ht="18.75" customHeight="1" x14ac:dyDescent="0.3">
      <c r="A879" s="2">
        <v>877</v>
      </c>
      <c r="B879" s="2" t="s">
        <v>5917</v>
      </c>
    </row>
    <row r="880" spans="1:2" ht="18.75" customHeight="1" x14ac:dyDescent="0.3">
      <c r="A880" s="2">
        <v>878</v>
      </c>
      <c r="B880" s="21" t="s">
        <v>5918</v>
      </c>
    </row>
    <row r="881" spans="1:2" ht="18.75" customHeight="1" x14ac:dyDescent="0.3">
      <c r="A881" s="2">
        <v>879</v>
      </c>
      <c r="B881" s="2" t="s">
        <v>5919</v>
      </c>
    </row>
    <row r="882" spans="1:2" ht="18.75" customHeight="1" x14ac:dyDescent="0.3">
      <c r="A882" s="2">
        <v>880</v>
      </c>
      <c r="B882" s="2" t="s">
        <v>5920</v>
      </c>
    </row>
    <row r="883" spans="1:2" ht="18.75" customHeight="1" x14ac:dyDescent="0.3">
      <c r="A883" s="2">
        <v>881</v>
      </c>
      <c r="B883" s="21" t="s">
        <v>5921</v>
      </c>
    </row>
    <row r="884" spans="1:2" ht="18.75" customHeight="1" x14ac:dyDescent="0.3">
      <c r="A884" s="2">
        <v>882</v>
      </c>
      <c r="B884" s="2" t="s">
        <v>5922</v>
      </c>
    </row>
    <row r="885" spans="1:2" ht="18.75" customHeight="1" x14ac:dyDescent="0.3">
      <c r="A885" s="2">
        <v>883</v>
      </c>
      <c r="B885" s="2" t="s">
        <v>5923</v>
      </c>
    </row>
    <row r="886" spans="1:2" ht="18.75" customHeight="1" x14ac:dyDescent="0.3">
      <c r="A886" s="2">
        <v>884</v>
      </c>
      <c r="B886" s="2" t="s">
        <v>5924</v>
      </c>
    </row>
    <row r="887" spans="1:2" ht="18.75" customHeight="1" x14ac:dyDescent="0.3">
      <c r="A887" s="2">
        <v>885</v>
      </c>
      <c r="B887" s="21" t="s">
        <v>5925</v>
      </c>
    </row>
    <row r="888" spans="1:2" ht="18.75" customHeight="1" x14ac:dyDescent="0.3">
      <c r="A888" s="2">
        <v>886</v>
      </c>
      <c r="B888" s="21" t="s">
        <v>5926</v>
      </c>
    </row>
    <row r="889" spans="1:2" ht="18.75" customHeight="1" x14ac:dyDescent="0.3">
      <c r="A889" s="2">
        <v>887</v>
      </c>
      <c r="B889" s="2" t="s">
        <v>5927</v>
      </c>
    </row>
    <row r="890" spans="1:2" ht="18.75" customHeight="1" x14ac:dyDescent="0.3">
      <c r="A890" s="2">
        <v>888</v>
      </c>
      <c r="B890" s="2" t="s">
        <v>5928</v>
      </c>
    </row>
    <row r="891" spans="1:2" ht="18.75" customHeight="1" x14ac:dyDescent="0.3">
      <c r="A891" s="2">
        <v>889</v>
      </c>
      <c r="B891" s="21" t="s">
        <v>5929</v>
      </c>
    </row>
    <row r="892" spans="1:2" ht="18.75" customHeight="1" x14ac:dyDescent="0.3">
      <c r="A892" s="2">
        <v>890</v>
      </c>
      <c r="B892" s="2" t="s">
        <v>5930</v>
      </c>
    </row>
    <row r="893" spans="1:2" ht="18.75" customHeight="1" x14ac:dyDescent="0.3">
      <c r="A893" s="2">
        <v>891</v>
      </c>
      <c r="B893" s="2" t="s">
        <v>5931</v>
      </c>
    </row>
    <row r="894" spans="1:2" ht="18.75" customHeight="1" x14ac:dyDescent="0.3">
      <c r="A894" s="2">
        <v>892</v>
      </c>
      <c r="B894" s="2" t="s">
        <v>5932</v>
      </c>
    </row>
    <row r="895" spans="1:2" ht="18.75" customHeight="1" x14ac:dyDescent="0.3">
      <c r="A895" s="2">
        <v>893</v>
      </c>
      <c r="B895" s="2" t="s">
        <v>5933</v>
      </c>
    </row>
    <row r="896" spans="1:2" ht="18.75" customHeight="1" x14ac:dyDescent="0.3">
      <c r="A896" s="2">
        <v>894</v>
      </c>
      <c r="B896" s="2" t="s">
        <v>5934</v>
      </c>
    </row>
    <row r="897" spans="1:2" ht="18.75" customHeight="1" x14ac:dyDescent="0.3">
      <c r="A897" s="2">
        <v>895</v>
      </c>
      <c r="B897" s="21" t="s">
        <v>5935</v>
      </c>
    </row>
    <row r="898" spans="1:2" ht="18.75" customHeight="1" x14ac:dyDescent="0.3">
      <c r="A898" s="2">
        <v>896</v>
      </c>
      <c r="B898" s="2" t="s">
        <v>5936</v>
      </c>
    </row>
    <row r="899" spans="1:2" ht="18.75" customHeight="1" x14ac:dyDescent="0.3">
      <c r="A899" s="2">
        <v>897</v>
      </c>
      <c r="B899" s="2" t="s">
        <v>5937</v>
      </c>
    </row>
    <row r="900" spans="1:2" ht="18.75" customHeight="1" x14ac:dyDescent="0.3">
      <c r="A900" s="2">
        <v>898</v>
      </c>
      <c r="B900" s="21" t="s">
        <v>5938</v>
      </c>
    </row>
    <row r="901" spans="1:2" ht="18.75" customHeight="1" x14ac:dyDescent="0.3">
      <c r="A901" s="2">
        <v>899</v>
      </c>
      <c r="B901" s="2" t="s">
        <v>5939</v>
      </c>
    </row>
    <row r="902" spans="1:2" ht="18.75" customHeight="1" x14ac:dyDescent="0.3">
      <c r="A902" s="2">
        <v>900</v>
      </c>
      <c r="B902" s="2" t="s">
        <v>5940</v>
      </c>
    </row>
    <row r="903" spans="1:2" ht="18.75" customHeight="1" x14ac:dyDescent="0.3">
      <c r="A903" s="2">
        <v>901</v>
      </c>
      <c r="B903" s="21" t="s">
        <v>5941</v>
      </c>
    </row>
    <row r="904" spans="1:2" ht="18.75" customHeight="1" x14ac:dyDescent="0.3">
      <c r="A904" s="2">
        <v>902</v>
      </c>
      <c r="B904" s="21" t="s">
        <v>5942</v>
      </c>
    </row>
    <row r="905" spans="1:2" ht="18.75" customHeight="1" x14ac:dyDescent="0.3">
      <c r="A905" s="2">
        <v>903</v>
      </c>
      <c r="B905" s="21" t="s">
        <v>5943</v>
      </c>
    </row>
    <row r="906" spans="1:2" ht="18.75" customHeight="1" x14ac:dyDescent="0.3">
      <c r="A906" s="2">
        <v>904</v>
      </c>
      <c r="B906" s="2" t="s">
        <v>5944</v>
      </c>
    </row>
    <row r="907" spans="1:2" ht="18.75" customHeight="1" x14ac:dyDescent="0.3">
      <c r="A907" s="2">
        <v>905</v>
      </c>
      <c r="B907" s="21" t="s">
        <v>5945</v>
      </c>
    </row>
    <row r="908" spans="1:2" ht="18.75" customHeight="1" x14ac:dyDescent="0.3">
      <c r="A908" s="2">
        <v>906</v>
      </c>
      <c r="B908" s="21" t="s">
        <v>5946</v>
      </c>
    </row>
    <row r="909" spans="1:2" ht="18.75" customHeight="1" x14ac:dyDescent="0.3">
      <c r="A909" s="2">
        <v>907</v>
      </c>
      <c r="B909" s="2" t="s">
        <v>5947</v>
      </c>
    </row>
    <row r="910" spans="1:2" ht="18.75" customHeight="1" x14ac:dyDescent="0.3">
      <c r="A910" s="2">
        <v>908</v>
      </c>
      <c r="B910" s="2" t="s">
        <v>5948</v>
      </c>
    </row>
    <row r="911" spans="1:2" ht="18.75" customHeight="1" x14ac:dyDescent="0.3">
      <c r="A911" s="2">
        <v>909</v>
      </c>
      <c r="B911" s="2" t="s">
        <v>5949</v>
      </c>
    </row>
    <row r="912" spans="1:2" ht="18.75" customHeight="1" x14ac:dyDescent="0.3">
      <c r="A912" s="2">
        <v>910</v>
      </c>
      <c r="B912" s="2" t="s">
        <v>5950</v>
      </c>
    </row>
    <row r="913" spans="1:2" ht="18.75" customHeight="1" x14ac:dyDescent="0.3">
      <c r="A913" s="2">
        <v>911</v>
      </c>
      <c r="B913" s="2" t="s">
        <v>5951</v>
      </c>
    </row>
    <row r="914" spans="1:2" ht="18.75" customHeight="1" x14ac:dyDescent="0.3">
      <c r="A914" s="2">
        <v>912</v>
      </c>
      <c r="B914" s="2" t="s">
        <v>5952</v>
      </c>
    </row>
    <row r="915" spans="1:2" ht="18.75" customHeight="1" x14ac:dyDescent="0.3">
      <c r="A915" s="2">
        <v>913</v>
      </c>
      <c r="B915" s="21" t="s">
        <v>5953</v>
      </c>
    </row>
    <row r="916" spans="1:2" ht="18.75" customHeight="1" x14ac:dyDescent="0.3">
      <c r="A916" s="2">
        <v>914</v>
      </c>
      <c r="B916" s="2" t="s">
        <v>5954</v>
      </c>
    </row>
    <row r="917" spans="1:2" ht="18.75" customHeight="1" x14ac:dyDescent="0.3">
      <c r="A917" s="2">
        <v>915</v>
      </c>
      <c r="B917" s="2" t="s">
        <v>5955</v>
      </c>
    </row>
    <row r="918" spans="1:2" ht="18.75" customHeight="1" x14ac:dyDescent="0.3">
      <c r="A918" s="2">
        <v>916</v>
      </c>
      <c r="B918" s="2" t="s">
        <v>5956</v>
      </c>
    </row>
    <row r="919" spans="1:2" ht="18.75" customHeight="1" x14ac:dyDescent="0.3">
      <c r="A919" s="2">
        <v>917</v>
      </c>
      <c r="B919" s="2" t="s">
        <v>5957</v>
      </c>
    </row>
    <row r="920" spans="1:2" ht="18.75" customHeight="1" x14ac:dyDescent="0.3">
      <c r="A920" s="2">
        <v>918</v>
      </c>
      <c r="B920" s="2" t="s">
        <v>5958</v>
      </c>
    </row>
    <row r="921" spans="1:2" ht="18.75" customHeight="1" x14ac:dyDescent="0.3">
      <c r="A921" s="2">
        <v>919</v>
      </c>
      <c r="B921" s="2" t="s">
        <v>5959</v>
      </c>
    </row>
    <row r="922" spans="1:2" ht="18.75" customHeight="1" x14ac:dyDescent="0.3">
      <c r="A922" s="2">
        <v>920</v>
      </c>
      <c r="B922" s="21" t="s">
        <v>5960</v>
      </c>
    </row>
    <row r="923" spans="1:2" ht="18.75" customHeight="1" x14ac:dyDescent="0.3">
      <c r="A923" s="2">
        <v>921</v>
      </c>
      <c r="B923" s="2" t="s">
        <v>5961</v>
      </c>
    </row>
    <row r="924" spans="1:2" ht="18.75" customHeight="1" x14ac:dyDescent="0.3">
      <c r="A924" s="2">
        <v>922</v>
      </c>
      <c r="B924" s="21" t="s">
        <v>5962</v>
      </c>
    </row>
    <row r="925" spans="1:2" ht="18.75" customHeight="1" x14ac:dyDescent="0.3">
      <c r="A925" s="2">
        <v>923</v>
      </c>
      <c r="B925" s="2" t="s">
        <v>5963</v>
      </c>
    </row>
    <row r="926" spans="1:2" ht="18.75" customHeight="1" x14ac:dyDescent="0.3">
      <c r="A926" s="2">
        <v>924</v>
      </c>
      <c r="B926" s="21" t="s">
        <v>5964</v>
      </c>
    </row>
    <row r="927" spans="1:2" ht="18.75" customHeight="1" x14ac:dyDescent="0.3">
      <c r="A927" s="2">
        <v>925</v>
      </c>
      <c r="B927" s="2" t="s">
        <v>5965</v>
      </c>
    </row>
    <row r="928" spans="1:2" ht="18.75" customHeight="1" x14ac:dyDescent="0.3">
      <c r="A928" s="2">
        <v>926</v>
      </c>
      <c r="B928" s="21" t="s">
        <v>5966</v>
      </c>
    </row>
    <row r="929" spans="1:2" ht="18.75" customHeight="1" x14ac:dyDescent="0.3">
      <c r="A929" s="2">
        <v>927</v>
      </c>
      <c r="B929" s="21" t="s">
        <v>5967</v>
      </c>
    </row>
    <row r="930" spans="1:2" ht="18.75" customHeight="1" x14ac:dyDescent="0.3">
      <c r="A930" s="2">
        <v>928</v>
      </c>
      <c r="B930" s="21" t="s">
        <v>5968</v>
      </c>
    </row>
    <row r="931" spans="1:2" ht="18.75" customHeight="1" x14ac:dyDescent="0.3">
      <c r="A931" s="2">
        <v>929</v>
      </c>
      <c r="B931" s="21" t="s">
        <v>5969</v>
      </c>
    </row>
    <row r="932" spans="1:2" ht="18.75" customHeight="1" x14ac:dyDescent="0.3">
      <c r="A932" s="2">
        <v>930</v>
      </c>
      <c r="B932" s="2" t="s">
        <v>5970</v>
      </c>
    </row>
    <row r="933" spans="1:2" ht="18.75" customHeight="1" x14ac:dyDescent="0.3">
      <c r="A933" s="2">
        <v>931</v>
      </c>
      <c r="B933" s="2" t="s">
        <v>5708</v>
      </c>
    </row>
    <row r="934" spans="1:2" ht="18.75" customHeight="1" x14ac:dyDescent="0.3">
      <c r="A934" s="2">
        <v>932</v>
      </c>
      <c r="B934" s="21" t="s">
        <v>5971</v>
      </c>
    </row>
    <row r="935" spans="1:2" ht="18.75" customHeight="1" x14ac:dyDescent="0.3">
      <c r="A935" s="2">
        <v>933</v>
      </c>
      <c r="B935" s="2" t="s">
        <v>5972</v>
      </c>
    </row>
    <row r="936" spans="1:2" ht="18.75" customHeight="1" x14ac:dyDescent="0.3">
      <c r="A936" s="2">
        <v>934</v>
      </c>
      <c r="B936" s="2" t="s">
        <v>5973</v>
      </c>
    </row>
    <row r="937" spans="1:2" ht="18.75" customHeight="1" x14ac:dyDescent="0.3">
      <c r="A937" s="2">
        <v>935</v>
      </c>
      <c r="B937" s="2" t="s">
        <v>5974</v>
      </c>
    </row>
    <row r="938" spans="1:2" ht="18.75" customHeight="1" x14ac:dyDescent="0.3">
      <c r="A938" s="2">
        <v>936</v>
      </c>
      <c r="B938" s="2" t="s">
        <v>5975</v>
      </c>
    </row>
    <row r="939" spans="1:2" ht="18.75" customHeight="1" x14ac:dyDescent="0.3">
      <c r="A939" s="2">
        <v>937</v>
      </c>
      <c r="B939" s="2" t="s">
        <v>5976</v>
      </c>
    </row>
    <row r="940" spans="1:2" ht="18.75" customHeight="1" x14ac:dyDescent="0.3">
      <c r="A940" s="2">
        <v>938</v>
      </c>
      <c r="B940" s="2" t="s">
        <v>5977</v>
      </c>
    </row>
    <row r="941" spans="1:2" ht="18.75" customHeight="1" x14ac:dyDescent="0.3">
      <c r="A941" s="2">
        <v>939</v>
      </c>
      <c r="B941" s="2" t="s">
        <v>5978</v>
      </c>
    </row>
    <row r="942" spans="1:2" ht="18.75" customHeight="1" x14ac:dyDescent="0.3">
      <c r="A942" s="2">
        <v>940</v>
      </c>
      <c r="B942" s="2" t="s">
        <v>5979</v>
      </c>
    </row>
    <row r="943" spans="1:2" ht="18.75" customHeight="1" x14ac:dyDescent="0.3">
      <c r="A943" s="2">
        <v>941</v>
      </c>
      <c r="B943" s="2" t="s">
        <v>5980</v>
      </c>
    </row>
    <row r="944" spans="1:2" ht="18.75" customHeight="1" x14ac:dyDescent="0.3">
      <c r="A944" s="2">
        <v>942</v>
      </c>
      <c r="B944" s="91" t="s">
        <v>7224</v>
      </c>
    </row>
    <row r="945" spans="1:2" ht="18.75" customHeight="1" x14ac:dyDescent="0.3">
      <c r="A945" s="2">
        <v>943</v>
      </c>
      <c r="B945" s="2" t="s">
        <v>5981</v>
      </c>
    </row>
    <row r="946" spans="1:2" ht="18.75" customHeight="1" x14ac:dyDescent="0.3">
      <c r="A946" s="2">
        <v>944</v>
      </c>
      <c r="B946" s="21" t="s">
        <v>5982</v>
      </c>
    </row>
    <row r="947" spans="1:2" ht="18.75" customHeight="1" x14ac:dyDescent="0.3">
      <c r="A947" s="2">
        <v>945</v>
      </c>
      <c r="B947" s="21" t="s">
        <v>5983</v>
      </c>
    </row>
    <row r="948" spans="1:2" ht="18.75" customHeight="1" x14ac:dyDescent="0.3">
      <c r="A948" s="2">
        <v>946</v>
      </c>
      <c r="B948" s="2" t="s">
        <v>5984</v>
      </c>
    </row>
    <row r="949" spans="1:2" ht="18.75" customHeight="1" x14ac:dyDescent="0.3">
      <c r="A949" s="2">
        <v>947</v>
      </c>
      <c r="B949" s="21" t="s">
        <v>5985</v>
      </c>
    </row>
    <row r="950" spans="1:2" ht="18.75" customHeight="1" x14ac:dyDescent="0.3">
      <c r="A950" s="2">
        <v>948</v>
      </c>
      <c r="B950" s="21" t="s">
        <v>5986</v>
      </c>
    </row>
    <row r="951" spans="1:2" ht="18.75" customHeight="1" x14ac:dyDescent="0.3">
      <c r="A951" s="2">
        <v>949</v>
      </c>
      <c r="B951" s="21" t="s">
        <v>5987</v>
      </c>
    </row>
    <row r="952" spans="1:2" ht="18.75" customHeight="1" x14ac:dyDescent="0.3">
      <c r="A952" s="2">
        <v>950</v>
      </c>
      <c r="B952" s="2" t="s">
        <v>5988</v>
      </c>
    </row>
    <row r="953" spans="1:2" ht="18.75" customHeight="1" x14ac:dyDescent="0.3">
      <c r="A953" s="2">
        <v>951</v>
      </c>
      <c r="B953" s="2" t="s">
        <v>5989</v>
      </c>
    </row>
    <row r="954" spans="1:2" ht="18.75" customHeight="1" x14ac:dyDescent="0.3">
      <c r="A954" s="2">
        <v>952</v>
      </c>
      <c r="B954" s="21" t="s">
        <v>5990</v>
      </c>
    </row>
    <row r="955" spans="1:2" ht="18.75" customHeight="1" x14ac:dyDescent="0.3">
      <c r="A955" s="2">
        <v>953</v>
      </c>
      <c r="B955" s="2" t="s">
        <v>5991</v>
      </c>
    </row>
    <row r="956" spans="1:2" ht="18.75" customHeight="1" x14ac:dyDescent="0.3">
      <c r="A956" s="2">
        <v>954</v>
      </c>
      <c r="B956" s="2" t="s">
        <v>5992</v>
      </c>
    </row>
    <row r="957" spans="1:2" ht="18.75" customHeight="1" x14ac:dyDescent="0.3">
      <c r="A957" s="2">
        <v>955</v>
      </c>
      <c r="B957" s="21" t="s">
        <v>5993</v>
      </c>
    </row>
    <row r="958" spans="1:2" ht="18.75" customHeight="1" x14ac:dyDescent="0.3">
      <c r="A958" s="2">
        <v>956</v>
      </c>
      <c r="B958" s="21" t="s">
        <v>5994</v>
      </c>
    </row>
    <row r="959" spans="1:2" ht="18.75" customHeight="1" x14ac:dyDescent="0.3">
      <c r="A959" s="2">
        <v>957</v>
      </c>
      <c r="B959" s="2" t="s">
        <v>5995</v>
      </c>
    </row>
    <row r="960" spans="1:2" ht="18.75" customHeight="1" x14ac:dyDescent="0.3">
      <c r="A960" s="2">
        <v>958</v>
      </c>
      <c r="B960" s="21" t="s">
        <v>5995</v>
      </c>
    </row>
    <row r="961" spans="1:2" ht="18.75" customHeight="1" x14ac:dyDescent="0.3">
      <c r="A961" s="2">
        <v>959</v>
      </c>
      <c r="B961" s="2" t="s">
        <v>5996</v>
      </c>
    </row>
    <row r="962" spans="1:2" ht="18.75" customHeight="1" x14ac:dyDescent="0.3">
      <c r="A962" s="2">
        <v>960</v>
      </c>
      <c r="B962" s="2" t="s">
        <v>5997</v>
      </c>
    </row>
    <row r="963" spans="1:2" ht="18.75" customHeight="1" x14ac:dyDescent="0.3">
      <c r="A963" s="2">
        <v>961</v>
      </c>
      <c r="B963" s="21" t="s">
        <v>5998</v>
      </c>
    </row>
    <row r="964" spans="1:2" ht="18.75" customHeight="1" x14ac:dyDescent="0.3">
      <c r="A964" s="2">
        <v>962</v>
      </c>
      <c r="B964" s="21" t="s">
        <v>5999</v>
      </c>
    </row>
    <row r="965" spans="1:2" ht="18.75" customHeight="1" x14ac:dyDescent="0.3">
      <c r="A965" s="2">
        <v>963</v>
      </c>
      <c r="B965" s="21" t="s">
        <v>6000</v>
      </c>
    </row>
    <row r="966" spans="1:2" ht="18.75" customHeight="1" x14ac:dyDescent="0.3">
      <c r="A966" s="2">
        <v>964</v>
      </c>
      <c r="B966" s="21" t="s">
        <v>6001</v>
      </c>
    </row>
    <row r="967" spans="1:2" ht="18.75" customHeight="1" x14ac:dyDescent="0.3">
      <c r="A967" s="2">
        <v>965</v>
      </c>
      <c r="B967" s="21" t="s">
        <v>6002</v>
      </c>
    </row>
    <row r="968" spans="1:2" ht="18.75" customHeight="1" x14ac:dyDescent="0.3">
      <c r="A968" s="2">
        <v>966</v>
      </c>
      <c r="B968" s="2" t="s">
        <v>6003</v>
      </c>
    </row>
    <row r="969" spans="1:2" ht="18.75" customHeight="1" x14ac:dyDescent="0.3">
      <c r="A969" s="2">
        <v>967</v>
      </c>
      <c r="B969" s="21" t="s">
        <v>6004</v>
      </c>
    </row>
    <row r="970" spans="1:2" ht="18.75" customHeight="1" x14ac:dyDescent="0.3">
      <c r="A970" s="2">
        <v>968</v>
      </c>
      <c r="B970" s="21" t="s">
        <v>6005</v>
      </c>
    </row>
    <row r="971" spans="1:2" ht="18.75" customHeight="1" x14ac:dyDescent="0.3">
      <c r="A971" s="2">
        <v>969</v>
      </c>
      <c r="B971" s="2" t="s">
        <v>6006</v>
      </c>
    </row>
    <row r="972" spans="1:2" ht="18.75" customHeight="1" x14ac:dyDescent="0.3">
      <c r="A972" s="2">
        <v>970</v>
      </c>
      <c r="B972" s="2" t="s">
        <v>6007</v>
      </c>
    </row>
    <row r="973" spans="1:2" ht="18.75" customHeight="1" x14ac:dyDescent="0.3">
      <c r="A973" s="2">
        <v>971</v>
      </c>
      <c r="B973" s="21" t="s">
        <v>6008</v>
      </c>
    </row>
    <row r="974" spans="1:2" ht="18.75" customHeight="1" x14ac:dyDescent="0.3">
      <c r="A974" s="2">
        <v>972</v>
      </c>
      <c r="B974" s="21" t="s">
        <v>6009</v>
      </c>
    </row>
    <row r="975" spans="1:2" ht="18.75" customHeight="1" x14ac:dyDescent="0.3">
      <c r="A975" s="2">
        <v>973</v>
      </c>
      <c r="B975" s="2" t="s">
        <v>6010</v>
      </c>
    </row>
    <row r="976" spans="1:2" ht="18.75" customHeight="1" x14ac:dyDescent="0.3">
      <c r="A976" s="2">
        <v>974</v>
      </c>
      <c r="B976" s="2" t="s">
        <v>6011</v>
      </c>
    </row>
    <row r="977" spans="1:2" ht="18.75" customHeight="1" x14ac:dyDescent="0.3">
      <c r="A977" s="2">
        <v>975</v>
      </c>
      <c r="B977" s="2" t="s">
        <v>6012</v>
      </c>
    </row>
    <row r="978" spans="1:2" ht="18.75" customHeight="1" x14ac:dyDescent="0.3">
      <c r="A978" s="2">
        <v>976</v>
      </c>
      <c r="B978" s="21" t="s">
        <v>6013</v>
      </c>
    </row>
    <row r="979" spans="1:2" ht="18.75" customHeight="1" x14ac:dyDescent="0.3">
      <c r="A979" s="2">
        <v>977</v>
      </c>
      <c r="B979" s="2" t="s">
        <v>6014</v>
      </c>
    </row>
    <row r="980" spans="1:2" ht="18.75" customHeight="1" x14ac:dyDescent="0.3">
      <c r="A980" s="2">
        <v>978</v>
      </c>
      <c r="B980" s="2" t="s">
        <v>6015</v>
      </c>
    </row>
    <row r="981" spans="1:2" ht="18.75" customHeight="1" x14ac:dyDescent="0.3">
      <c r="A981" s="2">
        <v>979</v>
      </c>
      <c r="B981" s="2" t="s">
        <v>6016</v>
      </c>
    </row>
    <row r="982" spans="1:2" ht="18.75" customHeight="1" x14ac:dyDescent="0.3">
      <c r="A982" s="2">
        <v>980</v>
      </c>
      <c r="B982" s="21" t="s">
        <v>6017</v>
      </c>
    </row>
    <row r="983" spans="1:2" ht="18.75" customHeight="1" x14ac:dyDescent="0.3">
      <c r="A983" s="2">
        <v>981</v>
      </c>
      <c r="B983" s="21" t="s">
        <v>6018</v>
      </c>
    </row>
    <row r="984" spans="1:2" ht="18.75" customHeight="1" x14ac:dyDescent="0.3">
      <c r="A984" s="2">
        <v>982</v>
      </c>
      <c r="B984" s="21" t="s">
        <v>6019</v>
      </c>
    </row>
    <row r="985" spans="1:2" ht="18.75" customHeight="1" x14ac:dyDescent="0.3">
      <c r="A985" s="2">
        <v>983</v>
      </c>
      <c r="B985" s="2" t="s">
        <v>6020</v>
      </c>
    </row>
    <row r="986" spans="1:2" ht="18.75" customHeight="1" x14ac:dyDescent="0.3">
      <c r="A986" s="2">
        <v>984</v>
      </c>
      <c r="B986" s="2" t="s">
        <v>6021</v>
      </c>
    </row>
    <row r="987" spans="1:2" ht="18.75" customHeight="1" x14ac:dyDescent="0.3">
      <c r="A987" s="2">
        <v>985</v>
      </c>
      <c r="B987" s="2" t="s">
        <v>6022</v>
      </c>
    </row>
    <row r="988" spans="1:2" ht="18.75" customHeight="1" x14ac:dyDescent="0.3">
      <c r="A988" s="2">
        <v>986</v>
      </c>
      <c r="B988" s="2" t="s">
        <v>6023</v>
      </c>
    </row>
    <row r="989" spans="1:2" ht="18.75" customHeight="1" x14ac:dyDescent="0.3">
      <c r="A989" s="2">
        <v>987</v>
      </c>
      <c r="B989" s="2" t="s">
        <v>6024</v>
      </c>
    </row>
    <row r="990" spans="1:2" ht="18.75" customHeight="1" x14ac:dyDescent="0.3">
      <c r="A990" s="2">
        <v>988</v>
      </c>
      <c r="B990" s="2" t="s">
        <v>6025</v>
      </c>
    </row>
    <row r="991" spans="1:2" ht="18.75" customHeight="1" x14ac:dyDescent="0.3">
      <c r="A991" s="2">
        <v>989</v>
      </c>
      <c r="B991" s="2" t="s">
        <v>6026</v>
      </c>
    </row>
    <row r="992" spans="1:2" ht="18.75" customHeight="1" x14ac:dyDescent="0.3">
      <c r="A992" s="2">
        <v>990</v>
      </c>
      <c r="B992" s="2" t="s">
        <v>6027</v>
      </c>
    </row>
    <row r="993" spans="1:2" ht="18.75" customHeight="1" x14ac:dyDescent="0.3">
      <c r="A993" s="2">
        <v>991</v>
      </c>
      <c r="B993" s="2" t="s">
        <v>6028</v>
      </c>
    </row>
    <row r="994" spans="1:2" ht="18.75" customHeight="1" x14ac:dyDescent="0.3">
      <c r="A994" s="2">
        <v>992</v>
      </c>
      <c r="B994" s="21" t="s">
        <v>6029</v>
      </c>
    </row>
    <row r="995" spans="1:2" ht="18.75" customHeight="1" x14ac:dyDescent="0.3">
      <c r="A995" s="2">
        <v>993</v>
      </c>
      <c r="B995" s="2" t="s">
        <v>6030</v>
      </c>
    </row>
    <row r="996" spans="1:2" ht="18.75" customHeight="1" x14ac:dyDescent="0.3">
      <c r="A996" s="2">
        <v>994</v>
      </c>
      <c r="B996" s="21" t="s">
        <v>6031</v>
      </c>
    </row>
    <row r="997" spans="1:2" ht="18.75" customHeight="1" x14ac:dyDescent="0.3">
      <c r="A997" s="2">
        <v>995</v>
      </c>
      <c r="B997" s="2" t="s">
        <v>6032</v>
      </c>
    </row>
    <row r="998" spans="1:2" ht="18.75" customHeight="1" x14ac:dyDescent="0.3">
      <c r="A998" s="2">
        <v>996</v>
      </c>
      <c r="B998" s="2" t="s">
        <v>6033</v>
      </c>
    </row>
    <row r="999" spans="1:2" ht="18.75" customHeight="1" x14ac:dyDescent="0.3">
      <c r="A999" s="2">
        <v>997</v>
      </c>
      <c r="B999" s="2" t="s">
        <v>6034</v>
      </c>
    </row>
    <row r="1000" spans="1:2" ht="18.75" customHeight="1" x14ac:dyDescent="0.3">
      <c r="A1000" s="2">
        <v>998</v>
      </c>
      <c r="B1000" s="2" t="s">
        <v>6035</v>
      </c>
    </row>
    <row r="1001" spans="1:2" ht="18.75" customHeight="1" x14ac:dyDescent="0.3">
      <c r="A1001" s="2">
        <v>999</v>
      </c>
      <c r="B1001" s="2" t="s">
        <v>6036</v>
      </c>
    </row>
    <row r="1002" spans="1:2" ht="18.75" customHeight="1" x14ac:dyDescent="0.3">
      <c r="A1002" s="2">
        <v>1000</v>
      </c>
      <c r="B1002" s="21" t="s">
        <v>6037</v>
      </c>
    </row>
    <row r="1003" spans="1:2" ht="18.75" customHeight="1" x14ac:dyDescent="0.3">
      <c r="A1003" s="2">
        <v>1001</v>
      </c>
      <c r="B1003" s="21" t="s">
        <v>6038</v>
      </c>
    </row>
    <row r="1004" spans="1:2" ht="18.75" customHeight="1" x14ac:dyDescent="0.3">
      <c r="A1004" s="2">
        <v>1002</v>
      </c>
      <c r="B1004" s="2" t="s">
        <v>6039</v>
      </c>
    </row>
    <row r="1005" spans="1:2" ht="18.75" customHeight="1" x14ac:dyDescent="0.3">
      <c r="A1005" s="2">
        <v>1003</v>
      </c>
      <c r="B1005" s="2" t="s">
        <v>6040</v>
      </c>
    </row>
    <row r="1006" spans="1:2" ht="18.75" customHeight="1" x14ac:dyDescent="0.3">
      <c r="A1006" s="2">
        <v>1004</v>
      </c>
      <c r="B1006" s="91" t="s">
        <v>6041</v>
      </c>
    </row>
    <row r="1007" spans="1:2" ht="18.75" customHeight="1" x14ac:dyDescent="0.3">
      <c r="A1007" s="2">
        <v>1005</v>
      </c>
      <c r="B1007" s="2" t="s">
        <v>6042</v>
      </c>
    </row>
    <row r="1008" spans="1:2" ht="18.75" customHeight="1" x14ac:dyDescent="0.3">
      <c r="A1008" s="2">
        <v>1006</v>
      </c>
      <c r="B1008" s="21" t="s">
        <v>6043</v>
      </c>
    </row>
    <row r="1009" spans="1:2" ht="18.75" customHeight="1" x14ac:dyDescent="0.3">
      <c r="A1009" s="2">
        <v>1007</v>
      </c>
      <c r="B1009" s="2" t="s">
        <v>6044</v>
      </c>
    </row>
    <row r="1010" spans="1:2" ht="18.75" customHeight="1" x14ac:dyDescent="0.3">
      <c r="A1010" s="2">
        <v>1008</v>
      </c>
      <c r="B1010" s="2" t="s">
        <v>6045</v>
      </c>
    </row>
    <row r="1011" spans="1:2" ht="18.75" customHeight="1" x14ac:dyDescent="0.3">
      <c r="A1011" s="2">
        <v>1009</v>
      </c>
      <c r="B1011" s="2" t="s">
        <v>6046</v>
      </c>
    </row>
    <row r="1012" spans="1:2" ht="18.75" customHeight="1" x14ac:dyDescent="0.3">
      <c r="A1012" s="2">
        <v>1010</v>
      </c>
      <c r="B1012" s="2" t="s">
        <v>6047</v>
      </c>
    </row>
    <row r="1013" spans="1:2" ht="18.75" customHeight="1" x14ac:dyDescent="0.3">
      <c r="A1013" s="2">
        <v>1011</v>
      </c>
      <c r="B1013" s="21" t="s">
        <v>6048</v>
      </c>
    </row>
    <row r="1014" spans="1:2" ht="18.75" customHeight="1" x14ac:dyDescent="0.3">
      <c r="A1014" s="2">
        <v>1012</v>
      </c>
      <c r="B1014" s="2" t="s">
        <v>6049</v>
      </c>
    </row>
    <row r="1015" spans="1:2" ht="18.75" customHeight="1" x14ac:dyDescent="0.3">
      <c r="A1015" s="2">
        <v>1013</v>
      </c>
      <c r="B1015" s="2" t="s">
        <v>6050</v>
      </c>
    </row>
    <row r="1016" spans="1:2" ht="18.75" customHeight="1" x14ac:dyDescent="0.3">
      <c r="A1016" s="2">
        <v>1014</v>
      </c>
      <c r="B1016" s="2" t="s">
        <v>6051</v>
      </c>
    </row>
    <row r="1017" spans="1:2" ht="18.75" customHeight="1" x14ac:dyDescent="0.3">
      <c r="A1017" s="2">
        <v>1015</v>
      </c>
      <c r="B1017" s="2" t="s">
        <v>6052</v>
      </c>
    </row>
    <row r="1018" spans="1:2" ht="18.75" customHeight="1" x14ac:dyDescent="0.3">
      <c r="A1018" s="2">
        <v>1016</v>
      </c>
      <c r="B1018" s="21" t="s">
        <v>6053</v>
      </c>
    </row>
    <row r="1019" spans="1:2" ht="18.75" customHeight="1" x14ac:dyDescent="0.3">
      <c r="A1019" s="2">
        <v>1017</v>
      </c>
      <c r="B1019" s="2" t="s">
        <v>6054</v>
      </c>
    </row>
    <row r="1020" spans="1:2" ht="18.75" customHeight="1" x14ac:dyDescent="0.3">
      <c r="A1020" s="2">
        <v>1018</v>
      </c>
      <c r="B1020" s="2" t="s">
        <v>6055</v>
      </c>
    </row>
    <row r="1021" spans="1:2" ht="18.75" customHeight="1" x14ac:dyDescent="0.3">
      <c r="A1021" s="2">
        <v>1019</v>
      </c>
      <c r="B1021" s="2" t="s">
        <v>6056</v>
      </c>
    </row>
    <row r="1022" spans="1:2" ht="18.75" customHeight="1" x14ac:dyDescent="0.3">
      <c r="A1022" s="2">
        <v>1020</v>
      </c>
      <c r="B1022" s="21" t="s">
        <v>6057</v>
      </c>
    </row>
    <row r="1023" spans="1:2" ht="18.75" customHeight="1" x14ac:dyDescent="0.3">
      <c r="A1023" s="2">
        <v>1021</v>
      </c>
      <c r="B1023" s="21" t="s">
        <v>6058</v>
      </c>
    </row>
    <row r="1024" spans="1:2" ht="18.75" customHeight="1" x14ac:dyDescent="0.3">
      <c r="A1024" s="2">
        <v>1022</v>
      </c>
      <c r="B1024" s="2" t="s">
        <v>6059</v>
      </c>
    </row>
    <row r="1025" spans="1:2" ht="18.75" customHeight="1" x14ac:dyDescent="0.3">
      <c r="A1025" s="2">
        <v>1023</v>
      </c>
      <c r="B1025" s="2" t="s">
        <v>6060</v>
      </c>
    </row>
    <row r="1026" spans="1:2" ht="18.75" customHeight="1" x14ac:dyDescent="0.3">
      <c r="A1026" s="2">
        <v>1024</v>
      </c>
      <c r="B1026" s="2" t="s">
        <v>6061</v>
      </c>
    </row>
    <row r="1027" spans="1:2" ht="18.75" customHeight="1" x14ac:dyDescent="0.3">
      <c r="A1027" s="2">
        <v>1025</v>
      </c>
      <c r="B1027" s="2" t="s">
        <v>6062</v>
      </c>
    </row>
    <row r="1028" spans="1:2" ht="18.75" customHeight="1" x14ac:dyDescent="0.3">
      <c r="A1028" s="2">
        <v>1026</v>
      </c>
      <c r="B1028" s="21" t="s">
        <v>6063</v>
      </c>
    </row>
    <row r="1029" spans="1:2" ht="18.75" customHeight="1" x14ac:dyDescent="0.3">
      <c r="A1029" s="2">
        <v>1027</v>
      </c>
      <c r="B1029" s="91" t="s">
        <v>6064</v>
      </c>
    </row>
    <row r="1030" spans="1:2" ht="18.75" customHeight="1" x14ac:dyDescent="0.3">
      <c r="A1030" s="2">
        <v>1028</v>
      </c>
      <c r="B1030" s="2" t="s">
        <v>6065</v>
      </c>
    </row>
    <row r="1031" spans="1:2" ht="18.75" customHeight="1" x14ac:dyDescent="0.3">
      <c r="A1031" s="2">
        <v>1029</v>
      </c>
      <c r="B1031" s="2" t="s">
        <v>6066</v>
      </c>
    </row>
    <row r="1032" spans="1:2" ht="18.75" customHeight="1" x14ac:dyDescent="0.3">
      <c r="A1032" s="2">
        <v>1030</v>
      </c>
      <c r="B1032" s="2" t="s">
        <v>6067</v>
      </c>
    </row>
    <row r="1033" spans="1:2" ht="18.75" customHeight="1" x14ac:dyDescent="0.3">
      <c r="A1033" s="2">
        <v>1031</v>
      </c>
      <c r="B1033" s="2" t="s">
        <v>6068</v>
      </c>
    </row>
    <row r="1034" spans="1:2" ht="18.75" customHeight="1" x14ac:dyDescent="0.3">
      <c r="A1034" s="2">
        <v>1032</v>
      </c>
      <c r="B1034" s="2" t="s">
        <v>6069</v>
      </c>
    </row>
    <row r="1035" spans="1:2" ht="18.75" customHeight="1" x14ac:dyDescent="0.3">
      <c r="A1035" s="2">
        <v>1033</v>
      </c>
      <c r="B1035" s="21" t="s">
        <v>6070</v>
      </c>
    </row>
    <row r="1036" spans="1:2" ht="18.75" customHeight="1" x14ac:dyDescent="0.3">
      <c r="A1036" s="2">
        <v>1034</v>
      </c>
      <c r="B1036" s="2" t="s">
        <v>6071</v>
      </c>
    </row>
    <row r="1037" spans="1:2" ht="18.75" customHeight="1" x14ac:dyDescent="0.3">
      <c r="A1037" s="2">
        <v>1035</v>
      </c>
      <c r="B1037" s="2" t="s">
        <v>6072</v>
      </c>
    </row>
    <row r="1038" spans="1:2" ht="18.75" customHeight="1" x14ac:dyDescent="0.3">
      <c r="A1038" s="2">
        <v>1036</v>
      </c>
      <c r="B1038" s="2" t="s">
        <v>6073</v>
      </c>
    </row>
    <row r="1039" spans="1:2" ht="18.75" customHeight="1" x14ac:dyDescent="0.3">
      <c r="A1039" s="2">
        <v>1037</v>
      </c>
      <c r="B1039" s="2" t="s">
        <v>6074</v>
      </c>
    </row>
    <row r="1040" spans="1:2" ht="18.75" customHeight="1" x14ac:dyDescent="0.3">
      <c r="A1040" s="2">
        <v>1038</v>
      </c>
      <c r="B1040" s="21" t="s">
        <v>6075</v>
      </c>
    </row>
    <row r="1041" spans="1:2" ht="18.75" customHeight="1" x14ac:dyDescent="0.3">
      <c r="A1041" s="2">
        <v>1039</v>
      </c>
      <c r="B1041" s="21" t="s">
        <v>6076</v>
      </c>
    </row>
    <row r="1042" spans="1:2" ht="18.75" customHeight="1" x14ac:dyDescent="0.3">
      <c r="A1042" s="2">
        <v>1040</v>
      </c>
      <c r="B1042" s="2" t="s">
        <v>6077</v>
      </c>
    </row>
    <row r="1043" spans="1:2" ht="18.75" customHeight="1" x14ac:dyDescent="0.3">
      <c r="A1043" s="2">
        <v>1041</v>
      </c>
      <c r="B1043" s="2" t="s">
        <v>6078</v>
      </c>
    </row>
    <row r="1044" spans="1:2" ht="18.75" customHeight="1" x14ac:dyDescent="0.3">
      <c r="A1044" s="2">
        <v>1042</v>
      </c>
      <c r="B1044" s="91" t="s">
        <v>6079</v>
      </c>
    </row>
    <row r="1045" spans="1:2" ht="18.75" customHeight="1" x14ac:dyDescent="0.3">
      <c r="A1045" s="2">
        <v>1043</v>
      </c>
      <c r="B1045" s="2" t="s">
        <v>6080</v>
      </c>
    </row>
    <row r="1046" spans="1:2" ht="18.75" customHeight="1" x14ac:dyDescent="0.3">
      <c r="A1046" s="2">
        <v>1044</v>
      </c>
      <c r="B1046" s="2" t="s">
        <v>5625</v>
      </c>
    </row>
    <row r="1047" spans="1:2" ht="18.75" customHeight="1" x14ac:dyDescent="0.3">
      <c r="A1047" s="2">
        <v>1045</v>
      </c>
      <c r="B1047" s="2" t="s">
        <v>6081</v>
      </c>
    </row>
    <row r="1048" spans="1:2" ht="18.75" customHeight="1" x14ac:dyDescent="0.3">
      <c r="A1048" s="2">
        <v>1046</v>
      </c>
      <c r="B1048" s="2" t="s">
        <v>6082</v>
      </c>
    </row>
    <row r="1049" spans="1:2" ht="18.75" customHeight="1" x14ac:dyDescent="0.3">
      <c r="A1049" s="2">
        <v>1047</v>
      </c>
      <c r="B1049" s="2" t="s">
        <v>6083</v>
      </c>
    </row>
    <row r="1050" spans="1:2" ht="18.75" customHeight="1" x14ac:dyDescent="0.3">
      <c r="A1050" s="2">
        <v>1048</v>
      </c>
      <c r="B1050" s="2" t="s">
        <v>6084</v>
      </c>
    </row>
    <row r="1051" spans="1:2" ht="18.75" customHeight="1" x14ac:dyDescent="0.3">
      <c r="A1051" s="2">
        <v>1049</v>
      </c>
      <c r="B1051" s="2" t="s">
        <v>6085</v>
      </c>
    </row>
    <row r="1052" spans="1:2" ht="18.75" customHeight="1" x14ac:dyDescent="0.3">
      <c r="A1052" s="2">
        <v>1050</v>
      </c>
      <c r="B1052" s="21" t="s">
        <v>6086</v>
      </c>
    </row>
    <row r="1053" spans="1:2" ht="18.75" customHeight="1" x14ac:dyDescent="0.3">
      <c r="A1053" s="2">
        <v>1051</v>
      </c>
      <c r="B1053" s="21" t="s">
        <v>6087</v>
      </c>
    </row>
    <row r="1054" spans="1:2" ht="18.75" customHeight="1" x14ac:dyDescent="0.3">
      <c r="A1054" s="2">
        <v>1052</v>
      </c>
      <c r="B1054" s="21" t="s">
        <v>6088</v>
      </c>
    </row>
    <row r="1055" spans="1:2" ht="18.75" customHeight="1" x14ac:dyDescent="0.3">
      <c r="A1055" s="2">
        <v>1053</v>
      </c>
      <c r="B1055" s="2" t="s">
        <v>6089</v>
      </c>
    </row>
    <row r="1056" spans="1:2" ht="18.75" customHeight="1" x14ac:dyDescent="0.3">
      <c r="A1056" s="2">
        <v>1054</v>
      </c>
      <c r="B1056" s="2" t="s">
        <v>6090</v>
      </c>
    </row>
    <row r="1057" spans="1:2" ht="18.75" customHeight="1" x14ac:dyDescent="0.3">
      <c r="A1057" s="2">
        <v>1055</v>
      </c>
      <c r="B1057" s="2" t="s">
        <v>6091</v>
      </c>
    </row>
    <row r="1058" spans="1:2" ht="18.75" customHeight="1" x14ac:dyDescent="0.3">
      <c r="A1058" s="2">
        <v>1056</v>
      </c>
      <c r="B1058" s="2" t="s">
        <v>6092</v>
      </c>
    </row>
    <row r="1059" spans="1:2" ht="18.75" customHeight="1" x14ac:dyDescent="0.3">
      <c r="A1059" s="2">
        <v>1057</v>
      </c>
      <c r="B1059" s="2" t="s">
        <v>6093</v>
      </c>
    </row>
    <row r="1060" spans="1:2" ht="18.75" customHeight="1" x14ac:dyDescent="0.3">
      <c r="A1060" s="2">
        <v>1058</v>
      </c>
      <c r="B1060" s="2" t="s">
        <v>6094</v>
      </c>
    </row>
    <row r="1061" spans="1:2" ht="18.75" customHeight="1" x14ac:dyDescent="0.3">
      <c r="A1061" s="2">
        <v>1059</v>
      </c>
      <c r="B1061" s="21" t="s">
        <v>6095</v>
      </c>
    </row>
    <row r="1062" spans="1:2" ht="18.75" customHeight="1" x14ac:dyDescent="0.3">
      <c r="A1062" s="2">
        <v>1060</v>
      </c>
      <c r="B1062" s="21" t="s">
        <v>6096</v>
      </c>
    </row>
    <row r="1063" spans="1:2" ht="18.75" customHeight="1" x14ac:dyDescent="0.3">
      <c r="A1063" s="2">
        <v>1061</v>
      </c>
      <c r="B1063" s="21" t="s">
        <v>6097</v>
      </c>
    </row>
    <row r="1064" spans="1:2" ht="18.75" customHeight="1" x14ac:dyDescent="0.3">
      <c r="A1064" s="2">
        <v>1062</v>
      </c>
      <c r="B1064" s="21" t="s">
        <v>6098</v>
      </c>
    </row>
    <row r="1065" spans="1:2" ht="18.75" customHeight="1" x14ac:dyDescent="0.3">
      <c r="A1065" s="2">
        <v>1063</v>
      </c>
      <c r="B1065" s="21" t="s">
        <v>6099</v>
      </c>
    </row>
    <row r="1066" spans="1:2" ht="18.75" customHeight="1" x14ac:dyDescent="0.3">
      <c r="A1066" s="2">
        <v>1064</v>
      </c>
      <c r="B1066" s="21" t="s">
        <v>6100</v>
      </c>
    </row>
    <row r="1067" spans="1:2" ht="18.75" customHeight="1" x14ac:dyDescent="0.3">
      <c r="A1067" s="2">
        <v>1065</v>
      </c>
      <c r="B1067" s="2" t="s">
        <v>6101</v>
      </c>
    </row>
    <row r="1068" spans="1:2" ht="18.75" customHeight="1" x14ac:dyDescent="0.3">
      <c r="A1068" s="2">
        <v>1066</v>
      </c>
      <c r="B1068" s="2" t="s">
        <v>6102</v>
      </c>
    </row>
    <row r="1069" spans="1:2" ht="18.75" customHeight="1" x14ac:dyDescent="0.3">
      <c r="A1069" s="2">
        <v>1067</v>
      </c>
      <c r="B1069" s="2" t="s">
        <v>6103</v>
      </c>
    </row>
    <row r="1070" spans="1:2" ht="18.75" customHeight="1" x14ac:dyDescent="0.3">
      <c r="A1070" s="2">
        <v>1068</v>
      </c>
      <c r="B1070" s="21" t="s">
        <v>6104</v>
      </c>
    </row>
    <row r="1071" spans="1:2" ht="18.75" customHeight="1" x14ac:dyDescent="0.3">
      <c r="A1071" s="2">
        <v>1069</v>
      </c>
      <c r="B1071" s="2" t="s">
        <v>6105</v>
      </c>
    </row>
    <row r="1072" spans="1:2" ht="18.75" customHeight="1" x14ac:dyDescent="0.3">
      <c r="A1072" s="2">
        <v>1070</v>
      </c>
      <c r="B1072" s="2" t="s">
        <v>6106</v>
      </c>
    </row>
    <row r="1073" spans="1:2" ht="18.75" customHeight="1" x14ac:dyDescent="0.3">
      <c r="A1073" s="2">
        <v>1071</v>
      </c>
      <c r="B1073" s="21" t="s">
        <v>6107</v>
      </c>
    </row>
    <row r="1074" spans="1:2" ht="18.75" customHeight="1" x14ac:dyDescent="0.3">
      <c r="A1074" s="2">
        <v>1072</v>
      </c>
      <c r="B1074" s="2" t="s">
        <v>6108</v>
      </c>
    </row>
    <row r="1075" spans="1:2" ht="18.75" customHeight="1" x14ac:dyDescent="0.3">
      <c r="A1075" s="2">
        <v>1073</v>
      </c>
      <c r="B1075" s="91" t="s">
        <v>6109</v>
      </c>
    </row>
    <row r="1076" spans="1:2" ht="18.75" customHeight="1" x14ac:dyDescent="0.3">
      <c r="A1076" s="2">
        <v>1074</v>
      </c>
      <c r="B1076" s="21" t="s">
        <v>6110</v>
      </c>
    </row>
    <row r="1077" spans="1:2" ht="18.75" customHeight="1" x14ac:dyDescent="0.3">
      <c r="A1077" s="2">
        <v>1075</v>
      </c>
      <c r="B1077" s="2" t="s">
        <v>6111</v>
      </c>
    </row>
    <row r="1078" spans="1:2" ht="18.75" customHeight="1" x14ac:dyDescent="0.3">
      <c r="A1078" s="2">
        <v>1076</v>
      </c>
      <c r="B1078" s="2" t="s">
        <v>6112</v>
      </c>
    </row>
    <row r="1079" spans="1:2" ht="18.75" customHeight="1" x14ac:dyDescent="0.3">
      <c r="A1079" s="2">
        <v>1077</v>
      </c>
      <c r="B1079" s="2" t="s">
        <v>6113</v>
      </c>
    </row>
    <row r="1080" spans="1:2" ht="18.75" customHeight="1" x14ac:dyDescent="0.3">
      <c r="A1080" s="2">
        <v>1078</v>
      </c>
      <c r="B1080" s="21" t="s">
        <v>6114</v>
      </c>
    </row>
    <row r="1081" spans="1:2" ht="18.75" customHeight="1" x14ac:dyDescent="0.3">
      <c r="A1081" s="2">
        <v>1079</v>
      </c>
      <c r="B1081" s="2" t="s">
        <v>6115</v>
      </c>
    </row>
    <row r="1082" spans="1:2" ht="18.75" customHeight="1" x14ac:dyDescent="0.3">
      <c r="A1082" s="2">
        <v>1080</v>
      </c>
      <c r="B1082" s="2" t="s">
        <v>6116</v>
      </c>
    </row>
    <row r="1083" spans="1:2" ht="18.75" customHeight="1" x14ac:dyDescent="0.3">
      <c r="A1083" s="2">
        <v>1081</v>
      </c>
      <c r="B1083" s="2" t="s">
        <v>6117</v>
      </c>
    </row>
    <row r="1084" spans="1:2" ht="18.75" customHeight="1" x14ac:dyDescent="0.3">
      <c r="A1084" s="2">
        <v>1082</v>
      </c>
      <c r="B1084" s="2" t="s">
        <v>6118</v>
      </c>
    </row>
    <row r="1085" spans="1:2" ht="18.75" customHeight="1" x14ac:dyDescent="0.3">
      <c r="A1085" s="2">
        <v>1083</v>
      </c>
      <c r="B1085" s="21" t="s">
        <v>6119</v>
      </c>
    </row>
    <row r="1086" spans="1:2" ht="18.75" customHeight="1" x14ac:dyDescent="0.3">
      <c r="A1086" s="2">
        <v>1084</v>
      </c>
      <c r="B1086" s="21" t="s">
        <v>6120</v>
      </c>
    </row>
    <row r="1087" spans="1:2" ht="18.75" customHeight="1" x14ac:dyDescent="0.3">
      <c r="A1087" s="2">
        <v>1085</v>
      </c>
      <c r="B1087" s="2" t="s">
        <v>6121</v>
      </c>
    </row>
    <row r="1088" spans="1:2" ht="18.75" customHeight="1" x14ac:dyDescent="0.3">
      <c r="A1088" s="2">
        <v>1086</v>
      </c>
      <c r="B1088" s="2" t="s">
        <v>6122</v>
      </c>
    </row>
    <row r="1089" spans="1:2" ht="18.75" customHeight="1" x14ac:dyDescent="0.3">
      <c r="A1089" s="2">
        <v>1087</v>
      </c>
      <c r="B1089" s="2" t="s">
        <v>6123</v>
      </c>
    </row>
    <row r="1090" spans="1:2" ht="18.75" customHeight="1" x14ac:dyDescent="0.3">
      <c r="A1090" s="2">
        <v>1088</v>
      </c>
      <c r="B1090" s="21" t="s">
        <v>6124</v>
      </c>
    </row>
    <row r="1091" spans="1:2" ht="18.75" customHeight="1" x14ac:dyDescent="0.3">
      <c r="A1091" s="2">
        <v>1089</v>
      </c>
      <c r="B1091" s="2" t="s">
        <v>6125</v>
      </c>
    </row>
    <row r="1092" spans="1:2" ht="18.75" customHeight="1" x14ac:dyDescent="0.3">
      <c r="A1092" s="2">
        <v>1090</v>
      </c>
      <c r="B1092" s="2" t="s">
        <v>6126</v>
      </c>
    </row>
    <row r="1093" spans="1:2" ht="18.75" customHeight="1" x14ac:dyDescent="0.3">
      <c r="A1093" s="2">
        <v>1091</v>
      </c>
      <c r="B1093" s="21" t="s">
        <v>6127</v>
      </c>
    </row>
    <row r="1094" spans="1:2" ht="18.75" customHeight="1" x14ac:dyDescent="0.3">
      <c r="A1094" s="2">
        <v>1092</v>
      </c>
      <c r="B1094" s="21" t="s">
        <v>6128</v>
      </c>
    </row>
    <row r="1095" spans="1:2" ht="18.75" customHeight="1" x14ac:dyDescent="0.3">
      <c r="A1095" s="2">
        <v>1093</v>
      </c>
      <c r="B1095" s="21" t="s">
        <v>6129</v>
      </c>
    </row>
    <row r="1096" spans="1:2" ht="18.75" customHeight="1" x14ac:dyDescent="0.3">
      <c r="A1096" s="2">
        <v>1094</v>
      </c>
      <c r="B1096" s="21" t="s">
        <v>6130</v>
      </c>
    </row>
    <row r="1097" spans="1:2" ht="18.75" customHeight="1" x14ac:dyDescent="0.3">
      <c r="A1097" s="2">
        <v>1095</v>
      </c>
      <c r="B1097" s="91" t="s">
        <v>6131</v>
      </c>
    </row>
    <row r="1098" spans="1:2" ht="18.75" customHeight="1" x14ac:dyDescent="0.3">
      <c r="A1098" s="2">
        <v>1096</v>
      </c>
      <c r="B1098" s="2" t="s">
        <v>6132</v>
      </c>
    </row>
    <row r="1099" spans="1:2" ht="18.75" customHeight="1" x14ac:dyDescent="0.3">
      <c r="A1099" s="2">
        <v>1097</v>
      </c>
      <c r="B1099" s="2" t="s">
        <v>6133</v>
      </c>
    </row>
    <row r="1100" spans="1:2" ht="18.75" customHeight="1" x14ac:dyDescent="0.3">
      <c r="A1100" s="2">
        <v>1098</v>
      </c>
      <c r="B1100" s="2" t="s">
        <v>6134</v>
      </c>
    </row>
    <row r="1101" spans="1:2" ht="18.75" customHeight="1" x14ac:dyDescent="0.3">
      <c r="A1101" s="2">
        <v>1099</v>
      </c>
      <c r="B1101" s="21" t="s">
        <v>6135</v>
      </c>
    </row>
    <row r="1102" spans="1:2" ht="18.75" customHeight="1" x14ac:dyDescent="0.3">
      <c r="A1102" s="2">
        <v>1100</v>
      </c>
      <c r="B1102" s="21" t="s">
        <v>6136</v>
      </c>
    </row>
    <row r="1103" spans="1:2" ht="18.75" customHeight="1" x14ac:dyDescent="0.3">
      <c r="A1103" s="2">
        <v>1101</v>
      </c>
      <c r="B1103" s="2" t="s">
        <v>6137</v>
      </c>
    </row>
    <row r="1104" spans="1:2" ht="18.75" customHeight="1" x14ac:dyDescent="0.3">
      <c r="A1104" s="2">
        <v>1102</v>
      </c>
      <c r="B1104" s="2" t="s">
        <v>6138</v>
      </c>
    </row>
    <row r="1105" spans="1:2" ht="18.75" customHeight="1" x14ac:dyDescent="0.3">
      <c r="A1105" s="2">
        <v>1103</v>
      </c>
      <c r="B1105" s="2" t="s">
        <v>6139</v>
      </c>
    </row>
    <row r="1106" spans="1:2" ht="18.75" customHeight="1" x14ac:dyDescent="0.3">
      <c r="A1106" s="2">
        <v>1104</v>
      </c>
      <c r="B1106" s="21" t="s">
        <v>6140</v>
      </c>
    </row>
    <row r="1107" spans="1:2" ht="18.75" customHeight="1" x14ac:dyDescent="0.3">
      <c r="A1107" s="2">
        <v>1105</v>
      </c>
      <c r="B1107" s="21" t="s">
        <v>6141</v>
      </c>
    </row>
    <row r="1108" spans="1:2" ht="18.75" customHeight="1" x14ac:dyDescent="0.3">
      <c r="A1108" s="2">
        <v>1106</v>
      </c>
      <c r="B1108" s="2" t="s">
        <v>6142</v>
      </c>
    </row>
    <row r="1109" spans="1:2" ht="18.75" customHeight="1" x14ac:dyDescent="0.3">
      <c r="A1109" s="2">
        <v>1107</v>
      </c>
      <c r="B1109" s="2" t="s">
        <v>6143</v>
      </c>
    </row>
    <row r="1110" spans="1:2" ht="18.75" customHeight="1" x14ac:dyDescent="0.3">
      <c r="A1110" s="2">
        <v>1108</v>
      </c>
      <c r="B1110" s="91" t="s">
        <v>6144</v>
      </c>
    </row>
    <row r="1111" spans="1:2" ht="18.75" customHeight="1" x14ac:dyDescent="0.3">
      <c r="A1111" s="2">
        <v>1109</v>
      </c>
      <c r="B1111" s="2" t="s">
        <v>6145</v>
      </c>
    </row>
    <row r="1112" spans="1:2" ht="18.75" customHeight="1" x14ac:dyDescent="0.3">
      <c r="A1112" s="2">
        <v>1110</v>
      </c>
      <c r="B1112" s="21" t="s">
        <v>6146</v>
      </c>
    </row>
    <row r="1113" spans="1:2" ht="18.75" customHeight="1" x14ac:dyDescent="0.3">
      <c r="A1113" s="2">
        <v>1111</v>
      </c>
      <c r="B1113" s="2" t="s">
        <v>6147</v>
      </c>
    </row>
    <row r="1114" spans="1:2" ht="18.75" customHeight="1" x14ac:dyDescent="0.3">
      <c r="A1114" s="2">
        <v>1112</v>
      </c>
      <c r="B1114" s="2" t="s">
        <v>6148</v>
      </c>
    </row>
    <row r="1115" spans="1:2" ht="18.75" customHeight="1" x14ac:dyDescent="0.3">
      <c r="A1115" s="2">
        <v>1113</v>
      </c>
      <c r="B1115" s="2" t="s">
        <v>6149</v>
      </c>
    </row>
    <row r="1116" spans="1:2" ht="18.75" customHeight="1" x14ac:dyDescent="0.3">
      <c r="A1116" s="2">
        <v>1114</v>
      </c>
      <c r="B1116" s="2" t="s">
        <v>6150</v>
      </c>
    </row>
    <row r="1117" spans="1:2" ht="18.75" customHeight="1" x14ac:dyDescent="0.3">
      <c r="A1117" s="2">
        <v>1115</v>
      </c>
      <c r="B1117" s="2" t="s">
        <v>6151</v>
      </c>
    </row>
    <row r="1118" spans="1:2" ht="18.75" customHeight="1" x14ac:dyDescent="0.3">
      <c r="A1118" s="2">
        <v>1116</v>
      </c>
      <c r="B1118" s="21" t="s">
        <v>6152</v>
      </c>
    </row>
    <row r="1119" spans="1:2" ht="18.75" customHeight="1" x14ac:dyDescent="0.3">
      <c r="A1119" s="2">
        <v>1117</v>
      </c>
      <c r="B1119" s="21" t="s">
        <v>6153</v>
      </c>
    </row>
    <row r="1120" spans="1:2" ht="18.75" customHeight="1" x14ac:dyDescent="0.3">
      <c r="A1120" s="2">
        <v>1118</v>
      </c>
      <c r="B1120" s="2" t="s">
        <v>6154</v>
      </c>
    </row>
    <row r="1121" spans="1:2" ht="18.75" customHeight="1" x14ac:dyDescent="0.3">
      <c r="A1121" s="2">
        <v>1119</v>
      </c>
      <c r="B1121" s="21" t="s">
        <v>6155</v>
      </c>
    </row>
    <row r="1122" spans="1:2" ht="18.75" customHeight="1" x14ac:dyDescent="0.3">
      <c r="A1122" s="2">
        <v>1120</v>
      </c>
      <c r="B1122" s="21" t="s">
        <v>6156</v>
      </c>
    </row>
    <row r="1123" spans="1:2" ht="18.75" customHeight="1" x14ac:dyDescent="0.3">
      <c r="A1123" s="2">
        <v>1121</v>
      </c>
      <c r="B1123" s="21" t="s">
        <v>6157</v>
      </c>
    </row>
    <row r="1124" spans="1:2" ht="18.75" customHeight="1" x14ac:dyDescent="0.3">
      <c r="A1124" s="2">
        <v>1122</v>
      </c>
      <c r="B1124" s="2" t="s">
        <v>6158</v>
      </c>
    </row>
    <row r="1125" spans="1:2" ht="18.75" customHeight="1" x14ac:dyDescent="0.3">
      <c r="A1125" s="2">
        <v>1123</v>
      </c>
      <c r="B1125" s="21" t="s">
        <v>6159</v>
      </c>
    </row>
    <row r="1126" spans="1:2" ht="18.75" customHeight="1" x14ac:dyDescent="0.3">
      <c r="A1126" s="2">
        <v>1124</v>
      </c>
      <c r="B1126" s="2" t="s">
        <v>6160</v>
      </c>
    </row>
    <row r="1127" spans="1:2" ht="18.75" customHeight="1" x14ac:dyDescent="0.3">
      <c r="A1127" s="2">
        <v>1125</v>
      </c>
      <c r="B1127" s="2" t="s">
        <v>6161</v>
      </c>
    </row>
    <row r="1128" spans="1:2" ht="18.75" customHeight="1" x14ac:dyDescent="0.3">
      <c r="A1128" s="2">
        <v>1126</v>
      </c>
      <c r="B1128" s="21" t="s">
        <v>6162</v>
      </c>
    </row>
    <row r="1129" spans="1:2" ht="18.75" customHeight="1" x14ac:dyDescent="0.3">
      <c r="A1129" s="2">
        <v>1127</v>
      </c>
      <c r="B1129" s="21" t="s">
        <v>6163</v>
      </c>
    </row>
    <row r="1130" spans="1:2" ht="18.75" customHeight="1" x14ac:dyDescent="0.3">
      <c r="A1130" s="2">
        <v>1128</v>
      </c>
      <c r="B1130" s="2" t="s">
        <v>6164</v>
      </c>
    </row>
    <row r="1131" spans="1:2" ht="18.75" customHeight="1" x14ac:dyDescent="0.3">
      <c r="A1131" s="2">
        <v>1129</v>
      </c>
      <c r="B1131" s="2" t="s">
        <v>6165</v>
      </c>
    </row>
    <row r="1132" spans="1:2" ht="18.75" customHeight="1" x14ac:dyDescent="0.3">
      <c r="A1132" s="2">
        <v>1130</v>
      </c>
      <c r="B1132" s="2" t="s">
        <v>6166</v>
      </c>
    </row>
    <row r="1133" spans="1:2" ht="18.75" customHeight="1" x14ac:dyDescent="0.3">
      <c r="A1133" s="2">
        <v>1131</v>
      </c>
      <c r="B1133" s="2" t="s">
        <v>6167</v>
      </c>
    </row>
    <row r="1134" spans="1:2" ht="18.75" customHeight="1" x14ac:dyDescent="0.3">
      <c r="A1134" s="2">
        <v>1132</v>
      </c>
      <c r="B1134" s="21" t="s">
        <v>6168</v>
      </c>
    </row>
    <row r="1135" spans="1:2" ht="18.75" customHeight="1" x14ac:dyDescent="0.3">
      <c r="A1135" s="2">
        <v>1133</v>
      </c>
      <c r="B1135" s="21" t="s">
        <v>6169</v>
      </c>
    </row>
    <row r="1136" spans="1:2" ht="18.75" customHeight="1" x14ac:dyDescent="0.3">
      <c r="A1136" s="2">
        <v>1134</v>
      </c>
      <c r="B1136" s="2" t="s">
        <v>6170</v>
      </c>
    </row>
    <row r="1137" spans="1:2" ht="18.75" customHeight="1" x14ac:dyDescent="0.3">
      <c r="A1137" s="2">
        <v>1135</v>
      </c>
      <c r="B1137" s="2" t="s">
        <v>6171</v>
      </c>
    </row>
    <row r="1138" spans="1:2" ht="18.75" customHeight="1" x14ac:dyDescent="0.3">
      <c r="A1138" s="2">
        <v>1136</v>
      </c>
      <c r="B1138" s="2" t="s">
        <v>6172</v>
      </c>
    </row>
    <row r="1139" spans="1:2" ht="18.75" customHeight="1" x14ac:dyDescent="0.3">
      <c r="A1139" s="2">
        <v>1137</v>
      </c>
      <c r="B1139" s="2" t="s">
        <v>6173</v>
      </c>
    </row>
    <row r="1140" spans="1:2" ht="18.75" customHeight="1" x14ac:dyDescent="0.3">
      <c r="A1140" s="2">
        <v>1138</v>
      </c>
      <c r="B1140" s="21" t="s">
        <v>6174</v>
      </c>
    </row>
    <row r="1141" spans="1:2" ht="18.75" customHeight="1" x14ac:dyDescent="0.3">
      <c r="A1141" s="2">
        <v>1139</v>
      </c>
      <c r="B1141" s="21" t="s">
        <v>6175</v>
      </c>
    </row>
    <row r="1142" spans="1:2" ht="18.75" customHeight="1" x14ac:dyDescent="0.3">
      <c r="A1142" s="2">
        <v>1140</v>
      </c>
      <c r="B1142" s="21" t="s">
        <v>6176</v>
      </c>
    </row>
    <row r="1143" spans="1:2" ht="18.75" customHeight="1" x14ac:dyDescent="0.3">
      <c r="A1143" s="2">
        <v>1141</v>
      </c>
      <c r="B1143" s="21" t="s">
        <v>6177</v>
      </c>
    </row>
    <row r="1144" spans="1:2" ht="18.75" customHeight="1" x14ac:dyDescent="0.3">
      <c r="A1144" s="2">
        <v>1142</v>
      </c>
      <c r="B1144" s="2" t="s">
        <v>6178</v>
      </c>
    </row>
    <row r="1145" spans="1:2" ht="18.75" customHeight="1" x14ac:dyDescent="0.3">
      <c r="A1145" s="2">
        <v>1143</v>
      </c>
      <c r="B1145" s="2" t="s">
        <v>6179</v>
      </c>
    </row>
    <row r="1146" spans="1:2" ht="18.75" customHeight="1" x14ac:dyDescent="0.3">
      <c r="A1146" s="2">
        <v>1144</v>
      </c>
      <c r="B1146" s="2" t="s">
        <v>6180</v>
      </c>
    </row>
    <row r="1147" spans="1:2" ht="18.75" customHeight="1" x14ac:dyDescent="0.3">
      <c r="A1147" s="2">
        <v>1145</v>
      </c>
      <c r="B1147" s="21" t="s">
        <v>6181</v>
      </c>
    </row>
    <row r="1148" spans="1:2" ht="18.75" customHeight="1" x14ac:dyDescent="0.3">
      <c r="A1148" s="2">
        <v>1146</v>
      </c>
      <c r="B1148" s="2" t="s">
        <v>6182</v>
      </c>
    </row>
    <row r="1149" spans="1:2" ht="18.75" customHeight="1" x14ac:dyDescent="0.3">
      <c r="A1149" s="2">
        <v>1147</v>
      </c>
      <c r="B1149" s="2" t="s">
        <v>6183</v>
      </c>
    </row>
    <row r="1150" spans="1:2" ht="18.75" customHeight="1" x14ac:dyDescent="0.3">
      <c r="A1150" s="2">
        <v>1148</v>
      </c>
      <c r="B1150" s="2" t="s">
        <v>6184</v>
      </c>
    </row>
    <row r="1151" spans="1:2" ht="18.75" customHeight="1" x14ac:dyDescent="0.3">
      <c r="A1151" s="2">
        <v>1149</v>
      </c>
      <c r="B1151" s="2" t="s">
        <v>6185</v>
      </c>
    </row>
    <row r="1152" spans="1:2" ht="18.75" customHeight="1" x14ac:dyDescent="0.3">
      <c r="A1152" s="2">
        <v>1150</v>
      </c>
      <c r="B1152" s="21" t="s">
        <v>6186</v>
      </c>
    </row>
    <row r="1153" spans="1:2" ht="18.75" customHeight="1" x14ac:dyDescent="0.3">
      <c r="A1153" s="2">
        <v>1151</v>
      </c>
      <c r="B1153" s="2" t="s">
        <v>6187</v>
      </c>
    </row>
    <row r="1154" spans="1:2" ht="18.75" customHeight="1" x14ac:dyDescent="0.3">
      <c r="A1154" s="2">
        <v>1152</v>
      </c>
      <c r="B1154" s="21" t="s">
        <v>6188</v>
      </c>
    </row>
    <row r="1155" spans="1:2" ht="18.75" customHeight="1" x14ac:dyDescent="0.3">
      <c r="A1155" s="2">
        <v>1153</v>
      </c>
      <c r="B1155" s="2" t="s">
        <v>6189</v>
      </c>
    </row>
    <row r="1156" spans="1:2" ht="18.75" customHeight="1" x14ac:dyDescent="0.3">
      <c r="A1156" s="2">
        <v>1154</v>
      </c>
      <c r="B1156" s="2" t="s">
        <v>6190</v>
      </c>
    </row>
    <row r="1157" spans="1:2" ht="18.75" customHeight="1" x14ac:dyDescent="0.3">
      <c r="A1157" s="2">
        <v>1155</v>
      </c>
      <c r="B1157" s="2" t="s">
        <v>6191</v>
      </c>
    </row>
    <row r="1158" spans="1:2" ht="18.75" customHeight="1" x14ac:dyDescent="0.3">
      <c r="A1158" s="2">
        <v>1156</v>
      </c>
      <c r="B1158" s="2" t="s">
        <v>6192</v>
      </c>
    </row>
    <row r="1159" spans="1:2" ht="18.75" customHeight="1" x14ac:dyDescent="0.3">
      <c r="A1159" s="2">
        <v>1157</v>
      </c>
      <c r="B1159" s="2" t="s">
        <v>6193</v>
      </c>
    </row>
    <row r="1160" spans="1:2" ht="18.75" customHeight="1" x14ac:dyDescent="0.3">
      <c r="A1160" s="2">
        <v>1158</v>
      </c>
      <c r="B1160" s="21" t="s">
        <v>6194</v>
      </c>
    </row>
    <row r="1161" spans="1:2" ht="18.75" customHeight="1" x14ac:dyDescent="0.3">
      <c r="A1161" s="2">
        <v>1159</v>
      </c>
      <c r="B1161" s="21" t="s">
        <v>6195</v>
      </c>
    </row>
    <row r="1162" spans="1:2" ht="18.75" customHeight="1" x14ac:dyDescent="0.3">
      <c r="A1162" s="2">
        <v>1160</v>
      </c>
      <c r="B1162" s="21" t="s">
        <v>6196</v>
      </c>
    </row>
    <row r="1163" spans="1:2" ht="18.75" customHeight="1" x14ac:dyDescent="0.3">
      <c r="A1163" s="2">
        <v>1161</v>
      </c>
      <c r="B1163" s="2" t="s">
        <v>6197</v>
      </c>
    </row>
    <row r="1164" spans="1:2" ht="18.75" customHeight="1" x14ac:dyDescent="0.3">
      <c r="A1164" s="2">
        <v>1162</v>
      </c>
      <c r="B1164" s="2" t="s">
        <v>6198</v>
      </c>
    </row>
    <row r="1165" spans="1:2" ht="18.75" customHeight="1" x14ac:dyDescent="0.3">
      <c r="A1165" s="2">
        <v>1163</v>
      </c>
      <c r="B1165" s="37" t="s">
        <v>6199</v>
      </c>
    </row>
    <row r="1166" spans="1:2" ht="18.75" customHeight="1" x14ac:dyDescent="0.3">
      <c r="A1166" s="2">
        <v>1164</v>
      </c>
      <c r="B1166" s="21" t="s">
        <v>6200</v>
      </c>
    </row>
    <row r="1167" spans="1:2" ht="18.75" customHeight="1" x14ac:dyDescent="0.3">
      <c r="A1167" s="2">
        <v>1165</v>
      </c>
      <c r="B1167" s="21" t="s">
        <v>6201</v>
      </c>
    </row>
    <row r="1168" spans="1:2" ht="18.75" customHeight="1" x14ac:dyDescent="0.3">
      <c r="A1168" s="2">
        <v>1166</v>
      </c>
      <c r="B1168" s="21" t="s">
        <v>6202</v>
      </c>
    </row>
    <row r="1169" spans="1:2" ht="18.75" customHeight="1" x14ac:dyDescent="0.3">
      <c r="A1169" s="2">
        <v>1167</v>
      </c>
      <c r="B1169" s="2" t="s">
        <v>6203</v>
      </c>
    </row>
    <row r="1170" spans="1:2" ht="18.75" customHeight="1" x14ac:dyDescent="0.3">
      <c r="A1170" s="2">
        <v>1168</v>
      </c>
      <c r="B1170" s="21" t="s">
        <v>6204</v>
      </c>
    </row>
    <row r="1171" spans="1:2" ht="18.75" customHeight="1" x14ac:dyDescent="0.3">
      <c r="A1171" s="2">
        <v>1169</v>
      </c>
      <c r="B1171" s="21" t="s">
        <v>6205</v>
      </c>
    </row>
    <row r="1172" spans="1:2" ht="18.75" customHeight="1" x14ac:dyDescent="0.3">
      <c r="A1172" s="2">
        <v>1170</v>
      </c>
      <c r="B1172" s="21" t="s">
        <v>6206</v>
      </c>
    </row>
    <row r="1173" spans="1:2" ht="18.75" customHeight="1" x14ac:dyDescent="0.3">
      <c r="A1173" s="2">
        <v>1171</v>
      </c>
      <c r="B1173" s="2" t="s">
        <v>6207</v>
      </c>
    </row>
    <row r="1174" spans="1:2" ht="18.75" customHeight="1" x14ac:dyDescent="0.3">
      <c r="A1174" s="2">
        <v>1172</v>
      </c>
      <c r="B1174" s="2" t="s">
        <v>6206</v>
      </c>
    </row>
    <row r="1175" spans="1:2" ht="18.75" customHeight="1" x14ac:dyDescent="0.3">
      <c r="A1175" s="2">
        <v>1173</v>
      </c>
      <c r="B1175" s="2" t="s">
        <v>6208</v>
      </c>
    </row>
    <row r="1176" spans="1:2" ht="18.75" customHeight="1" x14ac:dyDescent="0.3">
      <c r="A1176" s="2">
        <v>1174</v>
      </c>
      <c r="B1176" s="21" t="s">
        <v>6209</v>
      </c>
    </row>
    <row r="1177" spans="1:2" ht="18.75" customHeight="1" x14ac:dyDescent="0.3">
      <c r="A1177" s="2">
        <v>1175</v>
      </c>
      <c r="B1177" s="2" t="s">
        <v>6210</v>
      </c>
    </row>
    <row r="1178" spans="1:2" ht="18.75" customHeight="1" x14ac:dyDescent="0.3">
      <c r="A1178" s="2">
        <v>1176</v>
      </c>
      <c r="B1178" s="2" t="s">
        <v>6211</v>
      </c>
    </row>
    <row r="1179" spans="1:2" ht="18.75" customHeight="1" x14ac:dyDescent="0.3">
      <c r="A1179" s="2">
        <v>1177</v>
      </c>
      <c r="B1179" s="2" t="s">
        <v>6212</v>
      </c>
    </row>
    <row r="1180" spans="1:2" ht="18.75" customHeight="1" x14ac:dyDescent="0.3">
      <c r="A1180" s="2">
        <v>1178</v>
      </c>
      <c r="B1180" s="91" t="s">
        <v>6213</v>
      </c>
    </row>
    <row r="1181" spans="1:2" ht="18.75" customHeight="1" x14ac:dyDescent="0.3">
      <c r="A1181" s="2">
        <v>1179</v>
      </c>
      <c r="B1181" s="2" t="s">
        <v>6214</v>
      </c>
    </row>
    <row r="1182" spans="1:2" ht="18.75" customHeight="1" x14ac:dyDescent="0.3">
      <c r="A1182" s="2">
        <v>1180</v>
      </c>
      <c r="B1182" s="2" t="s">
        <v>6215</v>
      </c>
    </row>
    <row r="1183" spans="1:2" ht="18.75" customHeight="1" x14ac:dyDescent="0.3">
      <c r="A1183" s="2">
        <v>1181</v>
      </c>
      <c r="B1183" s="2" t="s">
        <v>6216</v>
      </c>
    </row>
    <row r="1184" spans="1:2" ht="18.75" customHeight="1" x14ac:dyDescent="0.3">
      <c r="A1184" s="2">
        <v>1182</v>
      </c>
      <c r="B1184" s="2" t="s">
        <v>6217</v>
      </c>
    </row>
    <row r="1185" spans="1:2" ht="18.75" customHeight="1" x14ac:dyDescent="0.3">
      <c r="A1185" s="2">
        <v>1183</v>
      </c>
      <c r="B1185" s="2" t="s">
        <v>6218</v>
      </c>
    </row>
    <row r="1186" spans="1:2" ht="18.75" customHeight="1" x14ac:dyDescent="0.3">
      <c r="A1186" s="2">
        <v>1184</v>
      </c>
      <c r="B1186" s="21" t="s">
        <v>6219</v>
      </c>
    </row>
    <row r="1187" spans="1:2" ht="18.75" customHeight="1" x14ac:dyDescent="0.3">
      <c r="A1187" s="2">
        <v>1185</v>
      </c>
      <c r="B1187" s="2" t="s">
        <v>6220</v>
      </c>
    </row>
    <row r="1188" spans="1:2" ht="18.75" customHeight="1" x14ac:dyDescent="0.3">
      <c r="A1188" s="2">
        <v>1186</v>
      </c>
      <c r="B1188" s="2" t="s">
        <v>6221</v>
      </c>
    </row>
    <row r="1189" spans="1:2" ht="18.75" customHeight="1" x14ac:dyDescent="0.3">
      <c r="A1189" s="2">
        <v>1187</v>
      </c>
      <c r="B1189" s="2" t="s">
        <v>6222</v>
      </c>
    </row>
    <row r="1190" spans="1:2" ht="18.75" customHeight="1" x14ac:dyDescent="0.3">
      <c r="A1190" s="2">
        <v>1188</v>
      </c>
      <c r="B1190" s="2" t="s">
        <v>6223</v>
      </c>
    </row>
    <row r="1191" spans="1:2" ht="18.75" customHeight="1" x14ac:dyDescent="0.3">
      <c r="A1191" s="2">
        <v>1189</v>
      </c>
      <c r="B1191" s="2" t="s">
        <v>6224</v>
      </c>
    </row>
    <row r="1192" spans="1:2" ht="18.75" customHeight="1" x14ac:dyDescent="0.3">
      <c r="A1192" s="2">
        <v>1190</v>
      </c>
      <c r="B1192" s="2" t="s">
        <v>6225</v>
      </c>
    </row>
    <row r="1193" spans="1:2" ht="18.75" customHeight="1" x14ac:dyDescent="0.3">
      <c r="A1193" s="2">
        <v>1191</v>
      </c>
      <c r="B1193" s="2" t="s">
        <v>6226</v>
      </c>
    </row>
    <row r="1194" spans="1:2" ht="18.75" customHeight="1" x14ac:dyDescent="0.3">
      <c r="A1194" s="2">
        <v>1192</v>
      </c>
      <c r="B1194" s="2" t="s">
        <v>6227</v>
      </c>
    </row>
    <row r="1195" spans="1:2" ht="18.75" customHeight="1" x14ac:dyDescent="0.3">
      <c r="A1195" s="2">
        <v>1193</v>
      </c>
      <c r="B1195" s="2" t="s">
        <v>6228</v>
      </c>
    </row>
    <row r="1196" spans="1:2" ht="18.75" customHeight="1" x14ac:dyDescent="0.3">
      <c r="A1196" s="2">
        <v>1194</v>
      </c>
      <c r="B1196" s="2" t="s">
        <v>6229</v>
      </c>
    </row>
    <row r="1197" spans="1:2" ht="18.75" customHeight="1" x14ac:dyDescent="0.3">
      <c r="A1197" s="2">
        <v>1195</v>
      </c>
      <c r="B1197" s="2" t="s">
        <v>6230</v>
      </c>
    </row>
    <row r="1198" spans="1:2" ht="18.75" customHeight="1" x14ac:dyDescent="0.3">
      <c r="A1198" s="2">
        <v>1196</v>
      </c>
      <c r="B1198" s="2" t="s">
        <v>6231</v>
      </c>
    </row>
    <row r="1199" spans="1:2" ht="18.75" customHeight="1" x14ac:dyDescent="0.3">
      <c r="A1199" s="2">
        <v>1197</v>
      </c>
      <c r="B1199" s="2" t="s">
        <v>6232</v>
      </c>
    </row>
    <row r="1200" spans="1:2" ht="18.75" customHeight="1" x14ac:dyDescent="0.3">
      <c r="A1200" s="2">
        <v>1198</v>
      </c>
      <c r="B1200" s="2" t="s">
        <v>6233</v>
      </c>
    </row>
    <row r="1201" spans="1:2" ht="18.75" customHeight="1" x14ac:dyDescent="0.3">
      <c r="A1201" s="2">
        <v>1199</v>
      </c>
      <c r="B1201" s="2" t="s">
        <v>6234</v>
      </c>
    </row>
    <row r="1202" spans="1:2" ht="18.75" customHeight="1" x14ac:dyDescent="0.3">
      <c r="A1202" s="2">
        <v>1200</v>
      </c>
      <c r="B1202" s="2" t="s">
        <v>6235</v>
      </c>
    </row>
    <row r="1203" spans="1:2" ht="18.75" customHeight="1" x14ac:dyDescent="0.3">
      <c r="A1203" s="2">
        <v>1201</v>
      </c>
      <c r="B1203" s="2" t="s">
        <v>6236</v>
      </c>
    </row>
    <row r="1204" spans="1:2" ht="18.75" customHeight="1" x14ac:dyDescent="0.3">
      <c r="A1204" s="2">
        <v>1202</v>
      </c>
      <c r="B1204" s="2" t="s">
        <v>6237</v>
      </c>
    </row>
    <row r="1205" spans="1:2" ht="18.75" customHeight="1" x14ac:dyDescent="0.3">
      <c r="A1205" s="2">
        <v>1203</v>
      </c>
      <c r="B1205" s="21" t="s">
        <v>6238</v>
      </c>
    </row>
    <row r="1206" spans="1:2" ht="18.75" customHeight="1" x14ac:dyDescent="0.3">
      <c r="A1206" s="2">
        <v>1204</v>
      </c>
      <c r="B1206" s="21" t="s">
        <v>6239</v>
      </c>
    </row>
    <row r="1207" spans="1:2" ht="18.75" customHeight="1" x14ac:dyDescent="0.3">
      <c r="A1207" s="2">
        <v>1205</v>
      </c>
      <c r="B1207" s="91" t="s">
        <v>6156</v>
      </c>
    </row>
    <row r="1208" spans="1:2" ht="18.75" customHeight="1" x14ac:dyDescent="0.3">
      <c r="A1208" s="2">
        <v>1206</v>
      </c>
      <c r="B1208" s="2" t="s">
        <v>6240</v>
      </c>
    </row>
    <row r="1209" spans="1:2" ht="18.75" customHeight="1" x14ac:dyDescent="0.3">
      <c r="A1209" s="2">
        <v>1207</v>
      </c>
      <c r="B1209" s="2" t="s">
        <v>6241</v>
      </c>
    </row>
    <row r="1210" spans="1:2" ht="18.75" customHeight="1" x14ac:dyDescent="0.3">
      <c r="A1210" s="2">
        <v>1208</v>
      </c>
      <c r="B1210" s="21" t="s">
        <v>6242</v>
      </c>
    </row>
    <row r="1211" spans="1:2" ht="18.75" customHeight="1" x14ac:dyDescent="0.3">
      <c r="A1211" s="2">
        <v>1209</v>
      </c>
      <c r="B1211" s="2" t="s">
        <v>6243</v>
      </c>
    </row>
    <row r="1212" spans="1:2" ht="18.75" customHeight="1" x14ac:dyDescent="0.3">
      <c r="A1212" s="2">
        <v>1210</v>
      </c>
      <c r="B1212" s="2" t="s">
        <v>6244</v>
      </c>
    </row>
    <row r="1213" spans="1:2" ht="18.75" customHeight="1" x14ac:dyDescent="0.3">
      <c r="A1213" s="2">
        <v>1211</v>
      </c>
      <c r="B1213" s="91" t="s">
        <v>6245</v>
      </c>
    </row>
    <row r="1214" spans="1:2" ht="18.75" customHeight="1" x14ac:dyDescent="0.3">
      <c r="A1214" s="2">
        <v>1212</v>
      </c>
      <c r="B1214" s="21" t="s">
        <v>6246</v>
      </c>
    </row>
    <row r="1215" spans="1:2" ht="18.75" customHeight="1" x14ac:dyDescent="0.3">
      <c r="A1215" s="2">
        <v>1213</v>
      </c>
      <c r="B1215" s="2" t="s">
        <v>6247</v>
      </c>
    </row>
    <row r="1216" spans="1:2" ht="18.75" customHeight="1" x14ac:dyDescent="0.3">
      <c r="A1216" s="2">
        <v>1214</v>
      </c>
      <c r="B1216" s="2" t="s">
        <v>6248</v>
      </c>
    </row>
    <row r="1217" spans="1:2" ht="18.75" customHeight="1" x14ac:dyDescent="0.3">
      <c r="A1217" s="2">
        <v>1215</v>
      </c>
      <c r="B1217" s="21" t="s">
        <v>6249</v>
      </c>
    </row>
    <row r="1218" spans="1:2" ht="18.75" customHeight="1" x14ac:dyDescent="0.3">
      <c r="A1218" s="2">
        <v>1216</v>
      </c>
      <c r="B1218" s="2" t="s">
        <v>6250</v>
      </c>
    </row>
    <row r="1219" spans="1:2" ht="18.75" customHeight="1" x14ac:dyDescent="0.3">
      <c r="A1219" s="2">
        <v>1217</v>
      </c>
      <c r="B1219" s="21" t="s">
        <v>6251</v>
      </c>
    </row>
    <row r="1220" spans="1:2" ht="18.75" customHeight="1" x14ac:dyDescent="0.3">
      <c r="A1220" s="2">
        <v>1218</v>
      </c>
      <c r="B1220" s="21" t="s">
        <v>6252</v>
      </c>
    </row>
    <row r="1221" spans="1:2" ht="18.75" customHeight="1" x14ac:dyDescent="0.3">
      <c r="A1221" s="2">
        <v>1219</v>
      </c>
      <c r="B1221" s="2" t="s">
        <v>6253</v>
      </c>
    </row>
    <row r="1222" spans="1:2" ht="18.75" customHeight="1" x14ac:dyDescent="0.3">
      <c r="A1222" s="2">
        <v>1220</v>
      </c>
      <c r="B1222" s="2" t="s">
        <v>6254</v>
      </c>
    </row>
    <row r="1223" spans="1:2" ht="18.75" customHeight="1" x14ac:dyDescent="0.3">
      <c r="A1223" s="2">
        <v>1221</v>
      </c>
      <c r="B1223" s="2" t="s">
        <v>6255</v>
      </c>
    </row>
    <row r="1224" spans="1:2" ht="18.75" customHeight="1" x14ac:dyDescent="0.3">
      <c r="A1224" s="2">
        <v>1222</v>
      </c>
      <c r="B1224" s="2" t="s">
        <v>6256</v>
      </c>
    </row>
    <row r="1225" spans="1:2" ht="18.75" customHeight="1" x14ac:dyDescent="0.3">
      <c r="A1225" s="2">
        <v>1223</v>
      </c>
      <c r="B1225" s="2" t="s">
        <v>6257</v>
      </c>
    </row>
    <row r="1226" spans="1:2" ht="18.75" customHeight="1" x14ac:dyDescent="0.3">
      <c r="A1226" s="2">
        <v>1224</v>
      </c>
      <c r="B1226" s="2" t="s">
        <v>6258</v>
      </c>
    </row>
    <row r="1227" spans="1:2" ht="18.75" customHeight="1" x14ac:dyDescent="0.3">
      <c r="A1227" s="2">
        <v>1225</v>
      </c>
      <c r="B1227" s="2" t="s">
        <v>6259</v>
      </c>
    </row>
    <row r="1228" spans="1:2" ht="18.75" customHeight="1" x14ac:dyDescent="0.3">
      <c r="A1228" s="2">
        <v>1226</v>
      </c>
      <c r="B1228" s="2" t="s">
        <v>6260</v>
      </c>
    </row>
    <row r="1229" spans="1:2" ht="18.75" customHeight="1" x14ac:dyDescent="0.3">
      <c r="A1229" s="2">
        <v>1227</v>
      </c>
      <c r="B1229" s="2" t="s">
        <v>6261</v>
      </c>
    </row>
    <row r="1230" spans="1:2" ht="18.75" customHeight="1" x14ac:dyDescent="0.3">
      <c r="A1230" s="2">
        <v>1228</v>
      </c>
      <c r="B1230" s="2" t="s">
        <v>6262</v>
      </c>
    </row>
    <row r="1231" spans="1:2" ht="18.75" customHeight="1" x14ac:dyDescent="0.3">
      <c r="A1231" s="2">
        <v>1229</v>
      </c>
      <c r="B1231" s="2" t="s">
        <v>6263</v>
      </c>
    </row>
    <row r="1232" spans="1:2" ht="18.75" customHeight="1" x14ac:dyDescent="0.3">
      <c r="A1232" s="2">
        <v>1230</v>
      </c>
      <c r="B1232" s="21" t="s">
        <v>6264</v>
      </c>
    </row>
    <row r="1233" spans="1:2" ht="18.75" customHeight="1" x14ac:dyDescent="0.3">
      <c r="A1233" s="2">
        <v>1231</v>
      </c>
      <c r="B1233" s="21" t="s">
        <v>6265</v>
      </c>
    </row>
    <row r="1234" spans="1:2" ht="18.75" customHeight="1" x14ac:dyDescent="0.3">
      <c r="A1234" s="2">
        <v>1232</v>
      </c>
      <c r="B1234" s="21" t="s">
        <v>6266</v>
      </c>
    </row>
    <row r="1235" spans="1:2" ht="18.75" customHeight="1" x14ac:dyDescent="0.3">
      <c r="A1235" s="2">
        <v>1233</v>
      </c>
      <c r="B1235" s="2" t="s">
        <v>6267</v>
      </c>
    </row>
    <row r="1236" spans="1:2" ht="18.75" customHeight="1" x14ac:dyDescent="0.3">
      <c r="A1236" s="2">
        <v>1234</v>
      </c>
      <c r="B1236" s="21" t="s">
        <v>6268</v>
      </c>
    </row>
    <row r="1237" spans="1:2" ht="18.75" customHeight="1" x14ac:dyDescent="0.3">
      <c r="A1237" s="2">
        <v>1235</v>
      </c>
      <c r="B1237" s="2" t="s">
        <v>6269</v>
      </c>
    </row>
    <row r="1238" spans="1:2" ht="18.75" customHeight="1" x14ac:dyDescent="0.3">
      <c r="A1238" s="2">
        <v>1236</v>
      </c>
      <c r="B1238" s="2" t="s">
        <v>6270</v>
      </c>
    </row>
    <row r="1239" spans="1:2" ht="18.75" customHeight="1" x14ac:dyDescent="0.3">
      <c r="A1239" s="2">
        <v>1237</v>
      </c>
      <c r="B1239" s="2" t="s">
        <v>6271</v>
      </c>
    </row>
    <row r="1240" spans="1:2" ht="18.75" customHeight="1" x14ac:dyDescent="0.3">
      <c r="A1240" s="2">
        <v>1238</v>
      </c>
      <c r="B1240" s="2" t="s">
        <v>6272</v>
      </c>
    </row>
    <row r="1241" spans="1:2" ht="18.75" customHeight="1" x14ac:dyDescent="0.3">
      <c r="A1241" s="2">
        <v>1239</v>
      </c>
      <c r="B1241" s="2" t="s">
        <v>6273</v>
      </c>
    </row>
    <row r="1242" spans="1:2" ht="18.75" customHeight="1" x14ac:dyDescent="0.3">
      <c r="A1242" s="2">
        <v>1240</v>
      </c>
      <c r="B1242" s="91" t="s">
        <v>6274</v>
      </c>
    </row>
    <row r="1243" spans="1:2" ht="18.75" customHeight="1" x14ac:dyDescent="0.3">
      <c r="A1243" s="2">
        <v>1241</v>
      </c>
      <c r="B1243" s="2" t="s">
        <v>6275</v>
      </c>
    </row>
    <row r="1244" spans="1:2" ht="18.75" customHeight="1" x14ac:dyDescent="0.3">
      <c r="A1244" s="2">
        <v>1242</v>
      </c>
      <c r="B1244" s="2" t="s">
        <v>6276</v>
      </c>
    </row>
    <row r="1245" spans="1:2" ht="18.75" customHeight="1" x14ac:dyDescent="0.3">
      <c r="A1245" s="2">
        <v>1243</v>
      </c>
      <c r="B1245" s="2" t="s">
        <v>6277</v>
      </c>
    </row>
    <row r="1246" spans="1:2" ht="18.75" customHeight="1" x14ac:dyDescent="0.3">
      <c r="A1246" s="2">
        <v>1244</v>
      </c>
      <c r="B1246" s="21" t="s">
        <v>6278</v>
      </c>
    </row>
    <row r="1247" spans="1:2" ht="18.75" customHeight="1" x14ac:dyDescent="0.3">
      <c r="A1247" s="2">
        <v>1245</v>
      </c>
      <c r="B1247" s="2" t="s">
        <v>6279</v>
      </c>
    </row>
    <row r="1248" spans="1:2" ht="18.75" customHeight="1" x14ac:dyDescent="0.3">
      <c r="A1248" s="2">
        <v>1246</v>
      </c>
      <c r="B1248" s="21" t="s">
        <v>6280</v>
      </c>
    </row>
    <row r="1249" spans="1:2" ht="18.75" customHeight="1" x14ac:dyDescent="0.3">
      <c r="A1249" s="2">
        <v>1247</v>
      </c>
      <c r="B1249" s="2" t="s">
        <v>6281</v>
      </c>
    </row>
    <row r="1250" spans="1:2" ht="18.75" customHeight="1" x14ac:dyDescent="0.3">
      <c r="A1250" s="2">
        <v>1248</v>
      </c>
      <c r="B1250" s="2" t="s">
        <v>6282</v>
      </c>
    </row>
    <row r="1251" spans="1:2" ht="18.75" customHeight="1" x14ac:dyDescent="0.3">
      <c r="A1251" s="2">
        <v>1249</v>
      </c>
      <c r="B1251" s="21" t="s">
        <v>6283</v>
      </c>
    </row>
    <row r="1252" spans="1:2" ht="18.75" customHeight="1" x14ac:dyDescent="0.3">
      <c r="A1252" s="2">
        <v>1250</v>
      </c>
      <c r="B1252" s="91" t="s">
        <v>6284</v>
      </c>
    </row>
    <row r="1253" spans="1:2" ht="18.75" customHeight="1" x14ac:dyDescent="0.3">
      <c r="A1253" s="2">
        <v>1251</v>
      </c>
      <c r="B1253" s="2" t="s">
        <v>6285</v>
      </c>
    </row>
    <row r="1254" spans="1:2" ht="18.75" customHeight="1" x14ac:dyDescent="0.3">
      <c r="A1254" s="2">
        <v>1252</v>
      </c>
      <c r="B1254" s="2" t="s">
        <v>6286</v>
      </c>
    </row>
    <row r="1255" spans="1:2" ht="18.75" customHeight="1" x14ac:dyDescent="0.3">
      <c r="A1255" s="2">
        <v>1253</v>
      </c>
      <c r="B1255" s="2" t="s">
        <v>6287</v>
      </c>
    </row>
    <row r="1256" spans="1:2" ht="18.75" customHeight="1" x14ac:dyDescent="0.3">
      <c r="A1256" s="2">
        <v>1254</v>
      </c>
      <c r="B1256" s="2" t="s">
        <v>6288</v>
      </c>
    </row>
    <row r="1257" spans="1:2" ht="18.75" customHeight="1" x14ac:dyDescent="0.3">
      <c r="A1257" s="2">
        <v>1255</v>
      </c>
      <c r="B1257" s="2" t="s">
        <v>6289</v>
      </c>
    </row>
    <row r="1258" spans="1:2" ht="18.75" customHeight="1" x14ac:dyDescent="0.3">
      <c r="A1258" s="2">
        <v>1256</v>
      </c>
      <c r="B1258" s="21" t="s">
        <v>6290</v>
      </c>
    </row>
    <row r="1259" spans="1:2" ht="18.75" customHeight="1" x14ac:dyDescent="0.3">
      <c r="A1259" s="2">
        <v>1257</v>
      </c>
      <c r="B1259" s="21" t="s">
        <v>6291</v>
      </c>
    </row>
    <row r="1260" spans="1:2" ht="18.75" customHeight="1" x14ac:dyDescent="0.3">
      <c r="A1260" s="2">
        <v>1258</v>
      </c>
      <c r="B1260" s="91" t="s">
        <v>6292</v>
      </c>
    </row>
    <row r="1261" spans="1:2" ht="18.75" customHeight="1" x14ac:dyDescent="0.3">
      <c r="A1261" s="2">
        <v>1259</v>
      </c>
      <c r="B1261" s="21" t="s">
        <v>6293</v>
      </c>
    </row>
    <row r="1262" spans="1:2" ht="18.75" customHeight="1" x14ac:dyDescent="0.3">
      <c r="A1262" s="2">
        <v>1260</v>
      </c>
      <c r="B1262" s="91" t="s">
        <v>6294</v>
      </c>
    </row>
    <row r="1263" spans="1:2" ht="18.75" customHeight="1" x14ac:dyDescent="0.3">
      <c r="A1263" s="2">
        <v>1261</v>
      </c>
      <c r="B1263" s="91" t="s">
        <v>6295</v>
      </c>
    </row>
    <row r="1264" spans="1:2" ht="18.75" customHeight="1" x14ac:dyDescent="0.3">
      <c r="A1264" s="2">
        <v>1262</v>
      </c>
      <c r="B1264" s="91" t="s">
        <v>6296</v>
      </c>
    </row>
    <row r="1265" spans="1:2" ht="18.75" customHeight="1" x14ac:dyDescent="0.3">
      <c r="A1265" s="2">
        <v>1263</v>
      </c>
      <c r="B1265" s="2" t="s">
        <v>6297</v>
      </c>
    </row>
    <row r="1266" spans="1:2" ht="18.75" customHeight="1" x14ac:dyDescent="0.3">
      <c r="A1266" s="2">
        <v>1264</v>
      </c>
      <c r="B1266" s="2" t="s">
        <v>6298</v>
      </c>
    </row>
    <row r="1267" spans="1:2" ht="18.75" customHeight="1" x14ac:dyDescent="0.3">
      <c r="A1267" s="2">
        <v>1265</v>
      </c>
      <c r="B1267" s="2" t="s">
        <v>6299</v>
      </c>
    </row>
    <row r="1268" spans="1:2" ht="18.75" customHeight="1" x14ac:dyDescent="0.3">
      <c r="A1268" s="2">
        <v>1266</v>
      </c>
      <c r="B1268" s="21" t="s">
        <v>6300</v>
      </c>
    </row>
    <row r="1269" spans="1:2" ht="18.75" customHeight="1" x14ac:dyDescent="0.3">
      <c r="A1269" s="2">
        <v>1267</v>
      </c>
      <c r="B1269" s="2" t="s">
        <v>6301</v>
      </c>
    </row>
    <row r="1270" spans="1:2" ht="18.75" customHeight="1" x14ac:dyDescent="0.3">
      <c r="A1270" s="2">
        <v>1268</v>
      </c>
      <c r="B1270" s="2" t="s">
        <v>6302</v>
      </c>
    </row>
    <row r="1271" spans="1:2" ht="18.75" customHeight="1" x14ac:dyDescent="0.3">
      <c r="A1271" s="2">
        <v>1269</v>
      </c>
      <c r="B1271" s="21" t="s">
        <v>6303</v>
      </c>
    </row>
    <row r="1272" spans="1:2" ht="18.75" customHeight="1" x14ac:dyDescent="0.3">
      <c r="A1272" s="2">
        <v>1270</v>
      </c>
      <c r="B1272" s="2" t="s">
        <v>6304</v>
      </c>
    </row>
    <row r="1273" spans="1:2" ht="18.75" customHeight="1" x14ac:dyDescent="0.3">
      <c r="A1273" s="2">
        <v>1271</v>
      </c>
      <c r="B1273" s="21" t="s">
        <v>6305</v>
      </c>
    </row>
    <row r="1274" spans="1:2" ht="18.75" customHeight="1" x14ac:dyDescent="0.3">
      <c r="A1274" s="2">
        <v>1272</v>
      </c>
      <c r="B1274" s="27" t="s">
        <v>6306</v>
      </c>
    </row>
    <row r="1275" spans="1:2" ht="18.75" customHeight="1" x14ac:dyDescent="0.3">
      <c r="A1275" s="2">
        <v>1273</v>
      </c>
      <c r="B1275" s="2" t="s">
        <v>6307</v>
      </c>
    </row>
    <row r="1276" spans="1:2" ht="18.75" customHeight="1" x14ac:dyDescent="0.3">
      <c r="A1276" s="2">
        <v>1274</v>
      </c>
      <c r="B1276" s="21" t="s">
        <v>6308</v>
      </c>
    </row>
    <row r="1277" spans="1:2" ht="18.75" customHeight="1" x14ac:dyDescent="0.3">
      <c r="A1277" s="2">
        <v>1275</v>
      </c>
      <c r="B1277" s="91" t="s">
        <v>6309</v>
      </c>
    </row>
    <row r="1278" spans="1:2" ht="18.75" customHeight="1" x14ac:dyDescent="0.3">
      <c r="A1278" s="2">
        <v>1276</v>
      </c>
      <c r="B1278" s="2" t="s">
        <v>6310</v>
      </c>
    </row>
    <row r="1279" spans="1:2" ht="18.75" customHeight="1" x14ac:dyDescent="0.3">
      <c r="A1279" s="2">
        <v>1277</v>
      </c>
      <c r="B1279" s="21" t="s">
        <v>6311</v>
      </c>
    </row>
    <row r="1280" spans="1:2" ht="18.75" customHeight="1" x14ac:dyDescent="0.3">
      <c r="A1280" s="2">
        <v>1278</v>
      </c>
      <c r="B1280" s="21" t="s">
        <v>6312</v>
      </c>
    </row>
    <row r="1281" spans="1:2" ht="18.75" customHeight="1" x14ac:dyDescent="0.3">
      <c r="A1281" s="2">
        <v>1279</v>
      </c>
      <c r="B1281" s="2" t="s">
        <v>6313</v>
      </c>
    </row>
    <row r="1282" spans="1:2" ht="18.75" customHeight="1" x14ac:dyDescent="0.3">
      <c r="A1282" s="2">
        <v>1280</v>
      </c>
      <c r="B1282" s="2" t="s">
        <v>6314</v>
      </c>
    </row>
    <row r="1283" spans="1:2" ht="18.75" customHeight="1" x14ac:dyDescent="0.3">
      <c r="A1283" s="2">
        <v>1281</v>
      </c>
      <c r="B1283" s="21" t="s">
        <v>6315</v>
      </c>
    </row>
    <row r="1284" spans="1:2" ht="18.75" customHeight="1" x14ac:dyDescent="0.3">
      <c r="A1284" s="2">
        <v>1282</v>
      </c>
      <c r="B1284" s="2" t="s">
        <v>6316</v>
      </c>
    </row>
    <row r="1285" spans="1:2" ht="18.75" customHeight="1" x14ac:dyDescent="0.3">
      <c r="A1285" s="2">
        <v>1283</v>
      </c>
      <c r="B1285" s="2" t="s">
        <v>6317</v>
      </c>
    </row>
    <row r="1286" spans="1:2" ht="18.75" customHeight="1" x14ac:dyDescent="0.3">
      <c r="A1286" s="2">
        <v>1284</v>
      </c>
      <c r="B1286" s="2" t="s">
        <v>6318</v>
      </c>
    </row>
    <row r="1287" spans="1:2" ht="18.75" customHeight="1" x14ac:dyDescent="0.3">
      <c r="A1287" s="2">
        <v>1285</v>
      </c>
      <c r="B1287" s="2" t="s">
        <v>6319</v>
      </c>
    </row>
    <row r="1288" spans="1:2" ht="18.75" customHeight="1" x14ac:dyDescent="0.3">
      <c r="A1288" s="2">
        <v>1286</v>
      </c>
      <c r="B1288" s="21" t="s">
        <v>6320</v>
      </c>
    </row>
    <row r="1289" spans="1:2" ht="18.75" customHeight="1" x14ac:dyDescent="0.3">
      <c r="A1289" s="2">
        <v>1287</v>
      </c>
      <c r="B1289" s="21" t="s">
        <v>6321</v>
      </c>
    </row>
    <row r="1290" spans="1:2" ht="18.75" customHeight="1" x14ac:dyDescent="0.3">
      <c r="A1290" s="2">
        <v>1288</v>
      </c>
      <c r="B1290" s="91" t="s">
        <v>6322</v>
      </c>
    </row>
    <row r="1291" spans="1:2" ht="18.75" customHeight="1" x14ac:dyDescent="0.3">
      <c r="A1291" s="2">
        <v>1289</v>
      </c>
      <c r="B1291" s="2" t="s">
        <v>6323</v>
      </c>
    </row>
    <row r="1292" spans="1:2" ht="18.75" customHeight="1" x14ac:dyDescent="0.3">
      <c r="A1292" s="2">
        <v>1290</v>
      </c>
      <c r="B1292" s="2" t="s">
        <v>6323</v>
      </c>
    </row>
    <row r="1293" spans="1:2" ht="18.75" customHeight="1" x14ac:dyDescent="0.3">
      <c r="A1293" s="2">
        <v>1291</v>
      </c>
      <c r="B1293" s="21" t="s">
        <v>6324</v>
      </c>
    </row>
    <row r="1294" spans="1:2" ht="18.75" customHeight="1" x14ac:dyDescent="0.3">
      <c r="A1294" s="2">
        <v>1292</v>
      </c>
      <c r="B1294" s="2" t="s">
        <v>6325</v>
      </c>
    </row>
    <row r="1295" spans="1:2" ht="18.75" customHeight="1" x14ac:dyDescent="0.3">
      <c r="A1295" s="2">
        <v>1293</v>
      </c>
      <c r="B1295" s="2" t="s">
        <v>6326</v>
      </c>
    </row>
    <row r="1296" spans="1:2" ht="18.75" customHeight="1" x14ac:dyDescent="0.3">
      <c r="A1296" s="2">
        <v>1294</v>
      </c>
      <c r="B1296" s="21" t="s">
        <v>6327</v>
      </c>
    </row>
    <row r="1297" spans="1:2" ht="18.75" customHeight="1" x14ac:dyDescent="0.3">
      <c r="A1297" s="2">
        <v>1295</v>
      </c>
      <c r="B1297" s="91" t="s">
        <v>6328</v>
      </c>
    </row>
    <row r="1298" spans="1:2" ht="18.75" customHeight="1" x14ac:dyDescent="0.3">
      <c r="A1298" s="2">
        <v>1296</v>
      </c>
      <c r="B1298" s="21" t="s">
        <v>6329</v>
      </c>
    </row>
    <row r="1299" spans="1:2" ht="18.75" customHeight="1" x14ac:dyDescent="0.3">
      <c r="A1299" s="2">
        <v>1297</v>
      </c>
      <c r="B1299" s="2" t="s">
        <v>6330</v>
      </c>
    </row>
    <row r="1300" spans="1:2" ht="18.75" customHeight="1" x14ac:dyDescent="0.3">
      <c r="A1300" s="2">
        <v>1298</v>
      </c>
      <c r="B1300" s="21" t="s">
        <v>6331</v>
      </c>
    </row>
    <row r="1301" spans="1:2" ht="18.75" customHeight="1" x14ac:dyDescent="0.3">
      <c r="A1301" s="2">
        <v>1299</v>
      </c>
      <c r="B1301" s="2" t="s">
        <v>6332</v>
      </c>
    </row>
    <row r="1302" spans="1:2" ht="18.75" customHeight="1" x14ac:dyDescent="0.3">
      <c r="A1302" s="2">
        <v>1300</v>
      </c>
      <c r="B1302" s="21" t="s">
        <v>6333</v>
      </c>
    </row>
    <row r="1303" spans="1:2" ht="18.75" customHeight="1" x14ac:dyDescent="0.3">
      <c r="A1303" s="2">
        <v>1301</v>
      </c>
      <c r="B1303" s="21" t="s">
        <v>6334</v>
      </c>
    </row>
    <row r="1304" spans="1:2" ht="18.75" customHeight="1" x14ac:dyDescent="0.3">
      <c r="A1304" s="2">
        <v>1302</v>
      </c>
      <c r="B1304" s="21" t="s">
        <v>6335</v>
      </c>
    </row>
    <row r="1305" spans="1:2" ht="18.75" customHeight="1" x14ac:dyDescent="0.3">
      <c r="A1305" s="2">
        <v>1303</v>
      </c>
      <c r="B1305" s="21" t="s">
        <v>6336</v>
      </c>
    </row>
    <row r="1306" spans="1:2" ht="18.75" customHeight="1" x14ac:dyDescent="0.3">
      <c r="A1306" s="2">
        <v>1304</v>
      </c>
      <c r="B1306" s="21" t="s">
        <v>6337</v>
      </c>
    </row>
    <row r="1307" spans="1:2" ht="18.75" customHeight="1" x14ac:dyDescent="0.3">
      <c r="A1307" s="2">
        <v>1305</v>
      </c>
      <c r="B1307" s="21" t="s">
        <v>6338</v>
      </c>
    </row>
    <row r="1308" spans="1:2" ht="18.75" customHeight="1" x14ac:dyDescent="0.3">
      <c r="A1308" s="2">
        <v>1306</v>
      </c>
      <c r="B1308" s="21" t="s">
        <v>6339</v>
      </c>
    </row>
    <row r="1309" spans="1:2" ht="18.75" customHeight="1" x14ac:dyDescent="0.3">
      <c r="A1309" s="2">
        <v>1307</v>
      </c>
      <c r="B1309" s="21" t="s">
        <v>6340</v>
      </c>
    </row>
    <row r="1310" spans="1:2" ht="18.75" customHeight="1" x14ac:dyDescent="0.3">
      <c r="A1310" s="2">
        <v>1308</v>
      </c>
      <c r="B1310" s="21" t="s">
        <v>6341</v>
      </c>
    </row>
    <row r="1311" spans="1:2" ht="18.75" customHeight="1" x14ac:dyDescent="0.3">
      <c r="A1311" s="2">
        <v>1309</v>
      </c>
      <c r="B1311" s="22" t="s">
        <v>6342</v>
      </c>
    </row>
    <row r="1312" spans="1:2" ht="18.75" customHeight="1" x14ac:dyDescent="0.3">
      <c r="A1312" s="2">
        <v>1310</v>
      </c>
      <c r="B1312" s="21" t="s">
        <v>6343</v>
      </c>
    </row>
    <row r="1313" spans="1:2" ht="18.75" customHeight="1" x14ac:dyDescent="0.3">
      <c r="A1313" s="2">
        <v>1311</v>
      </c>
      <c r="B1313" s="21" t="s">
        <v>6344</v>
      </c>
    </row>
    <row r="1314" spans="1:2" ht="18.75" customHeight="1" x14ac:dyDescent="0.3">
      <c r="A1314" s="2">
        <v>1312</v>
      </c>
      <c r="B1314" s="21" t="s">
        <v>6345</v>
      </c>
    </row>
    <row r="1315" spans="1:2" ht="18.75" customHeight="1" x14ac:dyDescent="0.3">
      <c r="A1315" s="2">
        <v>1313</v>
      </c>
      <c r="B1315" s="21" t="s">
        <v>6346</v>
      </c>
    </row>
    <row r="1316" spans="1:2" ht="18.75" customHeight="1" x14ac:dyDescent="0.3">
      <c r="A1316" s="2">
        <v>1314</v>
      </c>
      <c r="B1316" s="21" t="s">
        <v>6347</v>
      </c>
    </row>
    <row r="1317" spans="1:2" ht="18.75" customHeight="1" x14ac:dyDescent="0.3">
      <c r="A1317" s="2">
        <v>1315</v>
      </c>
      <c r="B1317" s="21" t="s">
        <v>6348</v>
      </c>
    </row>
    <row r="1318" spans="1:2" ht="18.75" customHeight="1" x14ac:dyDescent="0.3">
      <c r="A1318" s="2">
        <v>1316</v>
      </c>
      <c r="B1318" s="21" t="s">
        <v>6349</v>
      </c>
    </row>
    <row r="1319" spans="1:2" ht="18.75" customHeight="1" x14ac:dyDescent="0.3">
      <c r="A1319" s="2">
        <v>1317</v>
      </c>
      <c r="B1319" s="21" t="s">
        <v>6350</v>
      </c>
    </row>
    <row r="1320" spans="1:2" ht="18.75" customHeight="1" x14ac:dyDescent="0.3">
      <c r="A1320" s="2">
        <v>1318</v>
      </c>
      <c r="B1320" s="21" t="s">
        <v>6351</v>
      </c>
    </row>
    <row r="1321" spans="1:2" ht="18.75" customHeight="1" x14ac:dyDescent="0.3">
      <c r="A1321" s="2">
        <v>1319</v>
      </c>
      <c r="B1321" s="22" t="s">
        <v>6352</v>
      </c>
    </row>
    <row r="1322" spans="1:2" ht="18.75" customHeight="1" x14ac:dyDescent="0.3">
      <c r="A1322" s="2">
        <v>1320</v>
      </c>
      <c r="B1322" s="21" t="s">
        <v>6353</v>
      </c>
    </row>
    <row r="1323" spans="1:2" ht="18.75" customHeight="1" x14ac:dyDescent="0.3">
      <c r="A1323" s="2">
        <v>1321</v>
      </c>
      <c r="B1323" s="21" t="s">
        <v>6354</v>
      </c>
    </row>
    <row r="1324" spans="1:2" ht="18.75" customHeight="1" x14ac:dyDescent="0.3">
      <c r="A1324" s="2">
        <v>1322</v>
      </c>
      <c r="B1324" s="21" t="s">
        <v>6355</v>
      </c>
    </row>
    <row r="1325" spans="1:2" ht="18.75" customHeight="1" x14ac:dyDescent="0.3">
      <c r="A1325" s="2">
        <v>1323</v>
      </c>
      <c r="B1325" s="21" t="s">
        <v>6356</v>
      </c>
    </row>
    <row r="1326" spans="1:2" ht="18.75" customHeight="1" x14ac:dyDescent="0.3">
      <c r="A1326" s="2">
        <v>1324</v>
      </c>
      <c r="B1326" s="21" t="s">
        <v>6357</v>
      </c>
    </row>
    <row r="1327" spans="1:2" ht="18.75" customHeight="1" x14ac:dyDescent="0.3">
      <c r="A1327" s="2">
        <v>1325</v>
      </c>
      <c r="B1327" s="21" t="s">
        <v>6358</v>
      </c>
    </row>
    <row r="1328" spans="1:2" ht="18.75" customHeight="1" x14ac:dyDescent="0.3">
      <c r="A1328" s="2">
        <v>1326</v>
      </c>
      <c r="B1328" s="21" t="s">
        <v>6359</v>
      </c>
    </row>
    <row r="1329" spans="1:2" ht="18.75" customHeight="1" x14ac:dyDescent="0.3">
      <c r="A1329" s="2">
        <v>1327</v>
      </c>
      <c r="B1329" s="21" t="s">
        <v>6360</v>
      </c>
    </row>
    <row r="1330" spans="1:2" ht="18.75" customHeight="1" x14ac:dyDescent="0.3">
      <c r="A1330" s="2">
        <v>1328</v>
      </c>
      <c r="B1330" s="21" t="s">
        <v>6361</v>
      </c>
    </row>
    <row r="1331" spans="1:2" ht="18.75" customHeight="1" x14ac:dyDescent="0.3">
      <c r="A1331" s="2">
        <v>1329</v>
      </c>
      <c r="B1331" s="21" t="s">
        <v>6362</v>
      </c>
    </row>
    <row r="1332" spans="1:2" ht="18.75" customHeight="1" x14ac:dyDescent="0.3">
      <c r="A1332" s="2">
        <v>1330</v>
      </c>
      <c r="B1332" s="21" t="s">
        <v>6363</v>
      </c>
    </row>
    <row r="1333" spans="1:2" ht="18.75" customHeight="1" x14ac:dyDescent="0.3">
      <c r="A1333" s="2">
        <v>1331</v>
      </c>
      <c r="B1333" s="21" t="s">
        <v>6364</v>
      </c>
    </row>
    <row r="1334" spans="1:2" ht="18.75" customHeight="1" x14ac:dyDescent="0.3">
      <c r="A1334" s="2">
        <v>1332</v>
      </c>
      <c r="B1334" s="21" t="s">
        <v>6365</v>
      </c>
    </row>
    <row r="1335" spans="1:2" ht="18.75" customHeight="1" x14ac:dyDescent="0.3">
      <c r="A1335" s="2">
        <v>1333</v>
      </c>
      <c r="B1335" s="21" t="s">
        <v>6366</v>
      </c>
    </row>
    <row r="1336" spans="1:2" ht="18.75" customHeight="1" x14ac:dyDescent="0.3">
      <c r="A1336" s="2">
        <v>1334</v>
      </c>
      <c r="B1336" s="21" t="s">
        <v>6367</v>
      </c>
    </row>
    <row r="1337" spans="1:2" ht="18.75" customHeight="1" x14ac:dyDescent="0.3">
      <c r="A1337" s="2">
        <v>1335</v>
      </c>
      <c r="B1337" s="21" t="s">
        <v>6368</v>
      </c>
    </row>
    <row r="1338" spans="1:2" ht="18.75" customHeight="1" x14ac:dyDescent="0.3">
      <c r="A1338" s="2">
        <v>1336</v>
      </c>
      <c r="B1338" s="21" t="s">
        <v>6369</v>
      </c>
    </row>
    <row r="1339" spans="1:2" ht="18.75" customHeight="1" x14ac:dyDescent="0.3">
      <c r="A1339" s="2">
        <v>1337</v>
      </c>
      <c r="B1339" s="22" t="s">
        <v>6370</v>
      </c>
    </row>
    <row r="1340" spans="1:2" ht="18.75" customHeight="1" x14ac:dyDescent="0.3">
      <c r="A1340" s="2">
        <v>1338</v>
      </c>
      <c r="B1340" s="21" t="s">
        <v>6371</v>
      </c>
    </row>
    <row r="1341" spans="1:2" ht="18.75" customHeight="1" x14ac:dyDescent="0.3">
      <c r="A1341" s="2">
        <v>1339</v>
      </c>
      <c r="B1341" s="21" t="s">
        <v>6372</v>
      </c>
    </row>
    <row r="1342" spans="1:2" ht="18.75" customHeight="1" x14ac:dyDescent="0.3">
      <c r="A1342" s="2">
        <v>1340</v>
      </c>
      <c r="B1342" s="27" t="s">
        <v>6373</v>
      </c>
    </row>
    <row r="1343" spans="1:2" ht="18.75" customHeight="1" x14ac:dyDescent="0.3">
      <c r="A1343" s="2">
        <v>1341</v>
      </c>
      <c r="B1343" s="21" t="s">
        <v>6374</v>
      </c>
    </row>
    <row r="1344" spans="1:2" ht="18.75" customHeight="1" x14ac:dyDescent="0.3">
      <c r="A1344" s="2">
        <v>1342</v>
      </c>
      <c r="B1344" s="21" t="s">
        <v>6375</v>
      </c>
    </row>
    <row r="1345" spans="1:2" ht="18.75" customHeight="1" x14ac:dyDescent="0.3">
      <c r="A1345" s="2">
        <v>1343</v>
      </c>
      <c r="B1345" s="21" t="s">
        <v>6376</v>
      </c>
    </row>
    <row r="1346" spans="1:2" ht="18.75" customHeight="1" x14ac:dyDescent="0.3">
      <c r="A1346" s="2">
        <v>1344</v>
      </c>
      <c r="B1346" s="2" t="s">
        <v>6377</v>
      </c>
    </row>
    <row r="1347" spans="1:2" ht="18.75" customHeight="1" x14ac:dyDescent="0.3">
      <c r="A1347" s="2">
        <v>1345</v>
      </c>
      <c r="B1347" s="2" t="s">
        <v>6378</v>
      </c>
    </row>
    <row r="1348" spans="1:2" ht="18.75" customHeight="1" x14ac:dyDescent="0.3">
      <c r="A1348" s="2">
        <v>1346</v>
      </c>
      <c r="B1348" s="21" t="s">
        <v>6379</v>
      </c>
    </row>
    <row r="1349" spans="1:2" ht="18.75" customHeight="1" x14ac:dyDescent="0.3">
      <c r="A1349" s="2">
        <v>1347</v>
      </c>
      <c r="B1349" s="2" t="s">
        <v>6380</v>
      </c>
    </row>
    <row r="1350" spans="1:2" ht="18.75" customHeight="1" x14ac:dyDescent="0.3">
      <c r="A1350" s="2">
        <v>1348</v>
      </c>
      <c r="B1350" s="2" t="s">
        <v>6381</v>
      </c>
    </row>
    <row r="1351" spans="1:2" ht="18.75" customHeight="1" x14ac:dyDescent="0.3">
      <c r="A1351" s="2">
        <v>1349</v>
      </c>
      <c r="B1351" s="2" t="s">
        <v>6382</v>
      </c>
    </row>
    <row r="1352" spans="1:2" ht="18.75" customHeight="1" x14ac:dyDescent="0.3">
      <c r="A1352" s="2">
        <v>1350</v>
      </c>
      <c r="B1352" s="2" t="s">
        <v>6383</v>
      </c>
    </row>
    <row r="1353" spans="1:2" ht="18.75" customHeight="1" x14ac:dyDescent="0.3">
      <c r="A1353" s="2">
        <v>1351</v>
      </c>
      <c r="B1353" s="2" t="s">
        <v>6384</v>
      </c>
    </row>
    <row r="1354" spans="1:2" ht="18.75" customHeight="1" x14ac:dyDescent="0.3">
      <c r="A1354" s="2">
        <v>1352</v>
      </c>
      <c r="B1354" s="2" t="s">
        <v>6385</v>
      </c>
    </row>
    <row r="1355" spans="1:2" ht="18.75" customHeight="1" x14ac:dyDescent="0.3">
      <c r="A1355" s="2">
        <v>1353</v>
      </c>
      <c r="B1355" s="2" t="s">
        <v>6386</v>
      </c>
    </row>
    <row r="1356" spans="1:2" ht="18.75" customHeight="1" x14ac:dyDescent="0.3">
      <c r="A1356" s="2">
        <v>1354</v>
      </c>
      <c r="B1356" s="21" t="s">
        <v>6387</v>
      </c>
    </row>
    <row r="1357" spans="1:2" ht="18.75" customHeight="1" x14ac:dyDescent="0.3">
      <c r="A1357" s="2">
        <v>1355</v>
      </c>
      <c r="B1357" s="21" t="s">
        <v>6388</v>
      </c>
    </row>
    <row r="1358" spans="1:2" ht="18.75" customHeight="1" x14ac:dyDescent="0.3">
      <c r="A1358" s="2">
        <v>1356</v>
      </c>
      <c r="B1358" s="2" t="s">
        <v>6389</v>
      </c>
    </row>
    <row r="1359" spans="1:2" ht="18.75" customHeight="1" x14ac:dyDescent="0.3">
      <c r="A1359" s="2">
        <v>1357</v>
      </c>
      <c r="B1359" s="2" t="s">
        <v>6390</v>
      </c>
    </row>
    <row r="1360" spans="1:2" ht="18.75" customHeight="1" x14ac:dyDescent="0.3">
      <c r="A1360" s="2">
        <v>1358</v>
      </c>
      <c r="B1360" s="21" t="s">
        <v>6391</v>
      </c>
    </row>
    <row r="1361" spans="1:2" ht="18.75" customHeight="1" x14ac:dyDescent="0.3">
      <c r="A1361" s="2">
        <v>1359</v>
      </c>
      <c r="B1361" s="2" t="s">
        <v>6392</v>
      </c>
    </row>
    <row r="1362" spans="1:2" ht="18.75" customHeight="1" x14ac:dyDescent="0.3">
      <c r="A1362" s="2">
        <v>1360</v>
      </c>
      <c r="B1362" s="21" t="s">
        <v>6393</v>
      </c>
    </row>
    <row r="1363" spans="1:2" ht="18.75" customHeight="1" x14ac:dyDescent="0.3">
      <c r="A1363" s="2">
        <v>1361</v>
      </c>
      <c r="B1363" s="2" t="s">
        <v>6394</v>
      </c>
    </row>
    <row r="1364" spans="1:2" ht="18.75" customHeight="1" x14ac:dyDescent="0.3">
      <c r="A1364" s="2">
        <v>1362</v>
      </c>
      <c r="B1364" s="21" t="s">
        <v>6395</v>
      </c>
    </row>
    <row r="1365" spans="1:2" ht="18.75" customHeight="1" x14ac:dyDescent="0.3">
      <c r="A1365" s="2">
        <v>1363</v>
      </c>
      <c r="B1365" s="21" t="s">
        <v>6396</v>
      </c>
    </row>
    <row r="1366" spans="1:2" ht="18.75" customHeight="1" x14ac:dyDescent="0.3">
      <c r="A1366" s="2">
        <v>1364</v>
      </c>
      <c r="B1366" s="2" t="s">
        <v>6397</v>
      </c>
    </row>
    <row r="1367" spans="1:2" ht="18.75" customHeight="1" x14ac:dyDescent="0.3">
      <c r="A1367" s="2">
        <v>1365</v>
      </c>
      <c r="B1367" s="91" t="s">
        <v>6398</v>
      </c>
    </row>
    <row r="1368" spans="1:2" ht="18.75" customHeight="1" x14ac:dyDescent="0.3">
      <c r="A1368" s="2">
        <v>1366</v>
      </c>
      <c r="B1368" s="21" t="s">
        <v>6399</v>
      </c>
    </row>
    <row r="1369" spans="1:2" ht="18.75" customHeight="1" x14ac:dyDescent="0.3">
      <c r="A1369" s="2">
        <v>1367</v>
      </c>
      <c r="B1369" s="2" t="s">
        <v>6400</v>
      </c>
    </row>
    <row r="1370" spans="1:2" ht="18.75" customHeight="1" x14ac:dyDescent="0.3">
      <c r="A1370" s="2">
        <v>1368</v>
      </c>
      <c r="B1370" s="21" t="s">
        <v>6401</v>
      </c>
    </row>
    <row r="1371" spans="1:2" ht="18.75" customHeight="1" x14ac:dyDescent="0.3">
      <c r="A1371" s="2">
        <v>1369</v>
      </c>
      <c r="B1371" s="21" t="s">
        <v>6402</v>
      </c>
    </row>
    <row r="1372" spans="1:2" ht="18.75" customHeight="1" x14ac:dyDescent="0.3">
      <c r="A1372" s="2">
        <v>1370</v>
      </c>
      <c r="B1372" s="21" t="s">
        <v>6403</v>
      </c>
    </row>
    <row r="1373" spans="1:2" ht="18.75" customHeight="1" x14ac:dyDescent="0.3">
      <c r="A1373" s="2">
        <v>1371</v>
      </c>
      <c r="B1373" s="21" t="s">
        <v>6404</v>
      </c>
    </row>
    <row r="1374" spans="1:2" ht="18.75" customHeight="1" x14ac:dyDescent="0.3">
      <c r="A1374" s="2">
        <v>1372</v>
      </c>
      <c r="B1374" s="21" t="s">
        <v>6405</v>
      </c>
    </row>
    <row r="1375" spans="1:2" ht="18.75" customHeight="1" x14ac:dyDescent="0.3">
      <c r="A1375" s="2">
        <v>1373</v>
      </c>
      <c r="B1375" s="21" t="s">
        <v>6406</v>
      </c>
    </row>
    <row r="1376" spans="1:2" ht="18.75" customHeight="1" x14ac:dyDescent="0.3">
      <c r="A1376" s="2">
        <v>1374</v>
      </c>
      <c r="B1376" s="21" t="s">
        <v>6407</v>
      </c>
    </row>
    <row r="1377" spans="1:2" ht="18.75" customHeight="1" x14ac:dyDescent="0.3">
      <c r="A1377" s="2">
        <v>1375</v>
      </c>
      <c r="B1377" s="2" t="s">
        <v>6408</v>
      </c>
    </row>
    <row r="1378" spans="1:2" ht="18.75" customHeight="1" x14ac:dyDescent="0.3">
      <c r="A1378" s="2">
        <v>1376</v>
      </c>
      <c r="B1378" s="21" t="s">
        <v>6409</v>
      </c>
    </row>
    <row r="1379" spans="1:2" ht="18.75" customHeight="1" x14ac:dyDescent="0.3">
      <c r="A1379" s="2">
        <v>1377</v>
      </c>
      <c r="B1379" s="21" t="s">
        <v>6410</v>
      </c>
    </row>
    <row r="1380" spans="1:2" ht="18.75" customHeight="1" x14ac:dyDescent="0.3">
      <c r="A1380" s="2">
        <v>1378</v>
      </c>
      <c r="B1380" s="2" t="s">
        <v>6411</v>
      </c>
    </row>
    <row r="1381" spans="1:2" ht="18.75" customHeight="1" x14ac:dyDescent="0.3">
      <c r="A1381" s="2">
        <v>1379</v>
      </c>
      <c r="B1381" s="2" t="s">
        <v>6412</v>
      </c>
    </row>
    <row r="1382" spans="1:2" ht="18.75" customHeight="1" x14ac:dyDescent="0.3">
      <c r="A1382" s="2">
        <v>1380</v>
      </c>
      <c r="B1382" s="2" t="s">
        <v>6413</v>
      </c>
    </row>
    <row r="1383" spans="1:2" ht="18.75" customHeight="1" x14ac:dyDescent="0.3">
      <c r="A1383" s="2">
        <v>1381</v>
      </c>
      <c r="B1383" s="2" t="s">
        <v>6414</v>
      </c>
    </row>
    <row r="1384" spans="1:2" ht="18.75" customHeight="1" x14ac:dyDescent="0.3">
      <c r="A1384" s="2">
        <v>1382</v>
      </c>
      <c r="B1384" s="27" t="s">
        <v>6415</v>
      </c>
    </row>
    <row r="1385" spans="1:2" ht="18.75" customHeight="1" x14ac:dyDescent="0.3">
      <c r="A1385" s="2">
        <v>1383</v>
      </c>
      <c r="B1385" s="2" t="s">
        <v>6416</v>
      </c>
    </row>
    <row r="1386" spans="1:2" ht="18.75" customHeight="1" x14ac:dyDescent="0.3">
      <c r="A1386" s="2">
        <v>1384</v>
      </c>
      <c r="B1386" s="21" t="s">
        <v>6417</v>
      </c>
    </row>
    <row r="1387" spans="1:2" ht="18.75" customHeight="1" x14ac:dyDescent="0.3">
      <c r="A1387" s="2">
        <v>1385</v>
      </c>
      <c r="B1387" s="21" t="s">
        <v>6418</v>
      </c>
    </row>
    <row r="1388" spans="1:2" ht="18.75" customHeight="1" x14ac:dyDescent="0.3">
      <c r="A1388" s="2">
        <v>1386</v>
      </c>
      <c r="B1388" s="21" t="s">
        <v>6419</v>
      </c>
    </row>
    <row r="1389" spans="1:2" ht="18.75" customHeight="1" x14ac:dyDescent="0.3">
      <c r="A1389" s="2">
        <v>1387</v>
      </c>
      <c r="B1389" s="21" t="s">
        <v>6420</v>
      </c>
    </row>
    <row r="1390" spans="1:2" ht="18.75" customHeight="1" x14ac:dyDescent="0.3">
      <c r="A1390" s="2">
        <v>1388</v>
      </c>
      <c r="B1390" s="21" t="s">
        <v>6421</v>
      </c>
    </row>
    <row r="1391" spans="1:2" ht="18.75" customHeight="1" x14ac:dyDescent="0.3">
      <c r="A1391" s="2">
        <v>1389</v>
      </c>
      <c r="B1391" s="21" t="s">
        <v>6422</v>
      </c>
    </row>
    <row r="1392" spans="1:2" ht="18.75" customHeight="1" x14ac:dyDescent="0.3">
      <c r="A1392" s="2">
        <v>1390</v>
      </c>
      <c r="B1392" s="21" t="s">
        <v>6423</v>
      </c>
    </row>
    <row r="1393" spans="1:2" ht="18.75" customHeight="1" x14ac:dyDescent="0.3">
      <c r="A1393" s="2">
        <v>1391</v>
      </c>
      <c r="B1393" s="2" t="s">
        <v>6424</v>
      </c>
    </row>
    <row r="1394" spans="1:2" ht="18.75" customHeight="1" x14ac:dyDescent="0.3">
      <c r="A1394" s="2">
        <v>1392</v>
      </c>
      <c r="B1394" s="21" t="s">
        <v>6425</v>
      </c>
    </row>
    <row r="1395" spans="1:2" ht="18.75" customHeight="1" x14ac:dyDescent="0.3">
      <c r="A1395" s="2">
        <v>1393</v>
      </c>
      <c r="B1395" s="21" t="s">
        <v>6426</v>
      </c>
    </row>
    <row r="1396" spans="1:2" ht="18.75" customHeight="1" x14ac:dyDescent="0.3">
      <c r="A1396" s="2">
        <v>1394</v>
      </c>
      <c r="B1396" s="21" t="s">
        <v>6427</v>
      </c>
    </row>
    <row r="1397" spans="1:2" ht="18.75" customHeight="1" x14ac:dyDescent="0.3">
      <c r="A1397" s="2">
        <v>1395</v>
      </c>
      <c r="B1397" s="21" t="s">
        <v>6428</v>
      </c>
    </row>
    <row r="1398" spans="1:2" ht="18.75" customHeight="1" x14ac:dyDescent="0.3">
      <c r="A1398" s="2">
        <v>1396</v>
      </c>
      <c r="B1398" s="21" t="s">
        <v>6429</v>
      </c>
    </row>
    <row r="1399" spans="1:2" ht="18.75" customHeight="1" x14ac:dyDescent="0.3">
      <c r="A1399" s="2">
        <v>1397</v>
      </c>
      <c r="B1399" s="2" t="s">
        <v>6430</v>
      </c>
    </row>
    <row r="1400" spans="1:2" ht="18.75" customHeight="1" x14ac:dyDescent="0.3">
      <c r="A1400" s="2">
        <v>1398</v>
      </c>
      <c r="B1400" s="2" t="s">
        <v>6431</v>
      </c>
    </row>
    <row r="1401" spans="1:2" ht="18.75" customHeight="1" x14ac:dyDescent="0.3">
      <c r="A1401" s="2">
        <v>1399</v>
      </c>
      <c r="B1401" s="21" t="s">
        <v>6432</v>
      </c>
    </row>
    <row r="1402" spans="1:2" ht="18.75" customHeight="1" x14ac:dyDescent="0.3">
      <c r="A1402" s="2">
        <v>1400</v>
      </c>
      <c r="B1402" s="21" t="s">
        <v>6433</v>
      </c>
    </row>
    <row r="1403" spans="1:2" ht="18.75" customHeight="1" x14ac:dyDescent="0.3">
      <c r="A1403" s="2">
        <v>1401</v>
      </c>
      <c r="B1403" s="21" t="s">
        <v>6434</v>
      </c>
    </row>
    <row r="1404" spans="1:2" ht="18.75" customHeight="1" x14ac:dyDescent="0.3">
      <c r="A1404" s="2">
        <v>1402</v>
      </c>
      <c r="B1404" s="21" t="s">
        <v>6435</v>
      </c>
    </row>
    <row r="1405" spans="1:2" ht="18.75" customHeight="1" x14ac:dyDescent="0.3">
      <c r="A1405" s="2">
        <v>1403</v>
      </c>
      <c r="B1405" s="21" t="s">
        <v>6436</v>
      </c>
    </row>
    <row r="1406" spans="1:2" ht="18.75" customHeight="1" x14ac:dyDescent="0.3">
      <c r="A1406" s="2">
        <v>1404</v>
      </c>
      <c r="B1406" s="21" t="s">
        <v>6437</v>
      </c>
    </row>
    <row r="1407" spans="1:2" ht="18.75" customHeight="1" x14ac:dyDescent="0.3">
      <c r="A1407" s="2">
        <v>1405</v>
      </c>
      <c r="B1407" s="21" t="s">
        <v>6438</v>
      </c>
    </row>
    <row r="1408" spans="1:2" ht="18.75" customHeight="1" x14ac:dyDescent="0.3">
      <c r="A1408" s="2">
        <v>1406</v>
      </c>
      <c r="B1408" s="21" t="s">
        <v>6439</v>
      </c>
    </row>
    <row r="1409" spans="1:2" ht="18.75" customHeight="1" x14ac:dyDescent="0.3">
      <c r="A1409" s="2">
        <v>1407</v>
      </c>
      <c r="B1409" s="21" t="s">
        <v>6440</v>
      </c>
    </row>
    <row r="1410" spans="1:2" ht="18.75" customHeight="1" x14ac:dyDescent="0.3">
      <c r="A1410" s="2">
        <v>1408</v>
      </c>
      <c r="B1410" s="21" t="s">
        <v>6441</v>
      </c>
    </row>
    <row r="1411" spans="1:2" ht="18.75" customHeight="1" x14ac:dyDescent="0.3">
      <c r="A1411" s="2">
        <v>1409</v>
      </c>
      <c r="B1411" s="21" t="s">
        <v>6442</v>
      </c>
    </row>
    <row r="1412" spans="1:2" ht="18.75" customHeight="1" x14ac:dyDescent="0.3">
      <c r="A1412" s="2">
        <v>1410</v>
      </c>
      <c r="B1412" s="21" t="s">
        <v>6443</v>
      </c>
    </row>
    <row r="1413" spans="1:2" ht="18.75" customHeight="1" x14ac:dyDescent="0.3">
      <c r="A1413" s="2">
        <v>1411</v>
      </c>
      <c r="B1413" s="21" t="s">
        <v>6444</v>
      </c>
    </row>
    <row r="1414" spans="1:2" ht="18.75" customHeight="1" x14ac:dyDescent="0.3">
      <c r="A1414" s="2">
        <v>1412</v>
      </c>
      <c r="B1414" s="21" t="s">
        <v>6445</v>
      </c>
    </row>
    <row r="1415" spans="1:2" ht="18.75" customHeight="1" x14ac:dyDescent="0.3">
      <c r="A1415" s="2">
        <v>1413</v>
      </c>
      <c r="B1415" s="21" t="s">
        <v>6446</v>
      </c>
    </row>
    <row r="1416" spans="1:2" ht="18.75" customHeight="1" x14ac:dyDescent="0.3">
      <c r="A1416" s="2">
        <v>1414</v>
      </c>
      <c r="B1416" s="21" t="s">
        <v>6447</v>
      </c>
    </row>
    <row r="1417" spans="1:2" ht="18.75" customHeight="1" x14ac:dyDescent="0.3">
      <c r="A1417" s="2">
        <v>1415</v>
      </c>
      <c r="B1417" s="21" t="s">
        <v>6448</v>
      </c>
    </row>
    <row r="1418" spans="1:2" ht="18.75" customHeight="1" x14ac:dyDescent="0.3">
      <c r="A1418" s="2">
        <v>1416</v>
      </c>
      <c r="B1418" s="21" t="s">
        <v>6449</v>
      </c>
    </row>
    <row r="1419" spans="1:2" ht="18.75" customHeight="1" x14ac:dyDescent="0.3">
      <c r="A1419" s="2">
        <v>1417</v>
      </c>
      <c r="B1419" s="21" t="s">
        <v>6450</v>
      </c>
    </row>
    <row r="1420" spans="1:2" ht="18.75" customHeight="1" x14ac:dyDescent="0.3">
      <c r="A1420" s="2">
        <v>1418</v>
      </c>
      <c r="B1420" s="21" t="s">
        <v>6451</v>
      </c>
    </row>
    <row r="1421" spans="1:2" ht="18.75" customHeight="1" x14ac:dyDescent="0.3">
      <c r="A1421" s="2">
        <v>1419</v>
      </c>
      <c r="B1421" s="21" t="s">
        <v>6452</v>
      </c>
    </row>
    <row r="1422" spans="1:2" ht="18.75" customHeight="1" x14ac:dyDescent="0.3">
      <c r="A1422" s="2">
        <v>1420</v>
      </c>
      <c r="B1422" s="21" t="s">
        <v>6453</v>
      </c>
    </row>
    <row r="1423" spans="1:2" ht="18.75" customHeight="1" x14ac:dyDescent="0.3">
      <c r="A1423" s="2">
        <v>1421</v>
      </c>
      <c r="B1423" s="21" t="s">
        <v>6454</v>
      </c>
    </row>
    <row r="1424" spans="1:2" ht="18.75" customHeight="1" x14ac:dyDescent="0.3">
      <c r="A1424" s="2">
        <v>1422</v>
      </c>
      <c r="B1424" s="21" t="s">
        <v>6455</v>
      </c>
    </row>
    <row r="1425" spans="1:2" ht="18.75" customHeight="1" x14ac:dyDescent="0.3">
      <c r="A1425" s="2">
        <v>1423</v>
      </c>
      <c r="B1425" s="21" t="s">
        <v>6456</v>
      </c>
    </row>
    <row r="1426" spans="1:2" ht="18.75" customHeight="1" x14ac:dyDescent="0.3">
      <c r="A1426" s="2">
        <v>1424</v>
      </c>
      <c r="B1426" s="22" t="s">
        <v>6457</v>
      </c>
    </row>
    <row r="1427" spans="1:2" ht="18.75" customHeight="1" x14ac:dyDescent="0.3">
      <c r="A1427" s="2">
        <v>1425</v>
      </c>
      <c r="B1427" s="2" t="s">
        <v>6458</v>
      </c>
    </row>
    <row r="1428" spans="1:2" ht="18.75" customHeight="1" x14ac:dyDescent="0.3">
      <c r="A1428" s="2">
        <v>1426</v>
      </c>
      <c r="B1428" s="21" t="s">
        <v>6459</v>
      </c>
    </row>
    <row r="1429" spans="1:2" ht="18.75" customHeight="1" x14ac:dyDescent="0.3">
      <c r="A1429" s="2">
        <v>1427</v>
      </c>
      <c r="B1429" s="21" t="s">
        <v>6460</v>
      </c>
    </row>
    <row r="1430" spans="1:2" ht="18.75" customHeight="1" x14ac:dyDescent="0.3">
      <c r="A1430" s="2">
        <v>1428</v>
      </c>
      <c r="B1430" s="21" t="s">
        <v>6461</v>
      </c>
    </row>
    <row r="1431" spans="1:2" ht="18.75" customHeight="1" x14ac:dyDescent="0.3">
      <c r="A1431" s="2">
        <v>1429</v>
      </c>
      <c r="B1431" s="2" t="s">
        <v>6462</v>
      </c>
    </row>
    <row r="1432" spans="1:2" ht="18.75" customHeight="1" x14ac:dyDescent="0.3">
      <c r="A1432" s="2">
        <v>1430</v>
      </c>
      <c r="B1432" s="21" t="s">
        <v>6463</v>
      </c>
    </row>
    <row r="1433" spans="1:2" ht="18.75" customHeight="1" x14ac:dyDescent="0.3">
      <c r="A1433" s="2">
        <v>1431</v>
      </c>
      <c r="B1433" s="21" t="s">
        <v>6464</v>
      </c>
    </row>
    <row r="1434" spans="1:2" ht="18.75" customHeight="1" x14ac:dyDescent="0.3">
      <c r="A1434" s="2">
        <v>1432</v>
      </c>
      <c r="B1434" s="21" t="s">
        <v>6218</v>
      </c>
    </row>
    <row r="1435" spans="1:2" ht="18.75" customHeight="1" x14ac:dyDescent="0.3">
      <c r="A1435" s="2">
        <v>1433</v>
      </c>
      <c r="B1435" s="2" t="s">
        <v>6465</v>
      </c>
    </row>
    <row r="1436" spans="1:2" ht="18.75" customHeight="1" x14ac:dyDescent="0.3">
      <c r="A1436" s="2">
        <v>1434</v>
      </c>
      <c r="B1436" s="22" t="s">
        <v>6466</v>
      </c>
    </row>
    <row r="1437" spans="1:2" ht="18.75" customHeight="1" x14ac:dyDescent="0.3">
      <c r="A1437" s="2">
        <v>1435</v>
      </c>
      <c r="B1437" s="2" t="s">
        <v>6467</v>
      </c>
    </row>
    <row r="1438" spans="1:2" ht="18.75" customHeight="1" x14ac:dyDescent="0.3">
      <c r="A1438" s="2">
        <v>1436</v>
      </c>
      <c r="B1438" s="21" t="s">
        <v>6468</v>
      </c>
    </row>
    <row r="1439" spans="1:2" ht="18.75" customHeight="1" x14ac:dyDescent="0.3">
      <c r="A1439" s="2">
        <v>1437</v>
      </c>
      <c r="B1439" s="21" t="s">
        <v>6469</v>
      </c>
    </row>
    <row r="1440" spans="1:2" ht="18.75" customHeight="1" x14ac:dyDescent="0.3">
      <c r="A1440" s="2">
        <v>1438</v>
      </c>
      <c r="B1440" s="2" t="s">
        <v>6470</v>
      </c>
    </row>
    <row r="1441" spans="1:2" ht="18.75" customHeight="1" x14ac:dyDescent="0.3">
      <c r="A1441" s="2">
        <v>1439</v>
      </c>
      <c r="B1441" s="21" t="s">
        <v>6471</v>
      </c>
    </row>
    <row r="1442" spans="1:2" ht="18.75" customHeight="1" x14ac:dyDescent="0.3">
      <c r="A1442" s="2">
        <v>1440</v>
      </c>
      <c r="B1442" s="2" t="s">
        <v>6472</v>
      </c>
    </row>
    <row r="1443" spans="1:2" ht="18.75" customHeight="1" x14ac:dyDescent="0.3">
      <c r="A1443" s="2">
        <v>1441</v>
      </c>
      <c r="B1443" s="2" t="s">
        <v>6473</v>
      </c>
    </row>
    <row r="1444" spans="1:2" ht="18.75" customHeight="1" x14ac:dyDescent="0.3">
      <c r="A1444" s="2">
        <v>1442</v>
      </c>
      <c r="B1444" s="21" t="s">
        <v>6474</v>
      </c>
    </row>
    <row r="1445" spans="1:2" ht="18.75" customHeight="1" x14ac:dyDescent="0.3">
      <c r="A1445" s="2">
        <v>1443</v>
      </c>
      <c r="B1445" s="91" t="s">
        <v>6475</v>
      </c>
    </row>
    <row r="1446" spans="1:2" ht="18.75" customHeight="1" x14ac:dyDescent="0.3">
      <c r="A1446" s="2">
        <v>1444</v>
      </c>
      <c r="B1446" s="2" t="s">
        <v>6476</v>
      </c>
    </row>
    <row r="1447" spans="1:2" ht="18.75" customHeight="1" x14ac:dyDescent="0.3">
      <c r="A1447" s="2">
        <v>1445</v>
      </c>
      <c r="B1447" s="21" t="s">
        <v>6477</v>
      </c>
    </row>
    <row r="1448" spans="1:2" ht="18.75" customHeight="1" x14ac:dyDescent="0.25">
      <c r="A1448" s="2">
        <v>1446</v>
      </c>
      <c r="B1448" s="42" t="s">
        <v>6478</v>
      </c>
    </row>
    <row r="1449" spans="1:2" ht="18.75" customHeight="1" x14ac:dyDescent="0.3">
      <c r="A1449" s="2">
        <v>1447</v>
      </c>
      <c r="B1449" s="21" t="s">
        <v>6479</v>
      </c>
    </row>
    <row r="1450" spans="1:2" ht="18.75" customHeight="1" x14ac:dyDescent="0.3">
      <c r="A1450" s="2">
        <v>1448</v>
      </c>
      <c r="B1450" s="2" t="s">
        <v>6480</v>
      </c>
    </row>
    <row r="1451" spans="1:2" ht="18.75" customHeight="1" x14ac:dyDescent="0.3">
      <c r="A1451" s="2">
        <v>1449</v>
      </c>
      <c r="B1451" s="21" t="s">
        <v>6481</v>
      </c>
    </row>
    <row r="1452" spans="1:2" ht="18.75" customHeight="1" x14ac:dyDescent="0.3">
      <c r="A1452" s="2">
        <v>1450</v>
      </c>
      <c r="B1452" s="2" t="s">
        <v>6482</v>
      </c>
    </row>
    <row r="1453" spans="1:2" ht="18.75" customHeight="1" x14ac:dyDescent="0.3">
      <c r="A1453" s="2">
        <v>1451</v>
      </c>
      <c r="B1453" s="21" t="s">
        <v>6483</v>
      </c>
    </row>
    <row r="1454" spans="1:2" ht="18.75" customHeight="1" x14ac:dyDescent="0.3">
      <c r="A1454" s="2">
        <v>1452</v>
      </c>
      <c r="B1454" s="2" t="s">
        <v>6484</v>
      </c>
    </row>
    <row r="1455" spans="1:2" ht="18.75" customHeight="1" x14ac:dyDescent="0.3">
      <c r="A1455" s="2">
        <v>1453</v>
      </c>
      <c r="B1455" s="2" t="s">
        <v>6485</v>
      </c>
    </row>
    <row r="1456" spans="1:2" ht="18.75" customHeight="1" x14ac:dyDescent="0.3">
      <c r="A1456" s="2">
        <v>1454</v>
      </c>
      <c r="B1456" s="21" t="s">
        <v>6486</v>
      </c>
    </row>
    <row r="1457" spans="1:2" ht="18.75" customHeight="1" x14ac:dyDescent="0.3">
      <c r="A1457" s="2">
        <v>1455</v>
      </c>
      <c r="B1457" s="2" t="s">
        <v>6487</v>
      </c>
    </row>
    <row r="1458" spans="1:2" ht="18.75" customHeight="1" x14ac:dyDescent="0.3">
      <c r="A1458" s="2">
        <v>1456</v>
      </c>
      <c r="B1458" s="91" t="s">
        <v>6488</v>
      </c>
    </row>
    <row r="1459" spans="1:2" ht="18.75" customHeight="1" x14ac:dyDescent="0.3">
      <c r="A1459" s="2">
        <v>1457</v>
      </c>
      <c r="B1459" s="2" t="s">
        <v>6489</v>
      </c>
    </row>
    <row r="1460" spans="1:2" ht="18.75" customHeight="1" x14ac:dyDescent="0.3">
      <c r="A1460" s="2">
        <v>1458</v>
      </c>
      <c r="B1460" s="2" t="s">
        <v>6490</v>
      </c>
    </row>
    <row r="1461" spans="1:2" ht="18.75" customHeight="1" x14ac:dyDescent="0.3">
      <c r="A1461" s="2">
        <v>1459</v>
      </c>
      <c r="B1461" s="2" t="s">
        <v>6491</v>
      </c>
    </row>
    <row r="1462" spans="1:2" ht="18.75" customHeight="1" x14ac:dyDescent="0.3">
      <c r="A1462" s="2">
        <v>1460</v>
      </c>
      <c r="B1462" s="21" t="s">
        <v>6492</v>
      </c>
    </row>
    <row r="1463" spans="1:2" ht="18.75" customHeight="1" x14ac:dyDescent="0.3">
      <c r="A1463" s="2">
        <v>1461</v>
      </c>
      <c r="B1463" s="2" t="s">
        <v>6493</v>
      </c>
    </row>
    <row r="1464" spans="1:2" ht="18.75" customHeight="1" x14ac:dyDescent="0.3">
      <c r="A1464" s="2">
        <v>1462</v>
      </c>
      <c r="B1464" s="2" t="s">
        <v>6494</v>
      </c>
    </row>
    <row r="1465" spans="1:2" ht="18.75" customHeight="1" x14ac:dyDescent="0.3">
      <c r="A1465" s="2">
        <v>1463</v>
      </c>
      <c r="B1465" s="2" t="s">
        <v>6495</v>
      </c>
    </row>
    <row r="1466" spans="1:2" ht="18.75" customHeight="1" x14ac:dyDescent="0.3">
      <c r="A1466" s="2">
        <v>1464</v>
      </c>
      <c r="B1466" s="2" t="s">
        <v>6496</v>
      </c>
    </row>
    <row r="1467" spans="1:2" ht="18.75" customHeight="1" x14ac:dyDescent="0.3">
      <c r="A1467" s="2">
        <v>1465</v>
      </c>
      <c r="B1467" s="91" t="s">
        <v>6497</v>
      </c>
    </row>
    <row r="1468" spans="1:2" ht="18.75" customHeight="1" x14ac:dyDescent="0.3">
      <c r="A1468" s="2">
        <v>1466</v>
      </c>
      <c r="B1468" s="91" t="s">
        <v>6498</v>
      </c>
    </row>
    <row r="1469" spans="1:2" ht="18.75" customHeight="1" x14ac:dyDescent="0.3">
      <c r="A1469" s="2">
        <v>1467</v>
      </c>
      <c r="B1469" s="2" t="s">
        <v>6499</v>
      </c>
    </row>
    <row r="1470" spans="1:2" ht="18.75" customHeight="1" x14ac:dyDescent="0.3">
      <c r="A1470" s="2">
        <v>1468</v>
      </c>
      <c r="B1470" s="2" t="s">
        <v>6500</v>
      </c>
    </row>
    <row r="1471" spans="1:2" ht="18.75" customHeight="1" x14ac:dyDescent="0.3">
      <c r="A1471" s="2">
        <v>1469</v>
      </c>
      <c r="B1471" s="2" t="s">
        <v>6501</v>
      </c>
    </row>
    <row r="1472" spans="1:2" ht="18.75" customHeight="1" x14ac:dyDescent="0.3">
      <c r="A1472" s="2">
        <v>1470</v>
      </c>
      <c r="B1472" s="2" t="s">
        <v>6502</v>
      </c>
    </row>
    <row r="1473" spans="1:2" ht="18.75" customHeight="1" x14ac:dyDescent="0.3">
      <c r="A1473" s="2">
        <v>1471</v>
      </c>
      <c r="B1473" s="2" t="s">
        <v>6503</v>
      </c>
    </row>
    <row r="1474" spans="1:2" ht="18.75" customHeight="1" x14ac:dyDescent="0.3">
      <c r="A1474" s="2">
        <v>1472</v>
      </c>
      <c r="B1474" s="21" t="s">
        <v>6504</v>
      </c>
    </row>
    <row r="1475" spans="1:2" ht="18.75" customHeight="1" x14ac:dyDescent="0.3">
      <c r="A1475" s="2">
        <v>1473</v>
      </c>
      <c r="B1475" s="21" t="s">
        <v>6505</v>
      </c>
    </row>
    <row r="1476" spans="1:2" ht="18.75" customHeight="1" x14ac:dyDescent="0.3">
      <c r="A1476" s="2">
        <v>1474</v>
      </c>
      <c r="B1476" s="2" t="s">
        <v>6506</v>
      </c>
    </row>
    <row r="1477" spans="1:2" ht="18.75" customHeight="1" x14ac:dyDescent="0.3">
      <c r="A1477" s="2">
        <v>1475</v>
      </c>
      <c r="B1477" s="2" t="s">
        <v>6507</v>
      </c>
    </row>
    <row r="1478" spans="1:2" ht="18.75" customHeight="1" x14ac:dyDescent="0.3">
      <c r="A1478" s="2">
        <v>1476</v>
      </c>
      <c r="B1478" s="2" t="s">
        <v>6508</v>
      </c>
    </row>
    <row r="1479" spans="1:2" ht="18.75" customHeight="1" x14ac:dyDescent="0.3">
      <c r="A1479" s="2">
        <v>1477</v>
      </c>
      <c r="B1479" s="2" t="s">
        <v>6509</v>
      </c>
    </row>
    <row r="1480" spans="1:2" ht="18.75" customHeight="1" x14ac:dyDescent="0.3">
      <c r="A1480" s="2">
        <v>1478</v>
      </c>
      <c r="B1480" s="2" t="s">
        <v>6510</v>
      </c>
    </row>
    <row r="1481" spans="1:2" ht="18.75" customHeight="1" x14ac:dyDescent="0.3">
      <c r="A1481" s="2">
        <v>1479</v>
      </c>
      <c r="B1481" s="2" t="s">
        <v>6511</v>
      </c>
    </row>
    <row r="1482" spans="1:2" ht="18.75" customHeight="1" x14ac:dyDescent="0.3">
      <c r="A1482" s="2">
        <v>1480</v>
      </c>
      <c r="B1482" s="2" t="s">
        <v>6512</v>
      </c>
    </row>
    <row r="1483" spans="1:2" ht="18.75" customHeight="1" x14ac:dyDescent="0.3">
      <c r="A1483" s="2">
        <v>1481</v>
      </c>
      <c r="B1483" s="2" t="s">
        <v>6513</v>
      </c>
    </row>
    <row r="1484" spans="1:2" ht="18.75" customHeight="1" x14ac:dyDescent="0.3">
      <c r="A1484" s="2">
        <v>1482</v>
      </c>
      <c r="B1484" s="2" t="s">
        <v>6514</v>
      </c>
    </row>
    <row r="1485" spans="1:2" ht="18.75" customHeight="1" x14ac:dyDescent="0.3">
      <c r="A1485" s="2">
        <v>1483</v>
      </c>
      <c r="B1485" s="2" t="s">
        <v>6515</v>
      </c>
    </row>
    <row r="1486" spans="1:2" ht="18.75" customHeight="1" x14ac:dyDescent="0.3">
      <c r="A1486" s="2">
        <v>1484</v>
      </c>
      <c r="B1486" s="2" t="s">
        <v>6516</v>
      </c>
    </row>
    <row r="1487" spans="1:2" ht="18.75" customHeight="1" x14ac:dyDescent="0.3">
      <c r="A1487" s="2">
        <v>1485</v>
      </c>
      <c r="B1487" s="21" t="s">
        <v>6517</v>
      </c>
    </row>
    <row r="1488" spans="1:2" ht="18.75" customHeight="1" x14ac:dyDescent="0.3">
      <c r="A1488" s="2">
        <v>1486</v>
      </c>
      <c r="B1488" s="2" t="s">
        <v>6518</v>
      </c>
    </row>
    <row r="1489" spans="1:2" ht="18.75" customHeight="1" x14ac:dyDescent="0.3">
      <c r="A1489" s="2">
        <v>1487</v>
      </c>
      <c r="B1489" s="2" t="s">
        <v>6519</v>
      </c>
    </row>
    <row r="1490" spans="1:2" ht="18.75" customHeight="1" x14ac:dyDescent="0.3">
      <c r="A1490" s="2">
        <v>1488</v>
      </c>
      <c r="B1490" s="21" t="s">
        <v>6520</v>
      </c>
    </row>
    <row r="1491" spans="1:2" ht="18.75" customHeight="1" x14ac:dyDescent="0.3">
      <c r="A1491" s="2">
        <v>1489</v>
      </c>
      <c r="B1491" s="2" t="s">
        <v>6521</v>
      </c>
    </row>
    <row r="1492" spans="1:2" ht="18.75" customHeight="1" x14ac:dyDescent="0.3">
      <c r="A1492" s="2">
        <v>1490</v>
      </c>
      <c r="B1492" s="2" t="s">
        <v>6522</v>
      </c>
    </row>
    <row r="1493" spans="1:2" ht="18.75" customHeight="1" x14ac:dyDescent="0.3">
      <c r="A1493" s="2">
        <v>1491</v>
      </c>
      <c r="B1493" s="2" t="s">
        <v>6523</v>
      </c>
    </row>
    <row r="1494" spans="1:2" ht="18.75" customHeight="1" x14ac:dyDescent="0.3">
      <c r="A1494" s="2">
        <v>1492</v>
      </c>
      <c r="B1494" s="2" t="s">
        <v>6524</v>
      </c>
    </row>
    <row r="1495" spans="1:2" ht="18.75" customHeight="1" x14ac:dyDescent="0.3">
      <c r="A1495" s="2">
        <v>1493</v>
      </c>
      <c r="B1495" s="2" t="s">
        <v>6525</v>
      </c>
    </row>
    <row r="1496" spans="1:2" ht="18.75" customHeight="1" x14ac:dyDescent="0.3">
      <c r="A1496" s="2">
        <v>1494</v>
      </c>
      <c r="B1496" s="21" t="s">
        <v>6526</v>
      </c>
    </row>
    <row r="1497" spans="1:2" ht="18.75" customHeight="1" x14ac:dyDescent="0.3">
      <c r="A1497" s="2">
        <v>1495</v>
      </c>
      <c r="B1497" s="2" t="s">
        <v>6527</v>
      </c>
    </row>
    <row r="1498" spans="1:2" ht="18.75" customHeight="1" x14ac:dyDescent="0.3">
      <c r="A1498" s="2" t="s">
        <v>6528</v>
      </c>
      <c r="B1498" s="92" t="s">
        <v>6529</v>
      </c>
    </row>
    <row r="1499" spans="1:2" ht="18.75" customHeight="1" x14ac:dyDescent="0.3">
      <c r="A1499" s="2">
        <v>1496</v>
      </c>
      <c r="B1499" s="2" t="s">
        <v>6530</v>
      </c>
    </row>
    <row r="1500" spans="1:2" ht="18.75" customHeight="1" x14ac:dyDescent="0.3">
      <c r="A1500" s="2">
        <v>1497</v>
      </c>
      <c r="B1500" s="2" t="s">
        <v>6531</v>
      </c>
    </row>
    <row r="1501" spans="1:2" ht="18.75" customHeight="1" x14ac:dyDescent="0.3">
      <c r="A1501" s="2">
        <v>1498</v>
      </c>
      <c r="B1501" s="2" t="s">
        <v>6532</v>
      </c>
    </row>
    <row r="1502" spans="1:2" ht="18.75" customHeight="1" x14ac:dyDescent="0.3">
      <c r="A1502" s="2">
        <v>1499</v>
      </c>
      <c r="B1502" s="2" t="s">
        <v>6533</v>
      </c>
    </row>
    <row r="1503" spans="1:2" ht="18.75" customHeight="1" x14ac:dyDescent="0.3">
      <c r="A1503" s="2">
        <v>1500</v>
      </c>
      <c r="B1503" s="2" t="s">
        <v>6534</v>
      </c>
    </row>
    <row r="1504" spans="1:2" ht="18.75" customHeight="1" x14ac:dyDescent="0.3">
      <c r="A1504" s="2">
        <v>1501</v>
      </c>
      <c r="B1504" s="91" t="s">
        <v>6535</v>
      </c>
    </row>
    <row r="1505" spans="1:2" ht="18.75" customHeight="1" x14ac:dyDescent="0.3">
      <c r="A1505" s="2">
        <v>1502</v>
      </c>
      <c r="B1505" s="2" t="s">
        <v>6536</v>
      </c>
    </row>
    <row r="1506" spans="1:2" ht="18.75" customHeight="1" x14ac:dyDescent="0.3">
      <c r="A1506" s="2">
        <v>1503</v>
      </c>
      <c r="B1506" s="91" t="s">
        <v>6537</v>
      </c>
    </row>
    <row r="1507" spans="1:2" ht="18.75" customHeight="1" x14ac:dyDescent="0.3">
      <c r="A1507" s="2">
        <v>1504</v>
      </c>
      <c r="B1507" s="2" t="s">
        <v>6538</v>
      </c>
    </row>
    <row r="1508" spans="1:2" ht="18.75" customHeight="1" x14ac:dyDescent="0.3">
      <c r="A1508" s="2">
        <v>1505</v>
      </c>
      <c r="B1508" s="2" t="s">
        <v>6539</v>
      </c>
    </row>
    <row r="1509" spans="1:2" ht="18.75" customHeight="1" x14ac:dyDescent="0.3">
      <c r="A1509" s="2">
        <v>1506</v>
      </c>
      <c r="B1509" s="91" t="s">
        <v>6540</v>
      </c>
    </row>
    <row r="1510" spans="1:2" ht="18.75" customHeight="1" x14ac:dyDescent="0.3">
      <c r="A1510" s="2">
        <v>1507</v>
      </c>
      <c r="B1510" s="91" t="s">
        <v>6541</v>
      </c>
    </row>
    <row r="1511" spans="1:2" ht="18.75" customHeight="1" x14ac:dyDescent="0.3">
      <c r="A1511" s="2">
        <v>1508</v>
      </c>
      <c r="B1511" s="21" t="s">
        <v>6542</v>
      </c>
    </row>
    <row r="1512" spans="1:2" ht="18.75" customHeight="1" x14ac:dyDescent="0.3">
      <c r="A1512" s="2">
        <v>1509</v>
      </c>
      <c r="B1512" s="2" t="s">
        <v>6543</v>
      </c>
    </row>
    <row r="1513" spans="1:2" ht="18.75" customHeight="1" x14ac:dyDescent="0.3">
      <c r="A1513" s="2">
        <v>1510</v>
      </c>
      <c r="B1513" s="2" t="s">
        <v>6544</v>
      </c>
    </row>
    <row r="1514" spans="1:2" ht="18.75" customHeight="1" x14ac:dyDescent="0.3">
      <c r="A1514" s="2">
        <v>1511</v>
      </c>
      <c r="B1514" s="2" t="s">
        <v>6545</v>
      </c>
    </row>
    <row r="1515" spans="1:2" ht="18.75" customHeight="1" x14ac:dyDescent="0.3">
      <c r="A1515" s="2">
        <v>1512</v>
      </c>
      <c r="B1515" s="21" t="s">
        <v>6546</v>
      </c>
    </row>
    <row r="1516" spans="1:2" ht="18.75" customHeight="1" x14ac:dyDescent="0.3">
      <c r="A1516" s="2">
        <v>1513</v>
      </c>
      <c r="B1516" s="91" t="s">
        <v>6547</v>
      </c>
    </row>
    <row r="1517" spans="1:2" ht="18.75" customHeight="1" x14ac:dyDescent="0.3">
      <c r="A1517" s="2">
        <v>1514</v>
      </c>
      <c r="B1517" s="21" t="s">
        <v>6548</v>
      </c>
    </row>
    <row r="1518" spans="1:2" ht="18.75" customHeight="1" x14ac:dyDescent="0.3">
      <c r="A1518" s="2">
        <v>1515</v>
      </c>
      <c r="B1518" s="2" t="s">
        <v>6549</v>
      </c>
    </row>
    <row r="1519" spans="1:2" ht="18.75" customHeight="1" x14ac:dyDescent="0.3">
      <c r="A1519" s="2">
        <v>1516</v>
      </c>
      <c r="B1519" s="21" t="s">
        <v>6550</v>
      </c>
    </row>
    <row r="1520" spans="1:2" ht="18.75" customHeight="1" x14ac:dyDescent="0.3">
      <c r="A1520" s="2">
        <v>1517</v>
      </c>
      <c r="B1520" s="91" t="s">
        <v>6551</v>
      </c>
    </row>
    <row r="1521" spans="1:2" ht="18.75" customHeight="1" x14ac:dyDescent="0.3">
      <c r="A1521" s="2">
        <v>1518</v>
      </c>
      <c r="B1521" s="21" t="s">
        <v>6552</v>
      </c>
    </row>
    <row r="1522" spans="1:2" ht="18.75" customHeight="1" x14ac:dyDescent="0.3">
      <c r="A1522" s="2">
        <v>1519</v>
      </c>
      <c r="B1522" s="21" t="s">
        <v>6553</v>
      </c>
    </row>
    <row r="1523" spans="1:2" ht="18.75" customHeight="1" x14ac:dyDescent="0.3">
      <c r="A1523" s="2">
        <v>1520</v>
      </c>
      <c r="B1523" s="2" t="s">
        <v>6554</v>
      </c>
    </row>
    <row r="1524" spans="1:2" ht="18.75" customHeight="1" x14ac:dyDescent="0.3">
      <c r="A1524" s="2">
        <v>1521</v>
      </c>
      <c r="B1524" s="21" t="s">
        <v>6555</v>
      </c>
    </row>
    <row r="1525" spans="1:2" ht="18.75" customHeight="1" x14ac:dyDescent="0.3">
      <c r="A1525" s="2">
        <v>1522</v>
      </c>
      <c r="B1525" s="2" t="s">
        <v>6556</v>
      </c>
    </row>
    <row r="1526" spans="1:2" ht="18.75" customHeight="1" x14ac:dyDescent="0.3">
      <c r="A1526" s="2">
        <v>1523</v>
      </c>
      <c r="B1526" s="2" t="s">
        <v>6557</v>
      </c>
    </row>
    <row r="1527" spans="1:2" ht="18.75" customHeight="1" x14ac:dyDescent="0.3">
      <c r="A1527" s="2">
        <v>1524</v>
      </c>
      <c r="B1527" s="2" t="s">
        <v>6558</v>
      </c>
    </row>
    <row r="1528" spans="1:2" ht="18.75" customHeight="1" x14ac:dyDescent="0.3">
      <c r="A1528" s="2">
        <v>1525</v>
      </c>
      <c r="B1528" s="21" t="s">
        <v>6559</v>
      </c>
    </row>
    <row r="1529" spans="1:2" ht="18.75" customHeight="1" x14ac:dyDescent="0.3">
      <c r="A1529" s="2">
        <v>1526</v>
      </c>
      <c r="B1529" s="91" t="s">
        <v>7223</v>
      </c>
    </row>
    <row r="1530" spans="1:2" ht="18.75" customHeight="1" x14ac:dyDescent="0.3">
      <c r="A1530" s="2">
        <v>1527</v>
      </c>
      <c r="B1530" s="21" t="s">
        <v>6560</v>
      </c>
    </row>
    <row r="1531" spans="1:2" ht="18.75" customHeight="1" x14ac:dyDescent="0.3">
      <c r="A1531" s="2">
        <v>1528</v>
      </c>
      <c r="B1531" s="21" t="s">
        <v>6561</v>
      </c>
    </row>
    <row r="1532" spans="1:2" ht="18.75" customHeight="1" x14ac:dyDescent="0.3">
      <c r="A1532" s="2">
        <v>1529</v>
      </c>
      <c r="B1532" s="2" t="s">
        <v>6562</v>
      </c>
    </row>
    <row r="1533" spans="1:2" ht="18.75" customHeight="1" x14ac:dyDescent="0.3">
      <c r="A1533" s="2">
        <v>1530</v>
      </c>
      <c r="B1533" s="91" t="s">
        <v>6563</v>
      </c>
    </row>
    <row r="1534" spans="1:2" ht="18.75" customHeight="1" x14ac:dyDescent="0.3">
      <c r="A1534" s="2">
        <v>1531</v>
      </c>
      <c r="B1534" s="2" t="s">
        <v>6564</v>
      </c>
    </row>
    <row r="1535" spans="1:2" ht="18.75" customHeight="1" x14ac:dyDescent="0.3">
      <c r="A1535" s="2">
        <v>1532</v>
      </c>
      <c r="B1535" s="2" t="s">
        <v>6565</v>
      </c>
    </row>
    <row r="1536" spans="1:2" ht="18.75" customHeight="1" x14ac:dyDescent="0.3">
      <c r="A1536" s="2">
        <v>1533</v>
      </c>
      <c r="B1536" s="21" t="s">
        <v>6566</v>
      </c>
    </row>
    <row r="1537" spans="1:2" ht="18.75" customHeight="1" x14ac:dyDescent="0.3">
      <c r="A1537" s="2">
        <v>1534</v>
      </c>
      <c r="B1537" s="2" t="s">
        <v>6567</v>
      </c>
    </row>
    <row r="1538" spans="1:2" ht="18.75" customHeight="1" x14ac:dyDescent="0.3">
      <c r="A1538" s="2">
        <v>1535</v>
      </c>
      <c r="B1538" s="21" t="s">
        <v>6568</v>
      </c>
    </row>
    <row r="1539" spans="1:2" ht="18.75" customHeight="1" x14ac:dyDescent="0.3">
      <c r="A1539" s="2">
        <v>1536</v>
      </c>
      <c r="B1539" s="21" t="s">
        <v>6569</v>
      </c>
    </row>
    <row r="1540" spans="1:2" ht="18.75" customHeight="1" x14ac:dyDescent="0.3">
      <c r="A1540" s="2">
        <v>1537</v>
      </c>
      <c r="B1540" s="21" t="s">
        <v>6570</v>
      </c>
    </row>
    <row r="1541" spans="1:2" ht="18.75" customHeight="1" x14ac:dyDescent="0.3">
      <c r="A1541" s="2">
        <v>1538</v>
      </c>
      <c r="B1541" s="21" t="s">
        <v>6571</v>
      </c>
    </row>
    <row r="1542" spans="1:2" ht="18.75" customHeight="1" x14ac:dyDescent="0.3">
      <c r="A1542" s="2">
        <v>1539</v>
      </c>
      <c r="B1542" s="21" t="s">
        <v>6572</v>
      </c>
    </row>
    <row r="1543" spans="1:2" ht="18.75" customHeight="1" x14ac:dyDescent="0.3">
      <c r="A1543" s="2">
        <v>1540</v>
      </c>
      <c r="B1543" s="21" t="s">
        <v>6573</v>
      </c>
    </row>
    <row r="1544" spans="1:2" ht="18.75" customHeight="1" x14ac:dyDescent="0.3">
      <c r="A1544" s="2">
        <v>1541</v>
      </c>
      <c r="B1544" s="21" t="s">
        <v>6574</v>
      </c>
    </row>
    <row r="1545" spans="1:2" ht="18.75" customHeight="1" x14ac:dyDescent="0.3">
      <c r="A1545" s="2">
        <v>1542</v>
      </c>
      <c r="B1545" s="21" t="s">
        <v>6575</v>
      </c>
    </row>
    <row r="1546" spans="1:2" ht="18.75" customHeight="1" x14ac:dyDescent="0.3">
      <c r="A1546" s="2">
        <v>1543</v>
      </c>
      <c r="B1546" s="21" t="s">
        <v>6576</v>
      </c>
    </row>
    <row r="1547" spans="1:2" ht="18.75" customHeight="1" x14ac:dyDescent="0.3">
      <c r="A1547" s="2">
        <v>1544</v>
      </c>
      <c r="B1547" s="21" t="s">
        <v>6577</v>
      </c>
    </row>
    <row r="1548" spans="1:2" ht="18.75" customHeight="1" x14ac:dyDescent="0.3">
      <c r="A1548" s="2">
        <v>1545</v>
      </c>
      <c r="B1548" s="21" t="s">
        <v>6578</v>
      </c>
    </row>
    <row r="1549" spans="1:2" ht="18.75" customHeight="1" x14ac:dyDescent="0.3">
      <c r="A1549" s="2">
        <v>1546</v>
      </c>
      <c r="B1549" s="21" t="s">
        <v>6548</v>
      </c>
    </row>
    <row r="1550" spans="1:2" ht="18.75" customHeight="1" x14ac:dyDescent="0.3">
      <c r="A1550" s="2">
        <v>1547</v>
      </c>
      <c r="B1550" s="2" t="s">
        <v>6579</v>
      </c>
    </row>
    <row r="1551" spans="1:2" ht="18.75" customHeight="1" x14ac:dyDescent="0.3">
      <c r="A1551" s="2">
        <v>1548</v>
      </c>
      <c r="B1551" s="2" t="s">
        <v>6580</v>
      </c>
    </row>
    <row r="1552" spans="1:2" ht="18.75" customHeight="1" x14ac:dyDescent="0.3">
      <c r="A1552" s="2">
        <v>1549</v>
      </c>
      <c r="B1552" s="2" t="s">
        <v>6581</v>
      </c>
    </row>
    <row r="1553" spans="1:2" ht="18.75" customHeight="1" x14ac:dyDescent="0.3">
      <c r="A1553" s="2">
        <v>1550</v>
      </c>
      <c r="B1553" s="21" t="s">
        <v>6582</v>
      </c>
    </row>
    <row r="1554" spans="1:2" ht="18.75" customHeight="1" x14ac:dyDescent="0.3">
      <c r="A1554" s="2">
        <v>1551</v>
      </c>
      <c r="B1554" s="21" t="s">
        <v>6583</v>
      </c>
    </row>
    <row r="1555" spans="1:2" ht="18.75" customHeight="1" x14ac:dyDescent="0.3">
      <c r="A1555" s="2">
        <v>1552</v>
      </c>
      <c r="B1555" s="21" t="s">
        <v>6584</v>
      </c>
    </row>
    <row r="1556" spans="1:2" ht="18.75" customHeight="1" x14ac:dyDescent="0.3">
      <c r="A1556" s="2">
        <v>1553</v>
      </c>
      <c r="B1556" s="2" t="s">
        <v>6585</v>
      </c>
    </row>
    <row r="1557" spans="1:2" ht="18.75" customHeight="1" x14ac:dyDescent="0.3">
      <c r="A1557" s="2">
        <v>1554</v>
      </c>
      <c r="B1557" s="2" t="s">
        <v>6586</v>
      </c>
    </row>
    <row r="1558" spans="1:2" ht="18.75" customHeight="1" x14ac:dyDescent="0.3">
      <c r="A1558" s="2">
        <v>1555</v>
      </c>
      <c r="B1558" s="21" t="s">
        <v>6587</v>
      </c>
    </row>
    <row r="1559" spans="1:2" ht="18.75" customHeight="1" x14ac:dyDescent="0.3">
      <c r="A1559" s="2">
        <v>1556</v>
      </c>
      <c r="B1559" s="21" t="s">
        <v>6588</v>
      </c>
    </row>
    <row r="1560" spans="1:2" ht="18.75" customHeight="1" x14ac:dyDescent="0.3">
      <c r="A1560" s="2">
        <v>1557</v>
      </c>
      <c r="B1560" s="2" t="s">
        <v>6589</v>
      </c>
    </row>
    <row r="1561" spans="1:2" ht="18.75" customHeight="1" x14ac:dyDescent="0.3">
      <c r="A1561" s="2">
        <v>1558</v>
      </c>
      <c r="B1561" s="21" t="s">
        <v>6590</v>
      </c>
    </row>
    <row r="1562" spans="1:2" ht="18.75" customHeight="1" x14ac:dyDescent="0.3">
      <c r="A1562" s="2">
        <v>1559</v>
      </c>
      <c r="B1562" s="2" t="s">
        <v>6591</v>
      </c>
    </row>
    <row r="1563" spans="1:2" ht="18.75" customHeight="1" x14ac:dyDescent="0.3">
      <c r="A1563" s="2">
        <v>1560</v>
      </c>
      <c r="B1563" s="21" t="s">
        <v>6592</v>
      </c>
    </row>
    <row r="1564" spans="1:2" ht="18.75" customHeight="1" x14ac:dyDescent="0.3">
      <c r="A1564" s="2">
        <v>1561</v>
      </c>
      <c r="B1564" s="21" t="s">
        <v>6593</v>
      </c>
    </row>
    <row r="1565" spans="1:2" ht="18.75" customHeight="1" x14ac:dyDescent="0.3">
      <c r="A1565" s="2">
        <v>1562</v>
      </c>
      <c r="B1565" s="93" t="s">
        <v>6594</v>
      </c>
    </row>
    <row r="1566" spans="1:2" ht="18.75" customHeight="1" x14ac:dyDescent="0.3">
      <c r="A1566" s="2">
        <v>1563</v>
      </c>
      <c r="B1566" s="2" t="s">
        <v>6595</v>
      </c>
    </row>
    <row r="1567" spans="1:2" ht="18.75" customHeight="1" x14ac:dyDescent="0.3">
      <c r="A1567" s="2">
        <v>1564</v>
      </c>
      <c r="B1567" s="2" t="s">
        <v>6596</v>
      </c>
    </row>
    <row r="1568" spans="1:2" ht="18.75" customHeight="1" x14ac:dyDescent="0.3">
      <c r="A1568" s="2">
        <v>1565</v>
      </c>
      <c r="B1568" s="21" t="s">
        <v>6597</v>
      </c>
    </row>
    <row r="1569" spans="1:2" ht="18.75" customHeight="1" x14ac:dyDescent="0.3">
      <c r="A1569" s="2">
        <v>1566</v>
      </c>
      <c r="B1569" s="21" t="s">
        <v>6598</v>
      </c>
    </row>
    <row r="1570" spans="1:2" ht="18.75" customHeight="1" x14ac:dyDescent="0.3">
      <c r="A1570" s="2">
        <v>1567</v>
      </c>
      <c r="B1570" s="2" t="s">
        <v>6599</v>
      </c>
    </row>
    <row r="1571" spans="1:2" ht="18.75" customHeight="1" x14ac:dyDescent="0.3">
      <c r="A1571" s="2">
        <v>1568</v>
      </c>
      <c r="B1571" s="21" t="s">
        <v>6600</v>
      </c>
    </row>
    <row r="1572" spans="1:2" ht="18.75" customHeight="1" x14ac:dyDescent="0.3">
      <c r="A1572" s="2">
        <v>1569</v>
      </c>
      <c r="B1572" s="21" t="s">
        <v>6601</v>
      </c>
    </row>
    <row r="1573" spans="1:2" ht="18.75" customHeight="1" x14ac:dyDescent="0.3">
      <c r="A1573" s="2">
        <v>1570</v>
      </c>
      <c r="B1573" s="2" t="s">
        <v>6602</v>
      </c>
    </row>
    <row r="1574" spans="1:2" ht="18.75" customHeight="1" x14ac:dyDescent="0.3">
      <c r="A1574" s="2">
        <v>1571</v>
      </c>
      <c r="B1574" s="2" t="s">
        <v>6603</v>
      </c>
    </row>
    <row r="1575" spans="1:2" ht="18.75" customHeight="1" x14ac:dyDescent="0.3">
      <c r="A1575" s="2">
        <v>1572</v>
      </c>
      <c r="B1575" s="91" t="s">
        <v>6604</v>
      </c>
    </row>
    <row r="1576" spans="1:2" ht="18.75" customHeight="1" x14ac:dyDescent="0.3">
      <c r="A1576" s="2">
        <v>1573</v>
      </c>
      <c r="B1576" s="21" t="s">
        <v>6605</v>
      </c>
    </row>
    <row r="1577" spans="1:2" ht="18.75" customHeight="1" x14ac:dyDescent="0.3">
      <c r="A1577" s="2">
        <v>1574</v>
      </c>
      <c r="B1577" s="2" t="s">
        <v>6606</v>
      </c>
    </row>
    <row r="1578" spans="1:2" ht="18.75" customHeight="1" x14ac:dyDescent="0.3">
      <c r="A1578" s="2">
        <v>1575</v>
      </c>
      <c r="B1578" s="2" t="s">
        <v>6607</v>
      </c>
    </row>
    <row r="1579" spans="1:2" ht="18.75" customHeight="1" x14ac:dyDescent="0.3">
      <c r="A1579" s="2">
        <v>1576</v>
      </c>
      <c r="B1579" s="2" t="s">
        <v>6608</v>
      </c>
    </row>
    <row r="1580" spans="1:2" ht="18.75" customHeight="1" x14ac:dyDescent="0.3">
      <c r="A1580" s="2">
        <v>1577</v>
      </c>
      <c r="B1580" s="2" t="s">
        <v>6609</v>
      </c>
    </row>
    <row r="1581" spans="1:2" ht="18.75" customHeight="1" x14ac:dyDescent="0.3">
      <c r="A1581" s="2">
        <v>1578</v>
      </c>
      <c r="B1581" s="2" t="s">
        <v>6610</v>
      </c>
    </row>
    <row r="1582" spans="1:2" ht="18.75" customHeight="1" x14ac:dyDescent="0.3">
      <c r="A1582" s="2">
        <v>1579</v>
      </c>
      <c r="B1582" s="2" t="s">
        <v>6611</v>
      </c>
    </row>
    <row r="1583" spans="1:2" ht="18.75" customHeight="1" x14ac:dyDescent="0.3">
      <c r="A1583" s="2">
        <v>1580</v>
      </c>
      <c r="B1583" s="21" t="s">
        <v>6612</v>
      </c>
    </row>
    <row r="1584" spans="1:2" ht="18.75" customHeight="1" x14ac:dyDescent="0.3">
      <c r="A1584" s="2">
        <v>1581</v>
      </c>
      <c r="B1584" s="2" t="s">
        <v>6613</v>
      </c>
    </row>
    <row r="1585" spans="1:2" ht="18.75" customHeight="1" x14ac:dyDescent="0.3">
      <c r="A1585" s="2">
        <v>1582</v>
      </c>
      <c r="B1585" s="2" t="s">
        <v>6614</v>
      </c>
    </row>
    <row r="1586" spans="1:2" ht="18.75" customHeight="1" x14ac:dyDescent="0.3">
      <c r="A1586" s="2">
        <v>1583</v>
      </c>
      <c r="B1586" s="21" t="s">
        <v>6615</v>
      </c>
    </row>
    <row r="1587" spans="1:2" ht="18.75" customHeight="1" x14ac:dyDescent="0.3">
      <c r="A1587" s="2">
        <v>1584</v>
      </c>
      <c r="B1587" s="2" t="s">
        <v>6616</v>
      </c>
    </row>
    <row r="1588" spans="1:2" ht="18.75" customHeight="1" x14ac:dyDescent="0.3">
      <c r="A1588" s="2">
        <v>1585</v>
      </c>
      <c r="B1588" s="2" t="s">
        <v>6617</v>
      </c>
    </row>
    <row r="1589" spans="1:2" ht="18.75" customHeight="1" x14ac:dyDescent="0.3">
      <c r="A1589" s="2">
        <v>1586</v>
      </c>
      <c r="B1589" s="2" t="s">
        <v>6618</v>
      </c>
    </row>
    <row r="1590" spans="1:2" ht="18.75" customHeight="1" x14ac:dyDescent="0.3">
      <c r="A1590" s="2">
        <v>1587</v>
      </c>
      <c r="B1590" s="2" t="s">
        <v>6619</v>
      </c>
    </row>
    <row r="1591" spans="1:2" ht="18.75" customHeight="1" x14ac:dyDescent="0.3">
      <c r="A1591" s="2">
        <v>1588</v>
      </c>
      <c r="B1591" s="2" t="s">
        <v>6620</v>
      </c>
    </row>
    <row r="1592" spans="1:2" ht="18.75" customHeight="1" x14ac:dyDescent="0.3">
      <c r="A1592" s="2">
        <v>1589</v>
      </c>
      <c r="B1592" s="2" t="s">
        <v>6621</v>
      </c>
    </row>
    <row r="1593" spans="1:2" ht="18.75" customHeight="1" x14ac:dyDescent="0.3">
      <c r="A1593" s="2">
        <v>1590</v>
      </c>
      <c r="B1593" s="2" t="s">
        <v>6421</v>
      </c>
    </row>
    <row r="1594" spans="1:2" ht="18.75" customHeight="1" x14ac:dyDescent="0.3">
      <c r="A1594" s="2">
        <v>1591</v>
      </c>
      <c r="B1594" s="2" t="s">
        <v>6622</v>
      </c>
    </row>
    <row r="1595" spans="1:2" ht="18.75" customHeight="1" x14ac:dyDescent="0.3">
      <c r="A1595" s="2">
        <v>1592</v>
      </c>
      <c r="B1595" s="2" t="s">
        <v>6623</v>
      </c>
    </row>
    <row r="1596" spans="1:2" ht="18.75" customHeight="1" x14ac:dyDescent="0.3">
      <c r="A1596" s="2">
        <v>1593</v>
      </c>
      <c r="B1596" s="2" t="s">
        <v>6624</v>
      </c>
    </row>
    <row r="1597" spans="1:2" ht="18.75" customHeight="1" x14ac:dyDescent="0.3">
      <c r="A1597" s="2">
        <v>1594</v>
      </c>
      <c r="B1597" s="21" t="s">
        <v>6625</v>
      </c>
    </row>
    <row r="1598" spans="1:2" ht="18.75" customHeight="1" x14ac:dyDescent="0.3">
      <c r="A1598" s="2">
        <v>1595</v>
      </c>
      <c r="B1598" s="2" t="s">
        <v>6626</v>
      </c>
    </row>
    <row r="1599" spans="1:2" ht="18.75" customHeight="1" x14ac:dyDescent="0.3">
      <c r="A1599" s="2">
        <v>1596</v>
      </c>
      <c r="B1599" s="21" t="s">
        <v>6627</v>
      </c>
    </row>
    <row r="1600" spans="1:2" ht="18.75" customHeight="1" x14ac:dyDescent="0.3">
      <c r="A1600" s="2">
        <v>1597</v>
      </c>
      <c r="B1600" s="21" t="s">
        <v>6626</v>
      </c>
    </row>
    <row r="1601" spans="1:2" ht="18.75" customHeight="1" x14ac:dyDescent="0.3">
      <c r="A1601" s="2">
        <v>1598</v>
      </c>
      <c r="B1601" s="2" t="s">
        <v>6628</v>
      </c>
    </row>
    <row r="1602" spans="1:2" ht="18.75" customHeight="1" x14ac:dyDescent="0.3">
      <c r="A1602" s="2">
        <v>1599</v>
      </c>
      <c r="B1602" s="2" t="s">
        <v>6629</v>
      </c>
    </row>
    <row r="1603" spans="1:2" ht="18.75" customHeight="1" x14ac:dyDescent="0.3">
      <c r="A1603" s="2">
        <v>1600</v>
      </c>
      <c r="B1603" s="2" t="s">
        <v>6630</v>
      </c>
    </row>
    <row r="1604" spans="1:2" ht="18.75" customHeight="1" x14ac:dyDescent="0.3">
      <c r="A1604" s="2">
        <v>1601</v>
      </c>
      <c r="B1604" s="2" t="s">
        <v>6631</v>
      </c>
    </row>
    <row r="1605" spans="1:2" ht="18.75" customHeight="1" x14ac:dyDescent="0.3">
      <c r="A1605" s="2">
        <v>1602</v>
      </c>
      <c r="B1605" s="21" t="s">
        <v>6632</v>
      </c>
    </row>
    <row r="1606" spans="1:2" ht="18.75" customHeight="1" x14ac:dyDescent="0.3">
      <c r="A1606" s="2">
        <v>1603</v>
      </c>
      <c r="B1606" s="21" t="s">
        <v>6633</v>
      </c>
    </row>
    <row r="1607" spans="1:2" ht="18.75" customHeight="1" x14ac:dyDescent="0.3">
      <c r="A1607" s="2">
        <v>1604</v>
      </c>
      <c r="B1607" s="21" t="s">
        <v>6634</v>
      </c>
    </row>
    <row r="1608" spans="1:2" ht="18.75" customHeight="1" x14ac:dyDescent="0.3">
      <c r="A1608" s="2">
        <v>1605</v>
      </c>
      <c r="B1608" s="2" t="s">
        <v>6635</v>
      </c>
    </row>
    <row r="1609" spans="1:2" ht="18.75" customHeight="1" x14ac:dyDescent="0.3">
      <c r="A1609" s="2">
        <v>1606</v>
      </c>
      <c r="B1609" s="21" t="s">
        <v>6636</v>
      </c>
    </row>
    <row r="1610" spans="1:2" ht="18.75" customHeight="1" x14ac:dyDescent="0.3">
      <c r="A1610" s="2">
        <v>1607</v>
      </c>
      <c r="B1610" s="21" t="s">
        <v>6637</v>
      </c>
    </row>
    <row r="1611" spans="1:2" ht="18.75" customHeight="1" x14ac:dyDescent="0.3">
      <c r="A1611" s="2">
        <v>1608</v>
      </c>
      <c r="B1611" s="21" t="s">
        <v>6638</v>
      </c>
    </row>
    <row r="1612" spans="1:2" ht="18.75" customHeight="1" x14ac:dyDescent="0.3">
      <c r="A1612" s="2">
        <v>1609</v>
      </c>
      <c r="B1612" s="21" t="s">
        <v>6639</v>
      </c>
    </row>
    <row r="1613" spans="1:2" ht="18.75" customHeight="1" x14ac:dyDescent="0.3">
      <c r="A1613" s="2">
        <v>1610</v>
      </c>
      <c r="B1613" s="21" t="s">
        <v>6640</v>
      </c>
    </row>
    <row r="1614" spans="1:2" ht="18.75" customHeight="1" x14ac:dyDescent="0.3">
      <c r="A1614" s="2">
        <v>1611</v>
      </c>
      <c r="B1614" s="21" t="s">
        <v>6641</v>
      </c>
    </row>
    <row r="1615" spans="1:2" ht="18.75" customHeight="1" x14ac:dyDescent="0.3">
      <c r="A1615" s="2">
        <v>1612</v>
      </c>
      <c r="B1615" s="21" t="s">
        <v>6642</v>
      </c>
    </row>
    <row r="1616" spans="1:2" ht="18.75" customHeight="1" x14ac:dyDescent="0.3">
      <c r="A1616" s="2">
        <v>1613</v>
      </c>
      <c r="B1616" s="21" t="s">
        <v>6358</v>
      </c>
    </row>
    <row r="1617" spans="1:2" ht="18.75" customHeight="1" x14ac:dyDescent="0.3">
      <c r="A1617" s="2">
        <v>1614</v>
      </c>
      <c r="B1617" s="21" t="s">
        <v>6643</v>
      </c>
    </row>
    <row r="1618" spans="1:2" ht="18.75" customHeight="1" x14ac:dyDescent="0.3">
      <c r="A1618" s="2">
        <v>1615</v>
      </c>
      <c r="B1618" s="21" t="s">
        <v>6644</v>
      </c>
    </row>
    <row r="1619" spans="1:2" ht="18.75" customHeight="1" x14ac:dyDescent="0.3">
      <c r="A1619" s="2">
        <v>1616</v>
      </c>
      <c r="B1619" s="21" t="s">
        <v>6645</v>
      </c>
    </row>
    <row r="1620" spans="1:2" ht="18.75" customHeight="1" x14ac:dyDescent="0.3">
      <c r="A1620" s="2">
        <v>1617</v>
      </c>
      <c r="B1620" s="2" t="s">
        <v>6646</v>
      </c>
    </row>
    <row r="1621" spans="1:2" ht="18.75" customHeight="1" x14ac:dyDescent="0.3">
      <c r="A1621" s="2">
        <v>1618</v>
      </c>
      <c r="B1621" s="21" t="s">
        <v>6647</v>
      </c>
    </row>
    <row r="1622" spans="1:2" ht="18.75" customHeight="1" x14ac:dyDescent="0.3">
      <c r="A1622" s="2">
        <v>1619</v>
      </c>
      <c r="B1622" s="21" t="s">
        <v>6648</v>
      </c>
    </row>
    <row r="1623" spans="1:2" ht="18.75" customHeight="1" x14ac:dyDescent="0.3">
      <c r="A1623" s="2">
        <v>1620</v>
      </c>
      <c r="B1623" s="21" t="s">
        <v>6075</v>
      </c>
    </row>
    <row r="1624" spans="1:2" ht="18.75" customHeight="1" x14ac:dyDescent="0.3">
      <c r="A1624" s="2">
        <v>1621</v>
      </c>
      <c r="B1624" s="21" t="s">
        <v>6649</v>
      </c>
    </row>
    <row r="1625" spans="1:2" ht="18.75" customHeight="1" x14ac:dyDescent="0.3">
      <c r="A1625" s="2">
        <v>1622</v>
      </c>
      <c r="B1625" s="21" t="s">
        <v>6650</v>
      </c>
    </row>
    <row r="1626" spans="1:2" ht="18.75" customHeight="1" x14ac:dyDescent="0.3">
      <c r="A1626" s="2">
        <v>1623</v>
      </c>
      <c r="B1626" s="21" t="s">
        <v>6651</v>
      </c>
    </row>
    <row r="1627" spans="1:2" ht="18.75" customHeight="1" x14ac:dyDescent="0.3">
      <c r="A1627" s="2">
        <v>1624</v>
      </c>
      <c r="B1627" s="22" t="s">
        <v>6652</v>
      </c>
    </row>
    <row r="1628" spans="1:2" ht="18.75" customHeight="1" x14ac:dyDescent="0.3">
      <c r="A1628" s="2">
        <v>1625</v>
      </c>
      <c r="B1628" s="21" t="s">
        <v>6653</v>
      </c>
    </row>
    <row r="1629" spans="1:2" ht="18.75" customHeight="1" x14ac:dyDescent="0.3">
      <c r="A1629" s="2">
        <v>1626</v>
      </c>
      <c r="B1629" s="21" t="s">
        <v>6654</v>
      </c>
    </row>
    <row r="1630" spans="1:2" ht="18.75" customHeight="1" x14ac:dyDescent="0.3">
      <c r="A1630" s="2">
        <v>1627</v>
      </c>
      <c r="B1630" s="21" t="s">
        <v>6655</v>
      </c>
    </row>
    <row r="1631" spans="1:2" ht="18.75" customHeight="1" x14ac:dyDescent="0.3">
      <c r="A1631" s="2">
        <v>1628</v>
      </c>
      <c r="B1631" s="21" t="s">
        <v>6656</v>
      </c>
    </row>
    <row r="1632" spans="1:2" ht="18.75" customHeight="1" x14ac:dyDescent="0.3">
      <c r="A1632" s="2">
        <v>1629</v>
      </c>
      <c r="B1632" s="21" t="s">
        <v>6657</v>
      </c>
    </row>
    <row r="1633" spans="1:2" ht="18.75" customHeight="1" x14ac:dyDescent="0.3">
      <c r="A1633" s="2">
        <v>1630</v>
      </c>
      <c r="B1633" s="21" t="s">
        <v>6658</v>
      </c>
    </row>
    <row r="1634" spans="1:2" ht="18.75" customHeight="1" x14ac:dyDescent="0.3">
      <c r="A1634" s="2">
        <v>1631</v>
      </c>
      <c r="B1634" s="2" t="s">
        <v>6659</v>
      </c>
    </row>
    <row r="1635" spans="1:2" ht="18.75" customHeight="1" x14ac:dyDescent="0.3">
      <c r="A1635" s="2">
        <v>1632</v>
      </c>
      <c r="B1635" s="21" t="s">
        <v>6660</v>
      </c>
    </row>
    <row r="1636" spans="1:2" ht="18.75" customHeight="1" x14ac:dyDescent="0.3">
      <c r="A1636" s="2">
        <v>1633</v>
      </c>
      <c r="B1636" s="21" t="s">
        <v>6661</v>
      </c>
    </row>
    <row r="1637" spans="1:2" ht="18.75" customHeight="1" x14ac:dyDescent="0.3">
      <c r="A1637" s="2">
        <v>1634</v>
      </c>
      <c r="B1637" s="21" t="s">
        <v>6662</v>
      </c>
    </row>
    <row r="1638" spans="1:2" ht="18.75" customHeight="1" x14ac:dyDescent="0.3">
      <c r="A1638" s="2">
        <v>1635</v>
      </c>
      <c r="B1638" s="21" t="s">
        <v>6663</v>
      </c>
    </row>
    <row r="1639" spans="1:2" ht="18.75" customHeight="1" x14ac:dyDescent="0.3">
      <c r="A1639" s="2">
        <v>1636</v>
      </c>
      <c r="B1639" s="21" t="s">
        <v>6664</v>
      </c>
    </row>
    <row r="1640" spans="1:2" ht="18.75" customHeight="1" x14ac:dyDescent="0.3">
      <c r="A1640" s="2">
        <v>1637</v>
      </c>
      <c r="B1640" s="21" t="s">
        <v>6665</v>
      </c>
    </row>
    <row r="1641" spans="1:2" ht="18.75" customHeight="1" x14ac:dyDescent="0.3">
      <c r="A1641" s="2">
        <v>1638</v>
      </c>
      <c r="B1641" s="21" t="s">
        <v>6666</v>
      </c>
    </row>
    <row r="1642" spans="1:2" ht="18.75" customHeight="1" x14ac:dyDescent="0.3">
      <c r="A1642" s="2">
        <v>1639</v>
      </c>
      <c r="B1642" s="21" t="s">
        <v>6080</v>
      </c>
    </row>
    <row r="1643" spans="1:2" ht="18.75" customHeight="1" x14ac:dyDescent="0.3">
      <c r="A1643" s="2">
        <v>1640</v>
      </c>
      <c r="B1643" s="21" t="s">
        <v>6667</v>
      </c>
    </row>
    <row r="1644" spans="1:2" ht="18.75" customHeight="1" x14ac:dyDescent="0.3">
      <c r="A1644" s="2">
        <v>1641</v>
      </c>
      <c r="B1644" s="21" t="s">
        <v>6668</v>
      </c>
    </row>
    <row r="1645" spans="1:2" ht="18.75" customHeight="1" x14ac:dyDescent="0.3">
      <c r="A1645" s="2">
        <v>1642</v>
      </c>
      <c r="B1645" s="2" t="s">
        <v>6669</v>
      </c>
    </row>
    <row r="1646" spans="1:2" ht="18.75" customHeight="1" x14ac:dyDescent="0.3">
      <c r="A1646" s="2">
        <v>1643</v>
      </c>
      <c r="B1646" s="2" t="s">
        <v>6670</v>
      </c>
    </row>
    <row r="1647" spans="1:2" ht="18.75" customHeight="1" x14ac:dyDescent="0.3">
      <c r="A1647" s="2">
        <v>1644</v>
      </c>
      <c r="B1647" s="2" t="s">
        <v>6671</v>
      </c>
    </row>
    <row r="1648" spans="1:2" ht="18.75" customHeight="1" x14ac:dyDescent="0.3">
      <c r="A1648" s="2">
        <v>1645</v>
      </c>
      <c r="B1648" s="21" t="s">
        <v>6672</v>
      </c>
    </row>
    <row r="1649" spans="1:2" ht="18.75" customHeight="1" x14ac:dyDescent="0.3">
      <c r="A1649" s="2">
        <v>1646</v>
      </c>
      <c r="B1649" s="21" t="s">
        <v>6673</v>
      </c>
    </row>
    <row r="1650" spans="1:2" ht="18.75" customHeight="1" x14ac:dyDescent="0.3">
      <c r="A1650" s="2">
        <v>1647</v>
      </c>
      <c r="B1650" s="21" t="s">
        <v>6674</v>
      </c>
    </row>
    <row r="1651" spans="1:2" ht="18.75" customHeight="1" x14ac:dyDescent="0.3">
      <c r="A1651" s="2">
        <v>1648</v>
      </c>
      <c r="B1651" s="2" t="s">
        <v>6675</v>
      </c>
    </row>
    <row r="1652" spans="1:2" ht="18.75" customHeight="1" x14ac:dyDescent="0.3">
      <c r="A1652" s="2">
        <v>1649</v>
      </c>
      <c r="B1652" s="2" t="s">
        <v>6676</v>
      </c>
    </row>
    <row r="1653" spans="1:2" ht="18.75" customHeight="1" x14ac:dyDescent="0.3">
      <c r="A1653" s="2">
        <v>1650</v>
      </c>
      <c r="B1653" s="2" t="s">
        <v>6677</v>
      </c>
    </row>
    <row r="1654" spans="1:2" ht="18.75" customHeight="1" x14ac:dyDescent="0.3">
      <c r="A1654" s="2">
        <v>1651</v>
      </c>
      <c r="B1654" s="2" t="s">
        <v>6678</v>
      </c>
    </row>
    <row r="1655" spans="1:2" ht="18.75" customHeight="1" x14ac:dyDescent="0.3">
      <c r="A1655" s="2">
        <v>1652</v>
      </c>
      <c r="B1655" s="21" t="s">
        <v>6679</v>
      </c>
    </row>
    <row r="1656" spans="1:2" ht="18.75" customHeight="1" x14ac:dyDescent="0.3">
      <c r="A1656" s="2">
        <v>1653</v>
      </c>
      <c r="B1656" s="2" t="s">
        <v>6680</v>
      </c>
    </row>
    <row r="1657" spans="1:2" ht="18.75" customHeight="1" x14ac:dyDescent="0.3">
      <c r="A1657" s="2">
        <v>1654</v>
      </c>
      <c r="B1657" s="21" t="s">
        <v>6681</v>
      </c>
    </row>
    <row r="1658" spans="1:2" ht="18.75" customHeight="1" x14ac:dyDescent="0.3">
      <c r="A1658" s="2">
        <v>1655</v>
      </c>
      <c r="B1658" s="2" t="s">
        <v>6682</v>
      </c>
    </row>
    <row r="1659" spans="1:2" ht="18.75" customHeight="1" x14ac:dyDescent="0.3">
      <c r="A1659" s="2">
        <v>1656</v>
      </c>
      <c r="B1659" s="2" t="s">
        <v>6683</v>
      </c>
    </row>
    <row r="1660" spans="1:2" ht="18.75" customHeight="1" x14ac:dyDescent="0.3">
      <c r="A1660" s="2">
        <v>1657</v>
      </c>
      <c r="B1660" s="2" t="s">
        <v>6684</v>
      </c>
    </row>
    <row r="1661" spans="1:2" ht="18.75" customHeight="1" x14ac:dyDescent="0.3">
      <c r="A1661" s="2">
        <v>1658</v>
      </c>
      <c r="B1661" s="2" t="s">
        <v>6685</v>
      </c>
    </row>
    <row r="1662" spans="1:2" ht="18.75" customHeight="1" x14ac:dyDescent="0.3">
      <c r="A1662" s="2">
        <v>1659</v>
      </c>
      <c r="B1662" s="2" t="s">
        <v>6686</v>
      </c>
    </row>
    <row r="1663" spans="1:2" ht="18.75" customHeight="1" x14ac:dyDescent="0.3">
      <c r="A1663" s="2">
        <v>1660</v>
      </c>
      <c r="B1663" s="21" t="s">
        <v>6687</v>
      </c>
    </row>
    <row r="1664" spans="1:2" ht="18.75" customHeight="1" x14ac:dyDescent="0.3">
      <c r="A1664" s="2">
        <v>1661</v>
      </c>
      <c r="B1664" s="21" t="s">
        <v>6688</v>
      </c>
    </row>
    <row r="1665" spans="1:2" ht="18.75" customHeight="1" x14ac:dyDescent="0.3">
      <c r="A1665" s="2">
        <v>1662</v>
      </c>
      <c r="B1665" s="21" t="s">
        <v>6689</v>
      </c>
    </row>
    <row r="1666" spans="1:2" ht="18.75" customHeight="1" x14ac:dyDescent="0.3">
      <c r="A1666" s="2">
        <v>1663</v>
      </c>
      <c r="B1666" s="21" t="s">
        <v>6690</v>
      </c>
    </row>
    <row r="1667" spans="1:2" ht="18.75" customHeight="1" x14ac:dyDescent="0.3">
      <c r="A1667" s="2">
        <v>1664</v>
      </c>
      <c r="B1667" s="2" t="s">
        <v>6691</v>
      </c>
    </row>
    <row r="1668" spans="1:2" ht="18.75" customHeight="1" x14ac:dyDescent="0.3">
      <c r="A1668" s="2">
        <v>1665</v>
      </c>
      <c r="B1668" s="2" t="s">
        <v>6692</v>
      </c>
    </row>
    <row r="1669" spans="1:2" ht="18.75" customHeight="1" x14ac:dyDescent="0.3">
      <c r="A1669" s="2">
        <v>1666</v>
      </c>
      <c r="B1669" s="21" t="s">
        <v>6693</v>
      </c>
    </row>
    <row r="1670" spans="1:2" ht="18.75" customHeight="1" x14ac:dyDescent="0.3">
      <c r="A1670" s="2">
        <v>1667</v>
      </c>
      <c r="B1670" s="21" t="s">
        <v>6694</v>
      </c>
    </row>
    <row r="1671" spans="1:2" ht="18.75" customHeight="1" x14ac:dyDescent="0.3">
      <c r="A1671" s="2">
        <v>1668</v>
      </c>
      <c r="B1671" s="2" t="s">
        <v>6695</v>
      </c>
    </row>
    <row r="1672" spans="1:2" ht="18.75" customHeight="1" x14ac:dyDescent="0.3">
      <c r="A1672" s="2">
        <v>1669</v>
      </c>
      <c r="B1672" s="21" t="s">
        <v>6696</v>
      </c>
    </row>
    <row r="1673" spans="1:2" ht="18.75" customHeight="1" x14ac:dyDescent="0.3">
      <c r="A1673" s="2">
        <v>1670</v>
      </c>
      <c r="B1673" s="2" t="s">
        <v>6697</v>
      </c>
    </row>
    <row r="1674" spans="1:2" ht="18.75" customHeight="1" x14ac:dyDescent="0.3">
      <c r="A1674" s="2">
        <v>1671</v>
      </c>
      <c r="B1674" s="21" t="s">
        <v>6698</v>
      </c>
    </row>
    <row r="1675" spans="1:2" ht="18.75" customHeight="1" x14ac:dyDescent="0.3">
      <c r="A1675" s="2">
        <v>1672</v>
      </c>
      <c r="B1675" s="21" t="s">
        <v>6699</v>
      </c>
    </row>
    <row r="1676" spans="1:2" ht="18.75" customHeight="1" x14ac:dyDescent="0.3">
      <c r="A1676" s="2">
        <v>1673</v>
      </c>
      <c r="B1676" s="21" t="s">
        <v>6700</v>
      </c>
    </row>
    <row r="1677" spans="1:2" ht="18.75" customHeight="1" x14ac:dyDescent="0.3">
      <c r="A1677" s="2">
        <v>1674</v>
      </c>
      <c r="B1677" s="21" t="s">
        <v>6701</v>
      </c>
    </row>
    <row r="1678" spans="1:2" ht="18.75" customHeight="1" x14ac:dyDescent="0.3">
      <c r="A1678" s="2">
        <v>1675</v>
      </c>
      <c r="B1678" s="21" t="s">
        <v>6702</v>
      </c>
    </row>
    <row r="1679" spans="1:2" ht="18.75" customHeight="1" x14ac:dyDescent="0.3">
      <c r="A1679" s="2">
        <v>1676</v>
      </c>
      <c r="B1679" s="21" t="s">
        <v>6703</v>
      </c>
    </row>
    <row r="1680" spans="1:2" ht="18.75" customHeight="1" x14ac:dyDescent="0.3">
      <c r="A1680" s="2">
        <v>1677</v>
      </c>
      <c r="B1680" s="21" t="s">
        <v>6704</v>
      </c>
    </row>
    <row r="1681" spans="1:2" ht="18.75" customHeight="1" x14ac:dyDescent="0.3">
      <c r="A1681" s="2">
        <v>1678</v>
      </c>
      <c r="B1681" s="21" t="s">
        <v>6705</v>
      </c>
    </row>
    <row r="1682" spans="1:2" ht="18.75" customHeight="1" x14ac:dyDescent="0.3">
      <c r="A1682" s="2">
        <v>1679</v>
      </c>
      <c r="B1682" s="21" t="s">
        <v>6706</v>
      </c>
    </row>
    <row r="1683" spans="1:2" ht="18.75" customHeight="1" x14ac:dyDescent="0.3">
      <c r="A1683" s="2">
        <v>1680</v>
      </c>
      <c r="B1683" s="21" t="s">
        <v>6707</v>
      </c>
    </row>
    <row r="1684" spans="1:2" ht="18.75" customHeight="1" x14ac:dyDescent="0.3">
      <c r="A1684" s="2">
        <v>1681</v>
      </c>
      <c r="B1684" s="21" t="s">
        <v>6708</v>
      </c>
    </row>
    <row r="1685" spans="1:2" ht="18.75" customHeight="1" x14ac:dyDescent="0.3">
      <c r="A1685" s="2">
        <v>1682</v>
      </c>
      <c r="B1685" s="21" t="s">
        <v>6709</v>
      </c>
    </row>
    <row r="1686" spans="1:2" ht="18.75" customHeight="1" x14ac:dyDescent="0.3">
      <c r="A1686" s="2">
        <v>1683</v>
      </c>
      <c r="B1686" s="21" t="s">
        <v>6710</v>
      </c>
    </row>
    <row r="1687" spans="1:2" ht="18.75" customHeight="1" x14ac:dyDescent="0.3">
      <c r="A1687" s="2">
        <v>1684</v>
      </c>
      <c r="B1687" s="21" t="s">
        <v>6711</v>
      </c>
    </row>
    <row r="1688" spans="1:2" ht="18.75" customHeight="1" x14ac:dyDescent="0.3">
      <c r="A1688" s="2">
        <v>1685</v>
      </c>
      <c r="B1688" s="21" t="s">
        <v>6712</v>
      </c>
    </row>
    <row r="1689" spans="1:2" ht="18.75" customHeight="1" x14ac:dyDescent="0.3">
      <c r="A1689" s="2">
        <v>1686</v>
      </c>
      <c r="B1689" s="21" t="s">
        <v>6713</v>
      </c>
    </row>
    <row r="1690" spans="1:2" ht="18.75" customHeight="1" x14ac:dyDescent="0.3">
      <c r="A1690" s="2">
        <v>1687</v>
      </c>
      <c r="B1690" s="21" t="s">
        <v>6714</v>
      </c>
    </row>
    <row r="1691" spans="1:2" ht="18.75" customHeight="1" x14ac:dyDescent="0.3">
      <c r="A1691" s="2">
        <v>1688</v>
      </c>
      <c r="B1691" s="21" t="s">
        <v>6715</v>
      </c>
    </row>
    <row r="1692" spans="1:2" ht="18.75" customHeight="1" x14ac:dyDescent="0.3">
      <c r="A1692" s="2">
        <v>1689</v>
      </c>
      <c r="B1692" s="21" t="s">
        <v>6716</v>
      </c>
    </row>
    <row r="1693" spans="1:2" ht="18.75" customHeight="1" x14ac:dyDescent="0.3">
      <c r="A1693" s="2">
        <v>1690</v>
      </c>
      <c r="B1693" s="21" t="s">
        <v>6717</v>
      </c>
    </row>
    <row r="1694" spans="1:2" ht="18.75" customHeight="1" x14ac:dyDescent="0.3">
      <c r="A1694" s="2">
        <v>1691</v>
      </c>
      <c r="B1694" s="21" t="s">
        <v>6718</v>
      </c>
    </row>
    <row r="1695" spans="1:2" ht="18.75" customHeight="1" x14ac:dyDescent="0.3">
      <c r="A1695" s="2">
        <v>1692</v>
      </c>
      <c r="B1695" s="21" t="s">
        <v>6719</v>
      </c>
    </row>
    <row r="1696" spans="1:2" ht="18.75" customHeight="1" x14ac:dyDescent="0.3">
      <c r="A1696" s="2">
        <v>1693</v>
      </c>
      <c r="B1696" s="21" t="s">
        <v>6720</v>
      </c>
    </row>
    <row r="1697" spans="1:2" ht="18.75" customHeight="1" x14ac:dyDescent="0.3">
      <c r="A1697" s="2">
        <v>1694</v>
      </c>
      <c r="B1697" s="21" t="s">
        <v>6721</v>
      </c>
    </row>
    <row r="1698" spans="1:2" ht="18.75" customHeight="1" x14ac:dyDescent="0.3">
      <c r="A1698" s="2">
        <v>1695</v>
      </c>
      <c r="B1698" s="21" t="s">
        <v>6722</v>
      </c>
    </row>
    <row r="1699" spans="1:2" ht="18.75" customHeight="1" x14ac:dyDescent="0.3">
      <c r="A1699" s="2">
        <v>1696</v>
      </c>
      <c r="B1699" s="21" t="s">
        <v>6723</v>
      </c>
    </row>
    <row r="1700" spans="1:2" ht="18.75" customHeight="1" x14ac:dyDescent="0.3">
      <c r="A1700" s="2">
        <v>1697</v>
      </c>
      <c r="B1700" s="21" t="s">
        <v>6724</v>
      </c>
    </row>
    <row r="1701" spans="1:2" ht="18.75" customHeight="1" x14ac:dyDescent="0.3">
      <c r="A1701" s="2">
        <v>1698</v>
      </c>
      <c r="B1701" s="21" t="s">
        <v>6725</v>
      </c>
    </row>
    <row r="1702" spans="1:2" ht="18.75" customHeight="1" x14ac:dyDescent="0.3">
      <c r="A1702" s="2">
        <v>1699</v>
      </c>
      <c r="B1702" s="21" t="s">
        <v>6726</v>
      </c>
    </row>
    <row r="1703" spans="1:2" ht="18.75" customHeight="1" x14ac:dyDescent="0.3">
      <c r="A1703" s="2">
        <v>1700</v>
      </c>
      <c r="B1703" s="21" t="s">
        <v>6727</v>
      </c>
    </row>
    <row r="1704" spans="1:2" ht="18.75" customHeight="1" x14ac:dyDescent="0.3">
      <c r="A1704" s="2">
        <v>1701</v>
      </c>
      <c r="B1704" s="21" t="s">
        <v>6728</v>
      </c>
    </row>
    <row r="1705" spans="1:2" ht="18.75" customHeight="1" x14ac:dyDescent="0.3">
      <c r="A1705" s="2">
        <v>1702</v>
      </c>
      <c r="B1705" s="91" t="s">
        <v>6729</v>
      </c>
    </row>
    <row r="1706" spans="1:2" ht="18.75" customHeight="1" x14ac:dyDescent="0.3">
      <c r="A1706" s="2">
        <v>1703</v>
      </c>
      <c r="B1706" s="21" t="s">
        <v>6730</v>
      </c>
    </row>
    <row r="1707" spans="1:2" ht="18.75" customHeight="1" x14ac:dyDescent="0.3">
      <c r="A1707" s="2">
        <v>1704</v>
      </c>
      <c r="B1707" s="21" t="s">
        <v>6731</v>
      </c>
    </row>
    <row r="1708" spans="1:2" ht="18.75" customHeight="1" x14ac:dyDescent="0.3">
      <c r="A1708" s="2">
        <v>1705</v>
      </c>
      <c r="B1708" s="21" t="s">
        <v>6732</v>
      </c>
    </row>
    <row r="1709" spans="1:2" ht="18.75" customHeight="1" x14ac:dyDescent="0.3">
      <c r="A1709" s="2">
        <v>1706</v>
      </c>
      <c r="B1709" s="21" t="s">
        <v>6686</v>
      </c>
    </row>
    <row r="1710" spans="1:2" ht="18.75" customHeight="1" x14ac:dyDescent="0.3">
      <c r="A1710" s="2">
        <v>1707</v>
      </c>
      <c r="B1710" s="2" t="s">
        <v>6733</v>
      </c>
    </row>
    <row r="1711" spans="1:2" ht="18.75" customHeight="1" x14ac:dyDescent="0.3">
      <c r="A1711" s="2">
        <v>1708</v>
      </c>
      <c r="B1711" s="2" t="s">
        <v>6734</v>
      </c>
    </row>
    <row r="1712" spans="1:2" ht="18.75" customHeight="1" x14ac:dyDescent="0.3">
      <c r="A1712" s="2">
        <v>1709</v>
      </c>
      <c r="B1712" s="21" t="s">
        <v>6735</v>
      </c>
    </row>
    <row r="1713" spans="1:2" ht="18.75" customHeight="1" x14ac:dyDescent="0.3">
      <c r="A1713" s="2">
        <v>1710</v>
      </c>
      <c r="B1713" s="21" t="s">
        <v>6736</v>
      </c>
    </row>
    <row r="1714" spans="1:2" ht="18.75" customHeight="1" x14ac:dyDescent="0.3">
      <c r="A1714" s="2">
        <v>1711</v>
      </c>
      <c r="B1714" s="21" t="s">
        <v>6737</v>
      </c>
    </row>
    <row r="1715" spans="1:2" ht="18.75" customHeight="1" x14ac:dyDescent="0.3">
      <c r="A1715" s="2">
        <v>1712</v>
      </c>
      <c r="B1715" s="21" t="s">
        <v>6738</v>
      </c>
    </row>
    <row r="1716" spans="1:2" ht="18.75" customHeight="1" x14ac:dyDescent="0.3">
      <c r="A1716" s="2">
        <v>1713</v>
      </c>
      <c r="B1716" s="21" t="s">
        <v>6739</v>
      </c>
    </row>
    <row r="1717" spans="1:2" ht="18.75" customHeight="1" x14ac:dyDescent="0.3">
      <c r="A1717" s="2">
        <v>1714</v>
      </c>
      <c r="B1717" s="21" t="s">
        <v>6740</v>
      </c>
    </row>
    <row r="1718" spans="1:2" ht="18.75" customHeight="1" x14ac:dyDescent="0.3">
      <c r="A1718" s="2">
        <v>1715</v>
      </c>
      <c r="B1718" s="21" t="s">
        <v>6741</v>
      </c>
    </row>
    <row r="1719" spans="1:2" ht="18.75" customHeight="1" x14ac:dyDescent="0.3">
      <c r="A1719" s="2">
        <v>1716</v>
      </c>
      <c r="B1719" s="21" t="s">
        <v>6742</v>
      </c>
    </row>
    <row r="1720" spans="1:2" ht="18.75" customHeight="1" x14ac:dyDescent="0.3">
      <c r="A1720" s="2">
        <v>1717</v>
      </c>
      <c r="B1720" s="21" t="s">
        <v>6743</v>
      </c>
    </row>
    <row r="1721" spans="1:2" ht="18.75" customHeight="1" x14ac:dyDescent="0.3">
      <c r="A1721" s="2">
        <v>1718</v>
      </c>
      <c r="B1721" s="21" t="s">
        <v>6744</v>
      </c>
    </row>
    <row r="1722" spans="1:2" ht="18.75" customHeight="1" x14ac:dyDescent="0.3">
      <c r="A1722" s="2">
        <v>1719</v>
      </c>
      <c r="B1722" s="21" t="s">
        <v>6745</v>
      </c>
    </row>
    <row r="1723" spans="1:2" ht="18.75" customHeight="1" x14ac:dyDescent="0.3">
      <c r="A1723" s="2">
        <v>1720</v>
      </c>
      <c r="B1723" s="91" t="s">
        <v>6746</v>
      </c>
    </row>
    <row r="1724" spans="1:2" ht="18.75" customHeight="1" x14ac:dyDescent="0.3">
      <c r="A1724" s="2">
        <v>1721</v>
      </c>
      <c r="B1724" s="91" t="s">
        <v>6747</v>
      </c>
    </row>
    <row r="1725" spans="1:2" ht="18.75" customHeight="1" x14ac:dyDescent="0.3">
      <c r="A1725" s="2">
        <v>1722</v>
      </c>
      <c r="B1725" s="91" t="s">
        <v>6748</v>
      </c>
    </row>
    <row r="1726" spans="1:2" ht="18.75" customHeight="1" x14ac:dyDescent="0.3">
      <c r="A1726" s="2">
        <v>1723</v>
      </c>
      <c r="B1726" s="91" t="s">
        <v>6749</v>
      </c>
    </row>
    <row r="1727" spans="1:2" ht="18.75" customHeight="1" x14ac:dyDescent="0.3">
      <c r="A1727" s="2">
        <v>1724</v>
      </c>
      <c r="B1727" s="2" t="s">
        <v>6750</v>
      </c>
    </row>
    <row r="1728" spans="1:2" ht="18.75" customHeight="1" x14ac:dyDescent="0.3">
      <c r="A1728" s="2">
        <v>1725</v>
      </c>
      <c r="B1728" s="91" t="s">
        <v>6751</v>
      </c>
    </row>
    <row r="1729" spans="1:2" ht="18.75" customHeight="1" x14ac:dyDescent="0.3">
      <c r="A1729" s="2">
        <v>1726</v>
      </c>
      <c r="B1729" s="2" t="s">
        <v>6752</v>
      </c>
    </row>
    <row r="1730" spans="1:2" ht="18.75" customHeight="1" x14ac:dyDescent="0.3">
      <c r="A1730" s="2">
        <v>1727</v>
      </c>
      <c r="B1730" s="2" t="s">
        <v>6753</v>
      </c>
    </row>
    <row r="1731" spans="1:2" ht="18.75" customHeight="1" x14ac:dyDescent="0.3">
      <c r="A1731" s="2">
        <v>1728</v>
      </c>
      <c r="B1731" s="91" t="s">
        <v>6754</v>
      </c>
    </row>
    <row r="1732" spans="1:2" ht="18.75" customHeight="1" x14ac:dyDescent="0.3">
      <c r="A1732" s="2">
        <v>1729</v>
      </c>
      <c r="B1732" s="91" t="s">
        <v>6755</v>
      </c>
    </row>
    <row r="1733" spans="1:2" ht="18.75" customHeight="1" x14ac:dyDescent="0.3">
      <c r="A1733" s="2">
        <v>1730</v>
      </c>
      <c r="B1733" s="2" t="s">
        <v>6756</v>
      </c>
    </row>
    <row r="1734" spans="1:2" ht="18.75" customHeight="1" x14ac:dyDescent="0.3">
      <c r="A1734" s="2">
        <v>1731</v>
      </c>
      <c r="B1734" s="2" t="s">
        <v>6757</v>
      </c>
    </row>
    <row r="1735" spans="1:2" ht="18.75" customHeight="1" x14ac:dyDescent="0.3">
      <c r="A1735" s="2">
        <v>1732</v>
      </c>
      <c r="B1735" s="2" t="s">
        <v>6758</v>
      </c>
    </row>
    <row r="1736" spans="1:2" ht="18.75" customHeight="1" x14ac:dyDescent="0.3">
      <c r="A1736" s="2">
        <v>1733</v>
      </c>
      <c r="B1736" s="2" t="s">
        <v>6759</v>
      </c>
    </row>
    <row r="1737" spans="1:2" ht="18.75" customHeight="1" x14ac:dyDescent="0.3">
      <c r="A1737" s="2">
        <v>1734</v>
      </c>
      <c r="B1737" s="2" t="s">
        <v>6760</v>
      </c>
    </row>
    <row r="1738" spans="1:2" ht="18.75" customHeight="1" x14ac:dyDescent="0.3">
      <c r="A1738" s="2">
        <v>1735</v>
      </c>
      <c r="B1738" s="2" t="s">
        <v>6761</v>
      </c>
    </row>
    <row r="1739" spans="1:2" ht="18.75" customHeight="1" x14ac:dyDescent="0.3">
      <c r="A1739" s="2">
        <v>1736</v>
      </c>
      <c r="B1739" s="2" t="s">
        <v>6762</v>
      </c>
    </row>
    <row r="1740" spans="1:2" ht="18.75" customHeight="1" x14ac:dyDescent="0.3">
      <c r="A1740" s="2">
        <v>1737</v>
      </c>
      <c r="B1740" s="2" t="s">
        <v>6763</v>
      </c>
    </row>
    <row r="1741" spans="1:2" ht="18.75" customHeight="1" x14ac:dyDescent="0.3">
      <c r="A1741" s="2">
        <v>1738</v>
      </c>
      <c r="B1741" s="2" t="s">
        <v>6764</v>
      </c>
    </row>
    <row r="1742" spans="1:2" ht="18.75" customHeight="1" x14ac:dyDescent="0.3">
      <c r="A1742" s="2">
        <v>1739</v>
      </c>
      <c r="B1742" s="91" t="s">
        <v>6765</v>
      </c>
    </row>
    <row r="1743" spans="1:2" ht="18.75" customHeight="1" x14ac:dyDescent="0.3">
      <c r="A1743" s="2">
        <v>1740</v>
      </c>
      <c r="B1743" s="91" t="s">
        <v>6766</v>
      </c>
    </row>
    <row r="1744" spans="1:2" ht="18.75" customHeight="1" x14ac:dyDescent="0.3">
      <c r="A1744" s="2">
        <v>1741</v>
      </c>
      <c r="B1744" s="91" t="s">
        <v>6767</v>
      </c>
    </row>
    <row r="1745" spans="1:2" ht="18.75" customHeight="1" x14ac:dyDescent="0.3">
      <c r="A1745" s="2">
        <v>1742</v>
      </c>
      <c r="B1745" s="2" t="s">
        <v>6768</v>
      </c>
    </row>
    <row r="1746" spans="1:2" ht="18.75" customHeight="1" x14ac:dyDescent="0.3">
      <c r="A1746" s="2">
        <v>1743</v>
      </c>
      <c r="B1746" s="2" t="s">
        <v>6769</v>
      </c>
    </row>
    <row r="1747" spans="1:2" ht="18.75" customHeight="1" x14ac:dyDescent="0.3">
      <c r="A1747" s="2">
        <v>1744</v>
      </c>
      <c r="B1747" s="2" t="s">
        <v>6770</v>
      </c>
    </row>
    <row r="1748" spans="1:2" ht="18.75" customHeight="1" x14ac:dyDescent="0.3">
      <c r="A1748" s="2">
        <v>1745</v>
      </c>
      <c r="B1748" s="2" t="s">
        <v>6771</v>
      </c>
    </row>
    <row r="1749" spans="1:2" ht="18.75" customHeight="1" x14ac:dyDescent="0.3">
      <c r="A1749" s="2">
        <v>1746</v>
      </c>
      <c r="B1749" s="2" t="s">
        <v>6772</v>
      </c>
    </row>
    <row r="1750" spans="1:2" ht="18.75" customHeight="1" x14ac:dyDescent="0.3">
      <c r="A1750" s="2">
        <v>1747</v>
      </c>
      <c r="B1750" s="2" t="s">
        <v>6773</v>
      </c>
    </row>
    <row r="1751" spans="1:2" ht="18.75" customHeight="1" x14ac:dyDescent="0.3">
      <c r="A1751" s="2">
        <v>1748</v>
      </c>
      <c r="B1751" s="91" t="s">
        <v>6774</v>
      </c>
    </row>
    <row r="1752" spans="1:2" ht="18.75" customHeight="1" x14ac:dyDescent="0.3">
      <c r="A1752" s="2">
        <v>1749</v>
      </c>
      <c r="B1752" s="91" t="s">
        <v>6775</v>
      </c>
    </row>
    <row r="1753" spans="1:2" ht="18.75" customHeight="1" x14ac:dyDescent="0.3">
      <c r="A1753" s="2">
        <v>1750</v>
      </c>
      <c r="B1753" s="2" t="s">
        <v>6776</v>
      </c>
    </row>
    <row r="1754" spans="1:2" ht="18.75" customHeight="1" x14ac:dyDescent="0.3">
      <c r="A1754" s="2">
        <v>1751</v>
      </c>
      <c r="B1754" s="2" t="s">
        <v>6777</v>
      </c>
    </row>
    <row r="1755" spans="1:2" ht="18.75" customHeight="1" x14ac:dyDescent="0.3">
      <c r="A1755" s="2">
        <v>1752</v>
      </c>
      <c r="B1755" s="91" t="s">
        <v>6778</v>
      </c>
    </row>
    <row r="1756" spans="1:2" ht="18.75" customHeight="1" x14ac:dyDescent="0.3">
      <c r="A1756" s="2">
        <v>1753</v>
      </c>
      <c r="B1756" s="91" t="s">
        <v>6779</v>
      </c>
    </row>
    <row r="1757" spans="1:2" ht="18.75" customHeight="1" x14ac:dyDescent="0.3">
      <c r="A1757" s="2">
        <v>1754</v>
      </c>
      <c r="B1757" s="91" t="s">
        <v>6780</v>
      </c>
    </row>
    <row r="1758" spans="1:2" ht="18.75" customHeight="1" x14ac:dyDescent="0.3">
      <c r="A1758" s="2">
        <v>1755</v>
      </c>
      <c r="B1758" s="91" t="s">
        <v>6781</v>
      </c>
    </row>
    <row r="1759" spans="1:2" ht="18.75" customHeight="1" x14ac:dyDescent="0.3">
      <c r="A1759" s="2">
        <v>1756</v>
      </c>
      <c r="B1759" s="91" t="s">
        <v>6782</v>
      </c>
    </row>
    <row r="1760" spans="1:2" ht="18.75" customHeight="1" x14ac:dyDescent="0.3">
      <c r="A1760" s="2">
        <v>1757</v>
      </c>
      <c r="B1760" s="91" t="s">
        <v>6783</v>
      </c>
    </row>
    <row r="1761" spans="1:2" ht="18.75" customHeight="1" x14ac:dyDescent="0.3">
      <c r="A1761" s="2">
        <v>1758</v>
      </c>
      <c r="B1761" s="91" t="s">
        <v>6784</v>
      </c>
    </row>
    <row r="1762" spans="1:2" ht="18.75" customHeight="1" x14ac:dyDescent="0.3">
      <c r="A1762" s="2">
        <v>1759</v>
      </c>
      <c r="B1762" s="91" t="s">
        <v>6785</v>
      </c>
    </row>
    <row r="1763" spans="1:2" ht="18.75" customHeight="1" x14ac:dyDescent="0.3">
      <c r="A1763" s="2">
        <v>1760</v>
      </c>
      <c r="B1763" s="91" t="s">
        <v>6786</v>
      </c>
    </row>
    <row r="1764" spans="1:2" ht="18.75" customHeight="1" x14ac:dyDescent="0.3">
      <c r="A1764" s="2">
        <v>1761</v>
      </c>
      <c r="B1764" s="91" t="s">
        <v>6787</v>
      </c>
    </row>
    <row r="1765" spans="1:2" ht="18.75" customHeight="1" x14ac:dyDescent="0.3">
      <c r="A1765" s="2">
        <v>1762</v>
      </c>
      <c r="B1765" s="91" t="s">
        <v>6788</v>
      </c>
    </row>
    <row r="1766" spans="1:2" ht="18.75" customHeight="1" x14ac:dyDescent="0.3">
      <c r="A1766" s="2">
        <v>1763</v>
      </c>
      <c r="B1766" s="91" t="s">
        <v>6789</v>
      </c>
    </row>
    <row r="1767" spans="1:2" ht="18.75" customHeight="1" x14ac:dyDescent="0.3">
      <c r="A1767" s="2">
        <v>1764</v>
      </c>
      <c r="B1767" s="91" t="s">
        <v>6790</v>
      </c>
    </row>
    <row r="1768" spans="1:2" ht="18.75" customHeight="1" x14ac:dyDescent="0.3">
      <c r="A1768" s="2">
        <v>1765</v>
      </c>
      <c r="B1768" s="2" t="s">
        <v>6791</v>
      </c>
    </row>
    <row r="1769" spans="1:2" ht="18.75" customHeight="1" x14ac:dyDescent="0.3">
      <c r="A1769" s="2">
        <v>1766</v>
      </c>
      <c r="B1769" s="91" t="s">
        <v>6792</v>
      </c>
    </row>
    <row r="1770" spans="1:2" ht="18.75" customHeight="1" x14ac:dyDescent="0.3">
      <c r="A1770" s="2">
        <v>1767</v>
      </c>
      <c r="B1770" s="91" t="s">
        <v>6793</v>
      </c>
    </row>
    <row r="1771" spans="1:2" ht="18.75" customHeight="1" x14ac:dyDescent="0.3">
      <c r="A1771" s="2">
        <v>1768</v>
      </c>
      <c r="B1771" s="91" t="s">
        <v>6794</v>
      </c>
    </row>
    <row r="1772" spans="1:2" ht="18.75" customHeight="1" x14ac:dyDescent="0.3">
      <c r="A1772" s="2">
        <v>1769</v>
      </c>
      <c r="B1772" s="91" t="s">
        <v>6795</v>
      </c>
    </row>
    <row r="1773" spans="1:2" ht="18.75" customHeight="1" x14ac:dyDescent="0.3">
      <c r="A1773" s="2">
        <v>1770</v>
      </c>
      <c r="B1773" s="91" t="s">
        <v>6796</v>
      </c>
    </row>
    <row r="1774" spans="1:2" ht="18.75" customHeight="1" x14ac:dyDescent="0.3">
      <c r="A1774" s="2">
        <v>1771</v>
      </c>
      <c r="B1774" s="91" t="s">
        <v>6797</v>
      </c>
    </row>
    <row r="1775" spans="1:2" ht="18.75" customHeight="1" x14ac:dyDescent="0.3">
      <c r="A1775" s="2">
        <v>1772</v>
      </c>
      <c r="B1775" s="91" t="s">
        <v>6798</v>
      </c>
    </row>
    <row r="1776" spans="1:2" ht="18.75" customHeight="1" x14ac:dyDescent="0.3">
      <c r="A1776" s="2">
        <v>1773</v>
      </c>
      <c r="B1776" s="91" t="s">
        <v>6799</v>
      </c>
    </row>
    <row r="1777" spans="1:2" ht="18.75" customHeight="1" x14ac:dyDescent="0.3">
      <c r="A1777" s="2">
        <v>1774</v>
      </c>
      <c r="B1777" s="2" t="s">
        <v>6800</v>
      </c>
    </row>
    <row r="1778" spans="1:2" ht="18.75" customHeight="1" x14ac:dyDescent="0.3">
      <c r="A1778" s="2">
        <v>1775</v>
      </c>
      <c r="B1778" s="2" t="s">
        <v>6801</v>
      </c>
    </row>
    <row r="1779" spans="1:2" ht="18.75" customHeight="1" x14ac:dyDescent="0.3">
      <c r="A1779" s="2">
        <v>1776</v>
      </c>
      <c r="B1779" s="2" t="s">
        <v>6802</v>
      </c>
    </row>
    <row r="1780" spans="1:2" ht="18.75" customHeight="1" x14ac:dyDescent="0.3">
      <c r="A1780" s="2">
        <v>1777</v>
      </c>
      <c r="B1780" s="91" t="s">
        <v>6803</v>
      </c>
    </row>
    <row r="1781" spans="1:2" ht="18.75" customHeight="1" x14ac:dyDescent="0.3">
      <c r="A1781" s="2">
        <v>1778</v>
      </c>
      <c r="B1781" s="91" t="s">
        <v>6804</v>
      </c>
    </row>
    <row r="1782" spans="1:2" ht="18.75" customHeight="1" x14ac:dyDescent="0.3">
      <c r="A1782" s="2">
        <v>1779</v>
      </c>
      <c r="B1782" s="2" t="s">
        <v>6805</v>
      </c>
    </row>
    <row r="1783" spans="1:2" ht="18.75" customHeight="1" x14ac:dyDescent="0.3">
      <c r="A1783" s="2">
        <v>1780</v>
      </c>
      <c r="B1783" s="91" t="s">
        <v>6806</v>
      </c>
    </row>
    <row r="1784" spans="1:2" ht="18.75" customHeight="1" x14ac:dyDescent="0.3">
      <c r="A1784" s="2">
        <v>1781</v>
      </c>
      <c r="B1784" s="2" t="s">
        <v>6807</v>
      </c>
    </row>
    <row r="1785" spans="1:2" ht="18.75" customHeight="1" x14ac:dyDescent="0.3">
      <c r="A1785" s="2">
        <v>1782</v>
      </c>
      <c r="B1785" s="2" t="s">
        <v>6267</v>
      </c>
    </row>
    <row r="1786" spans="1:2" ht="18.75" customHeight="1" x14ac:dyDescent="0.3">
      <c r="A1786" s="2">
        <v>1783</v>
      </c>
      <c r="B1786" s="2" t="s">
        <v>6144</v>
      </c>
    </row>
    <row r="1787" spans="1:2" ht="18.75" customHeight="1" x14ac:dyDescent="0.3">
      <c r="A1787" s="2">
        <v>1784</v>
      </c>
      <c r="B1787" s="2" t="s">
        <v>6808</v>
      </c>
    </row>
    <row r="1788" spans="1:2" ht="18.75" customHeight="1" x14ac:dyDescent="0.3">
      <c r="A1788" s="2">
        <v>1785</v>
      </c>
      <c r="B1788" s="2" t="s">
        <v>6809</v>
      </c>
    </row>
    <row r="1789" spans="1:2" ht="18.75" customHeight="1" x14ac:dyDescent="0.3">
      <c r="A1789" s="2">
        <v>1786</v>
      </c>
      <c r="B1789" s="2" t="s">
        <v>6810</v>
      </c>
    </row>
    <row r="1790" spans="1:2" ht="18.75" customHeight="1" x14ac:dyDescent="0.3">
      <c r="A1790" s="2">
        <v>1787</v>
      </c>
      <c r="B1790" s="2" t="s">
        <v>6811</v>
      </c>
    </row>
    <row r="1791" spans="1:2" ht="18.75" customHeight="1" x14ac:dyDescent="0.3">
      <c r="A1791" s="2">
        <v>1788</v>
      </c>
      <c r="B1791" s="2" t="s">
        <v>6812</v>
      </c>
    </row>
    <row r="1792" spans="1:2" ht="18.75" customHeight="1" x14ac:dyDescent="0.3">
      <c r="A1792" s="2">
        <v>1789</v>
      </c>
      <c r="B1792" s="2" t="s">
        <v>6813</v>
      </c>
    </row>
    <row r="1793" spans="1:2" ht="18.75" customHeight="1" x14ac:dyDescent="0.3">
      <c r="A1793" s="2">
        <v>1790</v>
      </c>
      <c r="B1793" s="2" t="s">
        <v>6814</v>
      </c>
    </row>
    <row r="1794" spans="1:2" ht="18.75" customHeight="1" x14ac:dyDescent="0.3">
      <c r="A1794" s="2">
        <v>1791</v>
      </c>
      <c r="B1794" s="2" t="s">
        <v>6815</v>
      </c>
    </row>
    <row r="1795" spans="1:2" ht="18.75" customHeight="1" x14ac:dyDescent="0.3">
      <c r="A1795" s="2">
        <v>1792</v>
      </c>
      <c r="B1795" s="2" t="s">
        <v>6816</v>
      </c>
    </row>
    <row r="1796" spans="1:2" ht="18.75" customHeight="1" x14ac:dyDescent="0.3">
      <c r="A1796" s="2">
        <v>1793</v>
      </c>
      <c r="B1796" s="2" t="s">
        <v>6817</v>
      </c>
    </row>
    <row r="1797" spans="1:2" ht="18.75" customHeight="1" x14ac:dyDescent="0.3">
      <c r="A1797" s="2">
        <v>1794</v>
      </c>
      <c r="B1797" s="2" t="s">
        <v>6818</v>
      </c>
    </row>
    <row r="1798" spans="1:2" ht="18.75" customHeight="1" x14ac:dyDescent="0.3">
      <c r="A1798" s="2">
        <v>1795</v>
      </c>
      <c r="B1798" s="2" t="s">
        <v>6819</v>
      </c>
    </row>
    <row r="1799" spans="1:2" ht="18.75" customHeight="1" x14ac:dyDescent="0.3">
      <c r="A1799" s="2">
        <v>1796</v>
      </c>
      <c r="B1799" s="2" t="s">
        <v>6820</v>
      </c>
    </row>
    <row r="1800" spans="1:2" ht="18.75" customHeight="1" x14ac:dyDescent="0.3">
      <c r="A1800" s="2">
        <v>1797</v>
      </c>
      <c r="B1800" s="91" t="s">
        <v>6821</v>
      </c>
    </row>
    <row r="1801" spans="1:2" ht="18.75" customHeight="1" x14ac:dyDescent="0.3">
      <c r="A1801" s="2">
        <v>1798</v>
      </c>
      <c r="B1801" s="2" t="s">
        <v>6822</v>
      </c>
    </row>
    <row r="1802" spans="1:2" ht="18.75" customHeight="1" x14ac:dyDescent="0.3">
      <c r="A1802" s="2">
        <v>1799</v>
      </c>
      <c r="B1802" s="2" t="s">
        <v>6823</v>
      </c>
    </row>
    <row r="1803" spans="1:2" ht="18.75" customHeight="1" x14ac:dyDescent="0.3">
      <c r="A1803" s="2">
        <v>1800</v>
      </c>
      <c r="B1803" s="2" t="s">
        <v>6824</v>
      </c>
    </row>
    <row r="1804" spans="1:2" ht="18.75" customHeight="1" x14ac:dyDescent="0.3">
      <c r="A1804" s="2">
        <v>1801</v>
      </c>
      <c r="B1804" s="2" t="s">
        <v>6825</v>
      </c>
    </row>
    <row r="1805" spans="1:2" ht="18.75" customHeight="1" x14ac:dyDescent="0.3">
      <c r="A1805" s="2">
        <v>1802</v>
      </c>
      <c r="B1805" s="2" t="s">
        <v>6826</v>
      </c>
    </row>
    <row r="1806" spans="1:2" ht="18.75" customHeight="1" x14ac:dyDescent="0.3">
      <c r="A1806" s="2">
        <v>1803</v>
      </c>
      <c r="B1806" s="2" t="s">
        <v>6827</v>
      </c>
    </row>
    <row r="1807" spans="1:2" ht="18.75" customHeight="1" x14ac:dyDescent="0.3">
      <c r="A1807" s="2">
        <v>1804</v>
      </c>
      <c r="B1807" s="2" t="s">
        <v>6828</v>
      </c>
    </row>
    <row r="1808" spans="1:2" ht="18.75" customHeight="1" x14ac:dyDescent="0.3">
      <c r="A1808" s="2">
        <v>1805</v>
      </c>
      <c r="B1808" s="2" t="s">
        <v>6829</v>
      </c>
    </row>
    <row r="1809" spans="1:2" ht="18.75" customHeight="1" x14ac:dyDescent="0.3">
      <c r="A1809" s="2">
        <v>1806</v>
      </c>
      <c r="B1809" s="2" t="s">
        <v>6830</v>
      </c>
    </row>
    <row r="1810" spans="1:2" ht="18.75" customHeight="1" x14ac:dyDescent="0.3">
      <c r="A1810" s="2">
        <v>1807</v>
      </c>
      <c r="B1810" s="2" t="s">
        <v>6831</v>
      </c>
    </row>
    <row r="1811" spans="1:2" ht="18.75" customHeight="1" x14ac:dyDescent="0.3">
      <c r="A1811" s="2">
        <v>1808</v>
      </c>
      <c r="B1811" s="2" t="s">
        <v>6832</v>
      </c>
    </row>
    <row r="1812" spans="1:2" ht="18.75" customHeight="1" x14ac:dyDescent="0.3">
      <c r="A1812" s="2">
        <v>1809</v>
      </c>
      <c r="B1812" s="2" t="s">
        <v>6833</v>
      </c>
    </row>
    <row r="1813" spans="1:2" ht="18.75" customHeight="1" x14ac:dyDescent="0.3">
      <c r="A1813" s="2">
        <v>1810</v>
      </c>
      <c r="B1813" s="2" t="s">
        <v>6834</v>
      </c>
    </row>
    <row r="1814" spans="1:2" ht="18.75" customHeight="1" x14ac:dyDescent="0.3">
      <c r="A1814" s="2">
        <v>1811</v>
      </c>
      <c r="B1814" s="2" t="s">
        <v>6835</v>
      </c>
    </row>
    <row r="1815" spans="1:2" ht="18.75" customHeight="1" x14ac:dyDescent="0.3">
      <c r="A1815" s="2">
        <v>1812</v>
      </c>
      <c r="B1815" s="2" t="s">
        <v>6836</v>
      </c>
    </row>
    <row r="1816" spans="1:2" ht="18.75" customHeight="1" x14ac:dyDescent="0.3">
      <c r="A1816" s="2">
        <v>1813</v>
      </c>
      <c r="B1816" s="2" t="s">
        <v>6837</v>
      </c>
    </row>
    <row r="1817" spans="1:2" ht="18.75" customHeight="1" x14ac:dyDescent="0.3">
      <c r="A1817" s="2">
        <v>1814</v>
      </c>
      <c r="B1817" s="2" t="s">
        <v>6838</v>
      </c>
    </row>
    <row r="1818" spans="1:2" ht="18.75" customHeight="1" x14ac:dyDescent="0.3">
      <c r="A1818" s="2">
        <v>1815</v>
      </c>
      <c r="B1818" s="2" t="s">
        <v>6839</v>
      </c>
    </row>
    <row r="1819" spans="1:2" ht="18.75" customHeight="1" x14ac:dyDescent="0.3">
      <c r="A1819" s="2">
        <v>1816</v>
      </c>
      <c r="B1819" s="2" t="s">
        <v>6840</v>
      </c>
    </row>
    <row r="1820" spans="1:2" ht="18.75" customHeight="1" x14ac:dyDescent="0.3">
      <c r="A1820" s="2">
        <v>1817</v>
      </c>
      <c r="B1820" s="2" t="s">
        <v>6841</v>
      </c>
    </row>
    <row r="1821" spans="1:2" ht="18.75" customHeight="1" x14ac:dyDescent="0.3">
      <c r="A1821" s="2">
        <v>1818</v>
      </c>
      <c r="B1821" s="2" t="s">
        <v>6842</v>
      </c>
    </row>
    <row r="1822" spans="1:2" ht="18.75" customHeight="1" x14ac:dyDescent="0.3">
      <c r="A1822" s="2">
        <v>1819</v>
      </c>
      <c r="B1822" s="2" t="s">
        <v>6843</v>
      </c>
    </row>
    <row r="1823" spans="1:2" ht="18.75" customHeight="1" x14ac:dyDescent="0.3">
      <c r="A1823" s="2">
        <v>1820</v>
      </c>
      <c r="B1823" s="2" t="s">
        <v>6844</v>
      </c>
    </row>
    <row r="1824" spans="1:2" ht="18.75" customHeight="1" x14ac:dyDescent="0.3">
      <c r="A1824" s="2">
        <v>1821</v>
      </c>
      <c r="B1824" s="2" t="s">
        <v>6845</v>
      </c>
    </row>
    <row r="1825" spans="1:2" ht="18.75" customHeight="1" x14ac:dyDescent="0.3">
      <c r="A1825" s="2">
        <v>1822</v>
      </c>
      <c r="B1825" s="2" t="s">
        <v>6846</v>
      </c>
    </row>
    <row r="1826" spans="1:2" ht="18.75" customHeight="1" x14ac:dyDescent="0.3">
      <c r="A1826" s="2">
        <v>1823</v>
      </c>
      <c r="B1826" s="2" t="s">
        <v>6847</v>
      </c>
    </row>
    <row r="1827" spans="1:2" ht="18.75" customHeight="1" x14ac:dyDescent="0.3">
      <c r="A1827" s="2">
        <v>1824</v>
      </c>
      <c r="B1827" s="2" t="s">
        <v>6848</v>
      </c>
    </row>
    <row r="1828" spans="1:2" ht="18.75" customHeight="1" x14ac:dyDescent="0.3">
      <c r="A1828" s="2">
        <v>1825</v>
      </c>
      <c r="B1828" s="2" t="s">
        <v>6849</v>
      </c>
    </row>
    <row r="1829" spans="1:2" ht="18.75" customHeight="1" x14ac:dyDescent="0.3">
      <c r="A1829" s="2">
        <v>1826</v>
      </c>
      <c r="B1829" s="2" t="s">
        <v>6850</v>
      </c>
    </row>
    <row r="1830" spans="1:2" ht="18.75" customHeight="1" x14ac:dyDescent="0.3">
      <c r="A1830" s="2">
        <v>1827</v>
      </c>
      <c r="B1830" s="2" t="s">
        <v>6851</v>
      </c>
    </row>
    <row r="1831" spans="1:2" ht="18.75" customHeight="1" x14ac:dyDescent="0.3">
      <c r="A1831" s="2">
        <v>1828</v>
      </c>
      <c r="B1831" s="2" t="s">
        <v>6852</v>
      </c>
    </row>
    <row r="1832" spans="1:2" ht="18.75" customHeight="1" x14ac:dyDescent="0.3">
      <c r="A1832" s="2">
        <v>1829</v>
      </c>
      <c r="B1832" s="2" t="s">
        <v>6853</v>
      </c>
    </row>
    <row r="1833" spans="1:2" ht="18.75" customHeight="1" x14ac:dyDescent="0.3">
      <c r="A1833" s="2">
        <v>1830</v>
      </c>
      <c r="B1833" s="91" t="s">
        <v>6854</v>
      </c>
    </row>
    <row r="1834" spans="1:2" ht="18.75" customHeight="1" x14ac:dyDescent="0.3">
      <c r="A1834" s="2">
        <v>1831</v>
      </c>
      <c r="B1834" s="2" t="s">
        <v>6855</v>
      </c>
    </row>
    <row r="1835" spans="1:2" ht="18.75" customHeight="1" x14ac:dyDescent="0.3">
      <c r="A1835" s="2">
        <v>1832</v>
      </c>
      <c r="B1835" s="2" t="s">
        <v>6856</v>
      </c>
    </row>
    <row r="1836" spans="1:2" ht="18.75" customHeight="1" x14ac:dyDescent="0.3">
      <c r="A1836" s="2">
        <v>1833</v>
      </c>
      <c r="B1836" s="91" t="s">
        <v>6857</v>
      </c>
    </row>
    <row r="1837" spans="1:2" ht="18.75" customHeight="1" x14ac:dyDescent="0.3">
      <c r="A1837" s="2">
        <v>1834</v>
      </c>
      <c r="B1837" s="91" t="s">
        <v>6858</v>
      </c>
    </row>
    <row r="1838" spans="1:2" ht="18.75" customHeight="1" x14ac:dyDescent="0.3">
      <c r="A1838" s="2">
        <v>1835</v>
      </c>
      <c r="B1838" s="91" t="s">
        <v>6859</v>
      </c>
    </row>
    <row r="1839" spans="1:2" ht="18.75" customHeight="1" x14ac:dyDescent="0.3">
      <c r="A1839" s="2">
        <v>1836</v>
      </c>
      <c r="B1839" s="91" t="s">
        <v>6860</v>
      </c>
    </row>
    <row r="1840" spans="1:2" ht="18.75" customHeight="1" x14ac:dyDescent="0.3">
      <c r="A1840" s="2">
        <v>1837</v>
      </c>
      <c r="B1840" s="2" t="s">
        <v>6861</v>
      </c>
    </row>
    <row r="1841" spans="1:2" ht="18.75" customHeight="1" x14ac:dyDescent="0.3">
      <c r="A1841" s="2">
        <v>1838</v>
      </c>
      <c r="B1841" s="2" t="s">
        <v>6862</v>
      </c>
    </row>
    <row r="1842" spans="1:2" ht="18.75" customHeight="1" x14ac:dyDescent="0.3">
      <c r="A1842" s="2">
        <v>1839</v>
      </c>
      <c r="B1842" s="2" t="s">
        <v>6863</v>
      </c>
    </row>
    <row r="1843" spans="1:2" ht="18.75" customHeight="1" x14ac:dyDescent="0.3">
      <c r="A1843" s="2">
        <v>1840</v>
      </c>
      <c r="B1843" s="2" t="s">
        <v>6864</v>
      </c>
    </row>
    <row r="1844" spans="1:2" ht="18.75" customHeight="1" x14ac:dyDescent="0.3">
      <c r="A1844" s="2">
        <v>1841</v>
      </c>
      <c r="B1844" s="2" t="s">
        <v>6865</v>
      </c>
    </row>
    <row r="1845" spans="1:2" ht="18.75" customHeight="1" x14ac:dyDescent="0.3">
      <c r="A1845" s="2">
        <v>1842</v>
      </c>
      <c r="B1845" s="2" t="s">
        <v>6866</v>
      </c>
    </row>
    <row r="1846" spans="1:2" ht="18.75" customHeight="1" x14ac:dyDescent="0.3">
      <c r="A1846" s="2">
        <v>1843</v>
      </c>
      <c r="B1846" s="2" t="s">
        <v>6867</v>
      </c>
    </row>
    <row r="1847" spans="1:2" ht="18.75" customHeight="1" x14ac:dyDescent="0.3">
      <c r="A1847" s="2">
        <v>1844</v>
      </c>
      <c r="B1847" s="91" t="s">
        <v>6868</v>
      </c>
    </row>
    <row r="1848" spans="1:2" ht="18.75" customHeight="1" x14ac:dyDescent="0.3">
      <c r="A1848" s="2">
        <v>1845</v>
      </c>
      <c r="B1848" s="91" t="s">
        <v>6869</v>
      </c>
    </row>
    <row r="1849" spans="1:2" ht="18.75" customHeight="1" x14ac:dyDescent="0.3">
      <c r="A1849" s="2">
        <v>1846</v>
      </c>
      <c r="B1849" s="2" t="s">
        <v>6870</v>
      </c>
    </row>
    <row r="1850" spans="1:2" ht="18.75" customHeight="1" x14ac:dyDescent="0.3">
      <c r="A1850" s="2">
        <v>1847</v>
      </c>
      <c r="B1850" s="2" t="s">
        <v>6871</v>
      </c>
    </row>
    <row r="1851" spans="1:2" ht="18.75" customHeight="1" x14ac:dyDescent="0.3">
      <c r="A1851" s="2">
        <v>1848</v>
      </c>
      <c r="B1851" s="2" t="s">
        <v>6872</v>
      </c>
    </row>
    <row r="1852" spans="1:2" ht="18.75" customHeight="1" x14ac:dyDescent="0.3">
      <c r="A1852" s="2">
        <v>1849</v>
      </c>
      <c r="B1852" s="2" t="s">
        <v>6873</v>
      </c>
    </row>
    <row r="1853" spans="1:2" ht="18.75" customHeight="1" x14ac:dyDescent="0.3">
      <c r="A1853" s="2">
        <v>1850</v>
      </c>
      <c r="B1853" s="2" t="s">
        <v>6874</v>
      </c>
    </row>
    <row r="1854" spans="1:2" ht="18.75" customHeight="1" x14ac:dyDescent="0.3">
      <c r="A1854" s="2">
        <v>1851</v>
      </c>
      <c r="B1854" s="2" t="s">
        <v>6875</v>
      </c>
    </row>
    <row r="1855" spans="1:2" ht="18.75" customHeight="1" x14ac:dyDescent="0.3">
      <c r="A1855" s="2">
        <v>1852</v>
      </c>
      <c r="B1855" s="2" t="s">
        <v>6876</v>
      </c>
    </row>
    <row r="1856" spans="1:2" ht="18.75" customHeight="1" x14ac:dyDescent="0.3">
      <c r="A1856" s="2">
        <v>1853</v>
      </c>
      <c r="B1856" s="2" t="s">
        <v>6877</v>
      </c>
    </row>
    <row r="1857" spans="1:2" ht="18.75" customHeight="1" x14ac:dyDescent="0.3">
      <c r="A1857" s="2">
        <v>1854</v>
      </c>
      <c r="B1857" s="2" t="s">
        <v>6878</v>
      </c>
    </row>
    <row r="1858" spans="1:2" ht="18.75" customHeight="1" x14ac:dyDescent="0.3">
      <c r="A1858" s="2">
        <v>1855</v>
      </c>
      <c r="B1858" s="2" t="s">
        <v>6879</v>
      </c>
    </row>
    <row r="1859" spans="1:2" ht="18.75" customHeight="1" x14ac:dyDescent="0.3">
      <c r="A1859" s="2">
        <v>1856</v>
      </c>
      <c r="B1859" s="2" t="s">
        <v>6880</v>
      </c>
    </row>
    <row r="1860" spans="1:2" ht="18.75" customHeight="1" x14ac:dyDescent="0.3">
      <c r="A1860" s="2">
        <v>1857</v>
      </c>
      <c r="B1860" s="91" t="s">
        <v>6881</v>
      </c>
    </row>
    <row r="1861" spans="1:2" ht="18.75" customHeight="1" x14ac:dyDescent="0.3">
      <c r="A1861" s="2">
        <v>1858</v>
      </c>
      <c r="B1861" s="91" t="s">
        <v>6882</v>
      </c>
    </row>
    <row r="1862" spans="1:2" ht="18.75" customHeight="1" x14ac:dyDescent="0.3">
      <c r="A1862" s="2">
        <v>1859</v>
      </c>
      <c r="B1862" s="91" t="s">
        <v>6883</v>
      </c>
    </row>
    <row r="1863" spans="1:2" ht="18.75" customHeight="1" x14ac:dyDescent="0.3">
      <c r="A1863" s="2">
        <v>1860</v>
      </c>
      <c r="B1863" s="91" t="s">
        <v>6884</v>
      </c>
    </row>
    <row r="1864" spans="1:2" ht="18.75" customHeight="1" x14ac:dyDescent="0.3">
      <c r="A1864" s="2">
        <v>1861</v>
      </c>
      <c r="B1864" s="91" t="s">
        <v>6885</v>
      </c>
    </row>
    <row r="1865" spans="1:2" ht="18.75" customHeight="1" x14ac:dyDescent="0.3">
      <c r="A1865" s="2">
        <v>1862</v>
      </c>
      <c r="B1865" s="91" t="s">
        <v>6886</v>
      </c>
    </row>
    <row r="1866" spans="1:2" ht="18.75" customHeight="1" x14ac:dyDescent="0.3">
      <c r="A1866" s="2">
        <v>1863</v>
      </c>
      <c r="B1866" s="91" t="s">
        <v>6887</v>
      </c>
    </row>
    <row r="1867" spans="1:2" ht="18.75" customHeight="1" x14ac:dyDescent="0.3">
      <c r="A1867" s="2">
        <v>1864</v>
      </c>
      <c r="B1867" s="91" t="s">
        <v>6888</v>
      </c>
    </row>
    <row r="1868" spans="1:2" ht="18.75" customHeight="1" x14ac:dyDescent="0.3">
      <c r="A1868" s="2">
        <v>1865</v>
      </c>
      <c r="B1868" s="91" t="s">
        <v>6889</v>
      </c>
    </row>
    <row r="1869" spans="1:2" ht="18.75" customHeight="1" x14ac:dyDescent="0.3">
      <c r="A1869" s="2">
        <v>1866</v>
      </c>
      <c r="B1869" s="91" t="s">
        <v>6890</v>
      </c>
    </row>
    <row r="1870" spans="1:2" ht="18.75" customHeight="1" x14ac:dyDescent="0.3">
      <c r="A1870" s="2">
        <v>1867</v>
      </c>
      <c r="B1870" s="91" t="s">
        <v>6891</v>
      </c>
    </row>
    <row r="1871" spans="1:2" ht="18.75" customHeight="1" x14ac:dyDescent="0.3">
      <c r="A1871" s="2">
        <v>1868</v>
      </c>
      <c r="B1871" s="2" t="s">
        <v>6892</v>
      </c>
    </row>
    <row r="1872" spans="1:2" ht="18.75" customHeight="1" x14ac:dyDescent="0.3">
      <c r="A1872" s="2">
        <v>1869</v>
      </c>
      <c r="B1872" s="2" t="s">
        <v>6893</v>
      </c>
    </row>
    <row r="1873" spans="1:2" ht="18.75" customHeight="1" x14ac:dyDescent="0.3">
      <c r="A1873" s="2">
        <v>1870</v>
      </c>
      <c r="B1873" s="2" t="s">
        <v>6894</v>
      </c>
    </row>
    <row r="1874" spans="1:2" ht="18.75" customHeight="1" x14ac:dyDescent="0.3">
      <c r="A1874" s="2">
        <v>1871</v>
      </c>
      <c r="B1874" s="2" t="s">
        <v>6895</v>
      </c>
    </row>
    <row r="1875" spans="1:2" ht="18.75" customHeight="1" x14ac:dyDescent="0.3">
      <c r="A1875" s="2">
        <v>1872</v>
      </c>
      <c r="B1875" s="2" t="s">
        <v>6896</v>
      </c>
    </row>
    <row r="1876" spans="1:2" ht="18.75" customHeight="1" x14ac:dyDescent="0.3">
      <c r="A1876" s="2">
        <v>1873</v>
      </c>
      <c r="B1876" s="91" t="s">
        <v>6897</v>
      </c>
    </row>
    <row r="1877" spans="1:2" ht="18.75" customHeight="1" x14ac:dyDescent="0.3">
      <c r="A1877" s="2">
        <v>1874</v>
      </c>
      <c r="B1877" s="91" t="s">
        <v>6898</v>
      </c>
    </row>
    <row r="1878" spans="1:2" ht="18.75" customHeight="1" x14ac:dyDescent="0.3">
      <c r="A1878" s="2">
        <v>1875</v>
      </c>
      <c r="B1878" s="91" t="s">
        <v>6899</v>
      </c>
    </row>
    <row r="1879" spans="1:2" ht="18.75" customHeight="1" x14ac:dyDescent="0.3">
      <c r="A1879" s="2">
        <v>1876</v>
      </c>
      <c r="B1879" s="91" t="s">
        <v>6900</v>
      </c>
    </row>
    <row r="1880" spans="1:2" ht="18.75" customHeight="1" x14ac:dyDescent="0.3">
      <c r="A1880" s="2">
        <v>1877</v>
      </c>
      <c r="B1880" s="2" t="s">
        <v>6901</v>
      </c>
    </row>
    <row r="1881" spans="1:2" ht="18.75" customHeight="1" x14ac:dyDescent="0.3">
      <c r="A1881" s="2">
        <v>1878</v>
      </c>
      <c r="B1881" s="2" t="s">
        <v>6902</v>
      </c>
    </row>
    <row r="1882" spans="1:2" ht="18.75" customHeight="1" x14ac:dyDescent="0.3">
      <c r="A1882" s="2">
        <v>1879</v>
      </c>
      <c r="B1882" s="2" t="s">
        <v>6903</v>
      </c>
    </row>
    <row r="1883" spans="1:2" ht="18.75" customHeight="1" x14ac:dyDescent="0.3">
      <c r="A1883" s="2">
        <v>1880</v>
      </c>
      <c r="B1883" s="2" t="s">
        <v>6904</v>
      </c>
    </row>
    <row r="1884" spans="1:2" ht="18.75" customHeight="1" x14ac:dyDescent="0.3">
      <c r="A1884" s="2">
        <v>1881</v>
      </c>
      <c r="B1884" s="2" t="s">
        <v>6905</v>
      </c>
    </row>
    <row r="1885" spans="1:2" ht="18.75" customHeight="1" x14ac:dyDescent="0.3">
      <c r="A1885" s="2">
        <v>1882</v>
      </c>
      <c r="B1885" s="2" t="s">
        <v>6906</v>
      </c>
    </row>
    <row r="1886" spans="1:2" ht="18.75" customHeight="1" x14ac:dyDescent="0.3">
      <c r="A1886" s="2">
        <v>1883</v>
      </c>
      <c r="B1886" s="2" t="s">
        <v>6907</v>
      </c>
    </row>
    <row r="1887" spans="1:2" ht="18.75" customHeight="1" x14ac:dyDescent="0.3">
      <c r="A1887" s="2">
        <v>1884</v>
      </c>
      <c r="B1887" s="2" t="s">
        <v>6908</v>
      </c>
    </row>
    <row r="1888" spans="1:2" ht="18.75" customHeight="1" x14ac:dyDescent="0.3">
      <c r="A1888" s="2">
        <v>1885</v>
      </c>
      <c r="B1888" s="91" t="s">
        <v>6909</v>
      </c>
    </row>
    <row r="1889" spans="1:2" ht="18.75" customHeight="1" x14ac:dyDescent="0.3">
      <c r="A1889" s="2">
        <v>1886</v>
      </c>
      <c r="B1889" s="2" t="s">
        <v>6910</v>
      </c>
    </row>
    <row r="1890" spans="1:2" ht="18.75" customHeight="1" x14ac:dyDescent="0.3">
      <c r="A1890" s="2">
        <v>1887</v>
      </c>
      <c r="B1890" s="2" t="s">
        <v>6911</v>
      </c>
    </row>
    <row r="1891" spans="1:2" ht="18.75" customHeight="1" x14ac:dyDescent="0.3">
      <c r="A1891" s="2">
        <v>1888</v>
      </c>
      <c r="B1891" s="91" t="s">
        <v>6912</v>
      </c>
    </row>
    <row r="1892" spans="1:2" ht="18.75" customHeight="1" x14ac:dyDescent="0.3">
      <c r="A1892" s="2">
        <v>1889</v>
      </c>
      <c r="B1892" s="2" t="s">
        <v>6913</v>
      </c>
    </row>
    <row r="1893" spans="1:2" ht="18.75" customHeight="1" x14ac:dyDescent="0.3">
      <c r="A1893" s="2">
        <v>1890</v>
      </c>
      <c r="B1893" s="2" t="s">
        <v>6914</v>
      </c>
    </row>
    <row r="1894" spans="1:2" ht="18.75" customHeight="1" x14ac:dyDescent="0.3">
      <c r="A1894" s="2">
        <v>1891</v>
      </c>
      <c r="B1894" s="2" t="s">
        <v>6915</v>
      </c>
    </row>
    <row r="1895" spans="1:2" ht="18.75" customHeight="1" x14ac:dyDescent="0.3">
      <c r="A1895" s="2">
        <v>1892</v>
      </c>
      <c r="B1895" s="91" t="s">
        <v>6916</v>
      </c>
    </row>
    <row r="1896" spans="1:2" ht="18.75" customHeight="1" x14ac:dyDescent="0.3">
      <c r="A1896" s="2">
        <v>1893</v>
      </c>
      <c r="B1896" s="2" t="s">
        <v>6917</v>
      </c>
    </row>
    <row r="1897" spans="1:2" ht="18.75" customHeight="1" x14ac:dyDescent="0.3">
      <c r="A1897" s="2">
        <v>1894</v>
      </c>
      <c r="B1897" s="2" t="s">
        <v>6918</v>
      </c>
    </row>
    <row r="1898" spans="1:2" ht="18.75" customHeight="1" x14ac:dyDescent="0.3">
      <c r="A1898" s="2">
        <v>1895</v>
      </c>
      <c r="B1898" s="2" t="s">
        <v>6919</v>
      </c>
    </row>
    <row r="1899" spans="1:2" ht="18.75" customHeight="1" x14ac:dyDescent="0.3">
      <c r="A1899" s="2">
        <v>1896</v>
      </c>
      <c r="B1899" s="2" t="s">
        <v>6920</v>
      </c>
    </row>
    <row r="1900" spans="1:2" ht="18.75" customHeight="1" x14ac:dyDescent="0.3">
      <c r="A1900" s="2">
        <v>1897</v>
      </c>
      <c r="B1900" s="2" t="s">
        <v>6921</v>
      </c>
    </row>
    <row r="1901" spans="1:2" ht="18.75" customHeight="1" x14ac:dyDescent="0.3">
      <c r="A1901" s="2">
        <v>1898</v>
      </c>
      <c r="B1901" s="91" t="s">
        <v>6922</v>
      </c>
    </row>
    <row r="1902" spans="1:2" ht="18.75" customHeight="1" x14ac:dyDescent="0.3">
      <c r="A1902" s="2">
        <v>1899</v>
      </c>
      <c r="B1902" s="2" t="s">
        <v>6923</v>
      </c>
    </row>
    <row r="1903" spans="1:2" ht="18.75" customHeight="1" x14ac:dyDescent="0.3">
      <c r="A1903" s="2">
        <v>1900</v>
      </c>
      <c r="B1903" s="2" t="s">
        <v>6924</v>
      </c>
    </row>
    <row r="1904" spans="1:2" ht="18.75" customHeight="1" x14ac:dyDescent="0.3">
      <c r="A1904" s="2">
        <v>1901</v>
      </c>
      <c r="B1904" s="2" t="s">
        <v>6925</v>
      </c>
    </row>
    <row r="1905" spans="1:2" ht="18.75" customHeight="1" x14ac:dyDescent="0.3">
      <c r="A1905" s="2">
        <v>1902</v>
      </c>
      <c r="B1905" s="2" t="s">
        <v>6926</v>
      </c>
    </row>
    <row r="1906" spans="1:2" ht="18.75" customHeight="1" x14ac:dyDescent="0.3">
      <c r="A1906" s="2">
        <v>1903</v>
      </c>
      <c r="B1906" s="2" t="s">
        <v>6927</v>
      </c>
    </row>
    <row r="1907" spans="1:2" ht="18.75" customHeight="1" x14ac:dyDescent="0.3">
      <c r="A1907" s="2">
        <v>1904</v>
      </c>
      <c r="B1907" s="2" t="s">
        <v>6928</v>
      </c>
    </row>
    <row r="1908" spans="1:2" ht="18.75" customHeight="1" x14ac:dyDescent="0.3">
      <c r="A1908" s="2">
        <v>1905</v>
      </c>
      <c r="B1908" s="2" t="s">
        <v>6929</v>
      </c>
    </row>
    <row r="1909" spans="1:2" ht="18.75" customHeight="1" x14ac:dyDescent="0.3">
      <c r="A1909" s="2">
        <v>1906</v>
      </c>
      <c r="B1909" s="2" t="s">
        <v>6930</v>
      </c>
    </row>
    <row r="1910" spans="1:2" ht="18.75" customHeight="1" x14ac:dyDescent="0.3">
      <c r="A1910" s="2">
        <v>1907</v>
      </c>
      <c r="B1910" s="91" t="s">
        <v>7226</v>
      </c>
    </row>
    <row r="1911" spans="1:2" ht="18.75" customHeight="1" x14ac:dyDescent="0.3">
      <c r="A1911" s="2">
        <v>1908</v>
      </c>
      <c r="B1911" s="2" t="s">
        <v>6931</v>
      </c>
    </row>
    <row r="1912" spans="1:2" ht="18.75" customHeight="1" x14ac:dyDescent="0.3">
      <c r="A1912" s="2">
        <v>1909</v>
      </c>
      <c r="B1912" s="2" t="s">
        <v>6932</v>
      </c>
    </row>
    <row r="1913" spans="1:2" ht="18.75" customHeight="1" x14ac:dyDescent="0.3">
      <c r="A1913" s="2">
        <v>1910</v>
      </c>
      <c r="B1913" s="2" t="s">
        <v>6933</v>
      </c>
    </row>
    <row r="1914" spans="1:2" ht="18.75" customHeight="1" x14ac:dyDescent="0.3">
      <c r="A1914" s="2">
        <v>1911</v>
      </c>
      <c r="B1914" s="2" t="s">
        <v>6934</v>
      </c>
    </row>
    <row r="1915" spans="1:2" ht="18.75" customHeight="1" x14ac:dyDescent="0.3">
      <c r="A1915" s="2">
        <v>1912</v>
      </c>
      <c r="B1915" s="37" t="s">
        <v>6935</v>
      </c>
    </row>
    <row r="1916" spans="1:2" ht="18.75" customHeight="1" x14ac:dyDescent="0.3">
      <c r="A1916" s="2">
        <v>1913</v>
      </c>
      <c r="B1916" s="2" t="s">
        <v>6936</v>
      </c>
    </row>
    <row r="1917" spans="1:2" ht="18.75" customHeight="1" x14ac:dyDescent="0.3">
      <c r="A1917" s="2">
        <v>1914</v>
      </c>
      <c r="B1917" s="2" t="s">
        <v>6937</v>
      </c>
    </row>
    <row r="1918" spans="1:2" ht="18.75" customHeight="1" x14ac:dyDescent="0.3">
      <c r="A1918" s="2">
        <v>1915</v>
      </c>
      <c r="B1918" s="2" t="s">
        <v>6938</v>
      </c>
    </row>
    <row r="1919" spans="1:2" ht="18.75" customHeight="1" x14ac:dyDescent="0.3">
      <c r="A1919" s="2">
        <v>1916</v>
      </c>
      <c r="B1919" s="2" t="s">
        <v>6939</v>
      </c>
    </row>
    <row r="1920" spans="1:2" ht="18.75" customHeight="1" x14ac:dyDescent="0.3">
      <c r="A1920" s="2">
        <v>1917</v>
      </c>
      <c r="B1920" s="91" t="s">
        <v>6940</v>
      </c>
    </row>
    <row r="1921" spans="1:2" ht="18.75" customHeight="1" x14ac:dyDescent="0.3">
      <c r="A1921" s="2">
        <v>1918</v>
      </c>
      <c r="B1921" s="2" t="s">
        <v>6941</v>
      </c>
    </row>
    <row r="1922" spans="1:2" ht="18.75" customHeight="1" x14ac:dyDescent="0.3">
      <c r="A1922" s="2">
        <v>1919</v>
      </c>
      <c r="B1922" s="91" t="s">
        <v>6942</v>
      </c>
    </row>
    <row r="1923" spans="1:2" ht="18.75" customHeight="1" x14ac:dyDescent="0.3">
      <c r="A1923" s="2">
        <v>1920</v>
      </c>
      <c r="B1923" s="91" t="s">
        <v>6943</v>
      </c>
    </row>
    <row r="1924" spans="1:2" ht="18.75" customHeight="1" x14ac:dyDescent="0.3">
      <c r="A1924" s="2">
        <v>1921</v>
      </c>
      <c r="B1924" s="91" t="s">
        <v>6944</v>
      </c>
    </row>
    <row r="1925" spans="1:2" ht="18.75" customHeight="1" x14ac:dyDescent="0.3">
      <c r="A1925" s="2">
        <v>1922</v>
      </c>
      <c r="B1925" s="91" t="s">
        <v>6945</v>
      </c>
    </row>
    <row r="1926" spans="1:2" ht="18.75" customHeight="1" x14ac:dyDescent="0.3">
      <c r="A1926" s="2">
        <v>1923</v>
      </c>
      <c r="B1926" s="91" t="s">
        <v>6946</v>
      </c>
    </row>
    <row r="1927" spans="1:2" ht="18.75" customHeight="1" x14ac:dyDescent="0.3">
      <c r="A1927" s="2">
        <v>1924</v>
      </c>
      <c r="B1927" s="91" t="s">
        <v>6947</v>
      </c>
    </row>
    <row r="1928" spans="1:2" ht="18.75" customHeight="1" x14ac:dyDescent="0.3">
      <c r="A1928" s="2">
        <v>1925</v>
      </c>
      <c r="B1928" s="91" t="s">
        <v>6948</v>
      </c>
    </row>
    <row r="1929" spans="1:2" ht="18.75" customHeight="1" x14ac:dyDescent="0.3">
      <c r="A1929" s="2">
        <v>1926</v>
      </c>
      <c r="B1929" s="91" t="s">
        <v>6949</v>
      </c>
    </row>
    <row r="1930" spans="1:2" ht="18.75" customHeight="1" x14ac:dyDescent="0.3">
      <c r="A1930" s="2">
        <v>1927</v>
      </c>
      <c r="B1930" s="91" t="s">
        <v>6950</v>
      </c>
    </row>
    <row r="1931" spans="1:2" ht="18.75" customHeight="1" x14ac:dyDescent="0.3">
      <c r="A1931" s="2">
        <v>1928</v>
      </c>
      <c r="B1931" s="91" t="s">
        <v>6951</v>
      </c>
    </row>
    <row r="1932" spans="1:2" ht="18.75" customHeight="1" x14ac:dyDescent="0.3">
      <c r="A1932" s="2">
        <v>1929</v>
      </c>
      <c r="B1932" s="91" t="s">
        <v>6952</v>
      </c>
    </row>
    <row r="1933" spans="1:2" ht="18.75" customHeight="1" x14ac:dyDescent="0.3">
      <c r="A1933" s="2">
        <v>1930</v>
      </c>
      <c r="B1933" s="91" t="s">
        <v>6953</v>
      </c>
    </row>
    <row r="1934" spans="1:2" ht="18.75" customHeight="1" x14ac:dyDescent="0.3">
      <c r="A1934" s="2">
        <v>1931</v>
      </c>
      <c r="B1934" s="91" t="s">
        <v>6954</v>
      </c>
    </row>
    <row r="1935" spans="1:2" ht="18.75" customHeight="1" x14ac:dyDescent="0.3">
      <c r="A1935" s="2">
        <v>1932</v>
      </c>
      <c r="B1935" s="2" t="s">
        <v>6955</v>
      </c>
    </row>
    <row r="1936" spans="1:2" ht="18.75" customHeight="1" x14ac:dyDescent="0.3">
      <c r="A1936" s="2">
        <v>1933</v>
      </c>
      <c r="B1936" s="2" t="s">
        <v>6956</v>
      </c>
    </row>
    <row r="1937" spans="1:2" ht="18.75" customHeight="1" x14ac:dyDescent="0.3">
      <c r="A1937" s="2">
        <v>1934</v>
      </c>
      <c r="B1937" s="2" t="s">
        <v>6957</v>
      </c>
    </row>
    <row r="1938" spans="1:2" ht="18.75" customHeight="1" x14ac:dyDescent="0.3">
      <c r="A1938" s="2">
        <v>1935</v>
      </c>
      <c r="B1938" s="91" t="s">
        <v>6958</v>
      </c>
    </row>
    <row r="1939" spans="1:2" ht="18.75" customHeight="1" x14ac:dyDescent="0.3">
      <c r="A1939" s="2">
        <v>1936</v>
      </c>
      <c r="B1939" s="2" t="s">
        <v>6959</v>
      </c>
    </row>
    <row r="1940" spans="1:2" ht="18.75" customHeight="1" x14ac:dyDescent="0.3">
      <c r="A1940" s="2">
        <v>1937</v>
      </c>
      <c r="B1940" s="2" t="s">
        <v>6960</v>
      </c>
    </row>
    <row r="1941" spans="1:2" ht="18.75" customHeight="1" x14ac:dyDescent="0.3">
      <c r="A1941" s="2">
        <v>1938</v>
      </c>
      <c r="B1941" s="2" t="s">
        <v>6961</v>
      </c>
    </row>
    <row r="1942" spans="1:2" ht="18.75" customHeight="1" x14ac:dyDescent="0.3">
      <c r="A1942" s="2">
        <v>1939</v>
      </c>
      <c r="B1942" s="2" t="s">
        <v>6962</v>
      </c>
    </row>
    <row r="1943" spans="1:2" ht="18.75" customHeight="1" x14ac:dyDescent="0.3">
      <c r="A1943" s="2">
        <v>1940</v>
      </c>
      <c r="B1943" s="2" t="s">
        <v>6963</v>
      </c>
    </row>
    <row r="1944" spans="1:2" ht="18.75" customHeight="1" x14ac:dyDescent="0.3">
      <c r="A1944" s="2">
        <v>1941</v>
      </c>
      <c r="B1944" s="2" t="s">
        <v>6964</v>
      </c>
    </row>
    <row r="1945" spans="1:2" ht="18.75" customHeight="1" x14ac:dyDescent="0.3">
      <c r="A1945" s="2">
        <v>1942</v>
      </c>
      <c r="B1945" s="2" t="s">
        <v>6965</v>
      </c>
    </row>
    <row r="1946" spans="1:2" ht="18.75" customHeight="1" x14ac:dyDescent="0.3">
      <c r="A1946" s="2">
        <v>1943</v>
      </c>
      <c r="B1946" s="91" t="s">
        <v>6966</v>
      </c>
    </row>
    <row r="1947" spans="1:2" ht="18.75" customHeight="1" x14ac:dyDescent="0.3">
      <c r="A1947" s="2">
        <v>1944</v>
      </c>
      <c r="B1947" s="2" t="s">
        <v>6967</v>
      </c>
    </row>
    <row r="1948" spans="1:2" ht="18.75" customHeight="1" x14ac:dyDescent="0.3">
      <c r="A1948" s="2">
        <v>1945</v>
      </c>
      <c r="B1948" s="91" t="s">
        <v>6968</v>
      </c>
    </row>
    <row r="1949" spans="1:2" ht="18.75" customHeight="1" x14ac:dyDescent="0.3">
      <c r="A1949" s="2">
        <v>1946</v>
      </c>
      <c r="B1949" s="2" t="s">
        <v>6969</v>
      </c>
    </row>
    <row r="1950" spans="1:2" ht="18.75" customHeight="1" x14ac:dyDescent="0.3">
      <c r="A1950" s="2">
        <v>1947</v>
      </c>
      <c r="B1950" s="2" t="s">
        <v>6970</v>
      </c>
    </row>
    <row r="1951" spans="1:2" ht="18.75" customHeight="1" x14ac:dyDescent="0.3">
      <c r="A1951" s="2">
        <v>1948</v>
      </c>
      <c r="B1951" s="2" t="s">
        <v>6971</v>
      </c>
    </row>
    <row r="1952" spans="1:2" ht="18.75" customHeight="1" x14ac:dyDescent="0.3">
      <c r="A1952" s="2">
        <v>1949</v>
      </c>
      <c r="B1952" s="2" t="s">
        <v>6972</v>
      </c>
    </row>
    <row r="1953" spans="1:2" ht="18.75" customHeight="1" x14ac:dyDescent="0.3">
      <c r="A1953" s="2">
        <v>1950</v>
      </c>
      <c r="B1953" s="2" t="s">
        <v>6973</v>
      </c>
    </row>
    <row r="1954" spans="1:2" ht="18.75" customHeight="1" x14ac:dyDescent="0.3">
      <c r="A1954" s="2">
        <v>1951</v>
      </c>
      <c r="B1954" s="91" t="s">
        <v>6974</v>
      </c>
    </row>
    <row r="1955" spans="1:2" ht="18.75" customHeight="1" x14ac:dyDescent="0.3">
      <c r="A1955" s="2">
        <v>1952</v>
      </c>
      <c r="B1955" s="91" t="s">
        <v>6975</v>
      </c>
    </row>
    <row r="1956" spans="1:2" ht="18.75" customHeight="1" x14ac:dyDescent="0.3">
      <c r="A1956" s="2">
        <v>1953</v>
      </c>
      <c r="B1956" s="91" t="s">
        <v>6976</v>
      </c>
    </row>
    <row r="1957" spans="1:2" ht="18.75" customHeight="1" x14ac:dyDescent="0.3">
      <c r="A1957" s="2">
        <v>1954</v>
      </c>
      <c r="B1957" s="91" t="s">
        <v>6977</v>
      </c>
    </row>
    <row r="1958" spans="1:2" ht="18.75" customHeight="1" x14ac:dyDescent="0.3">
      <c r="A1958" s="2">
        <v>1955</v>
      </c>
      <c r="B1958" s="91" t="s">
        <v>6978</v>
      </c>
    </row>
    <row r="1959" spans="1:2" ht="18.75" customHeight="1" x14ac:dyDescent="0.3">
      <c r="A1959" s="2">
        <v>1956</v>
      </c>
      <c r="B1959" s="91" t="s">
        <v>6979</v>
      </c>
    </row>
    <row r="1960" spans="1:2" ht="18.75" customHeight="1" x14ac:dyDescent="0.3">
      <c r="A1960" s="2">
        <v>1957</v>
      </c>
      <c r="B1960" s="91" t="s">
        <v>6980</v>
      </c>
    </row>
    <row r="1961" spans="1:2" ht="18.75" customHeight="1" x14ac:dyDescent="0.3">
      <c r="A1961" s="2">
        <v>1958</v>
      </c>
      <c r="B1961" s="91" t="s">
        <v>6981</v>
      </c>
    </row>
    <row r="1962" spans="1:2" ht="18.75" customHeight="1" x14ac:dyDescent="0.3">
      <c r="A1962" s="2">
        <v>1959</v>
      </c>
      <c r="B1962" s="91" t="s">
        <v>6982</v>
      </c>
    </row>
    <row r="1963" spans="1:2" ht="18.75" customHeight="1" x14ac:dyDescent="0.3">
      <c r="A1963" s="2">
        <v>1960</v>
      </c>
      <c r="B1963" s="91" t="s">
        <v>6983</v>
      </c>
    </row>
    <row r="1964" spans="1:2" ht="18.75" customHeight="1" x14ac:dyDescent="0.3">
      <c r="A1964" s="2">
        <v>1961</v>
      </c>
      <c r="B1964" s="91" t="s">
        <v>6984</v>
      </c>
    </row>
    <row r="1965" spans="1:2" ht="18.75" customHeight="1" x14ac:dyDescent="0.3">
      <c r="A1965" s="2">
        <v>1962</v>
      </c>
      <c r="B1965" s="91" t="s">
        <v>6985</v>
      </c>
    </row>
    <row r="1966" spans="1:2" ht="18.75" customHeight="1" x14ac:dyDescent="0.3">
      <c r="A1966" s="2">
        <v>1963</v>
      </c>
      <c r="B1966" s="91" t="s">
        <v>6986</v>
      </c>
    </row>
    <row r="1967" spans="1:2" ht="18.75" customHeight="1" x14ac:dyDescent="0.3">
      <c r="A1967" s="2">
        <v>1964</v>
      </c>
      <c r="B1967" s="91" t="s">
        <v>6987</v>
      </c>
    </row>
    <row r="1968" spans="1:2" ht="18.75" customHeight="1" x14ac:dyDescent="0.3">
      <c r="A1968" s="2">
        <v>1965</v>
      </c>
      <c r="B1968" s="91" t="s">
        <v>6988</v>
      </c>
    </row>
    <row r="1969" spans="1:2" ht="18.75" customHeight="1" x14ac:dyDescent="0.3">
      <c r="A1969" s="2">
        <v>1966</v>
      </c>
      <c r="B1969" s="91" t="s">
        <v>6989</v>
      </c>
    </row>
    <row r="1970" spans="1:2" ht="18.75" customHeight="1" x14ac:dyDescent="0.3">
      <c r="A1970" s="2">
        <v>1967</v>
      </c>
      <c r="B1970" s="91" t="s">
        <v>6990</v>
      </c>
    </row>
    <row r="1971" spans="1:2" ht="18.75" customHeight="1" x14ac:dyDescent="0.3">
      <c r="A1971" s="2">
        <v>1968</v>
      </c>
      <c r="B1971" s="91" t="s">
        <v>6991</v>
      </c>
    </row>
    <row r="1972" spans="1:2" ht="18.75" customHeight="1" x14ac:dyDescent="0.3">
      <c r="A1972" s="2">
        <v>1969</v>
      </c>
      <c r="B1972" s="2" t="s">
        <v>6992</v>
      </c>
    </row>
    <row r="1973" spans="1:2" ht="18.75" customHeight="1" x14ac:dyDescent="0.3">
      <c r="A1973" s="2">
        <v>1970</v>
      </c>
      <c r="B1973" s="2" t="s">
        <v>6993</v>
      </c>
    </row>
    <row r="1974" spans="1:2" ht="18.75" customHeight="1" x14ac:dyDescent="0.3">
      <c r="A1974" s="2">
        <v>1971</v>
      </c>
      <c r="B1974" s="2" t="s">
        <v>6994</v>
      </c>
    </row>
    <row r="1975" spans="1:2" ht="18.75" customHeight="1" x14ac:dyDescent="0.3">
      <c r="A1975" s="2">
        <v>1972</v>
      </c>
      <c r="B1975" s="2" t="s">
        <v>6995</v>
      </c>
    </row>
    <row r="1976" spans="1:2" ht="18.75" customHeight="1" x14ac:dyDescent="0.3">
      <c r="A1976" s="2">
        <v>1973</v>
      </c>
      <c r="B1976" s="91" t="s">
        <v>6996</v>
      </c>
    </row>
    <row r="1977" spans="1:2" ht="18.75" customHeight="1" x14ac:dyDescent="0.3">
      <c r="A1977" s="2">
        <v>1974</v>
      </c>
      <c r="B1977" s="2" t="s">
        <v>6997</v>
      </c>
    </row>
    <row r="1978" spans="1:2" ht="18.75" customHeight="1" x14ac:dyDescent="0.3">
      <c r="A1978" s="2">
        <v>1975</v>
      </c>
      <c r="B1978" s="2" t="s">
        <v>6998</v>
      </c>
    </row>
    <row r="1979" spans="1:2" ht="18.75" customHeight="1" x14ac:dyDescent="0.3">
      <c r="A1979" s="2">
        <v>1976</v>
      </c>
      <c r="B1979" s="91" t="s">
        <v>6999</v>
      </c>
    </row>
    <row r="1980" spans="1:2" ht="18.75" customHeight="1" x14ac:dyDescent="0.3">
      <c r="A1980" s="2">
        <v>1977</v>
      </c>
      <c r="B1980" s="2" t="s">
        <v>7000</v>
      </c>
    </row>
    <row r="1981" spans="1:2" ht="18.75" customHeight="1" x14ac:dyDescent="0.3">
      <c r="A1981" s="2">
        <v>1978</v>
      </c>
      <c r="B1981" s="2" t="s">
        <v>7001</v>
      </c>
    </row>
    <row r="1982" spans="1:2" ht="18.75" customHeight="1" x14ac:dyDescent="0.3">
      <c r="A1982" s="2">
        <v>1979</v>
      </c>
      <c r="B1982" s="2" t="s">
        <v>7002</v>
      </c>
    </row>
    <row r="1983" spans="1:2" ht="18.75" customHeight="1" x14ac:dyDescent="0.3">
      <c r="A1983" s="2">
        <v>1980</v>
      </c>
      <c r="B1983" s="2" t="s">
        <v>7003</v>
      </c>
    </row>
    <row r="1984" spans="1:2" ht="18.75" customHeight="1" x14ac:dyDescent="0.3">
      <c r="A1984" s="2">
        <v>1981</v>
      </c>
      <c r="B1984" s="2" t="s">
        <v>7004</v>
      </c>
    </row>
    <row r="1985" spans="1:2" ht="18.75" customHeight="1" x14ac:dyDescent="0.3">
      <c r="A1985" s="2">
        <v>1982</v>
      </c>
      <c r="B1985" s="2" t="s">
        <v>7005</v>
      </c>
    </row>
    <row r="1986" spans="1:2" ht="18.75" customHeight="1" x14ac:dyDescent="0.3">
      <c r="A1986" s="2">
        <v>1983</v>
      </c>
      <c r="B1986" s="2" t="s">
        <v>7006</v>
      </c>
    </row>
    <row r="1987" spans="1:2" ht="18.75" customHeight="1" x14ac:dyDescent="0.3">
      <c r="A1987" s="2">
        <v>1984</v>
      </c>
      <c r="B1987" s="2" t="s">
        <v>7007</v>
      </c>
    </row>
    <row r="1988" spans="1:2" ht="18.75" customHeight="1" x14ac:dyDescent="0.3">
      <c r="A1988" s="2">
        <v>1985</v>
      </c>
      <c r="B1988" s="2" t="s">
        <v>7008</v>
      </c>
    </row>
    <row r="1989" spans="1:2" ht="18.75" customHeight="1" x14ac:dyDescent="0.3">
      <c r="A1989" s="2">
        <v>1986</v>
      </c>
      <c r="B1989" s="2" t="s">
        <v>7009</v>
      </c>
    </row>
    <row r="1990" spans="1:2" ht="18.75" customHeight="1" x14ac:dyDescent="0.3">
      <c r="A1990" s="2">
        <v>1987</v>
      </c>
      <c r="B1990" s="2" t="s">
        <v>7010</v>
      </c>
    </row>
    <row r="1991" spans="1:2" ht="18.75" customHeight="1" x14ac:dyDescent="0.3">
      <c r="A1991" s="2">
        <v>1988</v>
      </c>
      <c r="B1991" s="2" t="s">
        <v>7011</v>
      </c>
    </row>
    <row r="1992" spans="1:2" ht="18.75" customHeight="1" x14ac:dyDescent="0.3">
      <c r="A1992" s="2">
        <v>1989</v>
      </c>
      <c r="B1992" s="91" t="s">
        <v>7012</v>
      </c>
    </row>
    <row r="1993" spans="1:2" ht="18.75" customHeight="1" x14ac:dyDescent="0.3">
      <c r="A1993" s="2">
        <v>1990</v>
      </c>
      <c r="B1993" s="91" t="s">
        <v>7013</v>
      </c>
    </row>
    <row r="1994" spans="1:2" ht="18.75" customHeight="1" x14ac:dyDescent="0.3">
      <c r="A1994" s="2">
        <v>1991</v>
      </c>
      <c r="B1994" s="91" t="s">
        <v>7014</v>
      </c>
    </row>
    <row r="1995" spans="1:2" ht="18.75" customHeight="1" x14ac:dyDescent="0.3">
      <c r="A1995" s="2">
        <v>1992</v>
      </c>
      <c r="B1995" s="91" t="s">
        <v>7015</v>
      </c>
    </row>
    <row r="1996" spans="1:2" ht="18.75" customHeight="1" x14ac:dyDescent="0.3">
      <c r="A1996" s="2">
        <v>1993</v>
      </c>
      <c r="B1996" s="22" t="s">
        <v>7016</v>
      </c>
    </row>
    <row r="1997" spans="1:2" ht="18.75" customHeight="1" x14ac:dyDescent="0.3">
      <c r="A1997" s="2">
        <v>1994</v>
      </c>
      <c r="B1997" s="91" t="s">
        <v>7017</v>
      </c>
    </row>
    <row r="1998" spans="1:2" ht="18.75" customHeight="1" x14ac:dyDescent="0.3">
      <c r="A1998" s="2">
        <v>1995</v>
      </c>
      <c r="B1998" s="91" t="s">
        <v>7018</v>
      </c>
    </row>
    <row r="1999" spans="1:2" ht="18.75" customHeight="1" x14ac:dyDescent="0.3">
      <c r="A1999" s="2">
        <v>1996</v>
      </c>
      <c r="B1999" s="91" t="s">
        <v>7019</v>
      </c>
    </row>
    <row r="2000" spans="1:2" ht="18.75" customHeight="1" x14ac:dyDescent="0.3">
      <c r="A2000" s="2">
        <v>1997</v>
      </c>
      <c r="B2000" s="91" t="s">
        <v>7020</v>
      </c>
    </row>
    <row r="2001" spans="1:2" ht="18.75" customHeight="1" x14ac:dyDescent="0.3">
      <c r="A2001" s="2">
        <v>1998</v>
      </c>
      <c r="B2001" s="91" t="s">
        <v>7021</v>
      </c>
    </row>
    <row r="2002" spans="1:2" ht="18.75" customHeight="1" x14ac:dyDescent="0.3">
      <c r="A2002" s="2">
        <v>1999</v>
      </c>
      <c r="B2002" s="91" t="s">
        <v>6704</v>
      </c>
    </row>
    <row r="2003" spans="1:2" ht="18.75" customHeight="1" x14ac:dyDescent="0.3">
      <c r="A2003" s="2">
        <v>2000</v>
      </c>
      <c r="B2003" s="91" t="s">
        <v>6713</v>
      </c>
    </row>
    <row r="2004" spans="1:2" ht="18.75" customHeight="1" x14ac:dyDescent="0.3">
      <c r="A2004" s="2">
        <v>2001</v>
      </c>
      <c r="B2004" s="91" t="s">
        <v>7022</v>
      </c>
    </row>
    <row r="2005" spans="1:2" ht="18.75" customHeight="1" x14ac:dyDescent="0.3">
      <c r="A2005" s="2">
        <v>2002</v>
      </c>
      <c r="B2005" s="91" t="s">
        <v>7023</v>
      </c>
    </row>
    <row r="2006" spans="1:2" ht="18.75" customHeight="1" x14ac:dyDescent="0.3">
      <c r="A2006" s="2">
        <v>2003</v>
      </c>
      <c r="B2006" s="91" t="s">
        <v>7024</v>
      </c>
    </row>
    <row r="2007" spans="1:2" ht="18.75" customHeight="1" x14ac:dyDescent="0.3">
      <c r="A2007" s="2">
        <v>2004</v>
      </c>
      <c r="B2007" s="91" t="s">
        <v>7025</v>
      </c>
    </row>
    <row r="2008" spans="1:2" ht="18.75" customHeight="1" x14ac:dyDescent="0.3">
      <c r="A2008" s="2">
        <v>2005</v>
      </c>
      <c r="B2008" s="91" t="s">
        <v>7026</v>
      </c>
    </row>
    <row r="2009" spans="1:2" ht="18.75" customHeight="1" x14ac:dyDescent="0.3">
      <c r="A2009" s="2">
        <v>2006</v>
      </c>
      <c r="B2009" s="91" t="s">
        <v>7027</v>
      </c>
    </row>
    <row r="2010" spans="1:2" ht="18.75" customHeight="1" x14ac:dyDescent="0.3">
      <c r="A2010" s="2">
        <v>2007</v>
      </c>
      <c r="B2010" s="91" t="s">
        <v>7028</v>
      </c>
    </row>
    <row r="2011" spans="1:2" ht="18.75" customHeight="1" x14ac:dyDescent="0.3">
      <c r="A2011" s="2">
        <v>2008</v>
      </c>
      <c r="B2011" s="91" t="s">
        <v>7029</v>
      </c>
    </row>
    <row r="2012" spans="1:2" ht="18.75" customHeight="1" x14ac:dyDescent="0.3">
      <c r="A2012" s="2">
        <v>2009</v>
      </c>
      <c r="B2012" s="91" t="s">
        <v>7030</v>
      </c>
    </row>
    <row r="2013" spans="1:2" ht="18.75" customHeight="1" x14ac:dyDescent="0.3">
      <c r="A2013" s="2">
        <v>2010</v>
      </c>
      <c r="B2013" s="91" t="s">
        <v>7031</v>
      </c>
    </row>
    <row r="2014" spans="1:2" ht="18.75" customHeight="1" x14ac:dyDescent="0.3">
      <c r="A2014" s="2">
        <v>2011</v>
      </c>
      <c r="B2014" s="91" t="s">
        <v>7032</v>
      </c>
    </row>
    <row r="2015" spans="1:2" ht="18.75" customHeight="1" x14ac:dyDescent="0.3">
      <c r="A2015" s="2">
        <v>2012</v>
      </c>
      <c r="B2015" s="91" t="s">
        <v>7033</v>
      </c>
    </row>
    <row r="2016" spans="1:2" ht="18.75" customHeight="1" x14ac:dyDescent="0.3">
      <c r="A2016" s="2">
        <v>2013</v>
      </c>
      <c r="B2016" s="91" t="s">
        <v>7034</v>
      </c>
    </row>
    <row r="2017" spans="1:2" ht="18.75" customHeight="1" x14ac:dyDescent="0.3">
      <c r="A2017" s="2">
        <v>2014</v>
      </c>
      <c r="B2017" s="91" t="s">
        <v>7035</v>
      </c>
    </row>
    <row r="2018" spans="1:2" ht="18.75" customHeight="1" x14ac:dyDescent="0.3">
      <c r="A2018" s="2">
        <v>2015</v>
      </c>
      <c r="B2018" s="91" t="s">
        <v>7036</v>
      </c>
    </row>
    <row r="2019" spans="1:2" ht="18.75" customHeight="1" x14ac:dyDescent="0.3">
      <c r="A2019" s="2">
        <v>2016</v>
      </c>
      <c r="B2019" s="2" t="s">
        <v>7037</v>
      </c>
    </row>
    <row r="2020" spans="1:2" ht="18.75" customHeight="1" x14ac:dyDescent="0.3">
      <c r="A2020" s="2">
        <v>2017</v>
      </c>
      <c r="B2020" s="2" t="s">
        <v>7038</v>
      </c>
    </row>
    <row r="2021" spans="1:2" ht="18.75" customHeight="1" x14ac:dyDescent="0.3">
      <c r="A2021" s="2">
        <v>2018</v>
      </c>
      <c r="B2021" s="2" t="s">
        <v>7039</v>
      </c>
    </row>
    <row r="2022" spans="1:2" ht="18.75" customHeight="1" x14ac:dyDescent="0.3">
      <c r="A2022" s="2">
        <v>2019</v>
      </c>
      <c r="B2022" s="91" t="s">
        <v>7040</v>
      </c>
    </row>
    <row r="2023" spans="1:2" ht="18.75" customHeight="1" x14ac:dyDescent="0.3">
      <c r="A2023" s="2">
        <v>2020</v>
      </c>
      <c r="B2023" s="91" t="s">
        <v>7041</v>
      </c>
    </row>
    <row r="2024" spans="1:2" ht="18.75" customHeight="1" x14ac:dyDescent="0.3">
      <c r="A2024" s="2">
        <v>2021</v>
      </c>
      <c r="B2024" s="91" t="s">
        <v>7042</v>
      </c>
    </row>
    <row r="2025" spans="1:2" ht="18.75" customHeight="1" x14ac:dyDescent="0.3">
      <c r="A2025" s="2">
        <v>2022</v>
      </c>
      <c r="B2025" s="91" t="s">
        <v>7043</v>
      </c>
    </row>
    <row r="2026" spans="1:2" ht="18.75" customHeight="1" x14ac:dyDescent="0.3">
      <c r="A2026" s="2">
        <v>2023</v>
      </c>
      <c r="B2026" s="91" t="s">
        <v>7044</v>
      </c>
    </row>
    <row r="2027" spans="1:2" ht="18.75" customHeight="1" x14ac:dyDescent="0.3">
      <c r="A2027" s="2">
        <v>2024</v>
      </c>
      <c r="B2027" s="91" t="s">
        <v>7045</v>
      </c>
    </row>
    <row r="2028" spans="1:2" ht="18.75" customHeight="1" x14ac:dyDescent="0.3">
      <c r="A2028" s="2">
        <v>2025</v>
      </c>
      <c r="B2028" s="91" t="s">
        <v>7046</v>
      </c>
    </row>
    <row r="2029" spans="1:2" ht="18.75" customHeight="1" x14ac:dyDescent="0.3">
      <c r="A2029" s="2">
        <v>2026</v>
      </c>
      <c r="B2029" s="91" t="s">
        <v>7047</v>
      </c>
    </row>
    <row r="2030" spans="1:2" ht="18.75" customHeight="1" x14ac:dyDescent="0.3">
      <c r="A2030" s="2">
        <v>2027</v>
      </c>
      <c r="B2030" s="91" t="s">
        <v>7048</v>
      </c>
    </row>
    <row r="2031" spans="1:2" ht="18.75" customHeight="1" x14ac:dyDescent="0.3">
      <c r="A2031" s="2">
        <v>2028</v>
      </c>
      <c r="B2031" s="91" t="s">
        <v>7049</v>
      </c>
    </row>
    <row r="2032" spans="1:2" ht="18.75" customHeight="1" x14ac:dyDescent="0.3">
      <c r="A2032" s="2">
        <v>2029</v>
      </c>
      <c r="B2032" s="91" t="s">
        <v>7050</v>
      </c>
    </row>
    <row r="2033" spans="1:2" ht="18.75" customHeight="1" x14ac:dyDescent="0.3">
      <c r="A2033" s="2">
        <v>2030</v>
      </c>
      <c r="B2033" s="91" t="s">
        <v>7051</v>
      </c>
    </row>
    <row r="2034" spans="1:2" ht="18.75" customHeight="1" x14ac:dyDescent="0.3">
      <c r="A2034" s="2">
        <v>2031</v>
      </c>
      <c r="B2034" s="2" t="s">
        <v>7052</v>
      </c>
    </row>
    <row r="2035" spans="1:2" ht="18.75" customHeight="1" x14ac:dyDescent="0.3">
      <c r="A2035" s="2">
        <v>2032</v>
      </c>
      <c r="B2035" s="2" t="s">
        <v>7053</v>
      </c>
    </row>
    <row r="2036" spans="1:2" ht="18.75" customHeight="1" x14ac:dyDescent="0.3">
      <c r="A2036" s="2">
        <v>2033</v>
      </c>
      <c r="B2036" s="2" t="s">
        <v>7054</v>
      </c>
    </row>
    <row r="2037" spans="1:2" ht="18.75" customHeight="1" x14ac:dyDescent="0.3">
      <c r="A2037" s="2">
        <v>2034</v>
      </c>
      <c r="B2037" s="91" t="s">
        <v>7055</v>
      </c>
    </row>
    <row r="2038" spans="1:2" ht="18.75" customHeight="1" x14ac:dyDescent="0.3">
      <c r="A2038" s="2">
        <v>2035</v>
      </c>
      <c r="B2038" s="91" t="s">
        <v>7056</v>
      </c>
    </row>
    <row r="2039" spans="1:2" ht="18.75" customHeight="1" x14ac:dyDescent="0.3">
      <c r="A2039" s="2">
        <v>2036</v>
      </c>
      <c r="B2039" s="2" t="s">
        <v>7057</v>
      </c>
    </row>
    <row r="2040" spans="1:2" ht="18.75" customHeight="1" x14ac:dyDescent="0.3">
      <c r="A2040" s="2">
        <v>2037</v>
      </c>
      <c r="B2040" s="2" t="s">
        <v>7058</v>
      </c>
    </row>
    <row r="2041" spans="1:2" ht="18.75" customHeight="1" x14ac:dyDescent="0.3">
      <c r="A2041" s="2">
        <v>2038</v>
      </c>
      <c r="B2041" s="2" t="s">
        <v>7059</v>
      </c>
    </row>
    <row r="2042" spans="1:2" ht="18.75" customHeight="1" x14ac:dyDescent="0.3">
      <c r="A2042" s="2">
        <v>2039</v>
      </c>
      <c r="B2042" s="2" t="s">
        <v>7060</v>
      </c>
    </row>
    <row r="2043" spans="1:2" ht="18.75" customHeight="1" x14ac:dyDescent="0.3">
      <c r="A2043" s="2">
        <v>2040</v>
      </c>
      <c r="B2043" s="2" t="s">
        <v>7061</v>
      </c>
    </row>
    <row r="2044" spans="1:2" ht="18.75" customHeight="1" x14ac:dyDescent="0.3">
      <c r="A2044" s="2">
        <v>2041</v>
      </c>
      <c r="B2044" s="2" t="s">
        <v>7062</v>
      </c>
    </row>
    <row r="2045" spans="1:2" ht="18.75" customHeight="1" x14ac:dyDescent="0.3">
      <c r="A2045" s="2">
        <v>2042</v>
      </c>
      <c r="B2045" s="2" t="s">
        <v>7063</v>
      </c>
    </row>
    <row r="2046" spans="1:2" ht="18.75" customHeight="1" x14ac:dyDescent="0.3">
      <c r="A2046" s="2">
        <v>2043</v>
      </c>
      <c r="B2046" s="22" t="s">
        <v>7064</v>
      </c>
    </row>
    <row r="2047" spans="1:2" ht="18.75" customHeight="1" x14ac:dyDescent="0.3">
      <c r="A2047" s="2">
        <v>2044</v>
      </c>
      <c r="B2047" s="91" t="s">
        <v>7065</v>
      </c>
    </row>
    <row r="2048" spans="1:2" ht="18.75" customHeight="1" x14ac:dyDescent="0.3">
      <c r="A2048" s="2">
        <v>2045</v>
      </c>
      <c r="B2048" s="2" t="s">
        <v>7066</v>
      </c>
    </row>
    <row r="2049" spans="1:2" ht="18.75" customHeight="1" x14ac:dyDescent="0.3">
      <c r="A2049" s="2">
        <v>2046</v>
      </c>
      <c r="B2049" s="2" t="s">
        <v>7067</v>
      </c>
    </row>
    <row r="2050" spans="1:2" ht="18.75" customHeight="1" x14ac:dyDescent="0.3">
      <c r="A2050" s="2">
        <v>2047</v>
      </c>
      <c r="B2050" s="2" t="s">
        <v>7068</v>
      </c>
    </row>
    <row r="2051" spans="1:2" ht="18.75" customHeight="1" x14ac:dyDescent="0.3">
      <c r="A2051" s="2">
        <v>2048</v>
      </c>
      <c r="B2051" s="2" t="s">
        <v>7069</v>
      </c>
    </row>
    <row r="2052" spans="1:2" ht="18.75" customHeight="1" x14ac:dyDescent="0.3">
      <c r="A2052" s="2">
        <v>2049</v>
      </c>
      <c r="B2052" s="91" t="s">
        <v>7070</v>
      </c>
    </row>
    <row r="2053" spans="1:2" ht="18.75" customHeight="1" x14ac:dyDescent="0.3">
      <c r="A2053" s="2">
        <v>2050</v>
      </c>
      <c r="B2053" s="91" t="s">
        <v>7071</v>
      </c>
    </row>
    <row r="2054" spans="1:2" ht="18.75" customHeight="1" x14ac:dyDescent="0.3">
      <c r="A2054" s="2">
        <v>2051</v>
      </c>
      <c r="B2054" s="91" t="s">
        <v>7072</v>
      </c>
    </row>
    <row r="2055" spans="1:2" ht="18.75" customHeight="1" x14ac:dyDescent="0.3">
      <c r="A2055" s="2">
        <v>2052</v>
      </c>
      <c r="B2055" s="91" t="s">
        <v>7073</v>
      </c>
    </row>
    <row r="2056" spans="1:2" ht="18.75" customHeight="1" x14ac:dyDescent="0.3">
      <c r="A2056" s="2">
        <v>2053</v>
      </c>
      <c r="B2056" s="2" t="s">
        <v>7074</v>
      </c>
    </row>
    <row r="2057" spans="1:2" ht="18.75" customHeight="1" x14ac:dyDescent="0.3">
      <c r="A2057" s="2">
        <v>2054</v>
      </c>
      <c r="B2057" s="91" t="s">
        <v>7075</v>
      </c>
    </row>
    <row r="2058" spans="1:2" ht="18.75" customHeight="1" x14ac:dyDescent="0.3">
      <c r="A2058" s="2">
        <v>2055</v>
      </c>
      <c r="B2058" s="91" t="s">
        <v>7076</v>
      </c>
    </row>
    <row r="2059" spans="1:2" ht="18.75" customHeight="1" x14ac:dyDescent="0.3">
      <c r="A2059" s="2">
        <v>2056</v>
      </c>
      <c r="B2059" s="91" t="s">
        <v>7077</v>
      </c>
    </row>
    <row r="2060" spans="1:2" ht="18.75" customHeight="1" x14ac:dyDescent="0.3">
      <c r="A2060" s="2">
        <v>2057</v>
      </c>
      <c r="B2060" s="91" t="s">
        <v>7078</v>
      </c>
    </row>
    <row r="2061" spans="1:2" ht="18.75" customHeight="1" x14ac:dyDescent="0.3">
      <c r="A2061" s="2">
        <v>2058</v>
      </c>
      <c r="B2061" s="91" t="s">
        <v>7079</v>
      </c>
    </row>
    <row r="2062" spans="1:2" ht="18.75" customHeight="1" x14ac:dyDescent="0.3">
      <c r="A2062" s="2">
        <v>2059</v>
      </c>
      <c r="B2062" s="91" t="s">
        <v>7080</v>
      </c>
    </row>
    <row r="2063" spans="1:2" ht="18.75" customHeight="1" x14ac:dyDescent="0.3">
      <c r="A2063" s="2">
        <v>2060</v>
      </c>
      <c r="B2063" s="91" t="s">
        <v>7081</v>
      </c>
    </row>
    <row r="2064" spans="1:2" ht="18.75" customHeight="1" x14ac:dyDescent="0.3">
      <c r="A2064" s="2">
        <v>2061</v>
      </c>
      <c r="B2064" s="91" t="s">
        <v>7082</v>
      </c>
    </row>
    <row r="2065" spans="1:2" ht="18.75" customHeight="1" x14ac:dyDescent="0.3">
      <c r="A2065" s="2">
        <v>2062</v>
      </c>
      <c r="B2065" s="2" t="s">
        <v>7083</v>
      </c>
    </row>
    <row r="2066" spans="1:2" ht="18.75" customHeight="1" x14ac:dyDescent="0.3">
      <c r="A2066" s="2">
        <v>2063</v>
      </c>
      <c r="B2066" s="2" t="s">
        <v>7084</v>
      </c>
    </row>
    <row r="2067" spans="1:2" ht="18.75" customHeight="1" x14ac:dyDescent="0.3">
      <c r="A2067" s="2">
        <v>2064</v>
      </c>
      <c r="B2067" s="2" t="s">
        <v>7085</v>
      </c>
    </row>
    <row r="2068" spans="1:2" ht="18.75" customHeight="1" x14ac:dyDescent="0.3">
      <c r="A2068" s="2">
        <v>2065</v>
      </c>
      <c r="B2068" s="91" t="s">
        <v>7086</v>
      </c>
    </row>
    <row r="2069" spans="1:2" ht="18.75" customHeight="1" x14ac:dyDescent="0.3">
      <c r="A2069" s="2">
        <v>2066</v>
      </c>
      <c r="B2069" s="91" t="s">
        <v>7087</v>
      </c>
    </row>
    <row r="2070" spans="1:2" ht="18.75" customHeight="1" x14ac:dyDescent="0.3">
      <c r="A2070" s="2">
        <v>2067</v>
      </c>
      <c r="B2070" s="91" t="s">
        <v>7088</v>
      </c>
    </row>
    <row r="2071" spans="1:2" ht="18.75" customHeight="1" x14ac:dyDescent="0.3">
      <c r="A2071" s="2">
        <v>2068</v>
      </c>
      <c r="B2071" s="2" t="s">
        <v>7089</v>
      </c>
    </row>
    <row r="2072" spans="1:2" ht="18.75" customHeight="1" x14ac:dyDescent="0.3">
      <c r="A2072" s="2">
        <v>2069</v>
      </c>
      <c r="B2072" s="2" t="s">
        <v>7090</v>
      </c>
    </row>
    <row r="2073" spans="1:2" ht="18.75" customHeight="1" x14ac:dyDescent="0.3">
      <c r="A2073" s="2">
        <v>2070</v>
      </c>
      <c r="B2073" s="2" t="s">
        <v>7091</v>
      </c>
    </row>
    <row r="2074" spans="1:2" ht="18.75" customHeight="1" x14ac:dyDescent="0.3">
      <c r="A2074" s="2">
        <v>2071</v>
      </c>
      <c r="B2074" s="2" t="s">
        <v>7092</v>
      </c>
    </row>
    <row r="2075" spans="1:2" ht="18.75" customHeight="1" x14ac:dyDescent="0.3">
      <c r="A2075" s="2">
        <v>2072</v>
      </c>
      <c r="B2075" s="2" t="s">
        <v>7093</v>
      </c>
    </row>
    <row r="2076" spans="1:2" ht="18.75" customHeight="1" x14ac:dyDescent="0.3">
      <c r="A2076" s="2">
        <v>2073</v>
      </c>
      <c r="B2076" s="2" t="s">
        <v>7094</v>
      </c>
    </row>
    <row r="2077" spans="1:2" ht="18.75" customHeight="1" x14ac:dyDescent="0.3">
      <c r="A2077" s="2">
        <v>2074</v>
      </c>
      <c r="B2077" s="91" t="s">
        <v>7095</v>
      </c>
    </row>
    <row r="2078" spans="1:2" ht="18.75" customHeight="1" x14ac:dyDescent="0.3">
      <c r="A2078" s="2">
        <v>2075</v>
      </c>
      <c r="B2078" s="91" t="s">
        <v>7096</v>
      </c>
    </row>
    <row r="2079" spans="1:2" ht="18.75" customHeight="1" x14ac:dyDescent="0.3">
      <c r="A2079" s="2">
        <v>2076</v>
      </c>
      <c r="B2079" s="22" t="s">
        <v>7097</v>
      </c>
    </row>
    <row r="2080" spans="1:2" ht="18.75" customHeight="1" x14ac:dyDescent="0.3">
      <c r="A2080" s="2">
        <v>2077</v>
      </c>
      <c r="B2080" s="91" t="s">
        <v>7098</v>
      </c>
    </row>
    <row r="2081" spans="1:2" ht="18.75" customHeight="1" x14ac:dyDescent="0.3">
      <c r="A2081" s="2">
        <v>2078</v>
      </c>
      <c r="B2081" s="91" t="s">
        <v>7099</v>
      </c>
    </row>
    <row r="2082" spans="1:2" ht="18.75" customHeight="1" x14ac:dyDescent="0.3">
      <c r="A2082" s="2">
        <v>2079</v>
      </c>
      <c r="B2082" s="91" t="s">
        <v>7100</v>
      </c>
    </row>
    <row r="2083" spans="1:2" ht="18.75" customHeight="1" x14ac:dyDescent="0.3">
      <c r="A2083" s="2">
        <v>2080</v>
      </c>
      <c r="B2083" s="91" t="s">
        <v>7101</v>
      </c>
    </row>
    <row r="2084" spans="1:2" ht="18.75" customHeight="1" x14ac:dyDescent="0.3">
      <c r="A2084" s="2">
        <v>2081</v>
      </c>
      <c r="B2084" s="91" t="s">
        <v>7102</v>
      </c>
    </row>
    <row r="2085" spans="1:2" ht="18.75" customHeight="1" x14ac:dyDescent="0.3">
      <c r="A2085" s="2">
        <v>2082</v>
      </c>
      <c r="B2085" s="91" t="s">
        <v>7103</v>
      </c>
    </row>
    <row r="2086" spans="1:2" ht="18.75" customHeight="1" x14ac:dyDescent="0.3">
      <c r="A2086" s="2">
        <v>2083</v>
      </c>
      <c r="B2086" s="2" t="s">
        <v>7104</v>
      </c>
    </row>
    <row r="2087" spans="1:2" ht="18.75" customHeight="1" x14ac:dyDescent="0.3">
      <c r="A2087" s="2">
        <v>2084</v>
      </c>
      <c r="B2087" s="2" t="s">
        <v>7105</v>
      </c>
    </row>
    <row r="2088" spans="1:2" ht="18.75" customHeight="1" x14ac:dyDescent="0.3">
      <c r="A2088" s="2">
        <v>2085</v>
      </c>
      <c r="B2088" s="2" t="s">
        <v>7106</v>
      </c>
    </row>
    <row r="2089" spans="1:2" ht="18.75" customHeight="1" x14ac:dyDescent="0.3">
      <c r="A2089" s="2">
        <v>2086</v>
      </c>
      <c r="B2089" s="2" t="s">
        <v>7107</v>
      </c>
    </row>
    <row r="2090" spans="1:2" ht="18.75" customHeight="1" x14ac:dyDescent="0.3">
      <c r="A2090" s="2">
        <v>2087</v>
      </c>
      <c r="B2090" s="22" t="s">
        <v>7108</v>
      </c>
    </row>
    <row r="2091" spans="1:2" ht="18.75" customHeight="1" x14ac:dyDescent="0.3">
      <c r="A2091" s="2">
        <v>2088</v>
      </c>
      <c r="B2091" s="22" t="s">
        <v>7109</v>
      </c>
    </row>
    <row r="2092" spans="1:2" ht="18.75" customHeight="1" x14ac:dyDescent="0.3">
      <c r="A2092" s="2">
        <v>2089</v>
      </c>
      <c r="B2092" s="91" t="s">
        <v>7110</v>
      </c>
    </row>
    <row r="2093" spans="1:2" ht="18.75" customHeight="1" x14ac:dyDescent="0.3">
      <c r="A2093" s="2">
        <v>2090</v>
      </c>
      <c r="B2093" s="91" t="s">
        <v>7111</v>
      </c>
    </row>
    <row r="2094" spans="1:2" ht="18.75" customHeight="1" x14ac:dyDescent="0.3">
      <c r="A2094" s="2">
        <v>2091</v>
      </c>
      <c r="B2094" s="91" t="s">
        <v>7112</v>
      </c>
    </row>
    <row r="2095" spans="1:2" ht="18.75" customHeight="1" x14ac:dyDescent="0.3">
      <c r="A2095" s="2">
        <v>2092</v>
      </c>
      <c r="B2095" s="91" t="s">
        <v>7113</v>
      </c>
    </row>
    <row r="2096" spans="1:2" ht="18.75" customHeight="1" x14ac:dyDescent="0.3">
      <c r="A2096" s="2">
        <v>2093</v>
      </c>
      <c r="B2096" s="91" t="s">
        <v>7114</v>
      </c>
    </row>
    <row r="2097" spans="1:2" ht="18.75" customHeight="1" x14ac:dyDescent="0.3">
      <c r="A2097" s="2">
        <v>2094</v>
      </c>
      <c r="B2097" s="91" t="s">
        <v>7115</v>
      </c>
    </row>
    <row r="2098" spans="1:2" ht="18.75" customHeight="1" x14ac:dyDescent="0.3">
      <c r="A2098" s="2">
        <v>2095</v>
      </c>
      <c r="B2098" s="2" t="s">
        <v>7116</v>
      </c>
    </row>
    <row r="2099" spans="1:2" ht="18.75" customHeight="1" x14ac:dyDescent="0.3">
      <c r="A2099" s="2">
        <v>2096</v>
      </c>
      <c r="B2099" s="2" t="s">
        <v>7117</v>
      </c>
    </row>
    <row r="2100" spans="1:2" ht="18.75" customHeight="1" x14ac:dyDescent="0.3">
      <c r="A2100" s="2">
        <v>2097</v>
      </c>
      <c r="B2100" s="2" t="s">
        <v>7118</v>
      </c>
    </row>
    <row r="2101" spans="1:2" ht="18.75" customHeight="1" x14ac:dyDescent="0.3">
      <c r="A2101" s="2">
        <v>2098</v>
      </c>
      <c r="B2101" s="91" t="s">
        <v>6798</v>
      </c>
    </row>
    <row r="2102" spans="1:2" ht="18.75" customHeight="1" x14ac:dyDescent="0.3">
      <c r="A2102" s="2">
        <v>2099</v>
      </c>
      <c r="B2102" s="2" t="s">
        <v>7119</v>
      </c>
    </row>
    <row r="2103" spans="1:2" ht="18.75" customHeight="1" x14ac:dyDescent="0.3">
      <c r="A2103" s="2">
        <v>2100</v>
      </c>
      <c r="B2103" s="2" t="s">
        <v>7120</v>
      </c>
    </row>
    <row r="2104" spans="1:2" ht="18.75" customHeight="1" x14ac:dyDescent="0.3">
      <c r="A2104" s="2">
        <v>2101</v>
      </c>
      <c r="B2104" s="91" t="s">
        <v>7121</v>
      </c>
    </row>
    <row r="2105" spans="1:2" ht="18.75" customHeight="1" x14ac:dyDescent="0.3">
      <c r="A2105" s="2">
        <v>2102</v>
      </c>
      <c r="B2105" s="91" t="s">
        <v>7122</v>
      </c>
    </row>
    <row r="2106" spans="1:2" ht="18.75" customHeight="1" x14ac:dyDescent="0.3">
      <c r="A2106" s="2">
        <v>2103</v>
      </c>
      <c r="B2106" s="91" t="s">
        <v>7123</v>
      </c>
    </row>
    <row r="2107" spans="1:2" ht="18.75" customHeight="1" x14ac:dyDescent="0.3">
      <c r="A2107" s="2">
        <v>2104</v>
      </c>
      <c r="B2107" s="91" t="s">
        <v>7124</v>
      </c>
    </row>
    <row r="2108" spans="1:2" ht="18.75" customHeight="1" x14ac:dyDescent="0.3">
      <c r="A2108" s="2">
        <v>2105</v>
      </c>
      <c r="B2108" s="91" t="s">
        <v>7125</v>
      </c>
    </row>
    <row r="2109" spans="1:2" ht="18.75" customHeight="1" x14ac:dyDescent="0.3">
      <c r="A2109" s="2">
        <v>2106</v>
      </c>
      <c r="B2109" s="91" t="s">
        <v>7126</v>
      </c>
    </row>
    <row r="2110" spans="1:2" ht="18.75" customHeight="1" x14ac:dyDescent="0.3">
      <c r="A2110" s="2">
        <v>2107</v>
      </c>
      <c r="B2110" s="91" t="s">
        <v>7127</v>
      </c>
    </row>
    <row r="2111" spans="1:2" ht="18.75" customHeight="1" x14ac:dyDescent="0.3">
      <c r="A2111" s="2">
        <v>2108</v>
      </c>
      <c r="B2111" s="91" t="s">
        <v>7128</v>
      </c>
    </row>
    <row r="2112" spans="1:2" ht="18.75" customHeight="1" x14ac:dyDescent="0.3">
      <c r="A2112" s="2">
        <v>2109</v>
      </c>
      <c r="B2112" s="91" t="s">
        <v>7129</v>
      </c>
    </row>
    <row r="2113" spans="1:2" ht="18.75" customHeight="1" x14ac:dyDescent="0.3">
      <c r="A2113" s="2">
        <v>2110</v>
      </c>
      <c r="B2113" s="91" t="s">
        <v>7130</v>
      </c>
    </row>
    <row r="2114" spans="1:2" ht="18.75" customHeight="1" x14ac:dyDescent="0.3">
      <c r="A2114" s="2">
        <v>2111</v>
      </c>
      <c r="B2114" s="91" t="s">
        <v>7131</v>
      </c>
    </row>
    <row r="2115" spans="1:2" ht="18.75" customHeight="1" x14ac:dyDescent="0.3">
      <c r="A2115" s="2">
        <v>2112</v>
      </c>
      <c r="B2115" s="91" t="s">
        <v>7132</v>
      </c>
    </row>
    <row r="2116" spans="1:2" ht="18.75" customHeight="1" x14ac:dyDescent="0.3">
      <c r="A2116" s="2">
        <v>2113</v>
      </c>
      <c r="B2116" s="91" t="s">
        <v>7133</v>
      </c>
    </row>
    <row r="2117" spans="1:2" ht="18.75" customHeight="1" x14ac:dyDescent="0.3">
      <c r="A2117" s="2">
        <v>2114</v>
      </c>
      <c r="B2117" s="91" t="s">
        <v>7134</v>
      </c>
    </row>
    <row r="2118" spans="1:2" ht="18.75" customHeight="1" x14ac:dyDescent="0.3">
      <c r="A2118" s="2">
        <v>2115</v>
      </c>
      <c r="B2118" s="91" t="s">
        <v>7135</v>
      </c>
    </row>
    <row r="2119" spans="1:2" ht="18.75" customHeight="1" x14ac:dyDescent="0.3">
      <c r="A2119" s="2">
        <v>2116</v>
      </c>
      <c r="B2119" s="91" t="s">
        <v>7136</v>
      </c>
    </row>
    <row r="2120" spans="1:2" ht="18.75" customHeight="1" x14ac:dyDescent="0.3">
      <c r="A2120" s="2">
        <v>2117</v>
      </c>
      <c r="B2120" s="91" t="s">
        <v>7137</v>
      </c>
    </row>
    <row r="2121" spans="1:2" ht="18.75" customHeight="1" x14ac:dyDescent="0.3">
      <c r="A2121" s="2">
        <v>2118</v>
      </c>
      <c r="B2121" s="91" t="s">
        <v>7138</v>
      </c>
    </row>
    <row r="2122" spans="1:2" ht="18.75" customHeight="1" x14ac:dyDescent="0.3">
      <c r="A2122" s="2">
        <v>2119</v>
      </c>
      <c r="B2122" s="91" t="s">
        <v>7139</v>
      </c>
    </row>
    <row r="2123" spans="1:2" ht="18.75" customHeight="1" x14ac:dyDescent="0.3">
      <c r="A2123" s="2">
        <v>2120</v>
      </c>
      <c r="B2123" s="91" t="s">
        <v>7140</v>
      </c>
    </row>
    <row r="2124" spans="1:2" ht="18.75" customHeight="1" x14ac:dyDescent="0.3">
      <c r="A2124" s="2">
        <v>2121</v>
      </c>
      <c r="B2124" s="91" t="s">
        <v>7141</v>
      </c>
    </row>
    <row r="2125" spans="1:2" ht="18.75" customHeight="1" x14ac:dyDescent="0.3">
      <c r="A2125" s="2">
        <v>2122</v>
      </c>
      <c r="B2125" s="91" t="s">
        <v>7142</v>
      </c>
    </row>
    <row r="2126" spans="1:2" ht="18.75" customHeight="1" x14ac:dyDescent="0.3">
      <c r="A2126" s="2">
        <v>2123</v>
      </c>
      <c r="B2126" s="91" t="s">
        <v>7143</v>
      </c>
    </row>
    <row r="2127" spans="1:2" ht="18.75" customHeight="1" x14ac:dyDescent="0.3">
      <c r="A2127" s="2">
        <v>2124</v>
      </c>
      <c r="B2127" s="91" t="s">
        <v>7144</v>
      </c>
    </row>
    <row r="2128" spans="1:2" ht="18.75" customHeight="1" x14ac:dyDescent="0.3">
      <c r="A2128" s="2">
        <v>2125</v>
      </c>
      <c r="B2128" s="91" t="s">
        <v>7145</v>
      </c>
    </row>
    <row r="2129" spans="1:2" ht="18.75" customHeight="1" x14ac:dyDescent="0.3">
      <c r="A2129" s="2">
        <v>2126</v>
      </c>
      <c r="B2129" s="91" t="s">
        <v>7146</v>
      </c>
    </row>
    <row r="2130" spans="1:2" ht="18.75" customHeight="1" x14ac:dyDescent="0.3">
      <c r="A2130" s="2">
        <v>2127</v>
      </c>
      <c r="B2130" s="91" t="s">
        <v>7147</v>
      </c>
    </row>
    <row r="2131" spans="1:2" ht="18.75" customHeight="1" x14ac:dyDescent="0.3">
      <c r="A2131" s="2">
        <v>2128</v>
      </c>
      <c r="B2131" s="91" t="s">
        <v>7148</v>
      </c>
    </row>
    <row r="2132" spans="1:2" ht="18.75" customHeight="1" x14ac:dyDescent="0.3">
      <c r="A2132" s="2">
        <v>2129</v>
      </c>
      <c r="B2132" s="91" t="s">
        <v>7149</v>
      </c>
    </row>
    <row r="2133" spans="1:2" ht="18.75" customHeight="1" x14ac:dyDescent="0.3">
      <c r="A2133" s="2">
        <v>2130</v>
      </c>
      <c r="B2133" s="91" t="s">
        <v>7150</v>
      </c>
    </row>
    <row r="2134" spans="1:2" ht="18.75" customHeight="1" x14ac:dyDescent="0.3">
      <c r="A2134" s="2">
        <v>2131</v>
      </c>
      <c r="B2134" s="91" t="s">
        <v>7151</v>
      </c>
    </row>
    <row r="2135" spans="1:2" ht="18.75" customHeight="1" x14ac:dyDescent="0.3">
      <c r="A2135" s="2">
        <v>2132</v>
      </c>
      <c r="B2135" s="91" t="s">
        <v>7152</v>
      </c>
    </row>
    <row r="2136" spans="1:2" ht="18.75" customHeight="1" x14ac:dyDescent="0.3">
      <c r="A2136" s="2">
        <v>2133</v>
      </c>
      <c r="B2136" s="91" t="s">
        <v>7153</v>
      </c>
    </row>
    <row r="2137" spans="1:2" ht="18.75" customHeight="1" x14ac:dyDescent="0.3">
      <c r="A2137" s="2">
        <v>2134</v>
      </c>
      <c r="B2137" s="91" t="s">
        <v>7154</v>
      </c>
    </row>
    <row r="2138" spans="1:2" ht="18.75" customHeight="1" x14ac:dyDescent="0.3">
      <c r="A2138" s="2">
        <v>2135</v>
      </c>
      <c r="B2138" s="91" t="s">
        <v>7155</v>
      </c>
    </row>
    <row r="2139" spans="1:2" ht="18.75" customHeight="1" x14ac:dyDescent="0.3">
      <c r="A2139" s="2">
        <v>2136</v>
      </c>
      <c r="B2139" s="91" t="s">
        <v>7156</v>
      </c>
    </row>
    <row r="2140" spans="1:2" ht="18.75" customHeight="1" x14ac:dyDescent="0.3">
      <c r="A2140" s="2">
        <v>2137</v>
      </c>
      <c r="B2140" s="91" t="s">
        <v>7157</v>
      </c>
    </row>
    <row r="2141" spans="1:2" ht="18.75" customHeight="1" x14ac:dyDescent="0.3">
      <c r="A2141" s="2">
        <v>2138</v>
      </c>
      <c r="B2141" s="91" t="s">
        <v>7158</v>
      </c>
    </row>
    <row r="2142" spans="1:2" ht="18.75" customHeight="1" x14ac:dyDescent="0.3">
      <c r="A2142" s="2">
        <v>2139</v>
      </c>
      <c r="B2142" s="91" t="s">
        <v>7159</v>
      </c>
    </row>
    <row r="2143" spans="1:2" ht="18.75" customHeight="1" x14ac:dyDescent="0.3">
      <c r="A2143" s="2">
        <v>2140</v>
      </c>
      <c r="B2143" s="91" t="s">
        <v>7160</v>
      </c>
    </row>
    <row r="2144" spans="1:2" ht="18.75" customHeight="1" x14ac:dyDescent="0.3">
      <c r="A2144" s="2">
        <v>2141</v>
      </c>
      <c r="B2144" s="91" t="s">
        <v>7161</v>
      </c>
    </row>
    <row r="2145" spans="1:2" ht="18.75" customHeight="1" x14ac:dyDescent="0.3">
      <c r="A2145" s="2">
        <v>2142</v>
      </c>
      <c r="B2145" s="91" t="s">
        <v>7162</v>
      </c>
    </row>
    <row r="2146" spans="1:2" ht="18.75" customHeight="1" x14ac:dyDescent="0.3">
      <c r="A2146" s="2">
        <v>2143</v>
      </c>
      <c r="B2146" s="91" t="s">
        <v>7163</v>
      </c>
    </row>
    <row r="2147" spans="1:2" ht="18.75" customHeight="1" x14ac:dyDescent="0.3">
      <c r="A2147" s="2">
        <v>2144</v>
      </c>
      <c r="B2147" s="91" t="s">
        <v>7164</v>
      </c>
    </row>
    <row r="2148" spans="1:2" ht="18.75" customHeight="1" x14ac:dyDescent="0.3">
      <c r="A2148" s="2">
        <v>2145</v>
      </c>
      <c r="B2148" s="91" t="s">
        <v>7165</v>
      </c>
    </row>
    <row r="2149" spans="1:2" ht="18.75" customHeight="1" x14ac:dyDescent="0.3">
      <c r="A2149" s="2">
        <v>2146</v>
      </c>
      <c r="B2149" s="91" t="s">
        <v>7166</v>
      </c>
    </row>
    <row r="2150" spans="1:2" ht="18.75" customHeight="1" x14ac:dyDescent="0.3">
      <c r="A2150" s="2">
        <v>2147</v>
      </c>
      <c r="B2150" s="91" t="s">
        <v>7167</v>
      </c>
    </row>
    <row r="2151" spans="1:2" ht="18.75" customHeight="1" x14ac:dyDescent="0.3">
      <c r="A2151" s="2">
        <v>2148</v>
      </c>
      <c r="B2151" s="91" t="s">
        <v>7168</v>
      </c>
    </row>
    <row r="2152" spans="1:2" ht="18.75" customHeight="1" x14ac:dyDescent="0.3">
      <c r="A2152" s="2">
        <v>2149</v>
      </c>
      <c r="B2152" s="91" t="s">
        <v>7169</v>
      </c>
    </row>
    <row r="2153" spans="1:2" ht="18.75" customHeight="1" x14ac:dyDescent="0.3">
      <c r="A2153" s="2">
        <v>2150</v>
      </c>
      <c r="B2153" s="91" t="s">
        <v>7170</v>
      </c>
    </row>
    <row r="2154" spans="1:2" ht="18.75" customHeight="1" x14ac:dyDescent="0.3">
      <c r="A2154" s="2">
        <v>2151</v>
      </c>
      <c r="B2154" s="91" t="s">
        <v>7171</v>
      </c>
    </row>
    <row r="2155" spans="1:2" ht="18.75" customHeight="1" x14ac:dyDescent="0.3">
      <c r="A2155" s="2">
        <v>2152</v>
      </c>
      <c r="B2155" s="91" t="s">
        <v>7172</v>
      </c>
    </row>
    <row r="2156" spans="1:2" ht="18.75" customHeight="1" x14ac:dyDescent="0.3">
      <c r="A2156" s="2">
        <v>2153</v>
      </c>
      <c r="B2156" s="91" t="s">
        <v>7173</v>
      </c>
    </row>
    <row r="2157" spans="1:2" ht="18.75" customHeight="1" x14ac:dyDescent="0.3">
      <c r="A2157" s="2">
        <v>2154</v>
      </c>
      <c r="B2157" s="91" t="s">
        <v>7174</v>
      </c>
    </row>
    <row r="2158" spans="1:2" ht="18.75" customHeight="1" x14ac:dyDescent="0.3">
      <c r="A2158" s="2">
        <v>2155</v>
      </c>
      <c r="B2158" s="91" t="s">
        <v>7175</v>
      </c>
    </row>
    <row r="2159" spans="1:2" ht="18.75" customHeight="1" x14ac:dyDescent="0.3">
      <c r="A2159" s="2">
        <v>2156</v>
      </c>
      <c r="B2159" s="91" t="s">
        <v>7176</v>
      </c>
    </row>
    <row r="2160" spans="1:2" ht="18.75" customHeight="1" x14ac:dyDescent="0.3">
      <c r="A2160" s="2">
        <v>2157</v>
      </c>
      <c r="B2160" s="91" t="s">
        <v>2942</v>
      </c>
    </row>
  </sheetData>
  <hyperlinks>
    <hyperlink ref="B236" r:id="rId1" xr:uid="{973A5EE6-C696-404B-991C-155D972F4247}"/>
    <hyperlink ref="B274" display="https://www.google.com/url?sa=t&amp;rct=j&amp;q=&amp;esrc=s&amp;source=web&amp;cd=1&amp;cad=rja&amp;uact=8&amp;ved=2ahUKEwjE9qOVw_fhAhWD4YUKHXbAA1EQFjAAegQIAhAC&amp;url=https%3A%2F%2Fwww.uniper.energy%2Fnews%2Fdownload%2F702078%2F20190425-jointpressrelease-uniper-realworld-laboratory-lingen" xr:uid="{53236A99-9F3C-46EE-8AA7-B42DE963CAFE}"/>
    <hyperlink ref="B276" r:id="rId2" xr:uid="{530EFFAD-BDC3-405D-8058-82F9554579B2}"/>
    <hyperlink ref="B277" r:id="rId3" xr:uid="{DA2FD8A1-98A8-40E2-B25B-B5EB3C44154E}"/>
    <hyperlink ref="B278" r:id="rId4" xr:uid="{6BF7189B-9712-4BFC-BDA0-F1F00BF49031}"/>
    <hyperlink ref="B279" r:id="rId5" xr:uid="{A82DE5B4-7E84-4732-A23D-3312562B5F8C}"/>
    <hyperlink ref="B239" r:id="rId6" xr:uid="{6A1D0DF8-02BA-4765-AD74-B0E912F07791}"/>
    <hyperlink ref="B280" r:id="rId7" xr:uid="{A150EC2C-EEAD-435A-BAE7-789A4148004C}"/>
    <hyperlink ref="B281" r:id="rId8" xr:uid="{86EE64A0-9524-4AD2-A7AD-1BCB5F60273B}"/>
    <hyperlink ref="B282" r:id="rId9" xr:uid="{EF2DA41F-D29F-44A0-9C66-E76EB68F1E48}"/>
    <hyperlink ref="B283" r:id="rId10" xr:uid="{A162DFFF-9088-4170-B494-1A9C6DD30F85}"/>
    <hyperlink ref="B284" r:id="rId11" xr:uid="{46BBA8E3-9554-4C9C-AAE8-E036E77FA573}"/>
    <hyperlink ref="B203" r:id="rId12" xr:uid="{22D5650D-C734-4AB0-9CB7-E8F609DA85A6}"/>
    <hyperlink ref="B285" r:id="rId13" xr:uid="{81ECF46E-37F8-4F3B-9722-57544A03CF4E}"/>
    <hyperlink ref="B286" r:id="rId14" xr:uid="{F00AACA9-6701-49B4-BB12-5E2FC778EC8A}"/>
    <hyperlink ref="B287" r:id="rId15" xr:uid="{3E5DF3F3-F4DA-416A-9D0B-EBED8C573E6E}"/>
    <hyperlink ref="B291" r:id="rId16" xr:uid="{39EFCD7C-269B-4298-866D-B69FE5280B16}"/>
    <hyperlink ref="B292" r:id="rId17" xr:uid="{F3B2F7EA-505B-4FB3-ACA0-C7805FCF2E84}"/>
    <hyperlink ref="B294" r:id="rId18" xr:uid="{7D388099-2A39-48A2-A6E8-6E7289BB31AB}"/>
    <hyperlink ref="B295" r:id="rId19" xr:uid="{D26EA775-9B16-4CD6-A080-B5B4DA3F3EE6}"/>
    <hyperlink ref="B296" r:id="rId20" xr:uid="{4F03E784-75E4-4516-875E-28C25691A6D4}"/>
    <hyperlink ref="B238" r:id="rId21" xr:uid="{6D75278A-AF87-477A-8224-5E1096130700}"/>
    <hyperlink ref="B297" r:id="rId22" xr:uid="{0B058940-1C4F-427B-8EDC-C32BF4010588}"/>
    <hyperlink ref="B298" r:id="rId23" xr:uid="{0A22F0AB-3538-49EC-9240-E0EDE2641339}"/>
    <hyperlink ref="B299" r:id="rId24" xr:uid="{C1C16587-2680-4703-9C7E-B17F04FAD1DF}"/>
    <hyperlink ref="B300" r:id="rId25" xr:uid="{D9D5B99E-7988-4098-9C57-AC30A1E738A8}"/>
    <hyperlink ref="B301" r:id="rId26" xr:uid="{9A23C2A6-E8B4-49C8-81B1-3CDA1A9F5188}"/>
    <hyperlink ref="B302" r:id="rId27" xr:uid="{87428C1B-A00F-427F-8BB7-6D437310113A}"/>
    <hyperlink ref="B303" r:id="rId28" xr:uid="{1F8D6DC5-8EEC-46E9-898E-DBFD16BDD904}"/>
    <hyperlink ref="B304" r:id="rId29" xr:uid="{FBF595D6-3955-4140-93DF-C95F4728D542}"/>
    <hyperlink ref="B306" r:id="rId30" xr:uid="{6599F9DA-4C25-4A55-95E8-C525702847EA}"/>
    <hyperlink ref="B307" r:id="rId31" xr:uid="{64D1F8E3-09D0-45D3-9A56-B0A99FB35ABA}"/>
    <hyperlink ref="B308" r:id="rId32" xr:uid="{C7D4EAC3-9560-4AD5-A237-90C1241BD564}"/>
    <hyperlink ref="B309" r:id="rId33" xr:uid="{4916B36D-F117-41E6-B0DA-CE9EBE3589D3}"/>
    <hyperlink ref="B226" r:id="rId34" xr:uid="{087D0128-FAEC-4C39-B5A7-82AA5503E1C6}"/>
    <hyperlink ref="B310" r:id="rId35" xr:uid="{701290F7-C672-409D-B753-DD274F6B23A8}"/>
    <hyperlink ref="B267" r:id="rId36" location="powertogas" xr:uid="{0F7C8603-B2ED-4D47-8A73-4A0B33B96137}"/>
    <hyperlink ref="B268" r:id="rId37" xr:uid="{C0056182-EB2B-429D-8F3A-533E326EB836}"/>
    <hyperlink ref="B311" r:id="rId38" xr:uid="{0AE6E2A6-3855-45DF-AE70-805927E06104}"/>
    <hyperlink ref="B313" r:id="rId39" xr:uid="{BD14AB0A-E474-440F-B831-4C0F48893B9D}"/>
    <hyperlink ref="B314" r:id="rId40" xr:uid="{E6C0D4A4-7A73-4549-9777-55B3195EE6B0}"/>
    <hyperlink ref="B315" r:id="rId41" xr:uid="{2B4ECBDA-06C1-4AE5-9B8A-673A1C596E0C}"/>
    <hyperlink ref="B230" r:id="rId42" xr:uid="{28930675-83EC-4F9E-9D8B-A35778B9CCD9}"/>
    <hyperlink ref="B101" r:id="rId43" xr:uid="{22E923A1-AFE3-45B4-9E70-6EC46306CFBB}"/>
    <hyperlink ref="B106" r:id="rId44" xr:uid="{93E52DF8-E03D-4F65-A129-996D5BD318A6}"/>
    <hyperlink ref="B231" r:id="rId45" xr:uid="{DE05BCCA-D94D-4CA4-B84E-94F24744EC70}"/>
    <hyperlink ref="B316" r:id="rId46" xr:uid="{58122F9D-F113-427D-B680-F9F34D151592}"/>
    <hyperlink ref="B225" r:id="rId47" xr:uid="{E985A2AC-D262-4BB4-96E5-0ED41297A66F}"/>
    <hyperlink ref="B265" r:id="rId48" xr:uid="{BE83E7F6-103B-45B0-AE5A-FB5DAAEE40CA}"/>
    <hyperlink ref="B266" r:id="rId49" xr:uid="{29C06E68-6D6F-42CF-9966-744505F922C6}"/>
    <hyperlink ref="B223" r:id="rId50" xr:uid="{A41FE73F-D1EB-41D1-BB01-AE88CBCD338C}"/>
    <hyperlink ref="B317" r:id="rId51" xr:uid="{DB7C9631-6FB2-4B33-92EC-9896A728C7D3}"/>
    <hyperlink ref="B318" r:id="rId52" xr:uid="{A2551322-46A1-4440-B923-37819C83BADB}"/>
    <hyperlink ref="B319" r:id="rId53" xr:uid="{C3CE0B5A-E505-465C-8163-0791B9FAFDC8}"/>
    <hyperlink ref="B320" r:id="rId54" location="reallabor-zur-intelligenten-erzeugung-speicherung-transport-und-nutzung-von-gruenem-wasserstoff" display="https://energiepark-bad-lauchstaedt.de/ - reallabor-zur-intelligenten-erzeugung-speicherung-transport-und-nutzung-von-gruenem-wasserstoff" xr:uid="{E0B8E5BA-E60F-4DD2-AECC-1380283F7946}"/>
    <hyperlink ref="B321" r:id="rId55" xr:uid="{0846CC7E-0ABB-49E0-ADBD-EA58FF23F1E4}"/>
    <hyperlink ref="B323" r:id="rId56" xr:uid="{D96D48D1-0CB2-498C-A75E-893DCF17A2F9}"/>
    <hyperlink ref="B324" r:id="rId57" xr:uid="{50917125-A80A-4F7A-ACC1-0B73A1F9B67F}"/>
    <hyperlink ref="B325" r:id="rId58" xr:uid="{B52AA4CB-9D9C-483C-8168-CE18E891B89A}"/>
    <hyperlink ref="B326" r:id="rId59" xr:uid="{4ECF8440-676B-4B34-BC71-CBDA6E9435E7}"/>
    <hyperlink ref="B327" r:id="rId60" xr:uid="{EBAC2D22-14D5-4CA8-B8CC-6D2C12792D2F}"/>
    <hyperlink ref="B328" r:id="rId61" xr:uid="{A3A36CAF-59A6-4ED6-8EE1-39F8955108D7}"/>
    <hyperlink ref="B329" r:id="rId62" xr:uid="{3EF61799-E8F6-451E-949E-3A170508249E}"/>
    <hyperlink ref="B330" r:id="rId63" xr:uid="{50EEC2EE-AC2E-4E61-9CFF-6CD92A584A99}"/>
    <hyperlink ref="B272" r:id="rId64" xr:uid="{454DE0D5-FEBA-444F-94DF-35B7C6CC2E7B}"/>
    <hyperlink ref="B331" r:id="rId65" xr:uid="{FA4C91D1-7F7A-4C4E-AB39-892671D99A91}"/>
    <hyperlink ref="B332" r:id="rId66" xr:uid="{A8DAC72C-783E-451D-AC79-0D95BAC18496}"/>
    <hyperlink ref="B333" r:id="rId67" xr:uid="{1A352A48-91B9-4C8A-A49F-EA451A87E4B1}"/>
    <hyperlink ref="B243" r:id="rId68" xr:uid="{BAA2B46D-3999-4722-9206-DE9CBC48B901}"/>
    <hyperlink ref="B334" r:id="rId69" xr:uid="{1BE6CD3A-6C25-4DE0-B116-4F44301CFA1C}"/>
    <hyperlink ref="B240" r:id="rId70" xr:uid="{64B04CB3-AD9F-4D85-B317-5EA5E96AA73A}"/>
    <hyperlink ref="B258" r:id="rId71" xr:uid="{761A22A7-261B-4F76-B9C3-5B29C370BCEB}"/>
    <hyperlink ref="B224" r:id="rId72" xr:uid="{4C22B8ED-1027-43DA-ABED-44A336DAD3D6}"/>
    <hyperlink ref="B335" r:id="rId73" xr:uid="{E791BDB4-FD1A-4C69-A75C-729A52CE9EFD}"/>
    <hyperlink ref="B132" r:id="rId74" xr:uid="{9A3DF159-FB1A-4391-BD9C-051ADAD66450}"/>
    <hyperlink ref="B336" r:id="rId75" xr:uid="{B34B0016-F845-4F56-8BAF-54D39DFD0457}"/>
    <hyperlink ref="B133" r:id="rId76" xr:uid="{2D12ECE6-140E-4182-82A5-9D7CE30D6254}"/>
    <hyperlink ref="B337" r:id="rId77" xr:uid="{E4A6C898-6647-4095-A410-609DB7BC5454}"/>
    <hyperlink ref="B338" r:id="rId78" xr:uid="{052F617C-3FB3-4D53-8A7C-8A940F7F2787}"/>
    <hyperlink ref="B339" r:id="rId79" xr:uid="{08995D8B-1EC7-4D0A-BEE4-5B0CFC78D070}"/>
    <hyperlink ref="B340" r:id="rId80" xr:uid="{A689C6D1-F39E-4E38-A008-8E4972D711CE}"/>
    <hyperlink ref="B341" r:id="rId81" xr:uid="{67D3E51F-F12A-42F1-B9EA-AE5F0A42FAE9}"/>
    <hyperlink ref="B199" r:id="rId82" xr:uid="{4A73B376-68D8-4ED8-9147-56FC1FD33F4F}"/>
    <hyperlink ref="B342" r:id="rId83" xr:uid="{C4A4A7C5-9A91-49A4-A47A-E2BE60CE5A38}"/>
    <hyperlink ref="B343" r:id="rId84" xr:uid="{15ECA71D-19EC-439E-A76D-B11AADD3B434}"/>
    <hyperlink ref="B344" r:id="rId85" xr:uid="{B1BBF61C-FBA7-44D3-97B5-AF183E1B5A3D}"/>
    <hyperlink ref="B345" r:id="rId86" xr:uid="{6BF685F3-D820-442D-933E-694CF6A4828A}"/>
    <hyperlink ref="B346" r:id="rId87" xr:uid="{23A393DF-D425-4346-88C3-63F49966D7DD}"/>
    <hyperlink ref="B347" r:id="rId88" xr:uid="{92572E34-52CB-472C-B6E3-064E588C3796}"/>
    <hyperlink ref="B348" r:id="rId89" xr:uid="{B20E16C3-67DC-4F4A-959E-9E75A406EC53}"/>
    <hyperlink ref="B349" r:id="rId90" xr:uid="{0BA72010-C6E9-4C2A-BD54-4C7ADDA67663}"/>
    <hyperlink ref="B350" r:id="rId91" xr:uid="{99F42267-1F01-4168-8B76-EBAC724290D0}"/>
    <hyperlink ref="B351" r:id="rId92" xr:uid="{ADEB233C-6C4E-4757-A476-37B44070613C}"/>
    <hyperlink ref="B275" r:id="rId93" xr:uid="{0169A5E9-0F0E-46E2-8B6A-36A8981AB8F2}"/>
    <hyperlink ref="B352" r:id="rId94" xr:uid="{CBA0F769-C322-45EB-AB49-9B785FA88B4E}"/>
    <hyperlink ref="B353" r:id="rId95" xr:uid="{96DD0470-06C8-4E06-BB53-545BACD7E3BF}"/>
    <hyperlink ref="B244" r:id="rId96" xr:uid="{86F50CC1-C506-4284-B63C-B03FC6EFDC6C}"/>
    <hyperlink ref="B355" r:id="rId97" xr:uid="{C3787032-62CF-4374-8C84-FC37FC8C7B4B}"/>
    <hyperlink ref="B354" r:id="rId98" xr:uid="{B3FA6D41-4377-40A0-897D-70E8641AB83E}"/>
    <hyperlink ref="B241" r:id="rId99" xr:uid="{A32751DE-548A-43B2-942D-72F7692F8846}"/>
    <hyperlink ref="B356" r:id="rId100" xr:uid="{D19256CA-E34C-468C-BD07-378A27481738}"/>
    <hyperlink ref="B357" r:id="rId101" xr:uid="{1D8A5AC3-7B34-4FBE-9358-D95C4ECFF659}"/>
    <hyperlink ref="B233" r:id="rId102" xr:uid="{DC61A4A8-161E-41DE-9020-42A05ADDBC37}"/>
    <hyperlink ref="B358" r:id="rId103" xr:uid="{0BFF171F-82B3-40B2-BE5F-F220AC70F6DD}"/>
    <hyperlink ref="B263" r:id="rId104" xr:uid="{9DF40766-F926-4C7E-AC62-172B231F16D3}"/>
    <hyperlink ref="B264" r:id="rId105" xr:uid="{4588EBCC-556B-4CF4-991B-0E71274ABD13}"/>
    <hyperlink ref="B242" r:id="rId106" xr:uid="{2D2DAF7E-BD51-4016-9B82-8C275616E713}"/>
    <hyperlink ref="B359" r:id="rId107" xr:uid="{0F277298-442F-4666-8DC8-72A7E0890A81}"/>
    <hyperlink ref="B360" r:id="rId108" xr:uid="{3B9989D2-71BA-48A8-8E99-90AC16433AE3}"/>
    <hyperlink ref="B361" r:id="rId109" xr:uid="{23BCCC62-6F5A-4EA1-8295-0E8145B5B56A}"/>
    <hyperlink ref="B362" r:id="rId110" xr:uid="{BCC2F5CA-E618-49C4-B44B-0FC4AE339313}"/>
    <hyperlink ref="B363" r:id="rId111" xr:uid="{BE5E215B-2725-4C52-8B5A-3403776D463E}"/>
    <hyperlink ref="B364" r:id="rId112" xr:uid="{948348DE-BB6C-4B5B-82D8-0D399AE281C7}"/>
    <hyperlink ref="B252" r:id="rId113" xr:uid="{1E2D6A59-E303-463A-ABD0-75939BD590DB}"/>
    <hyperlink ref="B111" display="https://books.google.fr/books?id=3ZNdDwAAQBAJ&amp;pg=SA7-PA40&amp;lpg=SA7 PA40&amp;dq=Raglan+Nickel+mine+canada+power+to+gas+hydrogen+electrolyzer&amp;source=bl&amp;ots=jVKl__oP3w&amp;sig=Nco6uJDGomFyhk0ZIIVb1JReULY&amp;hl=fr&amp;sa=X&amp;ved=0ahUKEwjy5ZnZy6jcAhUDgVwKHTTWCmwQ6AEIYDAK#v=onep" xr:uid="{FBF4A04D-D4A5-408C-9314-86EE5F320F41}"/>
    <hyperlink ref="B365" r:id="rId114" xr:uid="{C5880B51-6236-4C68-ABF2-2C5D48E48C0C}"/>
    <hyperlink ref="B366" r:id="rId115" xr:uid="{9426E7E7-E354-4B5F-9FE1-F60F0207DEDE}"/>
    <hyperlink ref="B367" display="https://energyobserver.sharepoint.com/sites/energy-observer/Dpartement%20communication/Forms/AllItems.aspx?id=%2Fsites%2Fenergy%2Dobserver%2FDpartement%20communication%2FCREATION%2FBILAN%20ENERGETIQUE%202018%2FElectrolyser%2Epdf&amp;parent=%2Fsites%2Fenergy%2" xr:uid="{0E37CA04-B68A-4682-8482-13BE5067A670}"/>
    <hyperlink ref="B228" r:id="rId116" xr:uid="{BED37A29-FD12-4B31-8751-590FFCBAA9B1}"/>
    <hyperlink ref="B368" r:id="rId117" xr:uid="{2F53D615-DB9B-465E-85C7-A0543422FB8B}"/>
    <hyperlink ref="B369" r:id="rId118" xr:uid="{DC830958-E046-4C0D-A30A-7E3B28479777}"/>
    <hyperlink ref="B370" r:id="rId119" xr:uid="{C9EDA75E-5812-415C-877C-EE0D9408A3A2}"/>
    <hyperlink ref="B372" r:id="rId120" xr:uid="{B13E461A-247D-483A-9B0A-4A58DD23940F}"/>
    <hyperlink ref="B373" r:id="rId121" xr:uid="{22B7A83E-2CF4-4193-BE34-D280B32B599B}"/>
    <hyperlink ref="B374" r:id="rId122" xr:uid="{9A35613C-3BEB-42E7-85F7-DD3C8C12AFBA}"/>
    <hyperlink ref="B167" r:id="rId123" xr:uid="{94F03F8D-C0B7-4102-ADE6-8C5ED8592AB6}"/>
    <hyperlink ref="B375" r:id="rId124" xr:uid="{626467B8-4524-4FEB-BFCC-9D9D0E0C3781}"/>
    <hyperlink ref="B376" r:id="rId125" xr:uid="{6532C1F3-E9C3-4691-A911-0D4B393A90A1}"/>
    <hyperlink ref="B218" r:id="rId126" xr:uid="{57961C8B-33D7-4465-B68C-B01D8CB6BCCA}"/>
    <hyperlink ref="B377" r:id="rId127" xr:uid="{3B3BC2C1-7D55-4D9A-92C0-8CA833710698}"/>
    <hyperlink ref="B289" r:id="rId128" xr:uid="{B0DA3AA3-6896-4F76-B56E-D39FE5A93098}"/>
    <hyperlink ref="B293" r:id="rId129" xr:uid="{68DD0BCF-E3EF-448D-A3A6-D7AC05AC5E5E}"/>
    <hyperlink ref="B379" r:id="rId130" xr:uid="{9B94FE53-EB9D-49E9-BD24-412D8C46B18A}"/>
    <hyperlink ref="B380" r:id="rId131" xr:uid="{D72772E7-5DDB-4427-B7D4-0B663C57F3D3}"/>
    <hyperlink ref="B381" r:id="rId132" xr:uid="{55FBA9FD-D677-409E-9D69-AEE9AE6499AC}"/>
    <hyperlink ref="B382" r:id="rId133" xr:uid="{B1A631BB-5A6A-448A-9546-9646B25D3BCE}"/>
    <hyperlink ref="B383" r:id="rId134" xr:uid="{04C48EC3-EAF1-432C-A2AE-4DB4A1FC4C12}"/>
    <hyperlink ref="B269" r:id="rId135" xr:uid="{70C9D16C-D85E-4E53-800A-3C101160E45D}"/>
    <hyperlink ref="B384" r:id="rId136" xr:uid="{869B255B-7197-4F3F-B626-FB29C3CFA171}"/>
    <hyperlink ref="B385" r:id="rId137" xr:uid="{6FA39543-3A7F-4AC3-B905-987B84F74808}"/>
    <hyperlink ref="B386" r:id="rId138" xr:uid="{DB33BE22-1CD7-414C-86AC-2323219CA2B4}"/>
    <hyperlink ref="B387" r:id="rId139" xr:uid="{87D9CE5A-1B63-4660-AA14-B6D6B59DE45B}"/>
    <hyperlink ref="B388" r:id="rId140" xr:uid="{591B0413-E790-40FD-8C29-6DC2757B45CF}"/>
    <hyperlink ref="B389" r:id="rId141" xr:uid="{0BDD37D0-5A15-4961-B68A-F0DBF5F4E098}"/>
    <hyperlink ref="B390" r:id="rId142" xr:uid="{12E625F9-BD81-459C-9A0F-F81E19EBF931}"/>
    <hyperlink ref="B237" r:id="rId143" xr:uid="{23AC7AEE-D94E-414A-9E29-951CBB2A3C37}"/>
    <hyperlink ref="B391" r:id="rId144" xr:uid="{3E0CF12D-2FB8-4FAA-AF37-D799E5A651F9}"/>
    <hyperlink ref="B392" r:id="rId145" xr:uid="{10D760CB-7E90-40F9-8D5E-19DE14418D12}"/>
    <hyperlink ref="B393" r:id="rId146" xr:uid="{638523C8-6897-4FFE-9A2A-D44DE6098C65}"/>
    <hyperlink ref="B394" r:id="rId147" xr:uid="{AAF3FA45-ADCD-4E3C-BDD9-A428C7DAD143}"/>
    <hyperlink ref="B142" r:id="rId148" xr:uid="{EDB85EAE-0CFD-45FD-9E8F-5EA1DCAB4D92}"/>
    <hyperlink ref="B395" r:id="rId149" xr:uid="{DF9690D7-10AC-41BE-9E8E-182CD646BD7B}"/>
    <hyperlink ref="B254" r:id="rId150" xr:uid="{64C35A9C-10B8-4502-B7D4-82D439455EF9}"/>
    <hyperlink ref="B396" r:id="rId151" xr:uid="{2813BEFE-40E5-4E61-A2DF-5684F210DBD8}"/>
    <hyperlink ref="B129" r:id="rId152" xr:uid="{3BDA0153-BF15-404A-997A-8BA7DCB58587}"/>
    <hyperlink ref="B397" r:id="rId153" xr:uid="{15F3AD0F-D0B3-4D4A-80B4-A2DC9E4E15EB}"/>
    <hyperlink ref="B398" r:id="rId154" xr:uid="{400DF6FA-71CE-4370-8498-C85A18F4C48B}"/>
    <hyperlink ref="B399" r:id="rId155" xr:uid="{4D7245E6-0D68-43B6-BE10-08FE6391D9AB}"/>
    <hyperlink ref="B400" r:id="rId156" xr:uid="{229FB1D1-54E9-4565-B2AD-D861F5A60993}"/>
    <hyperlink ref="B401" r:id="rId157" xr:uid="{B2794273-3B8A-4F30-837C-B9C453DBB296}"/>
    <hyperlink ref="B402" r:id="rId158" xr:uid="{7E0C15B9-9BA8-45C7-93B3-2C706DF966E4}"/>
    <hyperlink ref="B403" r:id="rId159" xr:uid="{6AC60D07-BB48-45B9-9A43-20EE72904684}"/>
    <hyperlink ref="B204" r:id="rId160" xr:uid="{46051C2C-38DF-4189-BE08-3BEECC1E54E4}"/>
    <hyperlink ref="B217" r:id="rId161" xr:uid="{E1180F21-BED6-4816-96E3-5D6F55E6DDF6}"/>
    <hyperlink ref="B405" r:id="rId162" xr:uid="{F9A65ABA-855C-4845-BBCC-4445AD8EEF95}"/>
    <hyperlink ref="B260" r:id="rId163" xr:uid="{E21BBB65-DED0-47E8-B5C8-64585884F78A}"/>
    <hyperlink ref="B257" r:id="rId164" xr:uid="{994F924A-00F7-47E1-A776-8E07C95F2BD0}"/>
    <hyperlink ref="B247" r:id="rId165" xr:uid="{7671382D-5268-4178-97AE-97CF2B1B5652}"/>
    <hyperlink ref="B406" r:id="rId166" xr:uid="{A2F00672-D402-48DF-A7BF-36156DC90CE5}"/>
    <hyperlink ref="B407" r:id="rId167" xr:uid="{08117B86-8756-44A5-8ECE-9F469C7D8120}"/>
    <hyperlink ref="B408" r:id="rId168" xr:uid="{14CAAD41-E077-4526-98B1-A88FDCA15C22}"/>
    <hyperlink ref="B409" r:id="rId169" xr:uid="{AA32A819-DB49-4067-8CC9-EF1C8BCF218F}"/>
    <hyperlink ref="B410" r:id="rId170" xr:uid="{8F8D036C-D636-4550-90CF-7FADC3B523D3}"/>
    <hyperlink ref="B411" r:id="rId171" xr:uid="{41AA147A-9138-4509-9E64-4E27881E07EA}"/>
    <hyperlink ref="B412" r:id="rId172" xr:uid="{AB22BBF6-E157-4B36-BAC9-6E1E9BF2846F}"/>
    <hyperlink ref="B413" r:id="rId173" xr:uid="{9919B056-15B0-487B-B608-B3396FD63F72}"/>
    <hyperlink ref="B414" r:id="rId174" xr:uid="{06D4A871-12E4-4D3E-8A57-B05B0BB2966E}"/>
    <hyperlink ref="B253" r:id="rId175" location="bateau" xr:uid="{FF9F467E-451D-462E-AE7F-4689D2E2300B}"/>
    <hyperlink ref="B255" r:id="rId176" xr:uid="{ED470993-7F60-4EFE-8631-72FF687922AE}"/>
    <hyperlink ref="B251" r:id="rId177" xr:uid="{0DC645D0-BCAB-4A1D-8DEF-96C0B8CEFA3C}"/>
    <hyperlink ref="B415" r:id="rId178" xr:uid="{304DA0C4-7BF9-41D8-8C29-B3830EF1FB55}"/>
    <hyperlink ref="B416" r:id="rId179" xr:uid="{D83C610B-9029-4CC6-9360-D294A5FC9150}"/>
    <hyperlink ref="B417" r:id="rId180" xr:uid="{D6AA371F-6E41-44D0-B7C0-DF5FBE036250}"/>
    <hyperlink ref="B418" r:id="rId181" xr:uid="{C4EF2932-E735-4862-BA5C-244E7D2AFF66}"/>
    <hyperlink ref="B419" r:id="rId182" xr:uid="{2CA5A70D-B991-442A-A713-E3599E7B55B1}"/>
    <hyperlink ref="B420" r:id="rId183" xr:uid="{E7B63071-7863-4AA1-8176-568127BCFEF4}"/>
    <hyperlink ref="B421" r:id="rId184" xr:uid="{1B4A39A7-F433-408B-9A9C-57A7409F0153}"/>
    <hyperlink ref="B422" r:id="rId185" xr:uid="{0269F83E-E7CA-4435-8685-E154A9D96860}"/>
    <hyperlink ref="B423" r:id="rId186" xr:uid="{15284965-70DD-4B59-B8B8-0827AF939268}"/>
    <hyperlink ref="B424" r:id="rId187" xr:uid="{8E25BDBC-64FA-4F4E-9119-7E4991ADF7AF}"/>
    <hyperlink ref="B425" r:id="rId188" xr:uid="{7F93933F-768E-444B-B41B-BD3E6D6138C6}"/>
    <hyperlink ref="B427" r:id="rId189" xr:uid="{551746B7-46E2-4588-BAF7-CC5BFC5FE5A0}"/>
    <hyperlink ref="B428" r:id="rId190" xr:uid="{0AE0C646-8EA6-44A0-A1B2-B1989A67C20A}"/>
    <hyperlink ref="B429" r:id="rId191" xr:uid="{B343CA88-12BF-405D-AD99-97DC264224C5}"/>
    <hyperlink ref="B432" r:id="rId192" xr:uid="{C18D6ECE-FB4E-412D-9416-6FCA80B81FE3}"/>
    <hyperlink ref="B433" r:id="rId193" display="https://hydrogeneurope.eu/sites/default/files/2019-09/2019Q3_HYDROGENICS_Renewable Hydrogen-compressed.pdf" xr:uid="{CDCA2B14-E8C7-46E8-A0CB-C5FE77F35B46}"/>
    <hyperlink ref="B434" r:id="rId194" xr:uid="{3F80EB3B-F6AF-4EEA-91EA-AF0DA902B6EC}"/>
    <hyperlink ref="B436" r:id="rId195" xr:uid="{266BA112-1AAF-4DEE-9FB0-EC9A001E0F64}"/>
    <hyperlink ref="B437" r:id="rId196" xr:uid="{39E3C317-9EE8-4FE7-9A74-BB8B01EACD2F}"/>
    <hyperlink ref="B438" r:id="rId197" xr:uid="{15AB97F4-11BD-42A9-A8E3-EA8CDD05323C}"/>
    <hyperlink ref="B439" r:id="rId198" xr:uid="{78C2A1A9-B341-4E21-9179-559B139E17AA}"/>
    <hyperlink ref="B440" r:id="rId199" xr:uid="{55F6387A-CA7B-4852-9907-BFCCCA2CD502}"/>
    <hyperlink ref="B441" r:id="rId200" xr:uid="{DEC8AEF1-ABDB-46CA-9E73-4F6A614815C5}"/>
    <hyperlink ref="B442" r:id="rId201" xr:uid="{5D1500E7-6A00-4BEF-A739-30473BF03DA4}"/>
    <hyperlink ref="B443" r:id="rId202" xr:uid="{C83C0513-36E2-4087-B031-449B7CA8E46B}"/>
    <hyperlink ref="B444" r:id="rId203" xr:uid="{0739B18A-9593-4317-A484-5CE78688B1F4}"/>
    <hyperlink ref="B445" r:id="rId204" xr:uid="{4A49B313-2D7E-44C5-8117-A71D89F40E8F}"/>
    <hyperlink ref="B446" r:id="rId205" xr:uid="{1D0F765C-22E3-4A90-85D2-D7D265AA210E}"/>
    <hyperlink ref="B451" r:id="rId206" xr:uid="{460D358F-C622-498A-8107-885CFFF55E1B}"/>
    <hyperlink ref="B452" r:id="rId207" xr:uid="{CD62619F-B6D2-43FB-9962-DE1EB9B68284}"/>
    <hyperlink ref="B453" r:id="rId208" xr:uid="{32D83EEE-3C48-4BD5-961C-44C716843229}"/>
    <hyperlink ref="B454" r:id="rId209" xr:uid="{6524EE41-0672-496B-917F-7BA7380C6874}"/>
    <hyperlink ref="B455" r:id="rId210" xr:uid="{BD13B372-0B31-47D1-BFB4-69C328294830}"/>
    <hyperlink ref="B456" r:id="rId211" xr:uid="{7095C504-1209-4CBF-A209-FE522ED960B5}"/>
    <hyperlink ref="B457" r:id="rId212" xr:uid="{CBC31E62-CC34-4295-A188-EB09F3AEEC5A}"/>
    <hyperlink ref="B458" r:id="rId213" location=".Xo96YMgzY2z" display="https://zenodo.org/record/3464775 - .Xo96YMgzY2z" xr:uid="{C27D9238-448C-4F45-962E-50A63533F1BD}"/>
    <hyperlink ref="B459" r:id="rId214" xr:uid="{943803AA-0F83-4A35-85DE-84B16FD92BE2}"/>
    <hyperlink ref="B460" r:id="rId215" xr:uid="{06762D4C-3A83-45CD-96FC-B9913BA0036D}"/>
    <hyperlink ref="B463" r:id="rId216" xr:uid="{F7876865-5723-444C-BB3A-B56F471F80AC}"/>
    <hyperlink ref="B464" r:id="rId217" xr:uid="{793BCC9C-2D2D-4578-B073-C32713A1BA91}"/>
    <hyperlink ref="B465" r:id="rId218" location="sec4" display="https://www.sciencedirect.com/science/article/pii/S0360319908015619 - sec4" xr:uid="{E0850C8D-4AD1-41BA-A623-4669E554D65C}"/>
    <hyperlink ref="B466" r:id="rId219" xr:uid="{31B7795A-7E67-458A-8EB0-41B88A2A191D}"/>
    <hyperlink ref="B467" r:id="rId220" xr:uid="{BFDCC334-BC05-4D27-A691-23406071AF45}"/>
    <hyperlink ref="B468" r:id="rId221" xr:uid="{1FEC020E-CF79-4FEA-9706-2783B8B2901F}"/>
    <hyperlink ref="B141" r:id="rId222" xr:uid="{46A79656-9748-4465-8783-812147394D90}"/>
    <hyperlink ref="B469" r:id="rId223" xr:uid="{249C6659-B2D2-4E71-8CF3-7B5D67FC0CDC}"/>
    <hyperlink ref="B470" r:id="rId224" xr:uid="{A3E425EC-494E-4A40-99C4-5A48510A578F}"/>
    <hyperlink ref="B471" r:id="rId225" xr:uid="{A8C7A1AB-145B-42CB-98CB-CB09A9B344F2}"/>
    <hyperlink ref="B472" r:id="rId226" display="http://www.afhypac.org/documents/tout-savoir/Fiche 9.5 - Power-to-gas - rev mars2017 ThA.pdf" xr:uid="{588F53DF-E97A-4382-9894-1D6685FBF884}"/>
    <hyperlink ref="B473" r:id="rId227" xr:uid="{43A4FD86-76F0-4357-8C15-CC34141CC6DC}"/>
    <hyperlink ref="B474" r:id="rId228" xr:uid="{A65FF094-6AEB-4A45-B0D9-FB48F4DE0460}"/>
    <hyperlink ref="B476" r:id="rId229" xr:uid="{7400B9AA-49F4-4F58-A3DD-2E61053400CE}"/>
    <hyperlink ref="B477" r:id="rId230" xr:uid="{62F4DF69-3FC6-4524-947E-88A0D45366D1}"/>
    <hyperlink ref="B478" r:id="rId231" xr:uid="{A1EC1CD1-2660-4B05-BF56-78F9497F9F2A}"/>
    <hyperlink ref="B479" r:id="rId232" xr:uid="{B5D049B6-BABE-4872-85CB-D4767F9EB27D}"/>
    <hyperlink ref="B480" r:id="rId233" xr:uid="{2DC59184-1234-4526-92EA-36B32DD8C209}"/>
    <hyperlink ref="B481" r:id="rId234" xr:uid="{C8157663-9601-40E8-BE4E-C38F1AC9C1AD}"/>
    <hyperlink ref="B482" r:id="rId235" xr:uid="{654A8BAE-4849-4ECD-B220-5755980BDF03}"/>
    <hyperlink ref="B483" r:id="rId236" xr:uid="{FB98B498-1F7E-4337-B354-4EA2CFAACF4A}"/>
    <hyperlink ref="B484" r:id="rId237" xr:uid="{372F8BE7-5502-4465-961C-3BEB698FBADB}"/>
    <hyperlink ref="B485" r:id="rId238" xr:uid="{A7CF666C-A8BF-4581-B401-15B03BB08F09}"/>
    <hyperlink ref="B486" r:id="rId239" xr:uid="{E76B82E7-5F26-4E52-83C2-123415366C75}"/>
    <hyperlink ref="B487" r:id="rId240" xr:uid="{996B0292-334C-43DE-B8D9-825760801D55}"/>
    <hyperlink ref="B488" r:id="rId241" xr:uid="{54F2FD8B-08AC-4A77-8194-51386AA77597}"/>
    <hyperlink ref="B489" r:id="rId242" xr:uid="{8B416DBE-FD9A-4EAA-B056-2784F8F8A869}"/>
    <hyperlink ref="B490" r:id="rId243" location="302" display="https://www.arci.res.in/facilities-cfct - 302" xr:uid="{DD6111C7-A722-4E90-93B3-89A9C97BF0F4}"/>
    <hyperlink ref="B491" r:id="rId244" xr:uid="{2EB70B17-4295-481A-AA83-341706A7B424}"/>
    <hyperlink ref="B492" r:id="rId245" xr:uid="{2DA9E1C2-3BAE-45CE-916C-881754E09DE1}"/>
    <hyperlink ref="B493" r:id="rId246" xr:uid="{5C18A45D-C397-43F7-94EE-61273FB57AEA}"/>
    <hyperlink ref="B494" r:id="rId247" xr:uid="{CDF3876F-0290-4F35-A477-31BAF9885F9B}"/>
    <hyperlink ref="B495" r:id="rId248" xr:uid="{0E533613-3E0F-48EB-A80D-C597EAAB1257}"/>
    <hyperlink ref="B496" r:id="rId249" xr:uid="{161AD919-E7D1-46BB-8902-1EBD46FFDBF8}"/>
    <hyperlink ref="B497" r:id="rId250" xr:uid="{F3E610D3-C2A2-4E8D-93B8-328AC0604963}"/>
    <hyperlink ref="B498" r:id="rId251" xr:uid="{E9E1DFBC-8769-4430-9235-3E155E827CFB}"/>
    <hyperlink ref="B499" r:id="rId252" xr:uid="{1263DA3F-6866-4CB7-BB3C-9160D635425C}"/>
    <hyperlink ref="B500" r:id="rId253" xr:uid="{2063058E-C57C-4FDE-AD49-11E8A91AC1EB}"/>
    <hyperlink ref="B501" r:id="rId254" xr:uid="{29A71F36-DA9D-4FF4-B20E-CB7C40D280EA}"/>
    <hyperlink ref="B502" r:id="rId255" xr:uid="{1A45F83B-C44D-467A-B287-A4D8D030776F}"/>
    <hyperlink ref="B503" r:id="rId256" xr:uid="{DDB9A1FF-E765-4FC8-8A28-D7C05F79ED5F}"/>
    <hyperlink ref="B504" r:id="rId257" xr:uid="{DFADAF72-099E-4D2A-86E8-5592E8401549}"/>
    <hyperlink ref="B506" r:id="rId258" xr:uid="{501FF208-2A5A-46A4-B3D6-599907B30F63}"/>
    <hyperlink ref="B507" r:id="rId259" xr:uid="{B963BBCD-C639-431A-8818-90AC47E93FBC}"/>
    <hyperlink ref="B509" r:id="rId260" xr:uid="{9FC83820-B60C-4BE9-8CEB-807306263542}"/>
    <hyperlink ref="B510" r:id="rId261" xr:uid="{F6C77BA6-6609-49AA-9255-2E623EB797BF}"/>
    <hyperlink ref="B511" r:id="rId262" xr:uid="{8FCD2059-C9DE-41C9-B9B7-CC8948D20980}"/>
    <hyperlink ref="B512" r:id="rId263" xr:uid="{42E75991-A451-45C5-B99E-F42C092E84A2}"/>
    <hyperlink ref="B513" r:id="rId264" xr:uid="{6CCEE1D2-27E5-4E1A-925B-EC08E290FA63}"/>
    <hyperlink ref="B514" r:id="rId265" display="https://www.ft.com/content/6d2c8d8a-a767-4e41-b0f9-3237dd711597?accessToken=zwAAAXJQhZAwkc9tLI2Kp2dOQdOw-TI33XEVlw.MEQCIFbbu4ednBgMr7ty8-leTb2ABXr6ZWZO8f7qIQdh2DBuAiArmcOs7I_iwQsuldRZyPtKHW3QuEPTIdd6OeJ-6prMfQ&amp;sharetype=gift?token=ceb073f4-fef6-4d9f-8f7c-555db5cefb96" xr:uid="{90E86056-6828-4A19-B881-4B0B64056D7C}"/>
    <hyperlink ref="B515" r:id="rId266" xr:uid="{9E3B748E-6D6C-466B-94A9-E660A62B9967}"/>
    <hyperlink ref="B516" r:id="rId267" xr:uid="{EEF197CB-E25E-401C-811E-C42B5C366EB3}"/>
    <hyperlink ref="B517" r:id="rId268" xr:uid="{BDE1447E-192F-4D52-BD04-87F5D9FAF480}"/>
    <hyperlink ref="B518" r:id="rId269" xr:uid="{C7330397-53B0-415D-8B38-B7D98B31B0A8}"/>
    <hyperlink ref="B519" r:id="rId270" xr:uid="{EDC5D329-24BD-474E-A3C0-7EF285B76F83}"/>
    <hyperlink ref="B520" r:id="rId271" xr:uid="{F13ACAB4-2050-4BE6-9A14-423A2738B702}"/>
    <hyperlink ref="B521" r:id="rId272" xr:uid="{6DBA4617-A096-40B7-8B78-A464A17607F1}"/>
    <hyperlink ref="B522" r:id="rId273" xr:uid="{6D547C3A-0E7D-4DA5-BB12-81EF4DD48709}"/>
    <hyperlink ref="B508" r:id="rId274" xr:uid="{519CF01F-E4C8-40E5-A3EF-85D5F9874301}"/>
    <hyperlink ref="B523" r:id="rId275" xr:uid="{09050B59-C3A3-47D6-9D96-BB9788DE533C}"/>
    <hyperlink ref="B524" r:id="rId276" xr:uid="{DB0BDF24-2186-4F15-9F07-FF6C88B22D6B}"/>
    <hyperlink ref="B525" r:id="rId277" xr:uid="{F0E431F6-85B0-422A-9D29-8FD0F3801CCF}"/>
    <hyperlink ref="B526" r:id="rId278" xr:uid="{96B04829-8372-43A5-B4BA-983B834A3237}"/>
    <hyperlink ref="B527" r:id="rId279" xr:uid="{C0FF5B23-9C67-41AF-8DBE-EEEA7773A698}"/>
    <hyperlink ref="B528" r:id="rId280" xr:uid="{F7FA52D0-1C51-4298-98A0-F3868AA7726F}"/>
    <hyperlink ref="B529" r:id="rId281" xr:uid="{290C09DF-32A8-42D2-8B17-ECA789B7F9C2}"/>
    <hyperlink ref="B530" r:id="rId282" xr:uid="{A7DF3940-89C6-4854-819C-4AD69C39F5A5}"/>
    <hyperlink ref="B531" r:id="rId283" xr:uid="{FDADBC7B-A8A3-46BB-8876-1BDB02184415}"/>
    <hyperlink ref="B532" r:id="rId284" xr:uid="{72B2247B-C438-421D-B1CA-211AC1A4E9F4}"/>
    <hyperlink ref="B533" r:id="rId285" xr:uid="{FC424AF5-B5A7-4768-A90C-6BA9FADEA542}"/>
    <hyperlink ref="B534" r:id="rId286" xr:uid="{28CACF0C-4D01-423B-9D10-6DAE278A23B6}"/>
    <hyperlink ref="B535" r:id="rId287" xr:uid="{7869829F-862A-448E-AD02-7335A8365A9E}"/>
    <hyperlink ref="B536" r:id="rId288" xr:uid="{56E4E210-93CC-40CA-83ED-7EDE03D8CD9A}"/>
    <hyperlink ref="B538" r:id="rId289" xr:uid="{E8868DC5-91B4-4E68-AC8A-91AB9A469484}"/>
    <hyperlink ref="B539" r:id="rId290" xr:uid="{52080D41-F85D-4060-95DD-0E92A930F787}"/>
    <hyperlink ref="B540" r:id="rId291" xr:uid="{F89A5914-D18E-42F3-A3FE-F9343C9F672B}"/>
    <hyperlink ref="B541" r:id="rId292" xr:uid="{37F61CEE-28EB-4AD1-B0C7-9366A624E1F0}"/>
    <hyperlink ref="B542" r:id="rId293" xr:uid="{E6199CF7-174C-4DF3-A33B-5296CE645057}"/>
    <hyperlink ref="B544" r:id="rId294" xr:uid="{07A3A655-7A02-4309-97CE-0AC7E1CB6C3A}"/>
    <hyperlink ref="B545" r:id="rId295" xr:uid="{A826DC34-324F-4C79-B36F-CDE69635BF64}"/>
    <hyperlink ref="B546" r:id="rId296" xr:uid="{F98961AB-A02E-4FC3-81C2-69344CBC3C68}"/>
    <hyperlink ref="B547" r:id="rId297" xr:uid="{159A4E5F-F417-4E9C-B22E-BC07DE2F83E4}"/>
    <hyperlink ref="B548" r:id="rId298" xr:uid="{8A11C3C3-6CFE-4EC6-A6AC-52A9DA1C226F}"/>
    <hyperlink ref="B549" r:id="rId299" xr:uid="{C98AA78A-952F-4C71-A8F0-E62A20BE2634}"/>
    <hyperlink ref="B550" r:id="rId300" xr:uid="{A28D3804-91EF-4CAD-A7A6-BBE82B64F81E}"/>
    <hyperlink ref="B551" r:id="rId301" xr:uid="{2D157A90-DAFC-41B3-A2B6-63AD8AF937E6}"/>
    <hyperlink ref="B552" r:id="rId302" xr:uid="{89DAA3BD-9795-4D05-A358-438ADAC6A05E}"/>
    <hyperlink ref="B553" r:id="rId303" xr:uid="{BC842E02-3C3D-4D3D-BA69-E24D50A7EA7A}"/>
    <hyperlink ref="B554" r:id="rId304" xr:uid="{C558B2C1-7B16-4CA5-8213-1DD0E8543605}"/>
    <hyperlink ref="B555" r:id="rId305" xr:uid="{109313D3-B425-4F33-8A58-84E7758CB53B}"/>
    <hyperlink ref="B556" r:id="rId306" xr:uid="{1DA741BA-7526-409E-8FFD-D7E87C09D2FC}"/>
    <hyperlink ref="B557" r:id="rId307" xr:uid="{D6AAD24B-B7DD-499C-8A83-EB58CDAEC78C}"/>
    <hyperlink ref="B558" r:id="rId308" xr:uid="{154AA7EA-47E1-4103-BE1D-5E043571FF12}"/>
    <hyperlink ref="B559" r:id="rId309" xr:uid="{5DA66852-8971-4A20-9FA1-819550BA9A08}"/>
    <hyperlink ref="B560" r:id="rId310" xr:uid="{5AB4A249-B4B4-4703-83BC-524DC752CD3D}"/>
    <hyperlink ref="B562" r:id="rId311" xr:uid="{D5AD0CD5-DFB3-49E6-AA02-2EF06B0306F9}"/>
    <hyperlink ref="B561" r:id="rId312" xr:uid="{D1DEEC36-CBD0-47C4-B84C-AF1CC634FB07}"/>
    <hyperlink ref="B563" r:id="rId313" xr:uid="{6251489B-46C9-45D8-B16D-6D10A0947BDA}"/>
    <hyperlink ref="B564" r:id="rId314" display="https://newsroom.neom.com/air-products-acwa-power-and-neom-sign-agreement-for-5-billion-production-facility-in-neom-powered-by-renewable-energy-for-production-and-export-of-green-hydrogen-to-global-markets-321553" xr:uid="{6B13F18B-1E61-4154-A0C7-6AED5E266CAC}"/>
    <hyperlink ref="B565" r:id="rId315" xr:uid="{58C646D7-A598-4F91-80AB-BC1D2546768D}"/>
    <hyperlink ref="B566" r:id="rId316" xr:uid="{C8CA9E61-C8EB-4B01-9091-36EEB939B7BE}"/>
    <hyperlink ref="B567" r:id="rId317" xr:uid="{B9A868F7-F5E2-42C1-B1B3-A74BDF18AF97}"/>
    <hyperlink ref="B568" r:id="rId318" xr:uid="{C0CE0F60-D8EF-4BF4-BB6A-F8E74166D642}"/>
    <hyperlink ref="B569" r:id="rId319" xr:uid="{FE14AF71-0970-4D50-8048-64CC7C8E5C13}"/>
    <hyperlink ref="B570" r:id="rId320" xr:uid="{08597A12-3BD2-46ED-9251-256DE36C39E3}"/>
    <hyperlink ref="B571" r:id="rId321" xr:uid="{92598519-C4C2-4515-8D8A-55D29BF8378B}"/>
    <hyperlink ref="B572" r:id="rId322" xr:uid="{069463FA-8241-4758-967F-1BDEDEC49082}"/>
    <hyperlink ref="B573" r:id="rId323" xr:uid="{BB280E20-3EC3-4ACD-8542-C704ECEF703C}"/>
    <hyperlink ref="B574" r:id="rId324" xr:uid="{F984635B-3A96-4DFB-9706-020CB03AA527}"/>
    <hyperlink ref="B575" r:id="rId325" xr:uid="{94AA60B2-BC15-4390-8850-4242391CB60F}"/>
    <hyperlink ref="B576" r:id="rId326" xr:uid="{F1F3B9D7-DCE8-4957-A95A-23B0470B493A}"/>
    <hyperlink ref="B577" r:id="rId327" xr:uid="{70EC6432-06C4-4C3B-9469-B668476A9B16}"/>
    <hyperlink ref="B578" r:id="rId328" xr:uid="{60A46CCA-0437-4989-8EA9-9AC77C48145B}"/>
    <hyperlink ref="B579" r:id="rId329" xr:uid="{A6391BA5-FEC1-4D48-877A-67D417ABE469}"/>
    <hyperlink ref="B580" r:id="rId330" xr:uid="{EA1A030F-467A-48B5-B464-198A7976F4AF}"/>
    <hyperlink ref="B581" r:id="rId331" xr:uid="{C45FA31E-2394-44C0-9C8A-7CCB4360E09F}"/>
    <hyperlink ref="B582" r:id="rId332" xr:uid="{8337FD9D-7EDE-4189-B8AA-85DFA0BFE144}"/>
    <hyperlink ref="B584" r:id="rId333" xr:uid="{46CD1798-05FE-4FF5-AC85-368FA072E828}"/>
    <hyperlink ref="B585" r:id="rId334" xr:uid="{CEC4E9F6-670A-4B22-91AD-2F33FB01BF1C}"/>
    <hyperlink ref="B586" r:id="rId335" xr:uid="{B26DFDE0-8F44-47F8-8A41-28C894B16FB4}"/>
    <hyperlink ref="B587" r:id="rId336" xr:uid="{179404C0-46DC-47AF-BFD8-AA24CF7FAE3C}"/>
    <hyperlink ref="B588" r:id="rId337" xr:uid="{B0C5B12F-4324-4E84-A4FF-9E6AA1A97353}"/>
    <hyperlink ref="B235" r:id="rId338" xr:uid="{CB5F6E43-2290-4A3E-B9F6-40FEB5002801}"/>
    <hyperlink ref="B597" r:id="rId339" xr:uid="{137BDA00-1589-44DA-A9D9-B8BA710E2D09}"/>
    <hyperlink ref="B608" r:id="rId340" xr:uid="{542F0C4E-C8AC-4ED6-8590-4F93187185E4}"/>
    <hyperlink ref="B609" r:id="rId341" xr:uid="{A70D205A-FAFA-4F8A-A850-0AEDC1D97CA6}"/>
    <hyperlink ref="B606" r:id="rId342" xr:uid="{9B75B5D8-9A8E-43E2-AA6F-C35ED9B226BA}"/>
    <hyperlink ref="B611" r:id="rId343" xr:uid="{256805EB-33CB-4F68-BFDB-672D00F945E2}"/>
    <hyperlink ref="B618" r:id="rId344" xr:uid="{0BBC0A7A-A9B7-4988-879D-D462C5D58901}"/>
    <hyperlink ref="B619" r:id="rId345" xr:uid="{CF3244CE-3AD7-49FF-ADBD-6820781A9DA6}"/>
    <hyperlink ref="B450" r:id="rId346" xr:uid="{824A8F7B-B8E2-473B-A5D0-3DD1634A7568}"/>
    <hyperlink ref="B47" r:id="rId347" xr:uid="{D6087F8F-B2E4-49D3-8F14-F6AF6C267645}"/>
    <hyperlink ref="B124" r:id="rId348" xr:uid="{D3DE538D-B4BF-4AA9-B96C-766C2D9C68F7}"/>
    <hyperlink ref="B125" r:id="rId349" xr:uid="{44F03AB5-C6EE-4A5E-928A-0BF7DD2FF41B}"/>
    <hyperlink ref="B621" r:id="rId350" xr:uid="{4F8DD7D6-2112-47C6-8350-73AC0FBB7F3D}"/>
    <hyperlink ref="B290" r:id="rId351" xr:uid="{0E9D08C8-8C29-41C3-8744-ED5C31901329}"/>
    <hyperlink ref="B234" r:id="rId352" xr:uid="{F2D42D0C-8592-49A2-95D7-87179851CDAE}"/>
    <hyperlink ref="B191" r:id="rId353" xr:uid="{94952A9A-C42E-4101-A63B-751D60618240}"/>
    <hyperlink ref="B595" r:id="rId354" xr:uid="{D7971A44-AA24-465D-96AC-09C2B385786C}"/>
    <hyperlink ref="B583" r:id="rId355" xr:uid="{DE0F70A7-BA10-4515-829C-6F62B1D443DE}"/>
    <hyperlink ref="B461" r:id="rId356" xr:uid="{261A926E-4685-4A32-BB10-365EA3E02759}"/>
    <hyperlink ref="B431" r:id="rId357" xr:uid="{1FF91CA4-31D7-47D1-B5BA-828916B5BD91}"/>
    <hyperlink ref="B629" r:id="rId358" xr:uid="{3EBAA3E3-6C94-4430-8D4E-F33E845BA09E}"/>
    <hyperlink ref="B615" r:id="rId359" xr:uid="{E134C15A-D53C-4C6B-BECA-719314566FC3}"/>
    <hyperlink ref="B248" r:id="rId360" xr:uid="{8DB3A8B3-D2D5-4850-B658-319DE420FEFE}"/>
    <hyperlink ref="B156" r:id="rId361" xr:uid="{805E38AE-536C-4782-AE0E-6B365EBCCD20}"/>
    <hyperlink ref="B623" r:id="rId362" xr:uid="{4B0BD3CC-FC70-4E8F-9B12-155B4E2A961B}"/>
    <hyperlink ref="B624" r:id="rId363" xr:uid="{BFFDE4A4-053F-407A-A715-25F6045A66FD}"/>
    <hyperlink ref="B607" r:id="rId364" xr:uid="{8CEFF9E1-8356-496C-BB25-4FD9162EAD9C}"/>
    <hyperlink ref="B97" r:id="rId365" xr:uid="{6EA4245E-8B81-4A75-87A3-EB01DE218898}"/>
    <hyperlink ref="B589" r:id="rId366" xr:uid="{B281C10F-1008-4FFE-AF7B-3D31BAEAFBEC}"/>
    <hyperlink ref="B599" r:id="rId367" xr:uid="{9CD0DECB-0088-4C26-B167-BD565289A240}"/>
    <hyperlink ref="B613" r:id="rId368" xr:uid="{C6E40E98-43A3-4DBE-9D0E-08F1663BF0FA}"/>
    <hyperlink ref="B598" r:id="rId369" xr:uid="{D6A5D8D7-A618-49CA-915E-18C27953012D}"/>
    <hyperlink ref="B601" r:id="rId370" xr:uid="{B4F1231B-A986-42B0-8B85-242F17119022}"/>
    <hyperlink ref="B426" r:id="rId371" xr:uid="{5CE8AAB2-4FA9-4918-BCED-33B575A4A50D}"/>
    <hyperlink ref="B270" r:id="rId372" xr:uid="{047326E0-E42B-413A-BFE1-1C3A93D8C9E2}"/>
    <hyperlink ref="B632" r:id="rId373" xr:uid="{ED5169DF-863C-4867-9BA9-C30899AE1B0F}"/>
    <hyperlink ref="B667" r:id="rId374" xr:uid="{7B093AD4-2C50-49D0-96C9-BA4CE79E401F}"/>
    <hyperlink ref="B669" r:id="rId375" xr:uid="{61466F29-1B1D-449E-B674-85CE19B2D2CE}"/>
    <hyperlink ref="B672" r:id="rId376" xr:uid="{832F0D7F-32B2-452B-8301-BDFD08F1CA10}"/>
    <hyperlink ref="B673" display="https://blog.topsoe.com/danish-partnership-sets-out-to-build-worlds-first-commercial-scale-green-ammonia-plant?utm_medium=email&amp;_hsmi=102353050&amp;_hsenc=p2ANqtz-8nRYYTKzEq3lRGKAsHTYG2RVNcEVT6qSj7jvef_4f15aTB252c35aNOmdoIeLONeMp3wnF9GZBRkeCw40IK7Yccjah4g&amp;utm" xr:uid="{01E39993-E236-47D9-B438-C366A80D54E0}"/>
    <hyperlink ref="B705" r:id="rId377" xr:uid="{593A98FA-3980-4FA2-9D9D-A237CE0BAC6B}"/>
    <hyperlink ref="B213" r:id="rId378" xr:uid="{DA082CAC-01ED-445D-B664-0FA37DB514C3}"/>
    <hyperlink ref="B246" r:id="rId379" xr:uid="{A131ED3D-9E98-437F-BBB0-29E0E7660098}"/>
    <hyperlink ref="B604" r:id="rId380" location="intro" xr:uid="{F0AE4786-E664-449E-9DED-E754F20263BB}"/>
    <hyperlink ref="B603" r:id="rId381" xr:uid="{8F6BB982-6320-4971-BECF-04FFDE2730F3}"/>
    <hyperlink ref="B110" r:id="rId382" xr:uid="{2305FCB8-30FD-415F-B57E-763E51575090}"/>
    <hyperlink ref="B201" r:id="rId383" xr:uid="{7FF8FC03-6A80-4FA2-B07E-C2341EA14743}"/>
    <hyperlink ref="B250" r:id="rId384" xr:uid="{13079F1F-C847-413C-B0BC-47D2A300BD45}"/>
    <hyperlink ref="B712" r:id="rId385" xr:uid="{5ABAE9E4-DB31-43B1-ACD2-D731212AABBB}"/>
    <hyperlink ref="B711" r:id="rId386" xr:uid="{3F042608-7716-4A6F-9691-8DD89BE9EB7B}"/>
    <hyperlink ref="B642" r:id="rId387" xr:uid="{6AEE8EA8-8F92-4AA5-A364-3AEE2B35B8D8}"/>
    <hyperlink ref="B728" r:id="rId388" xr:uid="{F6F08119-303F-4F82-9AA1-16133AF4C55E}"/>
    <hyperlink ref="B740" r:id="rId389" xr:uid="{1FBAF548-7793-49F0-9D30-313AAB6EFE3E}"/>
    <hyperlink ref="B690" r:id="rId390" xr:uid="{E0AB16F6-A38F-445D-9CB7-9EF18EBACAAB}"/>
    <hyperlink ref="B652" r:id="rId391" xr:uid="{323FE4D9-8477-478F-A46A-5EF052DF245C}"/>
    <hyperlink ref="B685" r:id="rId392" xr:uid="{D6FD58D6-B5F3-4003-8130-68736D8067DF}"/>
    <hyperlink ref="B665" r:id="rId393" xr:uid="{BCC63222-D68B-4B4C-A8E4-78DFFAED276A}"/>
    <hyperlink ref="B628" r:id="rId394" xr:uid="{261CCE06-12CB-48BB-A297-2EEB308740AD}"/>
    <hyperlink ref="B859" r:id="rId395" xr:uid="{31A67714-38EC-42F7-B3F0-239A54063F7B}"/>
    <hyperlink ref="B659" r:id="rId396" xr:uid="{BE4E6749-DB4C-4C18-876C-22781380DD3B}"/>
    <hyperlink ref="B875" r:id="rId397" xr:uid="{60BF9D82-CBDD-419B-89FB-DCF21B08889E}"/>
    <hyperlink ref="B922" r:id="rId398" xr:uid="{14C20C7F-1811-46E0-A2B5-9F8A0BF7E32F}"/>
    <hyperlink ref="B643" r:id="rId399" xr:uid="{C5C78EBF-1D56-4F5D-A834-8990F1D4A9AE}"/>
    <hyperlink ref="B865" r:id="rId400" xr:uid="{13248719-AB81-44AF-A96D-AFDAFFDB0393}"/>
    <hyperlink ref="B755" r:id="rId401" xr:uid="{DF60403D-7F9A-485F-BC86-715BE0A7E6E9}"/>
    <hyperlink ref="B957" r:id="rId402" xr:uid="{0ADFD819-72FB-4B5D-9B0F-0ACF55550D7A}"/>
    <hyperlink ref="B958" r:id="rId403" xr:uid="{04F99F64-45C9-4D5A-AF5B-ED72C08BEE4A}"/>
    <hyperlink ref="B963" r:id="rId404" xr:uid="{5354D34A-1339-4AE3-90F1-779024C2FCAA}"/>
    <hyperlink ref="B964" r:id="rId405" xr:uid="{BD7639E7-362F-4D87-ADA8-31141842C981}"/>
    <hyperlink ref="B965" r:id="rId406" display="https://www.ssme.gov.py/vmme/index.php?option=com_content&amp;view=article&amp;id=2020:proyecto-qla-ruta-del-hidrogeno-h2-en-paraguay&amp;catid=96:sample-news&amp;Itemid=552" xr:uid="{BCDDFF07-6940-4A2F-9B10-53FB61A7ECD7}"/>
    <hyperlink ref="B271" r:id="rId407" xr:uid="{2DAFDEC0-32F5-4A3E-B5D3-E4E108546C11}"/>
    <hyperlink ref="B804" r:id="rId408" xr:uid="{793F4265-6918-4380-A2CF-B5CF674FA113}"/>
    <hyperlink ref="B949" r:id="rId409" xr:uid="{C5AE39AF-0DB7-4A50-8F7F-B948C2DE651C}"/>
    <hyperlink ref="B1018" r:id="rId410" xr:uid="{4C7A4709-21DE-4307-B99D-0F40D5531ABB}"/>
    <hyperlink ref="B887" r:id="rId411" xr:uid="{C9914C46-DCD7-4CFB-BE6B-95CF58D56D35}"/>
    <hyperlink ref="B984" display="https://blog.topsoe.com/danish-partnership-receives-support-from-the-danish-energy-technology-development-and-demonstration-program-eudp-for-worlds-first-industrial-dynamic-green-ammoni-1624599909696?utm_content=170812983&amp;utm_medium=social&amp;utm_source=twit" xr:uid="{8657A23A-89CB-4D1D-9A8B-D6A8B083C03B}"/>
    <hyperlink ref="B1053" r:id="rId412" location=":~:text=Fortescue%20Future%20Industries%20(FFI)%20has,project%20in%20Southland%2C%20New%20Zealand." display="https://www.pv-magazine-australia.com/press-releases/fortescue-future-industries-signs-collaboration-agreement-regarding-a-potential-large-scale-renewable-green-hydrogen-plant-in-new-zealand/#:~:text=Fortescue%20Future%20Industries%20(FFI)%20has,project%20in%20Southland%2C%20New%20Zealand." xr:uid="{5202E0C2-396F-4A5E-89E2-84BE7014329E}"/>
    <hyperlink ref="B1054" r:id="rId413" xr:uid="{AF292729-E350-4FDD-B0D5-7D1D8993221D}"/>
    <hyperlink ref="B1052" r:id="rId414" xr:uid="{62A4372A-2CE9-49B7-B115-BA36774E7351}"/>
    <hyperlink ref="B883" r:id="rId415" xr:uid="{CDA168A1-DBE4-4131-A69D-01F4397F2931}"/>
    <hyperlink ref="B1063" r:id="rId416" xr:uid="{97804797-2700-4834-8319-5DE16C926319}"/>
    <hyperlink ref="B1064" r:id="rId417" xr:uid="{86C1BA0D-4EBA-4D70-B5A7-82EB183273D7}"/>
    <hyperlink ref="B1061" r:id="rId418" xr:uid="{4295E905-5127-4A82-A82C-08D0741D2B7D}"/>
    <hyperlink ref="B1094" r:id="rId419" xr:uid="{54CBF359-0FCB-450C-8A62-0C583D5AB115}"/>
    <hyperlink ref="B1086" r:id="rId420" xr:uid="{F0A0F478-9435-4A22-B736-3BA42F328717}"/>
    <hyperlink ref="B1096" r:id="rId421" xr:uid="{9ADBFEB2-70E2-45C5-BC44-74EF3C6C293C}"/>
    <hyperlink ref="B1112" r:id="rId422" xr:uid="{950A1462-09A5-46CD-AED9-340DC80124D1}"/>
    <hyperlink ref="B903" r:id="rId423" xr:uid="{9E2BF369-2BA1-4028-9024-F66ED86DE97A}"/>
    <hyperlink ref="B855" r:id="rId424" xr:uid="{DCB690C8-178C-4B79-9E5F-13CD17EFC325}"/>
    <hyperlink ref="B1123" r:id="rId425" xr:uid="{2704CE20-4440-48ED-A185-E8C2BB68236A}"/>
    <hyperlink ref="B1147" r:id="rId426" xr:uid="{1A6E6166-C149-4E43-BD62-0E5A381D0D8D}"/>
    <hyperlink ref="B1152" r:id="rId427" xr:uid="{7D1A83EE-10A3-4F15-AD08-EC64B376D6F8}"/>
    <hyperlink ref="B1168" r:id="rId428" xr:uid="{540F2F63-498B-4F24-A98E-93C2DD7B5F4F}"/>
    <hyperlink ref="B1008" r:id="rId429" xr:uid="{7A4343F8-4CB6-40AB-8250-73D18964EDEA}"/>
    <hyperlink ref="B931" r:id="rId430" xr:uid="{EED1CABD-14C9-43E5-9CA6-E4FAACAE9FEF}"/>
    <hyperlink ref="B982" r:id="rId431" xr:uid="{4747AE28-7D2E-491C-8A29-6ACC9D4AAE96}"/>
    <hyperlink ref="B1003" r:id="rId432" xr:uid="{13A6D300-8F5A-42F5-BAA2-D3A4611F6F1A}"/>
    <hyperlink ref="B1122" r:id="rId433" xr:uid="{FE62AE1C-655A-40A3-BA67-F4758ADC43FF}"/>
    <hyperlink ref="B1093" r:id="rId434" xr:uid="{5C36F7A7-AAA5-477A-AB3F-14AFC7FF6319}"/>
    <hyperlink ref="B780" r:id="rId435" xr:uid="{E7A8DFEE-B1E6-4694-9AA2-86CD39473A14}"/>
    <hyperlink ref="B978" r:id="rId436" xr:uid="{0CAB7FD9-0729-4B52-BDDD-208E89BD70C7}"/>
    <hyperlink ref="B996" r:id="rId437" xr:uid="{90D37690-A3A5-4015-9EC3-C07E84067C54}"/>
    <hyperlink ref="B1128" r:id="rId438" xr:uid="{38C627A4-DEA3-4BA2-B747-CA7C83FA5584}"/>
    <hyperlink ref="B1002" r:id="rId439" xr:uid="{850E3CDC-2DEC-4541-8CF1-0CC98AB65FA7}"/>
    <hyperlink ref="B1070" r:id="rId440" xr:uid="{8189866D-D439-4373-836A-43E26413507E}"/>
    <hyperlink ref="B1119" r:id="rId441" display="https://www.ir.plugpower.com/Press-Releases/Press-Release-Details/2021/Plug-Power-Selected-by-Fertiglobes-Green-Hydrogen-Consortium-to-Deliver-100MW-Electrolyzer-for-Green-Ammonia/default.aspx?&amp;utm_source=organic-social-pr&amp;utm_medium=twitter&amp;utm_campaign=oci-egypt-release&amp;utm_term=APR" xr:uid="{DF5E3842-D386-4187-9D2E-2CBBCCBD46A0}"/>
    <hyperlink ref="B1125" r:id="rId442" xr:uid="{4F01D686-3426-4DC0-833C-4FEE9B14D180}"/>
    <hyperlink ref="B1106" r:id="rId443" xr:uid="{64960C56-99BF-40DB-8B77-F1FB9095EC33}"/>
    <hyperlink ref="B1142" r:id="rId444" xr:uid="{7F44FEB5-ADFF-473E-B058-6387E79C736B}"/>
    <hyperlink ref="B1118" r:id="rId445" xr:uid="{1C925DEA-BEA4-48C7-87FC-D3A1FA888CB8}"/>
    <hyperlink ref="B1129" r:id="rId446" xr:uid="{350FC9DD-8873-4812-B476-E15A981C0043}"/>
    <hyperlink ref="B1170" r:id="rId447" xr:uid="{CB538EB5-37B5-44C6-ABE9-FA2E487FA6BF}"/>
    <hyperlink ref="B1206" r:id="rId448" xr:uid="{230FB73F-F192-45B6-AB61-9A3761EF473D}"/>
    <hyperlink ref="B1258" r:id="rId449" xr:uid="{F34FE989-F9D0-487A-A3C4-A64B09518589}"/>
    <hyperlink ref="B1259" r:id="rId450" xr:uid="{6535EEB8-BE58-4D4D-955D-46C3044445E3}"/>
    <hyperlink ref="B1274" r:id="rId451" location=":~:text=LISBON%2C%20Feb%2022%20(Reuters),launch%20a%20green%20hydrogen%20plant" display="https://www.reuters.com/business/environment/portugals-top-cement-glass-makers-join-new-consortium-green-hydrogen-plant-2022-02-22/ - :~:text=LISBON%2C%20Feb%2022%20(Reuters),launch%20a%20green%20hydrogen%20plant" xr:uid="{8C3FC45E-E5CF-43B1-B5C7-6625FE94DB97}"/>
    <hyperlink ref="B1066" r:id="rId452" xr:uid="{2AB58713-5654-447A-98DE-EA4E96521B9B}"/>
    <hyperlink ref="B745" r:id="rId453" xr:uid="{2740CDC2-568F-4CFC-AF95-8D567744B6F6}"/>
    <hyperlink ref="B1205" r:id="rId454" xr:uid="{F97DE6A1-C902-4DBC-ACE7-1F63CBECBAFA}"/>
    <hyperlink ref="B994" r:id="rId455" xr:uid="{ED945F65-83B0-4407-BBE3-8A91D72EDAEF}"/>
    <hyperlink ref="B810" r:id="rId456" xr:uid="{174CAB9E-DE1C-4ADD-B3E4-46E9A33FBA53}"/>
    <hyperlink ref="B947" r:id="rId457" xr:uid="{C7C5FF5D-E4EB-4B03-93AA-1180078A1934}"/>
    <hyperlink ref="B891" r:id="rId458" xr:uid="{97E2CB2C-DF98-4FC6-84C9-5D361E1F04E7}"/>
    <hyperlink ref="B946" r:id="rId459" xr:uid="{BE02BD60-001E-4342-A8B9-BBE3E517F374}"/>
    <hyperlink ref="B1141" r:id="rId460" xr:uid="{BAB75F5F-02F3-4E57-B28E-D45123CECFD5}"/>
    <hyperlink ref="B1300" r:id="rId461" xr:uid="{46C75C7A-7F6B-4129-93D1-CE82A04525D9}"/>
    <hyperlink ref="B1303" r:id="rId462" xr:uid="{AF851107-EBC3-45C9-BD48-592B12BDD112}"/>
    <hyperlink ref="B974" r:id="rId463" xr:uid="{403EE9A1-C6E4-4B27-916B-69CE82AA3F9E}"/>
    <hyperlink ref="B924" r:id="rId464" xr:uid="{45B466BF-0090-4272-B090-533D5E82B4DC}"/>
    <hyperlink ref="B1304" r:id="rId465" xr:uid="{E201A941-B543-43B9-9281-DC8E132C46A6}"/>
    <hyperlink ref="B717" r:id="rId466" xr:uid="{F7537BBE-4C81-4BA2-A4F2-8BEA3824236C}"/>
    <hyperlink ref="B1305" r:id="rId467" xr:uid="{90DBCA6D-A956-49F9-B5EB-2E5A28AEE4EE}"/>
    <hyperlink ref="B715" r:id="rId468" xr:uid="{E2DC3F61-6E07-4642-95BD-1D02DC2E931C}"/>
    <hyperlink ref="B716" r:id="rId469" xr:uid="{645F89F9-1234-4BC3-8175-51EA1423C57B}"/>
    <hyperlink ref="B1306" r:id="rId470" xr:uid="{2D206AE5-AD84-4275-B34C-7E0E30412297}"/>
    <hyperlink ref="B1307" r:id="rId471" xr:uid="{1E38FB8F-BFFB-4B31-A877-82491A8B27DD}"/>
    <hyperlink ref="B1308" r:id="rId472" xr:uid="{3A6BA58D-5E37-4867-9EE2-B0400CA56040}"/>
    <hyperlink ref="B1309" r:id="rId473" xr:uid="{80F7A5D6-F615-44C0-8D06-E9BE68661C28}"/>
    <hyperlink ref="B1310" r:id="rId474" xr:uid="{A1DC73A7-FEE4-436B-9D98-820EAA9F583F}"/>
    <hyperlink ref="B1311" r:id="rId475" xr:uid="{48666F43-5AEC-42B0-8FBD-CE8F3C27BEED}"/>
    <hyperlink ref="B600" r:id="rId476" xr:uid="{F57EB5A4-8A24-441A-B389-7D3DA3B6FB78}"/>
    <hyperlink ref="B1312" r:id="rId477" xr:uid="{B5E8222F-F1C0-43C6-A529-A65FB8717FF8}"/>
    <hyperlink ref="B1166" r:id="rId478" xr:uid="{B7152706-148F-496B-80F0-EDFFDFA7F50A}"/>
    <hyperlink ref="B1313" r:id="rId479" xr:uid="{F94A7EB3-6CAF-43F1-9EBD-478991F98BA0}"/>
    <hyperlink ref="B1314" r:id="rId480" xr:uid="{F97AEFC3-7FCA-485E-AD28-88865BDC57BB}"/>
    <hyperlink ref="B1315" r:id="rId481" xr:uid="{43B2B1E6-BFA0-458D-B42D-6211A5C04119}"/>
    <hyperlink ref="B1316" r:id="rId482" xr:uid="{59C5B579-0EF7-4CE5-957A-1A3378386E63}"/>
    <hyperlink ref="B1317" r:id="rId483" xr:uid="{8AE3905F-6E05-4E66-B567-B6BC3514A03E}"/>
    <hyperlink ref="B1318" r:id="rId484" xr:uid="{7CBB0876-1D8C-4285-A5BE-4A5D27F93D8D}"/>
    <hyperlink ref="B1319" r:id="rId485" xr:uid="{05B3AFD3-D2D7-469B-9726-D824E2D58001}"/>
    <hyperlink ref="B1320" r:id="rId486" xr:uid="{FE56DAC2-1D5E-4D2A-AE8C-040CF6BD28CA}"/>
    <hyperlink ref="B1321" r:id="rId487" xr:uid="{940E7B74-73F8-4AC6-88A4-3DB885A83BFB}"/>
    <hyperlink ref="B1322" r:id="rId488" xr:uid="{DA404B7E-6A8B-4DC2-A4CF-EEFABAC50632}"/>
    <hyperlink ref="B1323" r:id="rId489" xr:uid="{1EE827C5-9BE0-4667-BDBD-64C3C635F7E8}"/>
    <hyperlink ref="B900" r:id="rId490" xr:uid="{DF3E0078-B8E1-44DF-82B8-EFFCB5009C47}"/>
    <hyperlink ref="B904" r:id="rId491" xr:uid="{6F07ED5C-42ED-4639-8916-03B4210AE8BD}"/>
    <hyperlink ref="B1176" r:id="rId492" xr:uid="{5169A3A7-D9F4-4B8B-AD5D-EB6F45335762}"/>
    <hyperlink ref="B960" r:id="rId493" xr:uid="{38958A66-F51F-40C1-8E4E-7BAF992ECF77}"/>
    <hyperlink ref="B1324" r:id="rId494" xr:uid="{06D14BE5-CEBE-46B8-97FB-3497C887B66B}"/>
    <hyperlink ref="B773" r:id="rId495" xr:uid="{90E811BC-49D0-47BD-A1B4-D31C4F0C05B8}"/>
    <hyperlink ref="B1325" r:id="rId496" xr:uid="{BFA2E678-0356-48C6-802D-99298FD64E0A}"/>
    <hyperlink ref="B1326" r:id="rId497" xr:uid="{33DF588B-9BE9-49A2-9E73-4ED0704DAE5E}"/>
    <hyperlink ref="B1327" r:id="rId498" xr:uid="{B8A30448-26D7-4FC3-BD5F-C974D2B5A2AB}"/>
    <hyperlink ref="B645" r:id="rId499" xr:uid="{EDEA8AFF-96B7-47E9-84B6-0413F269A51A}"/>
    <hyperlink ref="B1328" r:id="rId500" xr:uid="{5939FECF-D065-4E42-B0AA-D1657028E7EA}"/>
    <hyperlink ref="B1329" r:id="rId501" xr:uid="{DFBA9665-EDBE-401E-B2A3-86FF3596F026}"/>
    <hyperlink ref="B833" r:id="rId502" xr:uid="{082E3853-FE2E-49D4-8B08-0466A7457D88}"/>
    <hyperlink ref="B749" r:id="rId503" xr:uid="{ED461E58-1E58-474D-BBAF-981D9E244411}"/>
    <hyperlink ref="B1330" r:id="rId504" xr:uid="{A512F6B8-1830-4B47-A032-5557F3FDA07C}"/>
    <hyperlink ref="B1331" r:id="rId505" xr:uid="{1A9DB22D-53AF-4F10-A4A9-189E7401421D}"/>
    <hyperlink ref="B861" r:id="rId506" xr:uid="{F7636BC8-FA7B-4B8D-8EBB-F25FCD27F72E}"/>
    <hyperlink ref="B763" r:id="rId507" xr:uid="{13D651AF-9361-4BA0-B516-3276E4FF920B}"/>
    <hyperlink ref="B795" r:id="rId508" xr:uid="{921D1DE1-7569-48F6-97A9-04F46B14CA73}"/>
    <hyperlink ref="B1332" r:id="rId509" xr:uid="{DB0B82FC-29DF-48F3-A5F1-F2F3D8E24B66}"/>
    <hyperlink ref="B844" r:id="rId510" xr:uid="{884F7EB1-82E9-4824-9614-F059FDD71E93}"/>
    <hyperlink ref="B1333" r:id="rId511" location="about" xr:uid="{34FD5293-BF2B-43A7-8A46-11AC66E1E3AF}"/>
    <hyperlink ref="B880" r:id="rId512" xr:uid="{3E560440-8A05-44A7-9857-8BE916BCC485}"/>
    <hyperlink ref="B1334" r:id="rId513" xr:uid="{F7D6B74C-FA8A-4349-9625-875ED53E2F15}"/>
    <hyperlink ref="B1022" r:id="rId514" xr:uid="{2D810D0D-2505-49C2-920D-ED536A13D395}"/>
    <hyperlink ref="B1023" r:id="rId515" xr:uid="{AEE87317-31AD-4B36-9C18-A339C9902A0F}"/>
    <hyperlink ref="B1335" r:id="rId516" xr:uid="{48947B58-B10A-4AF7-8E24-1B504DE4AA9D}"/>
    <hyperlink ref="B1214" r:id="rId517" xr:uid="{3CCCB00C-EFBC-4FEB-85D1-41BC25A1B1BB}"/>
    <hyperlink ref="B1172" r:id="rId518" xr:uid="{A1D789CC-8F6F-4876-9902-74A3EF8C42B9}"/>
    <hyperlink ref="B1171" r:id="rId519" xr:uid="{5008F275-D8AE-4AA7-A615-C1D35A0B2FC6}"/>
    <hyperlink ref="B1095" r:id="rId520" xr:uid="{4219F1EB-1AAC-44AA-A251-0CEE75900143}"/>
    <hyperlink ref="B1336" r:id="rId521" xr:uid="{33396B82-2E9F-41F1-BD79-F150B4E7FA54}"/>
    <hyperlink ref="B1337" r:id="rId522" xr:uid="{8B046DE9-FE73-4571-88D0-45F573A5E854}"/>
    <hyperlink ref="B1338" r:id="rId523" xr:uid="{BF3E6216-CC2D-4675-A880-2A020305C220}"/>
    <hyperlink ref="B1339" r:id="rId524" xr:uid="{A66B49A4-013A-4D1D-80CD-9629F4382868}"/>
    <hyperlink ref="B1340" r:id="rId525" xr:uid="{A7FD97FD-3D65-4A9C-A40E-92AEB50F2DB2}"/>
    <hyperlink ref="B1341" r:id="rId526" location=":~:text=Project%20description,tender%20application%20in%20June%202020." xr:uid="{15C4D057-5566-49AA-BBBC-3DBFC042C8A5}"/>
    <hyperlink ref="B1035" r:id="rId527" xr:uid="{EF91FB4E-44C3-4FDA-B9E1-E234938F4615}"/>
    <hyperlink ref="B1342" r:id="rId528"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xr:uid="{D857E784-5D54-4A1D-B8FC-A6D372D31286}"/>
    <hyperlink ref="B1343" r:id="rId529" xr:uid="{8EFA5FFE-51E3-4CA5-ACAB-7256FC3BCCC9}"/>
    <hyperlink ref="B1344" r:id="rId530" xr:uid="{BC6FCA06-DB20-4A90-9CBD-8275F177633B}"/>
    <hyperlink ref="B1345" r:id="rId531" xr:uid="{941AC422-3A22-44F1-9326-3EA7CB56CB35}"/>
    <hyperlink ref="B1348" r:id="rId532" xr:uid="{54120663-DD14-4DFE-B191-7B911C344DE2}"/>
    <hyperlink ref="B1356" r:id="rId533" xr:uid="{D575976B-E1AA-4DE0-957E-CFF8294D0DE3}"/>
    <hyperlink ref="B1357" r:id="rId534" xr:uid="{E6E98A0E-D646-4CD4-87C9-032830897954}"/>
    <hyperlink ref="B1360" r:id="rId535" xr:uid="{D610403C-75C7-476D-A1AD-95E2DA02EB13}"/>
    <hyperlink ref="B1362" r:id="rId536" xr:uid="{B38B71B8-4FBC-4B3D-A42C-6984BE694B7B}"/>
    <hyperlink ref="B1364" r:id="rId537" xr:uid="{7D263008-D3EC-495E-95EF-5C2CA0260423}"/>
    <hyperlink ref="B841" r:id="rId538" xr:uid="{5049A4F0-EFEB-4915-9B7E-A5DDEA3949B5}"/>
    <hyperlink ref="B1371" r:id="rId539" xr:uid="{BA9A63F7-15AA-449B-B12A-2A1BB29A7140}"/>
    <hyperlink ref="B1372" r:id="rId540" xr:uid="{64CEBCA8-D33C-4863-B93A-3E7634D94E0B}"/>
    <hyperlink ref="B1373" r:id="rId541"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xr:uid="{5ABAAC6A-84BC-4AFE-A99A-C297811FA7C9}"/>
    <hyperlink ref="B1374" r:id="rId542" xr:uid="{8274DD7E-99B2-4C41-A914-2D4AE7705D6A}"/>
    <hyperlink ref="B1375" r:id="rId543" xr:uid="{DE277E51-743D-4E2C-B10D-BE91D5F31F85}"/>
    <hyperlink ref="B1288" r:id="rId544" xr:uid="{34A136D3-63EF-447F-AE3D-146DC29F37F7}"/>
    <hyperlink ref="B1280" r:id="rId545" xr:uid="{5DCCC632-E917-4641-A293-DDDD92BA4C79}"/>
    <hyperlink ref="B1376" r:id="rId546" xr:uid="{BD8D4165-B5D5-4F56-8DB7-1B7A99E1EED9}"/>
    <hyperlink ref="B1378" r:id="rId547" xr:uid="{CF3A2591-D444-4AF8-8394-E827D051BBFA}"/>
    <hyperlink ref="B1379" r:id="rId548" xr:uid="{2ED700B1-C6D9-4A1C-AAA7-24D17D18A592}"/>
    <hyperlink ref="B1384" r:id="rId549" xr:uid="{CDFD023D-B3AC-41B0-9549-FC91D267DC27}"/>
    <hyperlink ref="B1386" r:id="rId550" xr:uid="{F92BCD3E-072B-4755-B7BE-A2D8BD8259A2}"/>
    <hyperlink ref="B1387" r:id="rId551" xr:uid="{08AC1455-3EA0-41D0-B061-C64DE977D53A}"/>
    <hyperlink ref="B1388" r:id="rId552" xr:uid="{00427291-5157-4992-B23F-FE6CF5A5E5B5}"/>
    <hyperlink ref="B1389" r:id="rId553" xr:uid="{FB43E268-8D19-4FE2-ACDF-53CA6053411B}"/>
    <hyperlink ref="B1390" r:id="rId554" display="https://renewablesnow.com/news/amea-power-inks-mou-for-large-scale-green-ammonia-production-in-egypt-781715/" xr:uid="{CAB003AC-28B7-4871-A287-64C58351797D}"/>
    <hyperlink ref="B1391" r:id="rId555" xr:uid="{3B9C558B-7187-43F6-9CA7-12B3D1A0A8F9}"/>
    <hyperlink ref="B1392" r:id="rId556" xr:uid="{7B3FD88B-D0A3-4C18-9150-FE9CF2DB9DE3}"/>
    <hyperlink ref="B1395" r:id="rId557" xr:uid="{0335B606-E89D-49FD-952B-DBAB15EBB5A4}"/>
    <hyperlink ref="B1396" r:id="rId558" xr:uid="{3C411503-9910-4682-AEB2-9696BFFA8BD1}"/>
    <hyperlink ref="B1397" r:id="rId559" xr:uid="{2102527F-C0B2-4F22-8AC2-8AD92687E078}"/>
    <hyperlink ref="B1398" r:id="rId560" xr:uid="{F2A8392F-8AF5-4590-985F-6A1C5292A585}"/>
    <hyperlink ref="B1121" r:id="rId561" xr:uid="{DEDC3964-4B8D-4F3C-83A1-1CB83BFF0DD5}"/>
    <hyperlink ref="B1401" r:id="rId562" xr:uid="{EDB638FB-85A3-4A03-A0CF-1725809374EB}"/>
    <hyperlink ref="B1404" r:id="rId563" xr:uid="{189A6A23-36FF-4B19-8281-464EF870706C}"/>
    <hyperlink ref="B1403" r:id="rId564" xr:uid="{798E9D47-8855-4E0B-A09E-0E9DE36B71B6}"/>
    <hyperlink ref="B1405" r:id="rId565" xr:uid="{08186A32-99CB-4AA1-8F73-6269FFEB066B}"/>
    <hyperlink ref="B1406" r:id="rId566" xr:uid="{222D2EA2-5622-4B3C-99A1-4F3E38E13471}"/>
    <hyperlink ref="B1407" r:id="rId567" xr:uid="{9517639D-129C-4A62-8630-41196A96C5D7}"/>
    <hyperlink ref="B1408" r:id="rId568" xr:uid="{C23B8BCC-58A3-498A-8293-95A44097AFDE}"/>
    <hyperlink ref="B1409" r:id="rId569" xr:uid="{161235A4-AEBC-444F-A598-B1B5A97A41DD}"/>
    <hyperlink ref="B1410" r:id="rId570" xr:uid="{536F93D6-C669-4310-9711-A4DEC190368E}"/>
    <hyperlink ref="B1411" r:id="rId571" xr:uid="{1A88DDD4-C23E-403C-A349-8640DA085764}"/>
    <hyperlink ref="B1412" r:id="rId572" xr:uid="{7C916502-6B03-460A-A3C0-89B08E49E5A2}"/>
    <hyperlink ref="B1413" r:id="rId573" xr:uid="{2240D3EF-DACF-43A6-8895-95A627E74821}"/>
    <hyperlink ref="B1414" r:id="rId574" xr:uid="{7063C83B-495E-4243-9EFE-D5D1B34EC62A}"/>
    <hyperlink ref="B1415" r:id="rId575" xr:uid="{0558BFDC-C11A-4616-9B5D-579925DEC474}"/>
    <hyperlink ref="B1416" r:id="rId576" xr:uid="{C932535D-111A-4435-8ED4-7824272B1FAC}"/>
    <hyperlink ref="B1417" r:id="rId577" xr:uid="{BA07F836-0989-46E3-89AE-0B0D10CB637E}"/>
    <hyperlink ref="B1418" r:id="rId578" xr:uid="{95D331A5-1B12-4EB1-9FD6-FDAE106BD9B2}"/>
    <hyperlink ref="B1419" r:id="rId579" location=":~:text=Paris%2C%20January%2013%2C%202021%20%E2%80%93,C%C3%B4te%20d%27Azur%20South%20region." xr:uid="{05910E96-02B9-40DA-984B-EB6C896F6541}"/>
    <hyperlink ref="B1420" r:id="rId580" xr:uid="{F498B70E-DDD7-4F7D-B456-686B3B15D415}"/>
    <hyperlink ref="B1421" r:id="rId581" xr:uid="{38B1F048-914B-45D7-92AD-1FDFC71E4079}"/>
    <hyperlink ref="B1422" r:id="rId582" xr:uid="{A2D6ACB8-791C-447C-BAB9-97DB309B76FB}"/>
    <hyperlink ref="B1423" r:id="rId583" xr:uid="{29639059-6C77-4280-8A35-EC3650C6EA2B}"/>
    <hyperlink ref="B1424" r:id="rId584" xr:uid="{B4EE4579-A8E3-47A6-9E00-EFDB0479C9B4}"/>
    <hyperlink ref="B1425" r:id="rId585" xr:uid="{A6E7BAF0-2062-49EB-87D9-52D6503EB82B}"/>
    <hyperlink ref="B1426" r:id="rId586" xr:uid="{4AD78099-5DD4-4FD0-85BF-E12BF375A7E5}"/>
    <hyperlink ref="B771" r:id="rId587" xr:uid="{9DD01BBE-57E8-4BF8-A6DE-6D89415F16FB}"/>
    <hyperlink ref="B835" r:id="rId588" xr:uid="{42700EF6-6836-4F16-B508-762E6D04F3DA}"/>
    <hyperlink ref="B836" r:id="rId589" xr:uid="{07262332-094B-4BA1-BD2A-798FF91C6219}"/>
    <hyperlink ref="B1276" r:id="rId590" xr:uid="{36885E19-349E-4120-BE49-8AA37482B20E}"/>
    <hyperlink ref="B796" r:id="rId591" xr:uid="{A230385D-E9C5-4703-BCA1-68CE438799D3}"/>
    <hyperlink ref="B1090" r:id="rId592" xr:uid="{37CBE153-C451-42BE-98F7-4409B4132460}"/>
    <hyperlink ref="B1040" r:id="rId593" xr:uid="{B6A707E4-70B4-42E0-8C16-8D0672FAFEF4}"/>
    <hyperlink ref="B1076" r:id="rId594" xr:uid="{E419B648-2D3E-43A1-86ED-D95F4D298B60}"/>
    <hyperlink ref="B662" r:id="rId595" xr:uid="{9B19CC20-50F9-4A54-B5AB-44A15D6BA980}"/>
    <hyperlink ref="B1186" r:id="rId596" xr:uid="{D39DB942-289E-4243-9799-FBF44ECECE87}"/>
    <hyperlink ref="B1428" r:id="rId597" xr:uid="{A843E4A6-2357-4207-9F80-5198A804D437}"/>
    <hyperlink ref="B1296" r:id="rId598" xr:uid="{870CABA8-19B5-4358-BAC1-AC5EA8319B59}"/>
    <hyperlink ref="B1429" r:id="rId599" xr:uid="{CC6073D4-1467-41BD-82AA-81E6F417D71B}"/>
    <hyperlink ref="B930" r:id="rId600" xr:uid="{96F4BA68-C2E7-411C-8F25-71FE24C04A5C}"/>
    <hyperlink ref="B915" r:id="rId601" xr:uid="{988CC1B0-E1B2-4210-B4CA-6BC47498A377}"/>
    <hyperlink ref="B1298" r:id="rId602" xr:uid="{98475F54-D4B9-46F8-BD61-1DC467DE606D}"/>
    <hyperlink ref="B1219" r:id="rId603" xr:uid="{5456EE59-2B6A-4B79-A51A-77945EAE786C}"/>
    <hyperlink ref="B736" r:id="rId604" xr:uid="{CF87A0FC-9C07-4F34-902C-8318C440AC74}"/>
    <hyperlink ref="B1273" display="https://mp.weixin.qq.com/s?__biz=MzA5NzMwODcyMA%3D%3D&amp;chksm=88af2b44bfd8a252ea2b5c809564e7bf9d7c6d83277987e6a65b844961ea1acc7e888d1039c7&amp;idx=2&amp;mid=2650362395&amp;sn=90e7f1668bc1b59024bdd7d327e689ee&amp;utm_campaign=China%20Clean%20Energy%20Syndicate%20&amp;utm_medium" xr:uid="{B33370CF-A260-49D7-90B0-20B24C6A92DE}"/>
    <hyperlink ref="B1432" r:id="rId605" xr:uid="{3DFD0EE7-8FFF-40BC-A738-2D6B7442D300}"/>
    <hyperlink ref="B1433" r:id="rId606" xr:uid="{CE5C6A88-1669-4DAA-A54C-A52DFF4BE10A}"/>
    <hyperlink ref="B679" r:id="rId607" location="section-2" xr:uid="{2A678013-34D0-4F51-9DDF-6591900C4023}"/>
    <hyperlink ref="B1013" r:id="rId608" xr:uid="{5FC44494-9D06-4F8E-AFA0-2DC0EAFC398A}"/>
    <hyperlink ref="B1135" r:id="rId609" xr:uid="{F8927A84-D117-47F3-921C-3B00B959AA39}"/>
    <hyperlink ref="B1434" r:id="rId610" xr:uid="{12D93B54-9A9A-48AC-B20D-F81C03C9E460}"/>
    <hyperlink ref="B1436" r:id="rId611" tooltip="https://www.ammoniaenergy.org/articles/maire-tecnimont-plans-million-tonne-per-year-blue-ammonia-plant-in-the-us/" xr:uid="{2B91D04E-60DC-4CF2-8FF3-BE1F030E8AB9}"/>
    <hyperlink ref="B702" r:id="rId612" xr:uid="{511BE098-B6A9-451C-AD3A-48167FF8C7AD}"/>
    <hyperlink ref="B1134" r:id="rId613" xr:uid="{083F71D1-57FC-4A47-9036-FEFF84F4A17A}"/>
    <hyperlink ref="B612" r:id="rId614" xr:uid="{0CD02FFC-6F23-4E6D-8DB7-30DBBF291791}"/>
    <hyperlink ref="B950" r:id="rId615" xr:uid="{C0D4642C-5129-450C-9C2D-5B7D78AFF88E}"/>
    <hyperlink ref="B951" r:id="rId616" xr:uid="{41704C4B-89F2-4125-85AE-F0EEF1B5BA7F}"/>
    <hyperlink ref="B1451" r:id="rId617" xr:uid="{D3A55BFD-E607-486F-AE21-0A18A4864105}"/>
    <hyperlink ref="B1439" r:id="rId618" xr:uid="{A5DC26CC-CF91-4F29-89ED-BD673A3445E9}"/>
    <hyperlink ref="B1365" r:id="rId619" xr:uid="{ED0A495F-5735-40E4-BA06-EC67D31AEF61}"/>
    <hyperlink ref="B1261" r:id="rId620" xr:uid="{F7296B3F-38B5-4B82-8323-24419C43005C}"/>
    <hyperlink ref="B650" r:id="rId621" xr:uid="{2F565D4B-FE6D-4DE0-BCC3-39C49595E776}"/>
    <hyperlink ref="B687" r:id="rId622" xr:uid="{8C2AFE35-E088-4A00-9A96-27EA5CD6B34F}"/>
    <hyperlink ref="B688" r:id="rId623" xr:uid="{B10698C3-76B8-4599-9B3B-BCD01CDCF486}"/>
    <hyperlink ref="B689" r:id="rId624" xr:uid="{53CE9154-E91F-4F3C-9C63-640FAC6D212A}"/>
    <hyperlink ref="B1474" r:id="rId625" xr:uid="{CD8DAA27-4759-42D1-9ECF-E590BE7B95E0}"/>
    <hyperlink ref="B1475" r:id="rId626" xr:uid="{29B2D972-3D34-4A78-A7AC-2C1AF304464E}"/>
    <hyperlink ref="B1447" r:id="rId627" location="press-release" xr:uid="{86D80F5B-23C2-409A-89FE-651363EBACAB}"/>
    <hyperlink ref="B1496" r:id="rId628" xr:uid="{A3AA4ED6-A769-4B84-AB03-2DE921CEBDA1}"/>
    <hyperlink ref="B1519" r:id="rId629" xr:uid="{66053E6A-8258-4E23-94A1-003887647FF0}"/>
    <hyperlink ref="B1511" r:id="rId630" location="vision" xr:uid="{5817664A-0BA6-4498-849B-4CE9299F401C}"/>
    <hyperlink ref="B1536" r:id="rId631" xr:uid="{7CA702C1-5186-45F6-95D9-3D42C249056E}"/>
    <hyperlink ref="B908" r:id="rId632" xr:uid="{AFD8A7E4-80B8-4E2C-921E-29A12BCC57B1}"/>
    <hyperlink ref="B907" r:id="rId633" xr:uid="{38561BE1-52F5-4A02-95B8-C9BB09F739C5}"/>
    <hyperlink ref="B1538" r:id="rId634" xr:uid="{9034F788-D8F2-452C-8736-0AA61B85F5F6}"/>
    <hyperlink ref="B1539" r:id="rId635" xr:uid="{F0FC8520-10FA-4266-8B95-34B5B24069CF}"/>
    <hyperlink ref="B1540" r:id="rId636" xr:uid="{49D8799C-6152-45DB-970E-3ACA992291D0}"/>
    <hyperlink ref="B1490" r:id="rId637" xr:uid="{B198471B-FBDE-4E81-AF78-CCA51908CC33}"/>
    <hyperlink ref="B905" r:id="rId638" xr:uid="{DFD22C9C-4158-4780-BE28-FA01E7923753}"/>
    <hyperlink ref="B722" r:id="rId639" xr:uid="{CE3485AC-2847-4E12-83AC-4C1739019067}"/>
    <hyperlink ref="B929" r:id="rId640" xr:uid="{DAEB46F6-4F43-4D51-A24A-F5BB1FF426C9}"/>
    <hyperlink ref="B1541" r:id="rId641" xr:uid="{125BB117-BBAF-42F0-88F2-82CCFD373633}"/>
    <hyperlink ref="B1542" r:id="rId642" xr:uid="{F4539E22-284E-4622-B0DB-7432F830D12D}"/>
    <hyperlink ref="B1543" r:id="rId643" xr:uid="{6C3BEC83-D2C6-4218-9B94-96675C3DFD8C}"/>
    <hyperlink ref="B1544" r:id="rId644" xr:uid="{9FCEA630-3262-4633-9964-A391AA3A0439}"/>
    <hyperlink ref="B1545" r:id="rId645" xr:uid="{F5251AF5-38B3-4741-B088-D51BA5BF315D}"/>
    <hyperlink ref="B1546" r:id="rId646" xr:uid="{E5DE196B-8984-4966-9316-56908D678821}"/>
    <hyperlink ref="B1547" r:id="rId647" xr:uid="{C0361024-0147-4DCF-B69A-AC9715CAEC02}"/>
    <hyperlink ref="B1548" r:id="rId648" xr:uid="{23B222DC-13E8-4280-A36F-CE6B4AF42E0C}"/>
    <hyperlink ref="B1549" r:id="rId649" xr:uid="{C96EA641-1F16-4083-BC52-1243787F00F3}"/>
    <hyperlink ref="B1531" r:id="rId650" xr:uid="{D0C0A37F-8709-414F-9EC7-063A35A40C07}"/>
    <hyperlink ref="B1161" r:id="rId651" xr:uid="{3CCDEC29-FAE6-42A0-87BA-AC83EAB89F6A}"/>
    <hyperlink ref="B1558" r:id="rId652" xr:uid="{FB0EFB3A-BF62-496B-8A1D-097E17DC1B3C}"/>
    <hyperlink ref="B1559" r:id="rId653" xr:uid="{203CDA4C-6C79-497B-A2AF-8DDEB70A5990}"/>
    <hyperlink ref="B1564" r:id="rId654" xr:uid="{335C2470-88F2-4960-893D-83521A9EA47A}"/>
    <hyperlink ref="B1565" r:id="rId655" xr:uid="{ACE76E96-896F-46DC-A724-EA6E887F8D87}"/>
    <hyperlink ref="B1568" r:id="rId656" xr:uid="{BC585A0D-33F7-433B-B811-68CEA5021289}"/>
    <hyperlink ref="B1569" r:id="rId657" xr:uid="{6FC65CA8-1554-467F-B602-31CA10809845}"/>
    <hyperlink ref="B1232" r:id="rId658" xr:uid="{DCF32A6A-578F-4FE7-92E6-6E3BEAC2C110}"/>
    <hyperlink ref="B1233" r:id="rId659" display="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xr:uid="{1950BEF6-AEC3-40A6-B0BD-B4918C3581D2}"/>
    <hyperlink ref="B1279" r:id="rId660" xr:uid="{CDD2716F-D181-4735-AE69-158C71D51BF4}"/>
    <hyperlink ref="B1498" r:id="rId661" xr:uid="{992C5D29-C998-4B8B-9E43-2BF2938174FA}"/>
    <hyperlink ref="B1597" r:id="rId662" xr:uid="{48B85CB0-564A-4907-A986-BCE3F5DDB1B8}"/>
    <hyperlink ref="B1370" r:id="rId663" xr:uid="{4DB87653-B08B-4F0F-99E7-E1C1B0DCA44B}"/>
    <hyperlink ref="B1599" r:id="rId664" xr:uid="{01628AB6-4A3B-4BD6-A55E-4FF23034E0CF}"/>
    <hyperlink ref="B1600" r:id="rId665" xr:uid="{31088A3D-AC2B-479F-AA7C-C13E94EF483E}"/>
    <hyperlink ref="B1553" r:id="rId666" xr:uid="{7F7D05B0-3FC7-4F87-8220-AC7CB0D10B64}"/>
    <hyperlink ref="B1524" r:id="rId667" xr:uid="{6645C947-EC0F-4726-A1FA-CDC5F5931E9C}"/>
    <hyperlink ref="B1154" r:id="rId668" xr:uid="{014E3263-9487-4FCB-B848-4C1AF9AE4B2C}"/>
    <hyperlink ref="B1234" r:id="rId669" xr:uid="{CE2F3F07-B63E-44E2-B1F7-3F6A9953C79D}"/>
    <hyperlink ref="B1251" r:id="rId670" xr:uid="{EE23A174-8731-4FB7-8F4F-A7E886C5219F}"/>
    <hyperlink ref="B1438" r:id="rId671" xr:uid="{13A2176B-6AFE-4C38-BEF2-0E4B912B52B0}"/>
    <hyperlink ref="B1444" r:id="rId672" xr:uid="{4E5D354B-95D1-4EC9-8613-47CE7B760F33}"/>
    <hyperlink ref="B1572" r:id="rId673" xr:uid="{E12D9D3E-9A55-4204-9FBA-2955015FBEB7}"/>
    <hyperlink ref="B1571" r:id="rId674" xr:uid="{43D9055E-FF12-4E2E-8CC9-36A61E97E826}"/>
    <hyperlink ref="B783" r:id="rId675" xr:uid="{A259AB7C-2512-41C9-A1E8-6FA5427B69DE}"/>
    <hyperlink ref="B1605" r:id="rId676" xr:uid="{B395777A-EBD5-4C0A-8051-F82FE88DED3A}"/>
    <hyperlink ref="B1606" r:id="rId677" xr:uid="{D4D21ECE-FABD-4599-9458-FA1FCCA60397}"/>
    <hyperlink ref="B1607" r:id="rId678" xr:uid="{5D51A206-E3F3-4B4C-9286-0B519008FC91}"/>
    <hyperlink ref="B1609" r:id="rId679" xr:uid="{95C371B5-DB1A-4352-B015-25191A9243B8}"/>
    <hyperlink ref="B1610" r:id="rId680" xr:uid="{341A1BA0-8CFF-4AD0-8155-02DEF4A6FCCD}"/>
    <hyperlink ref="B1611" r:id="rId681" xr:uid="{F43FA263-0BDA-4671-9957-21024E987566}"/>
    <hyperlink ref="B1612" r:id="rId682" xr:uid="{3A1CB078-9F2B-4AE8-8495-58EDDF2DBC5C}"/>
    <hyperlink ref="B1613" r:id="rId683" xr:uid="{38B9DA3B-C12E-4522-A44B-A333E2387E62}"/>
    <hyperlink ref="B1614" r:id="rId684" xr:uid="{29DA4D8F-B791-4DCB-8444-D44D759C7BD2}"/>
    <hyperlink ref="B1615" r:id="rId685" xr:uid="{D1E5FB72-B5FA-47F0-ABBC-24229EFBE8CB}"/>
    <hyperlink ref="B1616" r:id="rId686" xr:uid="{78233A06-BCD8-4194-BE5B-7EDF02A5A566}"/>
    <hyperlink ref="B1617" r:id="rId687" xr:uid="{BEA46774-A788-4C33-A104-A08DED679ACA}"/>
    <hyperlink ref="B1586" r:id="rId688" xr:uid="{593A269A-093C-446F-8F79-2CEE8652ACC0}"/>
    <hyperlink ref="B1618" r:id="rId689" location=":~:text=The%20GET%20H2%20Nukleus%20project,discriminatory%20access%20and%20transparent%20prices." xr:uid="{2DB0C178-D5B3-4218-AB9A-561AFE18E2C3}"/>
    <hyperlink ref="B1065" r:id="rId690" xr:uid="{67819493-5E7C-495B-929E-EAB72CD96762}"/>
    <hyperlink ref="B1619" r:id="rId691" xr:uid="{921D166C-5B04-49D2-8A3C-41E4516143EB}"/>
    <hyperlink ref="B1621" r:id="rId692" xr:uid="{F59F56EB-BF12-4B8D-91C8-C0CE9864FCC2}"/>
    <hyperlink ref="B1622" r:id="rId693" xr:uid="{1E915CF7-0EA6-46DD-BD51-979E5BE40211}"/>
    <hyperlink ref="B1623" r:id="rId694" xr:uid="{608B76E1-0851-4A4D-9B20-0C1547C088AC}"/>
    <hyperlink ref="B1624" r:id="rId695" xr:uid="{816EDB0C-4A9C-4984-BE0F-7E83E082F7D5}"/>
    <hyperlink ref="B1625" r:id="rId696" xr:uid="{AF8965B0-635A-4F22-9831-E4A6DEF52CCF}"/>
    <hyperlink ref="B848" r:id="rId697" xr:uid="{789EA42C-D972-4856-8EF0-CECC81CE2F4E}"/>
    <hyperlink ref="B1627" r:id="rId698" xr:uid="{9BA122B6-157C-451B-9BC5-2E42153BD238}"/>
    <hyperlink ref="B1628" r:id="rId699" xr:uid="{C9A4413A-8677-4DBA-A781-EE1B3E6964CA}"/>
    <hyperlink ref="B1394" r:id="rId700" xr:uid="{49A71B86-C7A7-4290-AF30-350FDFE114AD}"/>
    <hyperlink ref="B1626" r:id="rId701" xr:uid="{29FC9979-4CB1-4C6C-AB67-6945BEBDA309}"/>
    <hyperlink ref="B1554" r:id="rId702" xr:uid="{85A8D012-6571-4456-A410-DEABFE2A8E62}"/>
    <hyperlink ref="B1555" r:id="rId703" xr:uid="{A879CA27-B9A0-48F8-B1EC-47AC12108613}"/>
    <hyperlink ref="B1160" r:id="rId704" xr:uid="{E9265C8A-9C20-49E7-95DA-4BD4605ACE13}"/>
    <hyperlink ref="B1629" r:id="rId705" xr:uid="{947CDA9F-70BA-43B0-BEFA-05B879F0110B}"/>
    <hyperlink ref="B1630" r:id="rId706" xr:uid="{2F5C60F3-6CC3-4209-B527-51203BDEB650}"/>
    <hyperlink ref="B1631" r:id="rId707" xr:uid="{9B46AEC0-CD06-45AD-850A-DDC5C4517545}"/>
    <hyperlink ref="B1632" r:id="rId708" xr:uid="{91CB349C-68D3-4750-A8E8-4B0A2FF8717D}"/>
    <hyperlink ref="B1633" r:id="rId709" xr:uid="{31C0EF22-4425-4807-BD4E-8BFE988FE20A}"/>
    <hyperlink ref="B1635" r:id="rId710" xr:uid="{5739E709-4A28-42AC-A206-2872341A0A67}"/>
    <hyperlink ref="B1636" r:id="rId711" location=":~:text=Minnesota%20Demonstration%20Project,our%20local%20natural%20gas%20supply." xr:uid="{FE320B93-1A32-4FFE-B790-2188EE83B300}"/>
    <hyperlink ref="B1637" r:id="rId712" xr:uid="{845B2DAB-997D-4013-A95C-8E3EFBFE25D4}"/>
    <hyperlink ref="B1638" r:id="rId713" xr:uid="{3CE252AD-98A1-4B11-9230-F494F45B9ECF}"/>
    <hyperlink ref="B1639" r:id="rId714" xr:uid="{AF44B385-6C2F-4D74-A9B1-6CDB0E1E4CBF}"/>
    <hyperlink ref="B1640" r:id="rId715" xr:uid="{55210EFA-F8FB-4C52-B939-69B63F35C8DB}"/>
    <hyperlink ref="B735" r:id="rId716" xr:uid="{FF455511-35AD-4B30-B22C-9B59E76A438B}"/>
    <hyperlink ref="B829" r:id="rId717" xr:uid="{37840C4F-3AC1-411C-B563-CAABEA4B45A5}"/>
    <hyperlink ref="B1642" r:id="rId718" xr:uid="{4F689B80-F6B9-46C1-A69E-925462CF9E4C}"/>
    <hyperlink ref="B1583" r:id="rId719" xr:uid="{B7D9F7C9-538A-4F52-8DB4-8174EDA1BB08}"/>
    <hyperlink ref="B1062" r:id="rId720" xr:uid="{435E2CAA-219A-4E95-8B5C-382FC7D5BE3E}"/>
    <hyperlink ref="B625" r:id="rId721" xr:uid="{3A41E204-E831-4B35-BB33-41B487C86D49}"/>
    <hyperlink ref="B1648" r:id="rId722" xr:uid="{7A08D163-9E5A-4B14-A568-85B499944382}"/>
    <hyperlink ref="B1368" r:id="rId723" xr:uid="{95592648-4BC3-472E-94B8-0C9AA82C73C4}"/>
    <hyperlink ref="B1649" r:id="rId724" xr:uid="{394693DF-55D3-4E05-BF06-B17679656DC1}"/>
    <hyperlink ref="B1236" r:id="rId725" xr:uid="{5CE2328B-1671-45F4-A301-A32A996AAFB8}"/>
    <hyperlink ref="B701" r:id="rId726" xr:uid="{7A2702E5-E3F5-4A08-9920-A393CEADF353}"/>
    <hyperlink ref="B1487" r:id="rId727" xr:uid="{6AE1028F-EF63-4D82-8367-BDEE8471D0F6}"/>
    <hyperlink ref="B741" r:id="rId728" xr:uid="{C2A1151C-4B3C-41A8-85BC-7B47457CB047}"/>
    <hyperlink ref="B860" r:id="rId729" xr:uid="{9B589BEE-9941-44E4-BF9A-CE4E21BCE4B6}"/>
    <hyperlink ref="B626" r:id="rId730" xr:uid="{38FBDEE8-1FB2-4D43-949A-8297FCB3B0EE}"/>
    <hyperlink ref="B778" r:id="rId731" xr:uid="{EEBE9B93-522F-4FAC-B3A9-C36563D76D43}"/>
    <hyperlink ref="B695" r:id="rId732" xr:uid="{38BD074E-C312-4837-9654-A9ED4EAF64EC}"/>
    <hyperlink ref="B758" r:id="rId733" display="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xr:uid="{5CE9999F-FB87-4F26-9573-E68A0BDAB32A}"/>
    <hyperlink ref="B839" r:id="rId734" xr:uid="{6F0F841F-09F8-425B-A301-5B2265CF5F02}"/>
    <hyperlink ref="B1268" r:id="rId735" xr:uid="{CD06B801-E0BB-4053-A652-7A66A5489765}"/>
    <hyperlink ref="B1669" r:id="rId736" xr:uid="{CF7E3377-6D53-41FB-9A3C-116E08C04767}"/>
    <hyperlink ref="B838" r:id="rId737" xr:uid="{205513EF-0B45-4113-94AD-04D1FF7D3E8D}"/>
    <hyperlink ref="B772" r:id="rId738" xr:uid="{B2A3F93B-F227-4842-A439-906822C7FD3A}"/>
    <hyperlink ref="B1670" r:id="rId739" xr:uid="{B41557C1-F423-478D-8311-374581A27B80}"/>
    <hyperlink ref="B1041" r:id="rId740" xr:uid="{EDC68928-108F-432C-903F-0B306C1912E1}"/>
    <hyperlink ref="B777" r:id="rId741" xr:uid="{039CABB1-8D72-44CC-A737-5B0B658AA6CD}"/>
    <hyperlink ref="B983" r:id="rId742" xr:uid="{9454228E-32F1-401E-BB47-7801AF2354AE}"/>
    <hyperlink ref="B1674" r:id="rId743" xr:uid="{BE39D3E8-5ACD-4F84-8F15-22AEADE59255}"/>
    <hyperlink ref="B1449" r:id="rId744" xr:uid="{9632E2F2-CFC8-4B38-81FB-50D8011BFFB0}"/>
    <hyperlink ref="B1085" r:id="rId745" xr:uid="{75307AA8-EE85-4122-8663-0BCDF7D295CB}"/>
    <hyperlink ref="B1217" r:id="rId746" xr:uid="{4B040FD6-38C4-45FC-AC85-CC90C1EABA75}"/>
    <hyperlink ref="B973" r:id="rId747" xr:uid="{3F7C92D9-AB16-4FE0-AAE5-EC96F17763BF}"/>
    <hyperlink ref="B1302" r:id="rId748" xr:uid="{FCA50C49-0652-4A72-8EC2-25829E61B528}"/>
    <hyperlink ref="B1517" r:id="rId749" xr:uid="{94642322-8142-4A51-8925-CD06081B4CE7}"/>
    <hyperlink ref="B1675" r:id="rId750" xr:uid="{39447C43-12EC-4511-A7A6-9E67C0E135EC}"/>
    <hyperlink ref="B897" r:id="rId751" xr:uid="{FD70C8A3-6CC9-441D-BB6F-163668010D81}"/>
    <hyperlink ref="B1271" r:id="rId752" xr:uid="{6AC5A1C4-F924-450C-B94A-0093B43EE9B0}"/>
    <hyperlink ref="B1101" r:id="rId753" xr:uid="{8B35EDC2-C684-4A6D-85D4-EEE4C9CEBF90}"/>
    <hyperlink ref="B1563" r:id="rId754" xr:uid="{9FD94840-530A-4268-AB22-639A472C9F46}"/>
    <hyperlink ref="B1143" r:id="rId755" xr:uid="{8D916D2D-EC54-48F8-A2B0-CFB4F8386AD5}"/>
    <hyperlink ref="B1676" r:id="rId756" xr:uid="{B005659B-7A0A-4A88-A57B-9191E563376D}"/>
    <hyperlink ref="B1677" r:id="rId757" xr:uid="{1DF60B43-5B7D-4F0F-8E1D-1F60DE0AABD9}"/>
    <hyperlink ref="B1663" r:id="rId758" xr:uid="{B907F5BA-22F4-4B40-8113-18F37449E032}"/>
    <hyperlink ref="B1283" r:id="rId759" xr:uid="{8F446539-8F95-451B-84EB-C8E09B6C8A5F}"/>
    <hyperlink ref="B1678" r:id="rId760" xr:uid="{C5C62E79-B234-4963-9DBE-09AB0A791135}"/>
    <hyperlink ref="B1679" r:id="rId761" xr:uid="{019D77CC-E8F3-459F-9284-347F472425DE}"/>
    <hyperlink ref="B1680" r:id="rId762" xr:uid="{BD62FD80-4CD0-494C-B82D-AF83AB903E12}"/>
    <hyperlink ref="B1561" r:id="rId763" xr:uid="{2EA5DA2A-2204-4059-BD40-E2CDE1C16E35}"/>
    <hyperlink ref="B1666" r:id="rId764" xr:uid="{4742608C-CCF7-4918-8F3A-22DE76639E47}"/>
    <hyperlink ref="B928" r:id="rId765" xr:uid="{805486DA-833C-48AB-8CCC-CC050776D923}"/>
    <hyperlink ref="B926" r:id="rId766" xr:uid="{BD59FC99-4801-476B-B76A-B4CCAD6E27B1}"/>
    <hyperlink ref="B1681" r:id="rId767" xr:uid="{57838645-E85B-4677-AC21-6A492FC486C5}"/>
    <hyperlink ref="B1682" r:id="rId768" xr:uid="{8C2AA67E-FE09-40E3-810F-4178B49B2431}"/>
    <hyperlink ref="B1683" r:id="rId769" xr:uid="{6B36E886-9A22-4861-8025-8DC6FF329677}"/>
    <hyperlink ref="B1684" r:id="rId770" xr:uid="{A3DB9DB7-4E7A-4527-80EA-86E4F2FF175E}"/>
    <hyperlink ref="B1107" r:id="rId771" xr:uid="{1215CD57-D25E-4D20-B971-E4A930571CA0}"/>
    <hyperlink ref="B1657" r:id="rId772" xr:uid="{5C4B95C9-F597-4C5A-8F38-EF458FE23151}"/>
    <hyperlink ref="B1685" r:id="rId773" xr:uid="{7192A1EA-8DFE-4151-937A-5550B11C8D28}"/>
    <hyperlink ref="B1643" r:id="rId774" xr:uid="{06D66AB7-B911-4CA1-9EBE-80E463FCF65D}"/>
    <hyperlink ref="B1462" r:id="rId775" xr:uid="{164B2D4F-4CCD-475B-B0F9-136263C5877B}"/>
    <hyperlink ref="B1672" r:id="rId776" xr:uid="{9C84432F-E46F-49C7-A960-9BB9C329B154}"/>
    <hyperlink ref="B1686" r:id="rId777" xr:uid="{62435DAD-AE56-4259-A70C-EFC069901F4D}"/>
    <hyperlink ref="B1687" r:id="rId778" xr:uid="{B140A51B-04D8-4CEE-AF7E-9628FECD4C84}"/>
    <hyperlink ref="B934" r:id="rId779" xr:uid="{715C2A50-1846-4829-981A-EF3DB3BE3CA9}"/>
    <hyperlink ref="B1522" r:id="rId780" xr:uid="{FA8C271F-4101-412A-B0CF-C968D6C7D86A}"/>
    <hyperlink ref="B1665" r:id="rId781" xr:uid="{1558A3E6-C55A-4181-A21B-D37CF7DAEA7A}"/>
    <hyperlink ref="B1688" r:id="rId782" xr:uid="{0DB712BC-28F7-4735-AF83-D38C6E6FE90C}"/>
    <hyperlink ref="B1689" r:id="rId783" xr:uid="{39FFAD51-8371-4FE9-AD8D-9FB14B0EC44F}"/>
    <hyperlink ref="B1456" r:id="rId784" xr:uid="{C0B02951-D0D2-4545-9330-8F92C9D0708C}"/>
    <hyperlink ref="B1690" r:id="rId785" xr:uid="{AB66561E-C83D-4498-999D-725D77ED4191}"/>
    <hyperlink ref="B1691" r:id="rId786" xr:uid="{AC50DA73-8982-4281-814E-0A05B7A5E207}"/>
    <hyperlink ref="B1692" r:id="rId787" xr:uid="{9985A4D7-C46C-432C-BECD-C32E1FA40FA2}"/>
    <hyperlink ref="B1693" r:id="rId788" xr:uid="{F11F70BE-30F3-4823-948F-C267B2726820}"/>
    <hyperlink ref="B1694" r:id="rId789" xr:uid="{AF8E7BED-73BD-477E-B49C-6752D79BABEC}"/>
    <hyperlink ref="B1695" r:id="rId790" xr:uid="{5735DCC1-09C9-48C2-84F1-515E4C0A2BD1}"/>
    <hyperlink ref="B1696" r:id="rId791" xr:uid="{571E96F1-FF71-404A-B22E-F202E439F64C}"/>
    <hyperlink ref="B1697" r:id="rId792" xr:uid="{2A54000A-940E-4674-9B0C-9F44E6915BE5}"/>
    <hyperlink ref="B888" r:id="rId793" xr:uid="{804BB5C7-FE34-40BF-BF8D-BFC6E0ABEFCB}"/>
    <hyperlink ref="B1655" r:id="rId794" xr:uid="{22D36CAA-1BC6-4167-B93B-C21D5C0F9D99}"/>
    <hyperlink ref="B1641" r:id="rId795" xr:uid="{B4826014-3BD8-42C6-88BC-3DD0ABED6ABA}"/>
    <hyperlink ref="B1644" r:id="rId796" xr:uid="{BA079868-B176-44D5-91A3-4B49EC4C39A9}"/>
    <hyperlink ref="B1698" r:id="rId797" xr:uid="{45670A3C-50AC-4C42-917F-91039AE18544}"/>
    <hyperlink ref="B1699" r:id="rId798" xr:uid="{1A6C3E42-F4A4-4AE5-ADAE-F70B52E95C30}"/>
    <hyperlink ref="B1700" r:id="rId799" xr:uid="{8F3DA0C3-642E-4187-A564-9A3E441E183D}"/>
    <hyperlink ref="B1530" r:id="rId800" xr:uid="{D4E62506-88FF-42A9-AA59-3C0E2E61F645}"/>
    <hyperlink ref="B1162" r:id="rId801" xr:uid="{28873D4D-0F77-4115-844D-A0B627CF819E}"/>
    <hyperlink ref="B1453" r:id="rId802" xr:uid="{15AD354B-73D7-4DED-A1C7-90AE485B3AE0}"/>
    <hyperlink ref="B1701" r:id="rId803" xr:uid="{EB0E4D40-72A3-40BF-8718-075DBF235B5C}"/>
    <hyperlink ref="B1073" r:id="rId804" xr:uid="{B46396BD-CA14-4913-B0A1-84BE43C08110}"/>
    <hyperlink ref="B1702" r:id="rId805" xr:uid="{117BCEF4-4276-47D7-8863-1B5FFE41E32B}"/>
    <hyperlink ref="B1703" r:id="rId806" xr:uid="{8FA1C3ED-8E2D-4E51-BC56-B0B91F0221D1}"/>
    <hyperlink ref="B1704" r:id="rId807" xr:uid="{FBEFC4FA-A5BC-48CF-AB4F-670D014CCE6A}"/>
    <hyperlink ref="B1664" r:id="rId808" xr:uid="{4BC8110B-59CB-401C-9656-0DE48DC8FA49}"/>
    <hyperlink ref="B1521" r:id="rId809" xr:uid="{FDADCCCF-A74F-462F-9874-4203625916D0}"/>
    <hyperlink ref="B1080" r:id="rId810" xr:uid="{EC35EF98-E369-495B-B2AB-720DAEA70E3B}"/>
    <hyperlink ref="B1441" r:id="rId811" xr:uid="{7A09C603-4389-407F-BFEE-CF1F987E51BA}"/>
    <hyperlink ref="B1402" r:id="rId812" xr:uid="{0ED1ECB4-015E-4190-9C02-CAAD0351C113}"/>
    <hyperlink ref="B1706" r:id="rId813" xr:uid="{B06FE736-950A-4C60-AA8A-0F5C0A50840C}"/>
    <hyperlink ref="B954" r:id="rId814" xr:uid="{D271F969-32AE-47F4-BF11-1BA284DF923B}"/>
    <hyperlink ref="B862" r:id="rId815" xr:uid="{3A7A5A42-B4F1-4135-B9FE-FF81766B4576}"/>
    <hyperlink ref="B1248" r:id="rId816" xr:uid="{27872DC1-E8A7-43D6-849E-44416821A40B}"/>
    <hyperlink ref="B1707" r:id="rId817" xr:uid="{362D77B8-EDB9-4032-987E-6915820F65C3}"/>
    <hyperlink ref="B1708" r:id="rId818" xr:uid="{016C5D1D-7691-4888-969C-8E598ADD725B}"/>
    <hyperlink ref="B1709" r:id="rId819" xr:uid="{D3EC071A-9A1B-4A36-9714-61443B117020}"/>
    <hyperlink ref="B1515" r:id="rId820" location=":~:text=Copenhagen%20Infrastructure%20Partners-,European%20consortium%20MadoquaPower2X%20announces%20industrial-scale%20power%20to%20green%20hydrogen,ammonia%20project%20in%20Sines%2C%20Portugal&amp;text=Total%20investment%20of%20%E2%82%AC1,creating%20more%20than%20200%20jobs" display="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 xr:uid="{67B16D49-BE63-43D8-AC0F-A754766694E2}"/>
    <hyperlink ref="B1167" r:id="rId821" xr:uid="{E31D1994-D7D9-40E4-8605-6299C60BA85F}"/>
    <hyperlink ref="B1430" r:id="rId822" xr:uid="{1F70FC45-96D9-4564-B6D7-2C4798843DF0}"/>
    <hyperlink ref="B807" r:id="rId823" xr:uid="{290FBD77-2BDE-4B55-AF16-C39EAD923260}"/>
    <hyperlink ref="B1246" r:id="rId824" xr:uid="{D4A59291-0B38-4283-BA1E-08A3BBD6927B}"/>
    <hyperlink ref="B832" r:id="rId825" xr:uid="{1368E90A-9BDC-4CCD-9EA0-E31E25F8E0F8}"/>
    <hyperlink ref="B1528" r:id="rId826" xr:uid="{EC8DF938-7543-4470-A710-9AB414DE88B1}"/>
    <hyperlink ref="B967" r:id="rId827" xr:uid="{AC0A8ECF-5D85-4FCB-9679-4B3D87CBBF51}"/>
    <hyperlink ref="B1140" r:id="rId828" xr:uid="{FC01ED6F-BCA4-4971-9C69-89694CFBCEFD}"/>
    <hyperlink ref="B1102" r:id="rId829" xr:uid="{06313C43-D8EE-4827-8731-29FA2A54767B}"/>
    <hyperlink ref="B1712" r:id="rId830" xr:uid="{1571E975-A131-45A8-8E82-1BEEFF2DE0D1}"/>
    <hyperlink ref="B1576" r:id="rId831" xr:uid="{C8FC6565-6D69-4880-BEC8-47E95A634F09}"/>
    <hyperlink ref="B1210" r:id="rId832" xr:uid="{46839844-09DB-4EEA-B136-22008007086F}"/>
    <hyperlink ref="B1713" r:id="rId833" xr:uid="{814CE6F0-7901-4DF0-917B-FDED1190B072}"/>
    <hyperlink ref="B1714" r:id="rId834" xr:uid="{16CAFED6-2E1C-4E12-9105-88665DCDA8C7}"/>
    <hyperlink ref="B1220" r:id="rId835" xr:uid="{3FA4AFC9-EE7D-47C3-ABC2-E1C21FC9B2C6}"/>
    <hyperlink ref="B1715" r:id="rId836" xr:uid="{3DA18F72-E086-462D-B55B-06F57D568097}"/>
    <hyperlink ref="B1717" r:id="rId837" xr:uid="{E6DDD661-06F7-4228-959A-E25594055F03}"/>
    <hyperlink ref="B1718" r:id="rId838" xr:uid="{16783509-4353-4577-8EDD-01FFC80CD282}"/>
    <hyperlink ref="B1719" r:id="rId839" xr:uid="{9627435D-4061-4680-82B5-F25DAC0B9A88}"/>
    <hyperlink ref="B1720" r:id="rId840" xr:uid="{1A17025E-C39E-41A0-B131-AFCAFA5E6E0D}"/>
    <hyperlink ref="B1721" r:id="rId841" location=":~:text=Energy%20companies%20Cepsa%20and%20GETEC,part%20of%20their%20decarbonisation%20goals." xr:uid="{17F43474-7BF6-4897-B358-1442899C740E}"/>
    <hyperlink ref="B1722" r:id="rId842" xr:uid="{644A62F3-B8DA-4FB5-AEB1-F7BE73755775}"/>
    <hyperlink ref="B1723" r:id="rId843" xr:uid="{87291824-8339-4225-AEE0-C7DF5D650F77}"/>
    <hyperlink ref="B1724" r:id="rId844" xr:uid="{6B60B69F-E784-4EB4-A86D-931B00431973}"/>
    <hyperlink ref="B1725" r:id="rId845" xr:uid="{79C097E0-C813-46E3-BCCF-66D0FCB1B3A2}"/>
    <hyperlink ref="B1726" r:id="rId846" xr:uid="{9452E7B0-BA01-4557-A6BF-1038C42E0287}"/>
    <hyperlink ref="B1732" r:id="rId847" xr:uid="{E863FE2A-B24D-42DD-8BEF-45D03076E731}"/>
    <hyperlink ref="B1006" r:id="rId848" xr:uid="{F791384F-83F6-4967-887E-7257ED72E34F}"/>
    <hyperlink ref="B703" r:id="rId849" xr:uid="{69E4A7BE-0A47-4CB1-8D8E-479F25A2B714}"/>
    <hyperlink ref="B1180" r:id="rId850" xr:uid="{7E81F2FE-7FD9-4ADA-8D43-B223AF0A5BA7}"/>
    <hyperlink ref="B1213" r:id="rId851" xr:uid="{F496EC94-539A-4A5B-ACCD-D105458D9E32}"/>
    <hyperlink ref="B1743" r:id="rId852" xr:uid="{7DC3BE02-1AA9-4B2A-8813-5245F7B7CD25}"/>
    <hyperlink ref="B1744" r:id="rId853" xr:uid="{ABDAFC07-9BBF-4456-955D-063EB0AA7355}"/>
    <hyperlink ref="B1751" r:id="rId854" xr:uid="{96682F0D-7143-4211-BAD6-8762289C4915}"/>
    <hyperlink ref="B1044" r:id="rId855" xr:uid="{5BECB51F-2BFF-45F7-8E65-3FA46DADAF47}"/>
    <hyperlink ref="B1752" r:id="rId856" xr:uid="{F0E9DD22-A192-455F-8DA7-DF6E26B55565}"/>
    <hyperlink ref="B1731" r:id="rId857" xr:uid="{0BA3B0E8-76C5-42B2-827B-2B8F12C9DA0D}"/>
    <hyperlink ref="B1755" r:id="rId858" xr:uid="{8F5E6204-2610-47D2-A6E8-803657DBFF92}"/>
    <hyperlink ref="B1756" r:id="rId859" xr:uid="{01687D35-4292-410C-82CE-930984B213FF}"/>
    <hyperlink ref="B1757" r:id="rId860" xr:uid="{CFE20B93-7253-456A-AD25-C2D79CE3DB61}"/>
    <hyperlink ref="B1758" r:id="rId861" xr:uid="{E5C97CEA-8A29-402A-9C47-0836A25A9AEA}"/>
    <hyperlink ref="B1759" r:id="rId862" xr:uid="{9B61BF3A-B152-42CE-A1D1-CA4A17FC05A8}"/>
    <hyperlink ref="B1760" r:id="rId863" xr:uid="{C717FF9E-E0B6-4438-9ED5-FCC753B0F1E3}"/>
    <hyperlink ref="B1761" r:id="rId864" xr:uid="{728E5F8E-9754-4E8F-9268-94E4271E82B9}"/>
    <hyperlink ref="B1762" r:id="rId865" xr:uid="{9EA3A212-A295-4339-B248-B01B94D9DCA4}"/>
    <hyperlink ref="B1763" r:id="rId866" xr:uid="{70921977-3023-4BD2-8CB5-17DDBF429FDF}"/>
    <hyperlink ref="B1764" r:id="rId867" xr:uid="{58E381BB-B7B3-4EB0-BD37-E42BAEF76E61}"/>
    <hyperlink ref="B1765" r:id="rId868" xr:uid="{6669A0B6-FA80-4301-8BFA-86E17EFF03C4}"/>
    <hyperlink ref="B1766" r:id="rId869" xr:uid="{6BD564FE-7C84-4F41-BE8B-D694E542018E}"/>
    <hyperlink ref="B1767" r:id="rId870" xr:uid="{07F10198-D216-4321-9A42-D40C8DE63018}"/>
    <hyperlink ref="B1769" r:id="rId871" xr:uid="{B94DE448-4DDA-454E-8E29-938086D6DDEC}"/>
    <hyperlink ref="B1770" r:id="rId872" xr:uid="{D7368487-487E-4979-A5EE-C4742577D37B}"/>
    <hyperlink ref="B1771" r:id="rId873" xr:uid="{AD86320B-2367-4216-8380-0776BD198386}"/>
    <hyperlink ref="B1772" r:id="rId874" xr:uid="{B1F36003-1C0A-4CE7-A801-411417B299B6}"/>
    <hyperlink ref="B1506" r:id="rId875" xr:uid="{66CC8A80-6211-49BB-B8A2-67B9BC58B997}"/>
    <hyperlink ref="B1773" r:id="rId876" xr:uid="{CF30BF7A-0E91-4AD6-BF5A-32CC3C48E0B9}"/>
    <hyperlink ref="B1774" r:id="rId877" xr:uid="{0D564357-5581-4F72-8BC8-E4DBA838E998}"/>
    <hyperlink ref="B1029" r:id="rId878" xr:uid="{62241A65-8873-4B20-903E-EBEF0D944FC0}"/>
    <hyperlink ref="B1533" r:id="rId879" xr:uid="{FF0AB565-525B-439B-9EF9-C2B7C61117FA}"/>
    <hyperlink ref="B1529" r:id="rId880" xr:uid="{D2F36F75-06A5-4AF3-8A28-E39D2EEC331A}"/>
    <hyperlink ref="B1264" r:id="rId881" xr:uid="{EC65B8A1-CFE2-4B5A-B639-3E97C47DC301}"/>
    <hyperlink ref="B1775" r:id="rId882" xr:uid="{0DFE6C4E-BE99-4379-84A8-80C59374A5BD}"/>
    <hyperlink ref="B1277" r:id="rId883" xr:uid="{BAC2845F-1DE1-4DDC-85AB-A5AAC990F35A}"/>
    <hyperlink ref="B1510" r:id="rId884" xr:uid="{3428E030-9F52-4F19-A51C-F141D2FE08AF}"/>
    <hyperlink ref="B1458" r:id="rId885" xr:uid="{DFF76836-1ABA-428B-A225-CD04AA96618E}"/>
    <hyperlink ref="B1776" r:id="rId886" xr:uid="{BC016438-962D-4D9F-9CED-7F1C2692082E}"/>
    <hyperlink ref="B1781" r:id="rId887" xr:uid="{FB1CAA14-0086-4119-BE7F-9A907F95AF6E}"/>
    <hyperlink ref="B1262" r:id="rId888" xr:uid="{9BD11E78-4F21-4F74-913F-6B310D384FE7}"/>
    <hyperlink ref="B840" r:id="rId889" xr:uid="{65A0F79E-41F0-4767-850C-D4AEEF608AF1}"/>
    <hyperlink ref="B863" r:id="rId890" xr:uid="{057C4C63-2D32-4D96-ABA6-A491F7A5FECA}"/>
    <hyperlink ref="B1575" r:id="rId891" xr:uid="{A0D29E8E-E550-4651-AB94-412BEC6D0675}"/>
    <hyperlink ref="B1783" r:id="rId892" xr:uid="{10885B34-4EF9-48D2-A9CB-CD529E94F418}"/>
    <hyperlink ref="B1242" r:id="rId893" xr:uid="{96C124E6-7275-4B2C-BA48-0D3AA91F1BBE}"/>
    <hyperlink ref="B1252" r:id="rId894" xr:uid="{C6491BD9-72C6-408A-B071-71D5803C2921}"/>
    <hyperlink ref="B1263" r:id="rId895" xr:uid="{55710409-ECC5-488A-99C7-56736CB92A87}"/>
    <hyperlink ref="B1290" r:id="rId896" xr:uid="{F0118C1C-BAE1-4BB1-95FA-AAD4FC46040A}"/>
    <hyperlink ref="B1297" r:id="rId897" xr:uid="{983E8AB8-75C8-4E5F-AB40-2D8300681D7C}"/>
    <hyperlink ref="B1445" r:id="rId898" xr:uid="{343E0195-A24D-450D-91E5-5FCD1293E5C2}"/>
    <hyperlink ref="B1467" r:id="rId899" xr:uid="{06B01694-6CE6-4B41-AA86-2789D7471079}"/>
    <hyperlink ref="B1468" r:id="rId900" xr:uid="{AA7D88BE-84AC-4637-B1E5-436646D17C61}"/>
    <hyperlink ref="B1509" r:id="rId901" xr:uid="{C42073F3-C36A-43BB-8FF8-35B4579971F0}"/>
    <hyperlink ref="B1516" r:id="rId902" xr:uid="{01F04698-CC6D-463B-AC26-52BD9CDC113D}"/>
    <hyperlink ref="B1520" r:id="rId903" xr:uid="{DBB4BCE9-C590-41F1-8E2F-3CC8020541FB}"/>
    <hyperlink ref="B1207" r:id="rId904" xr:uid="{2FBA39F5-3D1A-4D31-9E88-2887DBC70AF6}"/>
    <hyperlink ref="B1800" r:id="rId905" xr:uid="{8F317489-6693-43FE-8630-DAA1E6699BBA}"/>
    <hyperlink ref="B1833" r:id="rId906" xr:uid="{3732D625-A17F-469C-B6D9-B30B8CE5B41D}"/>
    <hyperlink ref="B1836" r:id="rId907" xr:uid="{C1F94232-CC8F-4D21-ACC7-EA6C65D0EFC6}"/>
    <hyperlink ref="B1837" r:id="rId908" xr:uid="{49C5E7EE-2052-4CC0-9C0F-8EB21CBE5ACD}"/>
    <hyperlink ref="B1838" r:id="rId909" xr:uid="{92FAE8DE-D72B-46B4-BE4E-74DB6DBE4AEE}"/>
    <hyperlink ref="B1839" r:id="rId910" xr:uid="{F2204B99-2887-464F-9EF2-A79C0D127802}"/>
    <hyperlink ref="B1861" r:id="rId911" xr:uid="{19E099AB-55F4-42DC-8078-20DFF9528F61}"/>
    <hyperlink ref="B1862" r:id="rId912" xr:uid="{A3B33992-F799-4936-9E35-288FB1429C16}"/>
    <hyperlink ref="B1863" r:id="rId913" xr:uid="{59488ABB-8B28-4CDF-A465-3322E95D3AF4}"/>
    <hyperlink ref="B1864" r:id="rId914" xr:uid="{5C60F5CB-6558-4C42-A8B7-A4C8E0694BD9}"/>
    <hyperlink ref="B1865" r:id="rId915" xr:uid="{47132A8B-3611-40F6-A413-1058EB59DF9F}"/>
    <hyperlink ref="B1866" r:id="rId916" xr:uid="{6BEBCBF3-BB6E-47AA-8245-69F851913E76}"/>
    <hyperlink ref="B1867" r:id="rId917" xr:uid="{0D2B47E9-A1AA-41E5-969D-D24AFD6B8B48}"/>
    <hyperlink ref="B1868" r:id="rId918" xr:uid="{8E701F81-A3E0-4D69-A92B-E963191DD029}"/>
    <hyperlink ref="B1869" r:id="rId919" xr:uid="{1AF562CD-A878-4DC5-A8CA-095F64BEA483}"/>
    <hyperlink ref="B1870" r:id="rId920" xr:uid="{9B674E56-AF22-4FA6-B4F2-D052E95B69E8}"/>
    <hyperlink ref="B1876" r:id="rId921" xr:uid="{0B65491B-661F-4F14-903F-6F3ECBBBE2F6}"/>
    <hyperlink ref="B1877" r:id="rId922" xr:uid="{B85430DA-EDA9-4674-97B1-E89DA0C75B96}"/>
    <hyperlink ref="B1878" r:id="rId923" xr:uid="{0CA41961-1C70-48BC-8ED4-DD64AD7755F3}"/>
    <hyperlink ref="B1367" r:id="rId924" xr:uid="{946827B1-84E5-49C7-8A17-8D67B86EABC4}"/>
    <hyperlink ref="B1922" r:id="rId925" xr:uid="{758E1E90-7A2A-4DA7-A48C-ED37506AB3E6}"/>
    <hyperlink ref="B1923" r:id="rId926" xr:uid="{3246B69F-7829-445E-8692-9CF922C209F5}"/>
    <hyperlink ref="B1924" r:id="rId927" xr:uid="{0E18EE0C-C4E0-4832-BEDC-5964BC2644AA}"/>
    <hyperlink ref="B1925" r:id="rId928" xr:uid="{E4BCB8D8-9D63-48D8-BCAB-B7801562BC24}"/>
    <hyperlink ref="B1926" r:id="rId929" xr:uid="{09C5B956-F711-4EB1-A580-73979FC7AB43}"/>
    <hyperlink ref="B1927" r:id="rId930" xr:uid="{51F3F7EA-DB85-469A-92D0-659BFC5E2922}"/>
    <hyperlink ref="B1928" r:id="rId931" xr:uid="{E78B511A-5283-4DB1-8F7F-682E19F8902A}"/>
    <hyperlink ref="B1929" r:id="rId932" xr:uid="{133A2885-F8C7-485E-9B61-D54E32369A82}"/>
    <hyperlink ref="B1930" r:id="rId933" xr:uid="{DD649305-8C34-49E5-96CB-0B984A009C0A}"/>
    <hyperlink ref="B1931" r:id="rId934" xr:uid="{5A19F3C2-D577-453B-8ECF-0214325DF03D}"/>
    <hyperlink ref="B1932" r:id="rId935" xr:uid="{468699A9-004F-45F7-AE0B-371EFC0BE517}"/>
    <hyperlink ref="B1933" r:id="rId936" xr:uid="{DD4B8618-C62C-47A9-8B77-AC51856EB608}"/>
    <hyperlink ref="B1934" r:id="rId937" xr:uid="{0986BD05-5A49-4C92-9293-FACF986F8D5D}"/>
    <hyperlink ref="B1260" r:id="rId938" xr:uid="{9C92A582-2102-471C-9280-657CF6CFD469}"/>
    <hyperlink ref="B1075" r:id="rId939" xr:uid="{83FE35FC-3921-45AA-82D6-CC95EF663F61}"/>
    <hyperlink ref="B1954" r:id="rId940" xr:uid="{AD7871CA-3E27-4C35-A712-B0A7B65A6621}"/>
    <hyperlink ref="B1955" r:id="rId941" xr:uid="{3D14FF85-7279-4BC4-9058-7DAA72075E07}"/>
    <hyperlink ref="B1956" r:id="rId942" xr:uid="{4C0F56BA-9B69-41D8-8DF6-10DF78F36136}"/>
    <hyperlink ref="B1957" r:id="rId943" xr:uid="{59F6F008-4744-4EBE-BA96-E8DDEA30A0BD}"/>
    <hyperlink ref="B1958" r:id="rId944" xr:uid="{63817E76-46C5-493F-A5DF-E98F21201077}"/>
    <hyperlink ref="B1959" r:id="rId945" xr:uid="{F34B9EE9-1695-439C-AD49-85565B4209B9}"/>
    <hyperlink ref="B1960" r:id="rId946" xr:uid="{E9B4F7F6-47B1-44F2-B37C-EF0E53AA8B81}"/>
    <hyperlink ref="B1961" r:id="rId947" xr:uid="{787A7693-D25B-4DC9-8CB9-7E9EB1A4078C}"/>
    <hyperlink ref="B1962" r:id="rId948" xr:uid="{F8307958-B122-44C7-B60F-7675E3A768B4}"/>
    <hyperlink ref="B1963" r:id="rId949" xr:uid="{6648583E-A07D-4A0A-B26A-295B673819C2}"/>
    <hyperlink ref="B1964" r:id="rId950" xr:uid="{67A2A7B9-8751-417D-805F-FF54C1DEBF40}"/>
    <hyperlink ref="B1965" r:id="rId951" xr:uid="{4D6B5E71-BC91-4994-9BE8-DF703C4B616D}"/>
    <hyperlink ref="B1966" r:id="rId952" xr:uid="{035DF99D-B17D-49AA-98A2-0378F2BC4E26}"/>
    <hyperlink ref="B1967" r:id="rId953" xr:uid="{9BAB3F93-AD3A-4E0F-8BB2-7AA342D126B5}"/>
    <hyperlink ref="B1968" r:id="rId954" xr:uid="{485740FF-07C5-41BD-9FB3-83D3F1A93274}"/>
    <hyperlink ref="B1969" r:id="rId955" xr:uid="{005BB010-76C3-433E-BD5E-B1659C2CE0BD}"/>
    <hyperlink ref="B1970" r:id="rId956" xr:uid="{A83C11D3-2776-47B6-B230-E12DDFABDDEB}"/>
    <hyperlink ref="B1971" r:id="rId957" xr:uid="{3CE8E22C-1B15-4CDB-8B49-DB8CBFB68D2F}"/>
    <hyperlink ref="B1780" r:id="rId958" xr:uid="{2FA17820-E77D-4FD1-BB36-D38A2E1E43D3}"/>
    <hyperlink ref="B1728" r:id="rId959" xr:uid="{12D59162-81BD-4F27-9701-EC3AF92C9EB6}"/>
    <hyperlink ref="B1705" r:id="rId960" xr:uid="{49A684FD-BF54-4A94-BB00-43AA1F4997D3}"/>
    <hyperlink ref="B1847" r:id="rId961" xr:uid="{DD91BBB7-01DF-4C4E-91F3-99F2AF45B9B1}"/>
    <hyperlink ref="B1848" r:id="rId962" xr:uid="{AC5BFC6F-1CB9-44CB-90D3-E4B15D6720A6}"/>
    <hyperlink ref="B1888" r:id="rId963" xr:uid="{2FE03AE7-1B39-437A-B82D-E36A3C12352C}"/>
    <hyperlink ref="B1891" r:id="rId964" xr:uid="{4C5CAB1F-F8FF-4B70-8565-96B2B9551D6F}"/>
    <hyperlink ref="B1920" r:id="rId965" xr:uid="{E394FADA-0CED-4834-B0C8-8B86224A543B}"/>
    <hyperlink ref="B1901" r:id="rId966" xr:uid="{9A3F177C-090A-4590-9DBB-6667DB167553}"/>
    <hyperlink ref="B1895" r:id="rId967" xr:uid="{FBCDAD1D-4C16-47C8-889D-A9F8C80C862F}"/>
    <hyperlink ref="B1938" r:id="rId968" xr:uid="{EAB450B4-AD41-4111-9D78-421DFAF2DFA5}"/>
    <hyperlink ref="B1946" r:id="rId969" xr:uid="{3FF7AC14-2EC0-4AE7-AB7D-E5A2C0ECD59F}"/>
    <hyperlink ref="B1948" r:id="rId970" xr:uid="{962E3C88-7DDC-4DA5-B4FB-0697B56FA390}"/>
    <hyperlink ref="B1860" r:id="rId971" xr:uid="{C1B8AC30-5E95-4A4B-BFC1-F3A321F8DA17}"/>
    <hyperlink ref="B1992" r:id="rId972" xr:uid="{AF523DC3-201A-4FCD-92E1-5B28C6604FB9}"/>
    <hyperlink ref="B1879" r:id="rId973" xr:uid="{F087CA18-2281-4F9C-966A-E06FA8F57C40}"/>
    <hyperlink ref="B1993" r:id="rId974" xr:uid="{9F9D18A2-D1D1-4D36-957C-B373648E9CB6}"/>
    <hyperlink ref="B1979" r:id="rId975" xr:uid="{406A5D23-796E-4E30-8A8A-4766322846C8}"/>
    <hyperlink ref="B1994" r:id="rId976" xr:uid="{582E4416-9992-486D-B4CA-F2E3A8191D7F}"/>
    <hyperlink ref="B1995" r:id="rId977" xr:uid="{D2319B44-1125-4393-A840-76EB459B7AFE}"/>
    <hyperlink ref="B1996" r:id="rId978" xr:uid="{E07A78F9-6378-4574-97C2-7FB9EC3C1C9A}"/>
    <hyperlink ref="B1997" r:id="rId979" xr:uid="{58913B74-CF27-4876-9992-EEE7E4ABBBD9}"/>
    <hyperlink ref="B1998" r:id="rId980" xr:uid="{04870752-7C4E-4DBB-9317-E6D80508D833}"/>
    <hyperlink ref="B1999" r:id="rId981" xr:uid="{41A5C14C-01BD-473A-B0B3-48BA6E57270F}"/>
    <hyperlink ref="B2000" r:id="rId982" xr:uid="{7454A34B-D38E-49FC-A7A9-DBE99641E74F}"/>
    <hyperlink ref="B2001" r:id="rId983" xr:uid="{6263BC49-6329-44A9-BD69-85E0ACF9CA9E}"/>
    <hyperlink ref="B1742" r:id="rId984" xr:uid="{3B905251-2A4A-44B6-9CD4-1F239B18A4D8}"/>
    <hyperlink ref="B2002" r:id="rId985" xr:uid="{9EFE0D5B-5AD8-4A18-8225-29069ABD2ED6}"/>
    <hyperlink ref="B2003" r:id="rId986" xr:uid="{07EB1674-4C2B-401A-844C-2C3005CA9A18}"/>
    <hyperlink ref="B2004" r:id="rId987" xr:uid="{47E4FDAA-610B-4BCC-BC85-BDEA6A4367AA}"/>
    <hyperlink ref="B2005" r:id="rId988" xr:uid="{E6A1275B-3DB4-4F05-A0B9-4C23EFE8B6A6}"/>
    <hyperlink ref="B2006" r:id="rId989" xr:uid="{D908927B-9A28-41BE-A136-1A5192ECB4D4}"/>
    <hyperlink ref="B2007" r:id="rId990" xr:uid="{D5B2F91F-37D5-4766-8D50-92048447E3D0}"/>
    <hyperlink ref="B2008" r:id="rId991" xr:uid="{F1612CEF-546F-43A0-9B69-FEFB7AB53093}"/>
    <hyperlink ref="B2009" r:id="rId992" xr:uid="{4FAAB19F-6DDE-41BC-870E-A2BF6B1ECB7B}"/>
    <hyperlink ref="B2010" r:id="rId993" xr:uid="{95BFB9D9-B6E0-4DF0-A7DE-66A5AE1CC879}"/>
    <hyperlink ref="B2011" r:id="rId994" xr:uid="{AE4EB3D9-1D21-44F6-BDA8-F592C2E4C5D2}"/>
    <hyperlink ref="B2012" r:id="rId995" xr:uid="{AFC7EFB3-30D5-4451-B39D-A9518CC06370}"/>
    <hyperlink ref="B2013" r:id="rId996" xr:uid="{E07B180E-EF50-44C0-9F64-B44C3EDFE3DD}"/>
    <hyperlink ref="B2014" r:id="rId997" xr:uid="{D29E20E5-2B51-4CC5-9E71-4A8EB5E1A28F}"/>
    <hyperlink ref="B2015" r:id="rId998" xr:uid="{D7B318D8-F59F-4000-A429-E3529B711A19}"/>
    <hyperlink ref="B2016" r:id="rId999" xr:uid="{114788D1-8A38-4B3F-8C04-24C2352A3A84}"/>
    <hyperlink ref="B2017" r:id="rId1000" xr:uid="{96A5583B-EA1E-48A9-9A69-93598817F429}"/>
    <hyperlink ref="B2018" r:id="rId1001" xr:uid="{ED883B98-3952-4077-B6B3-1763806CB0C7}"/>
    <hyperlink ref="B2022" r:id="rId1002" xr:uid="{14D9FCB6-C6D7-4A92-ADCA-EE3B6594E2C2}"/>
    <hyperlink ref="B2023" r:id="rId1003" xr:uid="{65A635CF-9CA6-4A46-AAA9-A1430D947CA8}"/>
    <hyperlink ref="B2024" r:id="rId1004" xr:uid="{F296A078-A7FA-42CF-BB58-9D3480591FAF}"/>
    <hyperlink ref="B2025" r:id="rId1005" xr:uid="{EEEC8576-3E3F-4829-8C68-A2DD569CB9AF}"/>
    <hyperlink ref="B2026" r:id="rId1006" xr:uid="{E4F4EDE8-4AC1-447C-9C9F-75ACF5782690}"/>
    <hyperlink ref="B2027" r:id="rId1007" xr:uid="{823B952F-70D6-4A0A-B430-6B32D814940C}"/>
    <hyperlink ref="B2028" r:id="rId1008" xr:uid="{5ED93414-647A-4639-BFE3-F65F92430B64}"/>
    <hyperlink ref="B2029" r:id="rId1009" xr:uid="{63A8E718-12D2-48D8-8D66-ADE2A11A82CD}"/>
    <hyperlink ref="B2030" r:id="rId1010" xr:uid="{DE07D876-10A4-4A00-8EC3-B3BF53CD6652}"/>
    <hyperlink ref="B2033" r:id="rId1011" display="https://www.hydrogen.energy.gov/pdfs/review23/ta039_ghezel-ayagh_2023_o.pdf" xr:uid="{D25413C9-FDD0-473D-9B67-7B16F42D70C2}"/>
    <hyperlink ref="B2031" r:id="rId1012" display="https://www.hydrogen.energy.gov/pdfs/review23/sdi002_prabakar_2023_o.pdf" xr:uid="{0BE994E8-B6A8-48C7-81D5-2DF616B4A29C}"/>
    <hyperlink ref="B2032" r:id="rId1013" display="https://www.hydrogen.energy.gov/pdfs/review23/ta045_pal_2023_o.pdf" xr:uid="{E9F59CFF-EB06-46B4-A89E-A844B6781609}"/>
    <hyperlink ref="B2037" r:id="rId1014" xr:uid="{8309E13E-EF4A-491F-9671-6D081228C625}"/>
    <hyperlink ref="B2038" r:id="rId1015" xr:uid="{384B19C5-05F3-426C-9B63-2197BC949AD9}"/>
    <hyperlink ref="B2046" r:id="rId1016" xr:uid="{73E54894-E32C-4FB7-9CFE-7CC7C989EF88}"/>
    <hyperlink ref="B2047" r:id="rId1017" location="heading-3774-132" xr:uid="{F3B57CAD-A727-484B-AAB0-1A805F55BBEB}"/>
    <hyperlink ref="B2052" r:id="rId1018" xr:uid="{31EFCDC2-3C5A-41C8-899A-4462C6E21DB8}"/>
    <hyperlink ref="B2053" r:id="rId1019" xr:uid="{87A06C59-C99E-4C7A-982C-652F21C58187}"/>
    <hyperlink ref="B2054" r:id="rId1020" xr:uid="{A6B268A1-1CE7-415C-AE3E-9EE01401F512}"/>
    <hyperlink ref="B2055" r:id="rId1021" xr:uid="{095BADA2-52C7-44E1-8D19-CF0C8527B39D}"/>
    <hyperlink ref="B2057" r:id="rId1022" xr:uid="{BAEF36DC-860E-474D-B476-510D8BB9C857}"/>
    <hyperlink ref="B2058" r:id="rId1023" xr:uid="{A446DF1C-1691-47B7-B208-AEC816B9655D}"/>
    <hyperlink ref="B2059" r:id="rId1024" xr:uid="{8E5C4C5E-0443-4276-94E6-C71BC75DB834}"/>
    <hyperlink ref="B2060" r:id="rId1025" xr:uid="{F043E23B-66BB-4BC0-9A4C-83960C5FAC17}"/>
    <hyperlink ref="B2061" r:id="rId1026" xr:uid="{9F781308-EBB6-4F69-9D5E-01DE5CEA47D5}"/>
    <hyperlink ref="B2062" r:id="rId1027" xr:uid="{12E0CD30-116F-47CB-8F69-B43EA19C290B}"/>
    <hyperlink ref="B2063" r:id="rId1028" xr:uid="{EB29A87F-BB00-4EE6-B970-BD2A5E6080DE}"/>
    <hyperlink ref="B2064" r:id="rId1029" xr:uid="{72F0D682-4005-4A70-B451-2D69336A2B83}"/>
    <hyperlink ref="B2068" r:id="rId1030" xr:uid="{46B8C74D-C751-4C5B-8ACD-B36146E605F4}"/>
    <hyperlink ref="B2069" r:id="rId1031" xr:uid="{017A9C36-9377-4833-9B1D-08BA2FF5FA53}"/>
    <hyperlink ref="B2070" r:id="rId1032" xr:uid="{199D891B-C83E-48E5-8733-22873D3AD9EB}"/>
    <hyperlink ref="B2077" r:id="rId1033" xr:uid="{A576C4AF-4237-444D-AAAF-FB1E6966E829}"/>
    <hyperlink ref="B2078" r:id="rId1034" xr:uid="{47EA5DD7-50FC-4DA4-914C-FDAF70692D48}"/>
    <hyperlink ref="B2079" r:id="rId1035" xr:uid="{4592ADD7-0B21-4351-8794-03FEC536B423}"/>
    <hyperlink ref="B2080" r:id="rId1036" location="heading-3777-144" xr:uid="{8B8EFF04-9732-4730-8745-2DD75BB3710B}"/>
    <hyperlink ref="B2081" r:id="rId1037" xr:uid="{3806C84F-CB0F-4DE8-BC02-9C41FF414367}"/>
    <hyperlink ref="B2082" r:id="rId1038" xr:uid="{96BCE8BC-EF88-4C82-9D64-7768492A8542}"/>
    <hyperlink ref="B2083" r:id="rId1039" xr:uid="{16A11794-A0D7-4CB0-B06F-F213CDA165E0}"/>
    <hyperlink ref="B2084" r:id="rId1040" xr:uid="{E39CB8C8-04F1-45CE-BD77-C0B2D1A24DD9}"/>
    <hyperlink ref="B2085" r:id="rId1041" xr:uid="{679777E4-7CAF-403D-919B-1C71F47C6F77}"/>
    <hyperlink ref="B1976" r:id="rId1042" xr:uid="{2ECA51EB-FF7D-4DFA-B84F-5F9BCE4223F8}"/>
    <hyperlink ref="B2090" r:id="rId1043" display="https://direct.argusmedia.com/newsandanalysis/Article/2466217" xr:uid="{100114DE-9ED0-411E-AFC7-48C1D5B179BB}"/>
    <hyperlink ref="B2092" r:id="rId1044" xr:uid="{C8051271-EBDC-41F4-80EA-839FF0C50645}"/>
    <hyperlink ref="B2093" r:id="rId1045" xr:uid="{7297FA61-D7E6-4D6D-96E5-7AD7CAA20DBA}"/>
    <hyperlink ref="B2094" r:id="rId1046" xr:uid="{434E5634-BDF3-4E95-8C09-37D8FB0FD603}"/>
    <hyperlink ref="B2095" r:id="rId1047" xr:uid="{150612F5-3E9B-4E79-9ED8-D724B43F52DB}"/>
    <hyperlink ref="B2096" r:id="rId1048" xr:uid="{81A2EF64-9526-4966-A93C-FADA76CD88E3}"/>
    <hyperlink ref="B2097" r:id="rId1049" xr:uid="{519CD309-CC0C-4B2D-B36F-4A5C96923109}"/>
    <hyperlink ref="B322" r:id="rId1050" xr:uid="{F5384EC4-FBD5-418B-9280-B3172D63714D}"/>
    <hyperlink ref="B2101" r:id="rId1051" xr:uid="{866ADA6B-8693-41DC-A402-DB45123B930A}"/>
    <hyperlink ref="B1110" r:id="rId1052" xr:uid="{19AAB685-3D2C-4B62-A065-7D227F49272B}"/>
    <hyperlink ref="B2104" r:id="rId1053" xr:uid="{181C7830-B075-4325-8BBB-5238848E466E}"/>
    <hyperlink ref="B2105" r:id="rId1054" xr:uid="{3E731464-D506-4BF6-B964-F839D61E5AF7}"/>
    <hyperlink ref="B2106" r:id="rId1055" xr:uid="{42B27E58-7405-48ED-B940-38B3AB06D1E1}"/>
    <hyperlink ref="B2107" r:id="rId1056" xr:uid="{145B8519-AC8D-4A3A-9B35-03734795F622}"/>
    <hyperlink ref="B2108" r:id="rId1057" xr:uid="{F2F57A2F-8E82-4F3B-BB6D-3F28FA2C768C}"/>
    <hyperlink ref="B2109" r:id="rId1058" xr:uid="{311F0479-B75E-4D4F-900B-FD342B4BD0D1}"/>
    <hyperlink ref="B2110" r:id="rId1059" xr:uid="{66B76249-7DB0-4D41-8AFE-C9498F4241D9}"/>
    <hyperlink ref="B2111" r:id="rId1060" xr:uid="{A72002E3-BEC7-4AAD-A5B4-9B7DE90554D0}"/>
    <hyperlink ref="B2112" r:id="rId1061" xr:uid="{46D5F1AF-7D75-4702-B87D-10B888B954AC}"/>
    <hyperlink ref="B2113" r:id="rId1062" xr:uid="{169C9F66-D8A0-4888-B232-847AB029DF26}"/>
    <hyperlink ref="B2114" r:id="rId1063" xr:uid="{2A8519AC-2340-4235-A367-8D82A0D925EF}"/>
    <hyperlink ref="B2115" r:id="rId1064" xr:uid="{43D1EEC0-2D41-4775-B32F-EC21B65660FB}"/>
    <hyperlink ref="B2116" r:id="rId1065" xr:uid="{158D293B-6DD3-442D-BF85-EAB2D1A60A04}"/>
    <hyperlink ref="B2117" r:id="rId1066" xr:uid="{19ABFF44-6F3B-49BC-B3B2-3A834CDA9C71}"/>
    <hyperlink ref="B2118" r:id="rId1067" xr:uid="{0505ACA9-6C38-4A6E-96CD-F0A15C99DC02}"/>
    <hyperlink ref="B2119" r:id="rId1068" xr:uid="{0D20244E-46EA-45B0-8DBB-C979781D2695}"/>
    <hyperlink ref="B2120" r:id="rId1069" xr:uid="{C596F52A-F797-4A69-B790-B8354E59C1A5}"/>
    <hyperlink ref="B2121" r:id="rId1070" xr:uid="{7866BD90-C350-4C46-B8BA-718AB968640C}"/>
    <hyperlink ref="B2122" r:id="rId1071" xr:uid="{B4518882-0BB9-45C7-82A3-3D78E1F33D92}"/>
    <hyperlink ref="B2123" r:id="rId1072" xr:uid="{CFAC68C7-D830-40AB-9ED0-26B2996B3655}"/>
    <hyperlink ref="B2124" r:id="rId1073" xr:uid="{806F6B6E-64AB-43B7-8729-43CCCDCF861B}"/>
    <hyperlink ref="B2125" r:id="rId1074" xr:uid="{918EB2C7-EEFB-45E8-A528-7FDF6A7B1350}"/>
    <hyperlink ref="B2126" r:id="rId1075" xr:uid="{C39962CF-2539-4729-865A-35E652D0E4B2}"/>
    <hyperlink ref="B2127" r:id="rId1076" xr:uid="{00F8FFD9-75EB-45FF-A2BB-569C3B9D3B7C}"/>
    <hyperlink ref="B2128" r:id="rId1077" xr:uid="{E71C9451-A459-4785-8B61-240C763E80DF}"/>
    <hyperlink ref="B2129" r:id="rId1078" xr:uid="{B3AEAE29-8E16-4E0C-9150-2A6638B43F48}"/>
    <hyperlink ref="B2130" r:id="rId1079" xr:uid="{27DECF89-A022-4197-BA97-BDC1589A3F34}"/>
    <hyperlink ref="B2131" r:id="rId1080" xr:uid="{E07BEB49-4FFC-4191-8712-6DB633DE16E7}"/>
    <hyperlink ref="B2132" r:id="rId1081" xr:uid="{C708AF4A-94F0-495D-8BDB-8712B70CC4D8}"/>
    <hyperlink ref="B2133" r:id="rId1082" xr:uid="{140089F2-8193-4E05-B9DF-3AEBAAA111D3}"/>
    <hyperlink ref="B2134" r:id="rId1083" xr:uid="{1DAF078E-641B-41B4-8A0C-A138F2B55289}"/>
    <hyperlink ref="B2135" r:id="rId1084" xr:uid="{350551E4-2BA1-4CA8-A71C-19779EC07C85}"/>
    <hyperlink ref="B2136" r:id="rId1085" xr:uid="{C914C640-1188-4DA0-89F7-AD46FC8E718B}"/>
    <hyperlink ref="B1097" r:id="rId1086" xr:uid="{DAE6E191-9DAA-4BCA-BE04-C0D3D7AF6B15}"/>
    <hyperlink ref="B2137" r:id="rId1087" xr:uid="{471D0567-56BF-4469-8F8A-0BDCD4E2D7DF}"/>
    <hyperlink ref="B2138" r:id="rId1088" xr:uid="{C25BA22D-27E8-44ED-B462-818D0C9CE8E5}"/>
    <hyperlink ref="B2139" r:id="rId1089" xr:uid="{2081413A-87AF-4B5D-8C81-4A0ED2DD37F7}"/>
    <hyperlink ref="B2140" r:id="rId1090" xr:uid="{10D3B832-A471-4532-AA19-B6940578490C}"/>
    <hyperlink ref="B2141" r:id="rId1091" xr:uid="{386237CA-478E-4B22-BA39-2FBE4449C34C}"/>
    <hyperlink ref="B2142" r:id="rId1092" xr:uid="{30D8D7BB-8346-4D76-805D-20D1E705B7F0}"/>
    <hyperlink ref="B2143" r:id="rId1093" xr:uid="{83F13B6A-A57A-43E3-89AF-B5DF93A595CE}"/>
    <hyperlink ref="B2144" r:id="rId1094" xr:uid="{37F4CC9C-D559-4F0F-A8F6-260C8DB4D578}"/>
    <hyperlink ref="B2145" r:id="rId1095" xr:uid="{AA348FB2-85FA-4261-8618-F4AB2A155DA0}"/>
    <hyperlink ref="B2146" r:id="rId1096" xr:uid="{36CCD842-6845-4EC2-A9DE-61757A3EAC02}"/>
    <hyperlink ref="B2147" r:id="rId1097" xr:uid="{E3CFB066-41FD-41D7-8346-6D14141B2709}"/>
    <hyperlink ref="B2148" r:id="rId1098" xr:uid="{3AAC0966-932C-4384-87AC-8B81881F3C66}"/>
    <hyperlink ref="B2149" r:id="rId1099" xr:uid="{91AEF4F0-FF60-4CCD-BA10-470C1885550E}"/>
    <hyperlink ref="B2150" r:id="rId1100" xr:uid="{C3EB419F-18BD-4410-826E-69ADE6B47F13}"/>
    <hyperlink ref="B2151" r:id="rId1101" xr:uid="{5F7AE5F3-B013-44F1-A641-949161010D2D}"/>
    <hyperlink ref="B2152" r:id="rId1102" xr:uid="{8FD37710-3847-4B0E-85E1-688AAA947B88}"/>
    <hyperlink ref="B2153" r:id="rId1103" xr:uid="{2410521C-46BF-4B36-8A76-C5C392D833B2}"/>
    <hyperlink ref="B2154" r:id="rId1104" xr:uid="{D05BE9A3-CDA0-4E4A-AEE1-3136DF1B4724}"/>
    <hyperlink ref="B2155" r:id="rId1105" location=":~:text=The%20new%202.5%20megawatt%20site,Hydrogen%20Fund%20earlier%20this%20year." xr:uid="{B59863A5-4A38-4749-97D1-30EC2EBC9E02}"/>
    <hyperlink ref="B2156" r:id="rId1106" xr:uid="{BD7F1118-B6AD-4B14-9784-27B341C9A37E}"/>
    <hyperlink ref="B2157" r:id="rId1107" xr:uid="{86790E59-1343-4078-906D-1610279A0FE9}"/>
    <hyperlink ref="B1650" r:id="rId1108" xr:uid="{1BDAA170-0478-48FF-9421-5B99ACAB936A}"/>
    <hyperlink ref="B2158" r:id="rId1109" xr:uid="{0ED2E16F-4C02-4A32-B3AB-CCDA688D2932}"/>
    <hyperlink ref="B2159" r:id="rId1110" xr:uid="{ACA5EB6D-E38D-402B-BB33-B07CFCA6ABFE}"/>
    <hyperlink ref="B2160" r:id="rId1111" xr:uid="{F3771F92-88D4-4492-A847-1E1D3C19B8BB}"/>
    <hyperlink ref="B944" r:id="rId1112" xr:uid="{653AE1E0-305D-43F0-BEBE-4C021B1B478E}"/>
    <hyperlink ref="B1910" r:id="rId1113" xr:uid="{593F79BA-00D1-40EA-9164-E500B500DAFA}"/>
  </hyperlinks>
  <pageMargins left="0.7" right="0.7" top="0.75" bottom="0.75" header="0.3" footer="0.3"/>
  <pageSetup paperSize="9" orientation="portrait" r:id="rId111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Definitions and assumptions</vt:lpstr>
      <vt:lpstr>Projects</vt:lpstr>
      <vt:lpstr>Lists</vt:lpstr>
      <vt:lpstr>Countries</vt:lpstr>
      <vt:lpstr>References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2024-08-10T19:22:26Z</dcterms:modified>
  <cp:contentStatus/>
</cp:coreProperties>
</file>