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8.xml" ContentType="application/vnd.openxmlformats-officedocument.spreadsheetml.comments+xml"/>
  <Override PartName="/xl/drawings/drawing6.xml" ContentType="application/vnd.openxmlformats-officedocument.drawing+xml"/>
  <Override PartName="/xl/comments9.xml" ContentType="application/vnd.openxmlformats-officedocument.spreadsheetml.comments+xml"/>
  <Override PartName="/xl/ink/ink1.xml" ContentType="application/inkml+xml"/>
  <Override PartName="/xl/ink/ink2.xml" ContentType="application/inkml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hmedu-my.sharepoint.com/personal/valentin_maresch0_hm_edu/Documents/Entrepreneurship/Tasks/Business Model, Business Canvas/"/>
    </mc:Choice>
  </mc:AlternateContent>
  <xr:revisionPtr revIDLastSave="4342" documentId="8_{01BF9065-82FA-4D95-80F3-409E0A2EF94A}" xr6:coauthVersionLast="47" xr6:coauthVersionMax="47" xr10:uidLastSave="{5AC96D6C-B76A-4AEC-B7CB-1B3BE343498F}"/>
  <bookViews>
    <workbookView xWindow="38280" yWindow="-120" windowWidth="38640" windowHeight="21120" xr2:uid="{5F3A5C9D-0BD2-4EFE-839D-0F779E2855D5}"/>
  </bookViews>
  <sheets>
    <sheet name="Legende" sheetId="9" r:id="rId1"/>
    <sheet name="Allgemein" sheetId="1" r:id="rId2"/>
    <sheet name="Strompreis" sheetId="2" r:id="rId3"/>
    <sheet name="Schätzung Wallboxbesitzer" sheetId="4" r:id="rId4"/>
    <sheet name="Nachfrage Jahr 1" sheetId="6" r:id="rId5"/>
    <sheet name="Nachfrage Jahr 2" sheetId="12" r:id="rId6"/>
    <sheet name="Nachfrage Jahr 3" sheetId="3" r:id="rId7"/>
    <sheet name="Angebotsentwicklung" sheetId="7" r:id="rId8"/>
    <sheet name="Angebot und Nachfrage" sheetId="17" r:id="rId9"/>
    <sheet name="Umsatz Detail" sheetId="10" r:id="rId10"/>
    <sheet name="GuV Tabelle" sheetId="13" r:id="rId11"/>
    <sheet name="Break Even Analysis" sheetId="16" r:id="rId12"/>
    <sheet name="Marketingplan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H30" i="6"/>
  <c r="H10" i="6"/>
  <c r="H24" i="6"/>
  <c r="H25" i="6"/>
  <c r="I42" i="1"/>
  <c r="I41" i="1"/>
  <c r="J38" i="1"/>
  <c r="J37" i="1"/>
  <c r="I37" i="1"/>
  <c r="C8" i="10"/>
  <c r="C7" i="10"/>
  <c r="AC6" i="13"/>
  <c r="AJ6" i="13"/>
  <c r="AK6" i="13"/>
  <c r="AA6" i="13"/>
  <c r="P6" i="13"/>
  <c r="U6" i="13"/>
  <c r="V6" i="13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N29" i="10"/>
  <c r="D5" i="17"/>
  <c r="C5" i="17"/>
  <c r="B5" i="17"/>
  <c r="C4" i="17"/>
  <c r="H8" i="10"/>
  <c r="J8" i="10" s="1"/>
  <c r="Q6" i="13" s="1"/>
  <c r="D7" i="10"/>
  <c r="AL25" i="13"/>
  <c r="AC25" i="13"/>
  <c r="AD25" i="13"/>
  <c r="AE25" i="13"/>
  <c r="AF25" i="13"/>
  <c r="AG25" i="13"/>
  <c r="AG26" i="13" s="1"/>
  <c r="AH25" i="13"/>
  <c r="AI25" i="13"/>
  <c r="AJ25" i="13"/>
  <c r="AK25" i="13"/>
  <c r="AB25" i="13"/>
  <c r="AA25" i="13"/>
  <c r="AL24" i="13"/>
  <c r="AC24" i="13"/>
  <c r="AD24" i="13"/>
  <c r="AD26" i="13" s="1"/>
  <c r="AE24" i="13"/>
  <c r="AF24" i="13"/>
  <c r="AG24" i="13"/>
  <c r="AH24" i="13"/>
  <c r="AI24" i="13"/>
  <c r="AJ24" i="13"/>
  <c r="AK24" i="13"/>
  <c r="AB24" i="13"/>
  <c r="AA24" i="13"/>
  <c r="AA26" i="13" s="1"/>
  <c r="Z25" i="13"/>
  <c r="Q25" i="13"/>
  <c r="R25" i="13"/>
  <c r="S25" i="13"/>
  <c r="T25" i="13"/>
  <c r="U25" i="13"/>
  <c r="V25" i="13"/>
  <c r="W25" i="13"/>
  <c r="X25" i="13"/>
  <c r="Y25" i="13"/>
  <c r="P25" i="13"/>
  <c r="Z24" i="13"/>
  <c r="O25" i="13"/>
  <c r="Q24" i="13"/>
  <c r="R24" i="13"/>
  <c r="S24" i="13"/>
  <c r="S26" i="13" s="1"/>
  <c r="T24" i="13"/>
  <c r="U24" i="13"/>
  <c r="V24" i="13"/>
  <c r="W24" i="13"/>
  <c r="X24" i="13"/>
  <c r="Y24" i="13"/>
  <c r="P24" i="13"/>
  <c r="P26" i="13" s="1"/>
  <c r="O24" i="13"/>
  <c r="N25" i="13"/>
  <c r="M25" i="13"/>
  <c r="L25" i="13"/>
  <c r="K25" i="13"/>
  <c r="J25" i="13"/>
  <c r="I25" i="13"/>
  <c r="H25" i="13"/>
  <c r="XFD25" i="13"/>
  <c r="G25" i="13"/>
  <c r="F25" i="13"/>
  <c r="F26" i="13" s="1"/>
  <c r="E25" i="13"/>
  <c r="D25" i="13"/>
  <c r="C25" i="13"/>
  <c r="N24" i="13"/>
  <c r="E24" i="13"/>
  <c r="F24" i="13"/>
  <c r="G24" i="13"/>
  <c r="H24" i="13"/>
  <c r="I24" i="13"/>
  <c r="J24" i="13"/>
  <c r="K24" i="13"/>
  <c r="K26" i="13" s="1"/>
  <c r="L24" i="13"/>
  <c r="M24" i="13"/>
  <c r="D24" i="13"/>
  <c r="D26" i="13" s="1"/>
  <c r="C24" i="13"/>
  <c r="AB12" i="13"/>
  <c r="AD12" i="13"/>
  <c r="P12" i="13"/>
  <c r="Q12" i="13"/>
  <c r="R12" i="13"/>
  <c r="S12" i="13"/>
  <c r="T12" i="13"/>
  <c r="U12" i="13"/>
  <c r="V12" i="13"/>
  <c r="W12" i="13"/>
  <c r="X12" i="13"/>
  <c r="Y12" i="13"/>
  <c r="Z12" i="13"/>
  <c r="AF12" i="13" s="1"/>
  <c r="O12" i="13"/>
  <c r="P11" i="13"/>
  <c r="Q11" i="13"/>
  <c r="R11" i="13"/>
  <c r="S11" i="13"/>
  <c r="T11" i="13"/>
  <c r="U11" i="13"/>
  <c r="V11" i="13"/>
  <c r="W11" i="13"/>
  <c r="X11" i="13"/>
  <c r="Y11" i="13"/>
  <c r="Z11" i="13"/>
  <c r="AC11" i="13" s="1"/>
  <c r="O11" i="13"/>
  <c r="P10" i="13"/>
  <c r="Q10" i="13"/>
  <c r="R10" i="13"/>
  <c r="S10" i="13"/>
  <c r="T10" i="13"/>
  <c r="U10" i="13"/>
  <c r="V10" i="13"/>
  <c r="W10" i="13"/>
  <c r="X10" i="13"/>
  <c r="Y10" i="13"/>
  <c r="Z10" i="13"/>
  <c r="AH10" i="13" s="1"/>
  <c r="O10" i="13"/>
  <c r="C20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C19" i="13"/>
  <c r="I23" i="7"/>
  <c r="C28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O16" i="13"/>
  <c r="D16" i="13"/>
  <c r="E16" i="13"/>
  <c r="F16" i="13"/>
  <c r="G16" i="13"/>
  <c r="H16" i="13"/>
  <c r="I16" i="13"/>
  <c r="J16" i="13"/>
  <c r="K16" i="13"/>
  <c r="L16" i="13"/>
  <c r="M16" i="13"/>
  <c r="N16" i="13"/>
  <c r="C16" i="13"/>
  <c r="N37" i="15"/>
  <c r="N51" i="15"/>
  <c r="N65" i="15"/>
  <c r="N70" i="15" s="1"/>
  <c r="AB28" i="13"/>
  <c r="AC28" i="13"/>
  <c r="AD28" i="13"/>
  <c r="AE28" i="13"/>
  <c r="AF28" i="13"/>
  <c r="AG28" i="13"/>
  <c r="AH28" i="13"/>
  <c r="AI28" i="13"/>
  <c r="AJ28" i="13"/>
  <c r="AK28" i="13"/>
  <c r="AL28" i="13"/>
  <c r="AA28" i="13"/>
  <c r="N68" i="15"/>
  <c r="P28" i="13"/>
  <c r="Q28" i="13"/>
  <c r="R28" i="13"/>
  <c r="S28" i="13"/>
  <c r="T28" i="13"/>
  <c r="U28" i="13"/>
  <c r="V28" i="13"/>
  <c r="W28" i="13"/>
  <c r="X28" i="13"/>
  <c r="Y28" i="13"/>
  <c r="Z28" i="13"/>
  <c r="O28" i="13"/>
  <c r="N69" i="15"/>
  <c r="N55" i="15"/>
  <c r="N41" i="15"/>
  <c r="N54" i="15"/>
  <c r="N66" i="15"/>
  <c r="N67" i="15"/>
  <c r="N52" i="15"/>
  <c r="N53" i="15"/>
  <c r="M27" i="4"/>
  <c r="J28" i="4" s="1"/>
  <c r="J29" i="4" s="1"/>
  <c r="J30" i="4" s="1"/>
  <c r="J31" i="4" s="1"/>
  <c r="J32" i="4" s="1"/>
  <c r="J33" i="4" s="1"/>
  <c r="D13" i="13"/>
  <c r="E13" i="13"/>
  <c r="F13" i="13"/>
  <c r="G13" i="13"/>
  <c r="H13" i="13"/>
  <c r="I13" i="13"/>
  <c r="J13" i="13"/>
  <c r="K13" i="13"/>
  <c r="L13" i="13"/>
  <c r="M13" i="13"/>
  <c r="N13" i="13"/>
  <c r="C13" i="13"/>
  <c r="D28" i="13"/>
  <c r="E28" i="13"/>
  <c r="F28" i="13"/>
  <c r="G28" i="13"/>
  <c r="H28" i="13"/>
  <c r="I28" i="13"/>
  <c r="J28" i="13"/>
  <c r="K28" i="13"/>
  <c r="L28" i="13"/>
  <c r="M28" i="13"/>
  <c r="N28" i="13"/>
  <c r="N34" i="15"/>
  <c r="N38" i="15"/>
  <c r="N39" i="15"/>
  <c r="N40" i="15"/>
  <c r="G7" i="10"/>
  <c r="I7" i="10" s="1"/>
  <c r="G8" i="10"/>
  <c r="I8" i="10" s="1"/>
  <c r="C21" i="12"/>
  <c r="C23" i="12" s="1"/>
  <c r="C24" i="12" s="1"/>
  <c r="C15" i="12"/>
  <c r="H17" i="12" s="1"/>
  <c r="H18" i="12" s="1"/>
  <c r="E17" i="12"/>
  <c r="E18" i="12" s="1"/>
  <c r="H9" i="12"/>
  <c r="C8" i="12"/>
  <c r="H8" i="12" s="1"/>
  <c r="H10" i="12" s="1"/>
  <c r="H11" i="12" s="1"/>
  <c r="C8" i="6"/>
  <c r="E8" i="6" s="1"/>
  <c r="C21" i="3"/>
  <c r="C23" i="3"/>
  <c r="C24" i="3" s="1"/>
  <c r="J5" i="1"/>
  <c r="D8" i="7"/>
  <c r="C8" i="7"/>
  <c r="B7" i="4"/>
  <c r="B8" i="4" s="1"/>
  <c r="C58" i="1"/>
  <c r="C21" i="6"/>
  <c r="C15" i="6"/>
  <c r="E17" i="6" s="1"/>
  <c r="E18" i="6" s="1"/>
  <c r="H9" i="6"/>
  <c r="C8" i="3"/>
  <c r="E8" i="3"/>
  <c r="C7" i="7" s="1"/>
  <c r="C15" i="3"/>
  <c r="H17" i="3" s="1"/>
  <c r="D58" i="1"/>
  <c r="E58" i="1"/>
  <c r="H9" i="3"/>
  <c r="E26" i="1"/>
  <c r="D26" i="1"/>
  <c r="C26" i="1"/>
  <c r="T8" i="1" s="1"/>
  <c r="T9" i="1"/>
  <c r="E23" i="2"/>
  <c r="I10" i="1" s="1"/>
  <c r="E6" i="2"/>
  <c r="E7" i="2"/>
  <c r="E8" i="2"/>
  <c r="E9" i="2"/>
  <c r="E10" i="2"/>
  <c r="E5" i="2"/>
  <c r="D12" i="2"/>
  <c r="E12" i="2" s="1"/>
  <c r="H21" i="12"/>
  <c r="E21" i="12"/>
  <c r="S6" i="1"/>
  <c r="S9" i="1"/>
  <c r="H8" i="3"/>
  <c r="C7" i="4" s="1"/>
  <c r="E17" i="3"/>
  <c r="E18" i="3" s="1"/>
  <c r="AK26" i="13" l="1"/>
  <c r="Z26" i="13"/>
  <c r="H26" i="13"/>
  <c r="Q26" i="13"/>
  <c r="G26" i="13"/>
  <c r="R26" i="13"/>
  <c r="O26" i="13"/>
  <c r="AE26" i="13"/>
  <c r="W13" i="13"/>
  <c r="AA10" i="13"/>
  <c r="N26" i="13"/>
  <c r="Y26" i="13"/>
  <c r="AC26" i="13"/>
  <c r="AJ26" i="13"/>
  <c r="V13" i="13"/>
  <c r="AL10" i="13"/>
  <c r="X26" i="13"/>
  <c r="AL26" i="13"/>
  <c r="AB26" i="13"/>
  <c r="AK10" i="13"/>
  <c r="H11" i="6"/>
  <c r="AL6" i="13"/>
  <c r="O6" i="13"/>
  <c r="AI6" i="13"/>
  <c r="Z6" i="13"/>
  <c r="AH6" i="13"/>
  <c r="Y6" i="13"/>
  <c r="AG6" i="13"/>
  <c r="X6" i="13"/>
  <c r="AF6" i="13"/>
  <c r="W6" i="13"/>
  <c r="AE6" i="13"/>
  <c r="AD6" i="13"/>
  <c r="T6" i="13"/>
  <c r="AB6" i="13"/>
  <c r="S6" i="13"/>
  <c r="R6" i="13"/>
  <c r="N42" i="15"/>
  <c r="N56" i="15"/>
  <c r="P13" i="13"/>
  <c r="AB10" i="13"/>
  <c r="C26" i="13"/>
  <c r="W26" i="13"/>
  <c r="AI26" i="13"/>
  <c r="AL12" i="13"/>
  <c r="V26" i="13"/>
  <c r="AH26" i="13"/>
  <c r="AH12" i="13"/>
  <c r="M26" i="13"/>
  <c r="E26" i="13"/>
  <c r="U26" i="13"/>
  <c r="J26" i="13"/>
  <c r="AE12" i="13"/>
  <c r="L26" i="13"/>
  <c r="I26" i="13"/>
  <c r="T26" i="13"/>
  <c r="AF26" i="13"/>
  <c r="AF11" i="13"/>
  <c r="O13" i="13"/>
  <c r="S13" i="13"/>
  <c r="T13" i="13"/>
  <c r="AJ10" i="13"/>
  <c r="AE11" i="13"/>
  <c r="AF10" i="13"/>
  <c r="Y13" i="13"/>
  <c r="Q13" i="13"/>
  <c r="U13" i="13"/>
  <c r="AD10" i="13"/>
  <c r="AJ12" i="13"/>
  <c r="AG11" i="13"/>
  <c r="R13" i="13"/>
  <c r="X13" i="13"/>
  <c r="AC10" i="13"/>
  <c r="AI12" i="13"/>
  <c r="AI11" i="13"/>
  <c r="C22" i="13"/>
  <c r="C31" i="13" s="1"/>
  <c r="H21" i="3"/>
  <c r="C9" i="7"/>
  <c r="E24" i="3"/>
  <c r="E25" i="3" s="1"/>
  <c r="H24" i="3"/>
  <c r="H25" i="3" s="1"/>
  <c r="C8" i="4"/>
  <c r="C9" i="4" s="1"/>
  <c r="B9" i="4"/>
  <c r="H10" i="3"/>
  <c r="H11" i="3" s="1"/>
  <c r="H30" i="3" s="1"/>
  <c r="D7" i="7"/>
  <c r="D9" i="7" s="1"/>
  <c r="E21" i="3"/>
  <c r="H24" i="12"/>
  <c r="H25" i="12" s="1"/>
  <c r="H30" i="12" s="1"/>
  <c r="E24" i="12"/>
  <c r="E25" i="12" s="1"/>
  <c r="E8" i="12"/>
  <c r="H17" i="6"/>
  <c r="H18" i="6" s="1"/>
  <c r="H21" i="6"/>
  <c r="E21" i="6"/>
  <c r="C23" i="6"/>
  <c r="C24" i="6" s="1"/>
  <c r="H8" i="6"/>
  <c r="E7" i="10"/>
  <c r="E8" i="10"/>
  <c r="I38" i="1"/>
  <c r="I6" i="1"/>
  <c r="I5" i="1"/>
  <c r="D14" i="10"/>
  <c r="D15" i="10" s="1"/>
  <c r="G15" i="10" s="1"/>
  <c r="H15" i="10" s="1"/>
  <c r="I15" i="10" s="1"/>
  <c r="T6" i="1"/>
  <c r="I9" i="1"/>
  <c r="S7" i="1"/>
  <c r="T7" i="1"/>
  <c r="S8" i="1"/>
  <c r="J6" i="1"/>
  <c r="H7" i="10"/>
  <c r="J7" i="10" s="1"/>
  <c r="C6" i="13" s="1"/>
  <c r="D8" i="10"/>
  <c r="AA11" i="13"/>
  <c r="AG10" i="13"/>
  <c r="AJ11" i="13"/>
  <c r="AB11" i="13"/>
  <c r="AB13" i="13" s="1"/>
  <c r="Z13" i="13"/>
  <c r="AA12" i="13"/>
  <c r="AE10" i="13"/>
  <c r="AH11" i="13"/>
  <c r="AK12" i="13"/>
  <c r="AC12" i="13"/>
  <c r="AI10" i="13"/>
  <c r="AL11" i="13"/>
  <c r="AD11" i="13"/>
  <c r="AG12" i="13"/>
  <c r="AK11" i="13"/>
  <c r="B8" i="16" l="1"/>
  <c r="AL13" i="13"/>
  <c r="AH13" i="13"/>
  <c r="AJ13" i="13"/>
  <c r="AD13" i="13"/>
  <c r="AE13" i="13"/>
  <c r="AF13" i="13"/>
  <c r="AI13" i="13"/>
  <c r="AK13" i="13"/>
  <c r="AC13" i="13"/>
  <c r="AG13" i="13"/>
  <c r="E10" i="6"/>
  <c r="E11" i="6" s="1"/>
  <c r="E10" i="12"/>
  <c r="E11" i="12" s="1"/>
  <c r="E10" i="3"/>
  <c r="E11" i="3" s="1"/>
  <c r="E30" i="3" s="1"/>
  <c r="J30" i="3" s="1"/>
  <c r="J32" i="3" s="1"/>
  <c r="D4" i="17" s="1"/>
  <c r="E30" i="12"/>
  <c r="J30" i="12" s="1"/>
  <c r="J32" i="12" s="1"/>
  <c r="E9" i="7"/>
  <c r="E7" i="7"/>
  <c r="E24" i="6"/>
  <c r="E25" i="6" s="1"/>
  <c r="K15" i="10"/>
  <c r="E14" i="10"/>
  <c r="G14" i="10"/>
  <c r="H14" i="10" s="1"/>
  <c r="C33" i="13"/>
  <c r="B7" i="16"/>
  <c r="B9" i="16" s="1"/>
  <c r="AA13" i="13"/>
  <c r="E30" i="6" l="1"/>
  <c r="J30" i="6" s="1"/>
  <c r="J32" i="6" s="1"/>
  <c r="B4" i="17" s="1"/>
  <c r="E17" i="7"/>
  <c r="E19" i="7" s="1"/>
  <c r="E21" i="7" s="1"/>
  <c r="U17" i="7" s="1"/>
  <c r="D17" i="7"/>
  <c r="D19" i="7" s="1"/>
  <c r="D21" i="7" s="1"/>
  <c r="U16" i="7" s="1"/>
  <c r="C17" i="7"/>
  <c r="C19" i="7" s="1"/>
  <c r="C21" i="7" s="1"/>
  <c r="U15" i="7" s="1"/>
  <c r="V15" i="7" s="1"/>
  <c r="J15" i="7" s="1"/>
  <c r="I14" i="10"/>
  <c r="K14" i="10"/>
  <c r="J14" i="10"/>
  <c r="E15" i="10"/>
  <c r="J15" i="10" s="1"/>
  <c r="L15" i="10" s="1"/>
  <c r="N14" i="10"/>
  <c r="J23" i="7" l="1"/>
  <c r="K15" i="7"/>
  <c r="D20" i="13"/>
  <c r="D22" i="13" s="1"/>
  <c r="D31" i="13" s="1"/>
  <c r="D6" i="13"/>
  <c r="L14" i="10"/>
  <c r="C7" i="16" l="1"/>
  <c r="D33" i="13"/>
  <c r="C8" i="16"/>
  <c r="K23" i="7"/>
  <c r="L15" i="7"/>
  <c r="E20" i="13"/>
  <c r="E22" i="13" s="1"/>
  <c r="E31" i="13" s="1"/>
  <c r="E6" i="13"/>
  <c r="L23" i="7" l="1"/>
  <c r="M15" i="7"/>
  <c r="F20" i="13"/>
  <c r="F22" i="13" s="1"/>
  <c r="F31" i="13" s="1"/>
  <c r="F6" i="13"/>
  <c r="E33" i="13"/>
  <c r="D7" i="16"/>
  <c r="D8" i="16"/>
  <c r="C9" i="16"/>
  <c r="D9" i="16" l="1"/>
  <c r="F33" i="13"/>
  <c r="E7" i="16"/>
  <c r="E8" i="16"/>
  <c r="G20" i="13"/>
  <c r="G22" i="13" s="1"/>
  <c r="G31" i="13" s="1"/>
  <c r="N15" i="7"/>
  <c r="M23" i="7"/>
  <c r="G6" i="13"/>
  <c r="H20" i="13" l="1"/>
  <c r="H22" i="13" s="1"/>
  <c r="H31" i="13" s="1"/>
  <c r="N23" i="7"/>
  <c r="O15" i="7"/>
  <c r="H6" i="13"/>
  <c r="F8" i="16"/>
  <c r="G33" i="13"/>
  <c r="F7" i="16"/>
  <c r="E9" i="16"/>
  <c r="H33" i="13" l="1"/>
  <c r="G7" i="16"/>
  <c r="G8" i="16"/>
  <c r="I20" i="13"/>
  <c r="I22" i="13" s="1"/>
  <c r="I31" i="13" s="1"/>
  <c r="P15" i="7"/>
  <c r="O23" i="7"/>
  <c r="I6" i="13"/>
  <c r="F9" i="16"/>
  <c r="G9" i="16" l="1"/>
  <c r="Q15" i="7"/>
  <c r="J20" i="13"/>
  <c r="J22" i="13" s="1"/>
  <c r="J31" i="13" s="1"/>
  <c r="P23" i="7"/>
  <c r="J6" i="13"/>
  <c r="H8" i="16"/>
  <c r="H7" i="16"/>
  <c r="I33" i="13"/>
  <c r="Q23" i="7" l="1"/>
  <c r="K20" i="13"/>
  <c r="K22" i="13" s="1"/>
  <c r="K31" i="13" s="1"/>
  <c r="R15" i="7"/>
  <c r="K6" i="13"/>
  <c r="H9" i="16"/>
  <c r="I7" i="16"/>
  <c r="J33" i="13"/>
  <c r="I8" i="16"/>
  <c r="K33" i="13" l="1"/>
  <c r="J7" i="16"/>
  <c r="S15" i="7"/>
  <c r="R23" i="7"/>
  <c r="L20" i="13"/>
  <c r="L22" i="13" s="1"/>
  <c r="L31" i="13" s="1"/>
  <c r="L6" i="13"/>
  <c r="I9" i="16"/>
  <c r="J8" i="16"/>
  <c r="M20" i="13" l="1"/>
  <c r="M22" i="13" s="1"/>
  <c r="M31" i="13" s="1"/>
  <c r="S23" i="7"/>
  <c r="T15" i="7"/>
  <c r="M6" i="13"/>
  <c r="K8" i="16"/>
  <c r="J9" i="16"/>
  <c r="L33" i="13"/>
  <c r="K7" i="16"/>
  <c r="T23" i="7" l="1"/>
  <c r="I16" i="7"/>
  <c r="N20" i="13"/>
  <c r="N22" i="13" s="1"/>
  <c r="N31" i="13" s="1"/>
  <c r="G39" i="13" s="1"/>
  <c r="N6" i="13"/>
  <c r="L7" i="16"/>
  <c r="M33" i="13"/>
  <c r="K9" i="16"/>
  <c r="L8" i="16"/>
  <c r="L9" i="16" l="1"/>
  <c r="M7" i="16"/>
  <c r="N33" i="13"/>
  <c r="H39" i="13" s="1"/>
  <c r="E39" i="13"/>
  <c r="M8" i="16"/>
  <c r="I24" i="7"/>
  <c r="O20" i="13"/>
  <c r="O22" i="13" s="1"/>
  <c r="O31" i="13" s="1"/>
  <c r="V16" i="7"/>
  <c r="J16" i="7" s="1"/>
  <c r="N8" i="16" l="1"/>
  <c r="P20" i="13"/>
  <c r="P22" i="13" s="1"/>
  <c r="P31" i="13" s="1"/>
  <c r="O8" i="16" s="1"/>
  <c r="K16" i="7"/>
  <c r="J24" i="7"/>
  <c r="N7" i="16"/>
  <c r="N9" i="16" s="1"/>
  <c r="B48" i="15"/>
  <c r="O33" i="13"/>
  <c r="J39" i="13"/>
  <c r="M9" i="16"/>
  <c r="O7" i="16" l="1"/>
  <c r="O9" i="16" s="1"/>
  <c r="C48" i="15"/>
  <c r="P33" i="13"/>
  <c r="Q20" i="13"/>
  <c r="Q22" i="13" s="1"/>
  <c r="Q31" i="13" s="1"/>
  <c r="P8" i="16" s="1"/>
  <c r="L16" i="7"/>
  <c r="K24" i="7"/>
  <c r="Q33" i="13" l="1"/>
  <c r="D48" i="15"/>
  <c r="P7" i="16"/>
  <c r="P9" i="16" s="1"/>
  <c r="R20" i="13"/>
  <c r="R22" i="13" s="1"/>
  <c r="R31" i="13" s="1"/>
  <c r="Q8" i="16" s="1"/>
  <c r="L24" i="7"/>
  <c r="M16" i="7"/>
  <c r="E48" i="15" l="1"/>
  <c r="Q7" i="16"/>
  <c r="Q9" i="16" s="1"/>
  <c r="R33" i="13"/>
  <c r="M24" i="7"/>
  <c r="S20" i="13"/>
  <c r="S22" i="13" s="1"/>
  <c r="S31" i="13" s="1"/>
  <c r="R8" i="16" s="1"/>
  <c r="N16" i="7"/>
  <c r="N24" i="7" l="1"/>
  <c r="T20" i="13"/>
  <c r="T22" i="13" s="1"/>
  <c r="T31" i="13" s="1"/>
  <c r="S8" i="16" s="1"/>
  <c r="O16" i="7"/>
  <c r="S33" i="13"/>
  <c r="F48" i="15"/>
  <c r="R7" i="16"/>
  <c r="R9" i="16" s="1"/>
  <c r="T33" i="13" l="1"/>
  <c r="S7" i="16"/>
  <c r="S9" i="16" s="1"/>
  <c r="G48" i="15"/>
  <c r="O24" i="7"/>
  <c r="U20" i="13"/>
  <c r="U22" i="13" s="1"/>
  <c r="U31" i="13" s="1"/>
  <c r="T8" i="16" s="1"/>
  <c r="P16" i="7"/>
  <c r="U33" i="13" l="1"/>
  <c r="T7" i="16"/>
  <c r="T9" i="16" s="1"/>
  <c r="H48" i="15"/>
  <c r="Q16" i="7"/>
  <c r="P24" i="7"/>
  <c r="V20" i="13"/>
  <c r="V22" i="13" s="1"/>
  <c r="V31" i="13" s="1"/>
  <c r="U8" i="16" s="1"/>
  <c r="I48" i="15" l="1"/>
  <c r="V33" i="13"/>
  <c r="U7" i="16"/>
  <c r="U9" i="16" s="1"/>
  <c r="W20" i="13"/>
  <c r="W22" i="13" s="1"/>
  <c r="W31" i="13" s="1"/>
  <c r="V8" i="16" s="1"/>
  <c r="Q24" i="7"/>
  <c r="R16" i="7"/>
  <c r="R24" i="7" l="1"/>
  <c r="X20" i="13"/>
  <c r="X22" i="13" s="1"/>
  <c r="X31" i="13" s="1"/>
  <c r="W8" i="16" s="1"/>
  <c r="S16" i="7"/>
  <c r="V7" i="16"/>
  <c r="V9" i="16" s="1"/>
  <c r="W33" i="13"/>
  <c r="J48" i="15"/>
  <c r="Y20" i="13" l="1"/>
  <c r="Y22" i="13" s="1"/>
  <c r="Y31" i="13" s="1"/>
  <c r="X8" i="16" s="1"/>
  <c r="T16" i="7"/>
  <c r="S24" i="7"/>
  <c r="X33" i="13"/>
  <c r="W7" i="16"/>
  <c r="W9" i="16" s="1"/>
  <c r="K48" i="15"/>
  <c r="L48" i="15" l="1"/>
  <c r="Y33" i="13"/>
  <c r="X7" i="16"/>
  <c r="X9" i="16" s="1"/>
  <c r="Z20" i="13"/>
  <c r="Z22" i="13" s="1"/>
  <c r="Z31" i="13" s="1"/>
  <c r="I17" i="7"/>
  <c r="T24" i="7"/>
  <c r="Y8" i="16" l="1"/>
  <c r="G40" i="13"/>
  <c r="AA20" i="13"/>
  <c r="AA22" i="13" s="1"/>
  <c r="AA31" i="13" s="1"/>
  <c r="I25" i="7"/>
  <c r="V17" i="7"/>
  <c r="J17" i="7" s="1"/>
  <c r="Z33" i="13"/>
  <c r="H40" i="13" s="1"/>
  <c r="Y7" i="16"/>
  <c r="Y9" i="16" s="1"/>
  <c r="M48" i="15"/>
  <c r="N48" i="15" s="1"/>
  <c r="E40" i="13"/>
  <c r="Z8" i="16" l="1"/>
  <c r="J25" i="7"/>
  <c r="AB20" i="13"/>
  <c r="AB22" i="13" s="1"/>
  <c r="AB31" i="13" s="1"/>
  <c r="AA8" i="16" s="1"/>
  <c r="K17" i="7"/>
  <c r="J40" i="13"/>
  <c r="B62" i="15"/>
  <c r="Z7" i="16"/>
  <c r="Z9" i="16" s="1"/>
  <c r="AA33" i="13"/>
  <c r="AA7" i="16" l="1"/>
  <c r="AA9" i="16" s="1"/>
  <c r="AB33" i="13"/>
  <c r="C62" i="15"/>
  <c r="AC20" i="13"/>
  <c r="AC22" i="13" s="1"/>
  <c r="AC31" i="13" s="1"/>
  <c r="AB8" i="16" s="1"/>
  <c r="K25" i="7"/>
  <c r="L17" i="7"/>
  <c r="D62" i="15" l="1"/>
  <c r="AB7" i="16"/>
  <c r="AB9" i="16" s="1"/>
  <c r="AC33" i="13"/>
  <c r="M17" i="7"/>
  <c r="L25" i="7"/>
  <c r="AD20" i="13"/>
  <c r="AD22" i="13" s="1"/>
  <c r="AD31" i="13" s="1"/>
  <c r="AC8" i="16" s="1"/>
  <c r="E62" i="15" l="1"/>
  <c r="AD33" i="13"/>
  <c r="AC7" i="16"/>
  <c r="AC9" i="16" s="1"/>
  <c r="AE20" i="13"/>
  <c r="AE22" i="13" s="1"/>
  <c r="AE31" i="13" s="1"/>
  <c r="AD8" i="16" s="1"/>
  <c r="M25" i="7"/>
  <c r="N17" i="7"/>
  <c r="F62" i="15" l="1"/>
  <c r="AE33" i="13"/>
  <c r="AD7" i="16"/>
  <c r="AD9" i="16" s="1"/>
  <c r="N25" i="7"/>
  <c r="AF20" i="13"/>
  <c r="AF22" i="13" s="1"/>
  <c r="AF31" i="13" s="1"/>
  <c r="AE8" i="16" s="1"/>
  <c r="O17" i="7"/>
  <c r="AE7" i="16" l="1"/>
  <c r="AE9" i="16" s="1"/>
  <c r="G62" i="15"/>
  <c r="AF33" i="13"/>
  <c r="AG20" i="13"/>
  <c r="AG22" i="13" s="1"/>
  <c r="AG31" i="13" s="1"/>
  <c r="AF8" i="16" s="1"/>
  <c r="P17" i="7"/>
  <c r="O25" i="7"/>
  <c r="P25" i="7" l="1"/>
  <c r="Q17" i="7"/>
  <c r="AH20" i="13"/>
  <c r="AH22" i="13" s="1"/>
  <c r="AH31" i="13" s="1"/>
  <c r="AG8" i="16" s="1"/>
  <c r="AG33" i="13"/>
  <c r="AF7" i="16"/>
  <c r="AF9" i="16" s="1"/>
  <c r="H62" i="15"/>
  <c r="I62" i="15" l="1"/>
  <c r="AH33" i="13"/>
  <c r="AG7" i="16"/>
  <c r="AG9" i="16" s="1"/>
  <c r="AI20" i="13"/>
  <c r="AI22" i="13" s="1"/>
  <c r="AI31" i="13" s="1"/>
  <c r="AH8" i="16" s="1"/>
  <c r="R17" i="7"/>
  <c r="Q25" i="7"/>
  <c r="AI33" i="13" l="1"/>
  <c r="AH7" i="16"/>
  <c r="AH9" i="16" s="1"/>
  <c r="J62" i="15"/>
  <c r="R25" i="7"/>
  <c r="S17" i="7"/>
  <c r="AJ20" i="13"/>
  <c r="AJ22" i="13" s="1"/>
  <c r="AJ31" i="13" s="1"/>
  <c r="AI8" i="16" s="1"/>
  <c r="AI7" i="16" l="1"/>
  <c r="AI9" i="16" s="1"/>
  <c r="K62" i="15"/>
  <c r="AJ33" i="13"/>
  <c r="AK20" i="13"/>
  <c r="AK22" i="13" s="1"/>
  <c r="AK31" i="13" s="1"/>
  <c r="AJ8" i="16" s="1"/>
  <c r="T17" i="7"/>
  <c r="S25" i="7"/>
  <c r="L62" i="15" l="1"/>
  <c r="AJ7" i="16"/>
  <c r="AJ9" i="16" s="1"/>
  <c r="AK33" i="13"/>
  <c r="AL20" i="13"/>
  <c r="AL22" i="13" s="1"/>
  <c r="AL31" i="13" s="1"/>
  <c r="T25" i="7"/>
  <c r="AK8" i="16" l="1"/>
  <c r="G41" i="13"/>
  <c r="M62" i="15"/>
  <c r="N62" i="15" s="1"/>
  <c r="AL33" i="13"/>
  <c r="H41" i="13" s="1"/>
  <c r="AK7" i="16"/>
  <c r="AK9" i="16" s="1"/>
  <c r="E41" i="13"/>
  <c r="I41" i="13" l="1"/>
  <c r="J41" i="13"/>
  <c r="J42" i="13"/>
  <c r="H42" i="13"/>
  <c r="I4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Maresch</author>
  </authors>
  <commentList>
    <comment ref="A3" authorId="0" shapeId="0" xr:uid="{CACF042B-04AD-4ECE-8DB6-38F5C185BCF1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https://www.electrive.net/2025/11/05/kba-neuzulassungen-staerkster-e-auto-zuwachs-seit-umweltbonus-aus/</t>
        </r>
      </text>
    </comment>
    <comment ref="Q3" authorId="0" shapeId="0" xr:uid="{0BD7C9BC-333B-4812-861C-7B03975CEF07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Quelle: https://www.shell.de/laden/wissens-hub/ladegeschwindigkeiten-von-ektrofahrzeugen.html</t>
        </r>
      </text>
    </comment>
    <comment ref="A35" authorId="0" shapeId="0" xr:uid="{06B84B26-94AE-43A4-90F7-FEF87D380681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Eigene Annahme und Recherche gängigster Plug-In-Hybride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Maresch</author>
  </authors>
  <commentList>
    <comment ref="B3" authorId="0" shapeId="0" xr:uid="{39C7AFBB-3B39-4C31-872D-8B2F3B061C14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Vergleich aus Check 24 Region Trudering Riem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raabb</author>
  </authors>
  <commentList>
    <comment ref="A3" authorId="0" shapeId="0" xr:uid="{234323FC-C478-425C-BAA3-A70EA6A5B1C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https://de-statista-com.ezproxy.bib.hm.edu/statistik/daten/studie/1557809/umfrage/prognose-anteil-e-autobesitzer-mit-wallbox/</t>
        </r>
      </text>
    </comment>
    <comment ref="B5" authorId="0" shapeId="0" xr:uid="{21C6A841-6D5B-4622-8E46-3542B04604FF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Schätzung, dass in der Stadt der Anteil der E-Auto Eigentümer geringer ist als auf dem Land. Daher die Schätzung, dass 70% der E-Auto Fahrer in den Fokusgebieten eine eigene Wallbox zur Verfügung haben.
</t>
        </r>
      </text>
    </comment>
    <comment ref="C5" authorId="0" shapeId="0" xr:uid="{672B6BF5-73DE-41E7-B8E6-0F6CCB0F899C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Plug-In Eigentümer weniger eigene Wallboxen haben, da sie noch die Verbrennerkomponente haben.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Maresch</author>
    <author>Bernhard Raab</author>
    <author>raabb</author>
  </authors>
  <commentList>
    <comment ref="B7" authorId="0" shapeId="0" xr:uid="{0DA14D10-3FF2-4093-A6F9-1897E7ADBB35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B8" authorId="0" shapeId="0" xr:uid="{51061FFF-9E31-483B-B7A6-A75B1321FC3E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E8" authorId="1" shapeId="0" xr:uid="{66BE4893-7A76-43CE-9CB4-FD967619A4D8}">
      <text>
        <r>
          <rPr>
            <sz val="11"/>
            <color theme="1"/>
            <rFont val="Aptos Narrow"/>
            <family val="2"/>
            <scheme val="minor"/>
          </rPr>
          <t>raabb:
Annahme, dass der durchschnittliche Anteil der Elektroautos in den östlichen Stadtgebieten, ungefähr den Prozentualen Anteil der gesamten Stadt wiederspiegelt.</t>
        </r>
      </text>
    </comment>
    <comment ref="H8" authorId="2" shapeId="0" xr:uid="{C307FD57-997B-44BD-B26C-F761C9D6B907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 der Plug-in Hybride in dem Münchener Osten dem Stadt durchschnitt entspricht</t>
        </r>
      </text>
    </comment>
    <comment ref="B9" authorId="0" shapeId="0" xr:uid="{6D87BAAD-878D-4725-B040-C80373670E9B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https://muenchen.t-online.de/region/muenchen/id_100693108/e-autos-in-muenchen-jedes-zwanzigste-auto-faehrt-vollelektrisch.html
</t>
        </r>
      </text>
    </comment>
    <comment ref="H9" authorId="2" shapeId="0" xr:uid="{493153CB-8962-49F9-9290-0915E5BBC761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https://www.sueddeutsche.de/muenchen/muenchen-elektromobilitaet-e-auto-ladesaeulen-zukunft-li.3199775</t>
        </r>
      </text>
    </comment>
    <comment ref="B10" authorId="2" shapeId="0" xr:uid="{E5223111-2F70-4FB6-B1DE-B5E10DB353FF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Siehe Tab "Schätzung Wallboxbesitzer". Einfachtshalber sind die Werte die gleichen wie in den Jahren 2 und 3.</t>
        </r>
      </text>
    </comment>
    <comment ref="B11" authorId="2" shapeId="0" xr:uid="{16D9CE38-CE90-4F10-8F48-4F877B1C6641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die "täglichen" Lader ca. 10 mal im Monat bei uns aufladen.</t>
        </r>
      </text>
    </comment>
    <comment ref="C11" authorId="2" shapeId="0" xr:uid="{B19B105D-6F2F-4AD9-AE9D-6ACC763C032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wir mit unserem Fokus und mittels Marketing in unseren Fokusgebieten des Münchener Ostens ca. 0,50% der E-Auto Inhaber und Plug In Auto Inhaber erreichen. können.</t>
        </r>
      </text>
    </comment>
    <comment ref="B13" authorId="0" shapeId="0" xr:uid="{8C5203A2-2307-4893-A1C3-7FBB17506B60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https://messe-muenchen.de/de/presse/pressemitteilungen/rekordergebnisse-als-rueckenwind-fuer-das-mega-messejahr-2025.html</t>
        </r>
      </text>
    </comment>
    <comment ref="B16" authorId="2" shapeId="0" xr:uid="{5EC0A588-AC4F-425B-AA7F-AEDD9A6CC93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Der Gedankengang dahinter ist, dass nicht nur Menschen aus Deutschland die Messestadt besuchen, sondern auch Menschen aus dem Ausland und wir den europäischen E-Autoanteil abbilden möchten.</t>
        </r>
      </text>
    </comment>
    <comment ref="E16" authorId="2" shapeId="0" xr:uid="{8F45B915-73F3-47E3-858E-5B413711618C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H16" authorId="2" shapeId="0" xr:uid="{F7C3A6CC-CADF-4380-AACD-D1D90A15B55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C18" authorId="2" shapeId="0" xr:uid="{CE4301D8-E279-4AF7-B848-387693C96AE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Schätzung, dass etwa 0,10% der Messebesucher mit E-Auto bei unseren Wallboxanbietern lädt.
</t>
        </r>
      </text>
    </comment>
    <comment ref="B20" authorId="1" shapeId="0" xr:uid="{66B01B61-1C8C-4ABE-B7A7-B8AE8DB264D5}">
      <text>
        <r>
          <rPr>
            <sz val="11"/>
            <color theme="1"/>
            <rFont val="Aptos Narrow"/>
            <family val="2"/>
            <scheme val="minor"/>
          </rPr>
          <t>raabb:
Quelle: https://www.merkur.de/bayern/pendler-ansturm-in-bayern-millionen-waehlen-taeglich-das-auto-eine-stadt-faehrt-anders-94010389.html</t>
        </r>
      </text>
    </comment>
    <comment ref="C21" authorId="2" shapeId="0" xr:uid="{A9AD35A7-493D-4E36-9277-276C9F8A160D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Anteil der Pendler in München, die mit dem Auto fahren, ungefähr dem Bayerischen Anteil entwspricht.
</t>
        </r>
      </text>
    </comment>
    <comment ref="E21" authorId="2" shapeId="0" xr:uid="{4C9A8C3E-7B17-432C-BDE4-EAFCC81022C1}">
      <text>
        <r>
          <rPr>
            <b/>
            <sz val="9"/>
            <color indexed="81"/>
            <rFont val="Segoe UI"/>
            <family val="2"/>
          </rPr>
          <t xml:space="preserve">raabb:
</t>
        </r>
        <r>
          <rPr>
            <sz val="9"/>
            <color indexed="81"/>
            <rFont val="Segoe UI"/>
            <family val="2"/>
          </rPr>
          <t xml:space="preserve">Annahme, dass der durchschnittliche Anteil der Elektroautos in den östlichen Stadtgebieten, ungefähr den Prozentualen Anteil der gesamten Stadt wiederspiegelt.
</t>
        </r>
      </text>
    </comment>
    <comment ref="H21" authorId="2" shapeId="0" xr:uid="{11AC0337-40F6-4342-AE77-11C3B66F75D3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durchschnittliche Anteil der Plug-in Hybride in den östlichen Stadtgebieten, ungefähr den Prozentualen Anteil der gesamten Stadt wiederspiegelt.</t>
        </r>
      </text>
    </comment>
    <comment ref="B22" authorId="0" shapeId="0" xr:uid="{95C1D03B-FB97-4C9D-B18D-FED9BD5CD5EE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https://www.sueddeutsche.de/bayern/bayern-arbeitnehmer-pendler-homeoffice-auto-fahhrad-li.3329528</t>
        </r>
      </text>
    </comment>
    <comment ref="C22" authorId="2" shapeId="0" xr:uid="{954196F6-A688-40F7-90B9-E27C36B8B265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Prozentuale Anteil der Pendler in München etwas geringer ist, durch die Bahnanbindung und ÖPNV.</t>
        </r>
      </text>
    </comment>
    <comment ref="B24" authorId="2" shapeId="0" xr:uid="{305114D2-E32C-44CC-A12D-12EFC7652537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Die täglichen Pendler in München heruntergebrochen auf die 4. Stadtbezirke die wir als unser Fokusgebiet auserkoren haben. (4/24)</t>
        </r>
      </text>
    </comment>
    <comment ref="C25" authorId="2" shapeId="0" xr:uid="{ADA3228D-6017-42EE-9771-250C21DB856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Zielsetzung, dass wir in Jahr 1 0,01% der Pendler die in die Fokusgebiete pendeln erreichen können.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Maresch</author>
    <author>Bernhard Raab</author>
    <author>raabb</author>
  </authors>
  <commentList>
    <comment ref="B7" authorId="0" shapeId="0" xr:uid="{444F4713-28DE-4B8C-8409-CB0F4385CC46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B8" authorId="0" shapeId="0" xr:uid="{0EA8358E-5B33-43F0-80F6-262D008ACABB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E8" authorId="1" shapeId="0" xr:uid="{91B08B73-7ADE-4B75-9123-B728B37A3FB7}">
      <text>
        <r>
          <rPr>
            <sz val="11"/>
            <color theme="1"/>
            <rFont val="Aptos Narrow"/>
            <family val="2"/>
            <scheme val="minor"/>
          </rPr>
          <t>raabb:
Annahme, dass der durchschnittliche Anteil der Elektroautos in den östlichen Stadtgebieten, ungefähr den Prozentualen Anteil der gesamten Stadt wiederspiegelt.</t>
        </r>
      </text>
    </comment>
    <comment ref="H8" authorId="2" shapeId="0" xr:uid="{44BB55F9-8E7A-448D-BF92-7DF1C7DB4480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 der Plug-in Hybride in dem Münchener Osten dem Stadt durchschnitt entspricht</t>
        </r>
      </text>
    </comment>
    <comment ref="B9" authorId="0" shapeId="0" xr:uid="{81964774-1308-425F-888D-4FEC3B85CE1B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https://muenchen.t-online.de/region/muenchen/id_100693108/e-autos-in-muenchen-jedes-zwanzigste-auto-faehrt-vollelektrisch.html
</t>
        </r>
      </text>
    </comment>
    <comment ref="H9" authorId="2" shapeId="0" xr:uid="{B5DF3BA3-CC87-455E-827A-F10B8D6B7C44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https://www.sueddeutsche.de/muenchen/muenchen-elektromobilitaet-e-auto-ladesaeulen-zukunft-li.3199775</t>
        </r>
      </text>
    </comment>
    <comment ref="B10" authorId="2" shapeId="0" xr:uid="{D12165EC-40EE-44FB-B6E3-D011A861BC06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Siehe Tab "Schätzung Wallboxbesitzer". Einfachtshalber sind die Werte die gleichen wie in den Jahren 2 und 3.</t>
        </r>
      </text>
    </comment>
    <comment ref="B11" authorId="2" shapeId="0" xr:uid="{479B1F5C-F86A-4BB3-A579-155E573703E3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die "täglichen" Lader ca. 10 mal im Monat bei uns aufladen.</t>
        </r>
      </text>
    </comment>
    <comment ref="C11" authorId="2" shapeId="0" xr:uid="{43639D89-8576-4A42-88FB-4729387D5F53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wir mit unserem Fokus und mittels Marketing in unseren Fokusgebieten des Münchener Ostens ca. 1% der E-Auto Inhaber und Plug In Auto Inhaber erreichen. können.</t>
        </r>
      </text>
    </comment>
    <comment ref="H11" authorId="2" shapeId="0" xr:uid="{09B9E30E-2E1E-48B0-8E6E-643B26714AD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Plug In Hybride deutlich seltener aufgeladen werden als reine Elektroautos</t>
        </r>
      </text>
    </comment>
    <comment ref="B13" authorId="0" shapeId="0" xr:uid="{D4440D99-E4E9-4A10-91A9-AF94252D27A0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https://messe-muenchen.de/de/presse/pressemitteilungen/rekordergebnisse-als-rueckenwind-fuer-das-mega-messejahr-2025.html</t>
        </r>
      </text>
    </comment>
    <comment ref="B16" authorId="2" shapeId="0" xr:uid="{BF8FCF43-F303-4843-99D5-D9E46A06BBAC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Der Gedankengang dahinter ist, dass nicht nur Menschen aus Deutschland die Messestadt besuchen, sondern auch Menschen aus dem Ausland und wir den europäischen E-Autoanteil abbilden möchten.</t>
        </r>
      </text>
    </comment>
    <comment ref="E16" authorId="2" shapeId="0" xr:uid="{82A7C51D-07CC-4918-A1FD-67D1A93DBE2B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H16" authorId="2" shapeId="0" xr:uid="{1D0AF3C0-290A-4203-881F-72ACCA4F87E8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C18" authorId="2" shapeId="0" xr:uid="{47F26ADC-C720-4D1C-8237-CBE99BC9EC5A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Schätzung, dass etwa 0,3% der Messebesucher mit E-Auto bei unseren Wallboxanbietern lädt.
</t>
        </r>
      </text>
    </comment>
    <comment ref="B20" authorId="1" shapeId="0" xr:uid="{1D5C576A-0A05-493C-B555-DAABC6CE98D6}">
      <text>
        <r>
          <rPr>
            <sz val="11"/>
            <color theme="1"/>
            <rFont val="Aptos Narrow"/>
            <family val="2"/>
            <scheme val="minor"/>
          </rPr>
          <t>raabb:
Quelle: https://www.merkur.de/bayern/pendler-ansturm-in-bayern-millionen-waehlen-taeglich-das-auto-eine-stadt-faehrt-anders-94010389.html</t>
        </r>
      </text>
    </comment>
    <comment ref="C21" authorId="2" shapeId="0" xr:uid="{D054183F-7471-480E-B6D6-AD2EBD897CFB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Anteil der Pendler in München, die mit dem Auto fahren, ungefähr dem Bayerischen Anteil entwspricht.
</t>
        </r>
      </text>
    </comment>
    <comment ref="E21" authorId="2" shapeId="0" xr:uid="{8E8EBDEB-3A3B-41BA-BB09-DA8DF723159B}">
      <text>
        <r>
          <rPr>
            <b/>
            <sz val="9"/>
            <color indexed="81"/>
            <rFont val="Segoe UI"/>
            <family val="2"/>
          </rPr>
          <t>raabb:
Annahme, dass der durchschnittliche Anteil der Elektroautos in den östlichen Stadtgebieten, ungefähr den Prozentualen Anteil der gesamten Stadt wiederspiegelt.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21" authorId="2" shapeId="0" xr:uid="{89D2AE0F-5A1E-4A4E-ADFB-C744A442F4CB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durchschnittliche Anteil der Plug-in Hybride in den östlichen Stadtgebieten, ungefähr den Prozentualen Anteil der gesamten Stadt wiederspiegelt.</t>
        </r>
      </text>
    </comment>
    <comment ref="B22" authorId="0" shapeId="0" xr:uid="{1E08C033-F412-47CC-83AD-09445C450653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https://www.sueddeutsche.de/bayern/bayern-arbeitnehmer-pendler-homeoffice-auto-fahhrad-li.3329528</t>
        </r>
      </text>
    </comment>
    <comment ref="C22" authorId="2" shapeId="0" xr:uid="{E2C3E1E6-019B-4BFF-B832-388E2A5F9B23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Prozentuale Anteil der Pendler in München etwas geringer ist, durch die Bahnanbindung und ÖPNV.</t>
        </r>
      </text>
    </comment>
    <comment ref="B24" authorId="2" shapeId="0" xr:uid="{2F6F6841-F5E6-4FFC-8BAA-95CEFE94CE34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Die täglichen Pendler in München heruntergebrochen auf die 4. Stadtbezirke die wir als unser Fokusgebiet auserkoren haben. (4/24)</t>
        </r>
      </text>
    </comment>
    <comment ref="C25" authorId="2" shapeId="0" xr:uid="{5D0954A1-8806-409A-98CB-CFFA3D1AD39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Zielsetzung, dass wir in  Jahr 2 0,03 % der Pendler die in die Fokusgebiete pendeln erreichen können.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Maresch</author>
    <author>Bernhard Raab</author>
    <author>raabb</author>
  </authors>
  <commentList>
    <comment ref="B7" authorId="0" shapeId="0" xr:uid="{4CAC521C-6A78-471E-B272-D434564C615D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B8" authorId="0" shapeId="0" xr:uid="{0E5D5564-6EE5-4283-902A-51B391F7F725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https://stadt.muenchen.de/dam/jcr:08c1aecc-5191-4824-9f80-1c8c381c47e1/jt210705.pdf</t>
        </r>
      </text>
    </comment>
    <comment ref="E8" authorId="1" shapeId="0" xr:uid="{0F1491BB-F4CF-40D2-B758-1436DF8E2D76}">
      <text>
        <r>
          <rPr>
            <sz val="11"/>
            <color theme="1"/>
            <rFont val="Aptos Narrow"/>
            <family val="2"/>
            <scheme val="minor"/>
          </rPr>
          <t>raabb:
Annahme, dass der durchschnittliche Anteil der Elektroautos in den östlichen Stadtgebieten, ungefähr den Prozentualen Anteil der gesamten Stadt wiederspiegelt.</t>
        </r>
      </text>
    </comment>
    <comment ref="H8" authorId="2" shapeId="0" xr:uid="{7DBB6FCB-B955-4758-9EA2-B8266953062F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 der Plug-in Hybride in dem Münchener Osten dem Stadt durchschnitt entspricht</t>
        </r>
      </text>
    </comment>
    <comment ref="B9" authorId="0" shapeId="0" xr:uid="{C0571F3C-9312-40F5-9B63-FB94FFAAB70E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https://muenchen.t-online.de/region/muenchen/id_100693108/e-autos-in-muenchen-jedes-zwanzigste-auto-faehrt-vollelektrisch.html
</t>
        </r>
      </text>
    </comment>
    <comment ref="H9" authorId="2" shapeId="0" xr:uid="{7D7E5DCA-9F0F-4EC5-8632-4195815768B1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https://www.sueddeutsche.de/muenchen/muenchen-elektromobilitaet-e-auto-ladesaeulen-zukunft-li.3199775</t>
        </r>
      </text>
    </comment>
    <comment ref="B10" authorId="2" shapeId="0" xr:uid="{43836F16-CBBC-4972-BB59-71F45ED3D278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Siehe Tab "Schätzung Wallboxbesitzer". Einfachtshalber sind die Werte die gleichen wie in den Jahren 2 und 3.</t>
        </r>
      </text>
    </comment>
    <comment ref="B11" authorId="2" shapeId="0" xr:uid="{6BE2EE91-EDB4-4C6A-9577-FCF8D88DFAB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die "täglichen" Lader ca. 10 mal im Monat bei uns aufladen.</t>
        </r>
      </text>
    </comment>
    <comment ref="C11" authorId="2" shapeId="0" xr:uid="{6A4E7458-64C6-445B-B54B-D2227E914568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wir mit unserem Fokus und mittels Marketing in unseren Fokusgebieten des Münchener Ostens ca. 1,5% der E-Auto Inhaber erreichen können.</t>
        </r>
      </text>
    </comment>
    <comment ref="H11" authorId="2" shapeId="0" xr:uid="{481E8E42-BE8B-42D6-B96F-011C1604943A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Plug In Hybride deutlich seltener aufgeladen werden als reine Elektroautos</t>
        </r>
      </text>
    </comment>
    <comment ref="B13" authorId="0" shapeId="0" xr:uid="{6352D4B7-5A22-4048-8E5E-4BC6E0F76772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https://messe-muenchen.de/de/presse/pressemitteilungen/rekordergebnisse-als-rueckenwind-fuer-das-mega-messejahr-2025.html</t>
        </r>
      </text>
    </comment>
    <comment ref="B16" authorId="2" shapeId="0" xr:uid="{B25C4B28-286A-4E3D-8644-AEBE6E9AB85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Der Gedankengang dahinter ist, dass nicht nur Menschen aus Deutschland die Messestadt besuchen, sondern auch Menschen aus dem Ausland und wir den europäischen E-Autoanteil abbilden möchten.</t>
        </r>
      </text>
    </comment>
    <comment ref="E16" authorId="2" shapeId="0" xr:uid="{78320599-AAEC-48ED-8ED8-17FCF4316A78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H16" authorId="2" shapeId="0" xr:uid="{CE09C11D-2892-44C1-A75F-5FA514E7F5DF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Annahme+Quelle: https://de-statista-com.ezproxy.bib.hm.edu/statistik/daten/studie/1414569/umfrage/anteile-der-antriebsarten-am-pkw-bestand-nach-eu-laendern/
</t>
        </r>
      </text>
    </comment>
    <comment ref="C18" authorId="2" shapeId="0" xr:uid="{D129CFA4-179D-4C97-81B3-9F9FF371E44C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Schätzung, dass etwa 0,5% der Messebesucher erreichen.
</t>
        </r>
      </text>
    </comment>
    <comment ref="H18" authorId="2" shapeId="0" xr:uid="{98845962-8411-4CAB-AECF-7ED99A6AFAAA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Plug In Hybride deutlich seltener aufgeladen werden als reine Elektroautos</t>
        </r>
      </text>
    </comment>
    <comment ref="B20" authorId="1" shapeId="0" xr:uid="{8FB4C595-1BB0-4ABD-A4DA-0C0F5B3031D4}">
      <text>
        <r>
          <rPr>
            <sz val="11"/>
            <color theme="1"/>
            <rFont val="Aptos Narrow"/>
            <family val="2"/>
            <scheme val="minor"/>
          </rPr>
          <t>raabb:
Quelle: https://www.merkur.de/bayern/pendler-ansturm-in-bayern-millionen-waehlen-taeglich-das-auto-eine-stadt-faehrt-anders-94010389.html</t>
        </r>
      </text>
    </comment>
    <comment ref="C21" authorId="2" shapeId="0" xr:uid="{9AB40BE1-B799-4680-A63B-4ED3C47A579A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Anteil der Pendler in München, die mit dem Auto fahren, ungefähr dem Bayerischen Anteil entwspricht.
</t>
        </r>
      </text>
    </comment>
    <comment ref="E21" authorId="2" shapeId="0" xr:uid="{0ECB7A60-80F8-469E-80C7-0A949B9D7A89}">
      <text>
        <r>
          <rPr>
            <b/>
            <sz val="9"/>
            <color indexed="81"/>
            <rFont val="Segoe UI"/>
            <family val="2"/>
          </rPr>
          <t>raabb:
Annahme, dass der durchschnittliche Anteil der Elektroautos in den östlichen Stadtgebieten, ungefähr den Prozentualen Anteil der gesamten Stadt wiederspiegelt.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21" authorId="2" shapeId="0" xr:uid="{2D25C3DA-3C03-4311-A106-AB2EE506567E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durchschnittliche Anteil der Plug-in Hybride in den östlichen Stadtgebieten, ungefähr den Prozentualen Anteil der gesamten Stadt wiederspiegelt.</t>
        </r>
      </text>
    </comment>
    <comment ref="B22" authorId="0" shapeId="0" xr:uid="{4CE522A4-B543-4884-89D1-9C7F898DF141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https://www.sueddeutsche.de/bayern/bayern-arbeitnehmer-pendler-homeoffice-auto-fahhrad-li.3329528</t>
        </r>
      </text>
    </comment>
    <comment ref="C22" authorId="2" shapeId="0" xr:uid="{568AF799-8C15-46E5-9C49-5ED21CDCE32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der Prozentuale Anteil der Pendler in München etwas geringer ist, durch die Bahnanbindung und ÖPNV.</t>
        </r>
      </text>
    </comment>
    <comment ref="B24" authorId="2" shapeId="0" xr:uid="{7B01C090-42CB-450F-9542-D1386D673740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Die täglichen Pendler in München heruntergebrochen auf die 4. Stadtbezirke die wir als unser Fokusgebiet auserkoren haben. (4/24)</t>
        </r>
      </text>
    </comment>
    <comment ref="C25" authorId="2" shapeId="0" xr:uid="{76167F38-66BC-4B48-8A5C-A877ACA23EF7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Zielsetzung, dass wir in Jahr 3, 0,05 % der Pendler die in die Fokusgebiete pendeln erreichen können.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raabb</author>
  </authors>
  <commentList>
    <comment ref="B19" authorId="0" shapeId="0" xr:uid="{2AAAEBBC-428F-449D-BA37-F6CA6E9BC85B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Annahme, dass die meisten Hosts nicht 30 Tage im Monat einen Ladeplatzslot anbieten, sondern 10 Tage.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raabb</author>
  </authors>
  <commentList>
    <comment ref="N14" authorId="0" shapeId="0" xr:uid="{BD27F19D-14F4-4FEA-9EC4-1262AB4895B4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AC Strom an einer Ladesäule kostet bei der SWM 0,49€ brutto
DC Strom gar 0,69€ brutto
Link:https://www.swm.de/elektromobilitaet/oeffentliche-ladestationen#preise</t>
        </r>
      </text>
    </comment>
    <comment ref="A22" authorId="0" shapeId="0" xr:uid="{4A2EDDAE-D967-4A0D-8099-26A9AF14CDD2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https://dasfinanzen.de/wie-viel-geld-kann-man-mit-einer-app-verdienen#google_vignette%23google_vignette</t>
        </r>
      </text>
    </comment>
    <comment ref="A27" authorId="0" shapeId="0" xr:uid="{94EDDE83-D952-44EA-A691-9CD164171356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Eigene Annahme.
</t>
        </r>
      </text>
    </comment>
    <comment ref="A28" authorId="0" shapeId="0" xr:uid="{8A247AA9-8240-46CE-92BB-32DCA196344D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Nach unseren recherschen liegt der cost per click zwischen 0,30€ und 0,50 €. https://dasfinanzen.de/wie-viel-geld-kann-man-mit-einer-app-verdienen#google_vignette%23google_vignette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raabb</author>
    <author>Valentin Maresch</author>
  </authors>
  <commentList>
    <comment ref="B6" authorId="0" shapeId="0" xr:uid="{C0FA251B-0300-4828-AFF9-1A2BD75AD3C5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Einnahmen aus der Vermittlung privater Wallboxen + einnahmen ab jahr 2 von werbeanzeigen.</t>
        </r>
      </text>
    </comment>
    <comment ref="B10" authorId="1" shapeId="0" xr:uid="{9B935349-198A-40DC-A27C-5CD20F5732F5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https://www.transparent-beraten.de/onboarding/ts-gewerbeversicherungen/</t>
        </r>
      </text>
    </comment>
    <comment ref="B11" authorId="1" shapeId="0" xr:uid="{580977E3-0890-4F83-8DDC-65417CFEB8A9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https://www.transparent-beraten.de/onboarding/ts-gewerbeversicherungen/</t>
        </r>
      </text>
    </comment>
    <comment ref="B12" authorId="1" shapeId="0" xr:uid="{9194176F-A66B-44A0-8336-5139DF0F56B4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https://www.transparent-beraten.de/onboarding/ts-gewerbeversicherungen/</t>
        </r>
      </text>
    </comment>
    <comment ref="B13" authorId="0" shapeId="0" xr:uid="{2126CCA3-9A19-46E6-8123-2D06FAE5E469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Wir nehmen an, dass die Versicherungspolicen jedes Jahr 5% teurer werden.</t>
        </r>
      </text>
    </comment>
    <comment ref="B15" authorId="1" shapeId="0" xr:uid="{BDEFD553-74CE-4E53-BEF2-E0572B565A55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https://www.ihk-muenchen.de/ueber-uns/beitrag/</t>
        </r>
      </text>
    </comment>
    <comment ref="C15" authorId="1" shapeId="0" xr:uid="{05251FB2-CF49-4F9A-9DE3-327EC335CDA1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0 € weil nicht im Handelsregister und Jahresertrag &lt;25.000</t>
        </r>
      </text>
    </comment>
    <comment ref="B16" authorId="0" shapeId="0" xr:uid="{49841202-35DF-4D12-ABBC-66F2422F96D5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https://www.united-domains.de/wunsch-domain-kaufen/?transaction_id=10298d81245e151036725806d17a7d&amp;itc=KDI9Y5L6-XIDLQ6-0Q1429E&amp;affiliate_id=1004&amp;utm_source=betterbusiness+GmbH&amp;utm_medium=affiliate&amp;utm_campaign=AFF-DE-DOM-DOMX-1004-----&amp;utm_content=&amp;partner=96</t>
        </r>
      </text>
    </comment>
    <comment ref="B18" authorId="1" shapeId="0" xr:uid="{E60DF3F3-8557-4C10-96C5-B6296D527182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https://www.gruenden-muenchen.de/faq/wo-und-wie-melde-ich-mein-gewerbe-an#:~:text=In%20der%20Stadt%20M%C3%BCnchen%20ist,zwischen%2050%20und%2060%20Euro.</t>
        </r>
      </text>
    </comment>
    <comment ref="B19" authorId="0" shapeId="0" xr:uid="{C570C4D2-3F6D-4827-8A78-E4C6C2F71C39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MS.Office:
https://www.microsoft.com/de-de/microsoft-365/buy/compare-all-microsoft-365-products?msockid=3d99c9fe454062540ebbdd92443f637a
</t>
        </r>
      </text>
    </comment>
    <comment ref="B24" authorId="0" shapeId="0" xr:uid="{2EA4B73F-4553-450E-9F23-D2476FC70060}">
      <text>
        <r>
          <rPr>
            <b/>
            <sz val="9"/>
            <color indexed="81"/>
            <rFont val="Segoe UI"/>
            <family val="2"/>
          </rPr>
          <t>raabb:</t>
        </r>
        <r>
          <rPr>
            <sz val="9"/>
            <color indexed="81"/>
            <rFont val="Segoe UI"/>
            <family val="2"/>
          </rPr>
          <t xml:space="preserve">
2 Personen Vollzeit, 1 Person Teilzeit. Wir kalkulieren mit 2.000 € in Jahr 1 je Vollzeit und 750 € für die Teilzeit Person. Wir verzichten auf 500€, sodass in Jahr 1 das Gehalt bei 1.500€ in den Büchern steht. Das selbe Prinzip verfolgen wir in Jahr 2 und Jahr 3. Wir beabsichtigen erst das volle Gehalt auszuzahlen, wenn wir den Amortisationspunkt erreicht haben. Dies ist in Jahr 3 noch nicht der Fall.
</t>
        </r>
      </text>
    </comment>
    <comment ref="C41" authorId="1" shapeId="0" xr:uid="{A851C43A-FC47-4AE5-9FF5-973E88ADB8EF}">
      <text>
        <r>
          <rPr>
            <b/>
            <sz val="9"/>
            <color indexed="81"/>
            <rFont val="Segoe UI"/>
            <family val="2"/>
          </rPr>
          <t>Valentin Maresch:</t>
        </r>
        <r>
          <rPr>
            <sz val="9"/>
            <color indexed="81"/>
            <rFont val="Segoe UI"/>
            <family val="2"/>
          </rPr>
          <t xml:space="preserve">
Für die Kleinunternehmerregelung müssen zwei gleichzeitige Voraussetzungen erfüllt sein:
Umsatz Vorjahr ≤ 22.000 €
Umsatz laufendes Jahr voraussichtlich ≤ 50.000 €
</t>
        </r>
        <r>
          <rPr>
            <b/>
            <sz val="9"/>
            <color indexed="81"/>
            <rFont val="Segoe UI"/>
            <family val="2"/>
          </rPr>
          <t>Beides in Jahr 3 nicht mehr erfüllt</t>
        </r>
      </text>
    </comment>
  </commentList>
</comments>
</file>

<file path=xl/sharedStrings.xml><?xml version="1.0" encoding="utf-8"?>
<sst xmlns="http://schemas.openxmlformats.org/spreadsheetml/2006/main" count="572" uniqueCount="293">
  <si>
    <t>Diese Excel ist auf Deutsch, abgesprochen mit Professor Wach am 04.12.2025</t>
  </si>
  <si>
    <t>Kosten pro Ladung</t>
  </si>
  <si>
    <t>Rang</t>
  </si>
  <si>
    <t>Modell</t>
  </si>
  <si>
    <t>Batteriekapazität (netto, kWh)</t>
  </si>
  <si>
    <t>Max. DC-Ladeleistung (kW)</t>
  </si>
  <si>
    <t>AC-Ladeleistung (kW)</t>
  </si>
  <si>
    <t>Aufladung Privat</t>
  </si>
  <si>
    <t>Ladezeit in h</t>
  </si>
  <si>
    <t>Kategorie</t>
  </si>
  <si>
    <t xml:space="preserve">Leistung kWh /h </t>
  </si>
  <si>
    <t>Komplett Ladezeit h</t>
  </si>
  <si>
    <t>20-80%</t>
  </si>
  <si>
    <t>Volkswagen ID.7</t>
  </si>
  <si>
    <t>0-100%</t>
  </si>
  <si>
    <t>Volkswagen ID.3</t>
  </si>
  <si>
    <t>Langsam (AC)</t>
  </si>
  <si>
    <t>Volkswagen ID.4 (inkl. ID.5)</t>
  </si>
  <si>
    <t>Standard (AC)</t>
  </si>
  <si>
    <t>Škoda Enyaq</t>
  </si>
  <si>
    <t>Aufladung Autobahn</t>
  </si>
  <si>
    <t>High Power (AC)</t>
  </si>
  <si>
    <t>Škoda Elroq</t>
  </si>
  <si>
    <t>Schnellader (DC)</t>
  </si>
  <si>
    <t>Cupra Born</t>
  </si>
  <si>
    <t>BMW iX1</t>
  </si>
  <si>
    <t>Mini Electric</t>
  </si>
  <si>
    <t>Cupra Tavascan</t>
  </si>
  <si>
    <t>Tesla Model Y</t>
  </si>
  <si>
    <t>Audi Q8 e-tron</t>
  </si>
  <si>
    <t>Audi Q4 e-tron</t>
  </si>
  <si>
    <t>Audi A6 e-tron</t>
  </si>
  <si>
    <t>BMW i4</t>
  </si>
  <si>
    <t>Hyundai Inster</t>
  </si>
  <si>
    <t>Ford Explorer</t>
  </si>
  <si>
    <t>Mercedes-Benz EQA</t>
  </si>
  <si>
    <t>BMW i5</t>
  </si>
  <si>
    <t>Kia EV3</t>
  </si>
  <si>
    <t>Fiat 500 Elektro</t>
  </si>
  <si>
    <t>Mittelwert:</t>
  </si>
  <si>
    <t>Stromkosten</t>
  </si>
  <si>
    <t>BMW 330e</t>
  </si>
  <si>
    <t>BMW 530e</t>
  </si>
  <si>
    <t>BMW X5 50e</t>
  </si>
  <si>
    <t>Mercedes C300e</t>
  </si>
  <si>
    <t>Mercedes E300e</t>
  </si>
  <si>
    <t>Mercedes GLC300e</t>
  </si>
  <si>
    <t>Volvo XC60 T8</t>
  </si>
  <si>
    <t>Volvo XC90 T8</t>
  </si>
  <si>
    <t>VW Passat GTE</t>
  </si>
  <si>
    <t>VW Tiguan eHybrid</t>
  </si>
  <si>
    <t>Audi Q5 55 TFSI e</t>
  </si>
  <si>
    <t>Audi A3 e‑tron</t>
  </si>
  <si>
    <t>Skoda Superb iV</t>
  </si>
  <si>
    <t>Skoda Octavia iV</t>
  </si>
  <si>
    <t>Seat Leon eHybrid</t>
  </si>
  <si>
    <t>Cupra Formentor eHybrid</t>
  </si>
  <si>
    <t>Mitsubishi Outlander PHEV</t>
  </si>
  <si>
    <t>Kia Sorento PHEV</t>
  </si>
  <si>
    <t>Hyundai Tucson PHEV</t>
  </si>
  <si>
    <t>Ford Kuga PHEV</t>
  </si>
  <si>
    <t>Stromtarife und Kosten</t>
  </si>
  <si>
    <t>Anbieter</t>
  </si>
  <si>
    <t>Tarif</t>
  </si>
  <si>
    <t>ct/kWh</t>
  </si>
  <si>
    <t>€/kWh</t>
  </si>
  <si>
    <t>Stadtwerke München</t>
  </si>
  <si>
    <t>Grundversorgung M-Strom</t>
  </si>
  <si>
    <t>Vattenfall</t>
  </si>
  <si>
    <t>ÖkoStrom12</t>
  </si>
  <si>
    <t>LEW</t>
  </si>
  <si>
    <t>Strom Fix Natur</t>
  </si>
  <si>
    <t>Montana</t>
  </si>
  <si>
    <t>ÖkoStrom Basic (12M)</t>
  </si>
  <si>
    <t>E.ON</t>
  </si>
  <si>
    <t>ÖkoStrom Extra 12</t>
  </si>
  <si>
    <t>Rabot Charge</t>
  </si>
  <si>
    <t>rabot.home flex</t>
  </si>
  <si>
    <t>Mittelwert</t>
  </si>
  <si>
    <t>Autobahn Tarife und Kosten</t>
  </si>
  <si>
    <t>Ionity</t>
  </si>
  <si>
    <t>EnBW mobility +</t>
  </si>
  <si>
    <t>EWE Go</t>
  </si>
  <si>
    <t>Öffentliche AC Säulen</t>
  </si>
  <si>
    <t>Öffentliche DC Säulen</t>
  </si>
  <si>
    <t>Geschätzte Nachfrage Jahr 1</t>
  </si>
  <si>
    <t>Bogenhausen, Trudering-Riem, Berg am Laim, Ramersdorf-Perlach</t>
  </si>
  <si>
    <t>E-Auto Anzahl</t>
  </si>
  <si>
    <t>Plug In</t>
  </si>
  <si>
    <r>
      <rPr>
        <b/>
        <sz val="11"/>
        <color theme="1"/>
        <rFont val="Aptos Narrow"/>
        <family val="2"/>
        <scheme val="minor"/>
      </rPr>
      <t xml:space="preserve">Hauptzielgruppe: </t>
    </r>
    <r>
      <rPr>
        <sz val="11"/>
        <color theme="1"/>
        <rFont val="Aptos Narrow"/>
        <family val="2"/>
        <scheme val="minor"/>
      </rPr>
      <t>Anwohner in den Fokusregionen</t>
    </r>
  </si>
  <si>
    <t>Anzahl PKWS Gesamt München</t>
  </si>
  <si>
    <t>Anzahl PKW in Fokusregionen</t>
  </si>
  <si>
    <r>
      <rPr>
        <b/>
        <sz val="11"/>
        <color theme="1"/>
        <rFont val="Aptos Narrow"/>
        <family val="2"/>
        <scheme val="minor"/>
      </rPr>
      <t>Nebenzielgruppe 1:</t>
    </r>
    <r>
      <rPr>
        <sz val="11"/>
        <color theme="1"/>
        <rFont val="Aptos Narrow"/>
        <family val="2"/>
        <scheme val="minor"/>
      </rPr>
      <t xml:space="preserve"> Messebesucher</t>
    </r>
  </si>
  <si>
    <t>Messebesucher 2025</t>
  </si>
  <si>
    <t>Proz. Anteil Messebesucher Autos in Europa</t>
  </si>
  <si>
    <t>Anzahl Messebesucher relevante Autos gesamt</t>
  </si>
  <si>
    <t>gesch. Anteil lädt bei uns p.a.</t>
  </si>
  <si>
    <r>
      <rPr>
        <b/>
        <sz val="11"/>
        <color theme="1"/>
        <rFont val="Aptos Narrow"/>
        <family val="2"/>
        <scheme val="minor"/>
      </rPr>
      <t xml:space="preserve">Nebenzielgruppe 2: </t>
    </r>
    <r>
      <rPr>
        <sz val="11"/>
        <color theme="1"/>
        <rFont val="Aptos Narrow"/>
        <family val="2"/>
        <scheme val="minor"/>
      </rPr>
      <t>Pendler</t>
    </r>
  </si>
  <si>
    <t>Proz. Anteil Auto Pendler München</t>
  </si>
  <si>
    <t>Geschätzte Nachfrage Jahr 2</t>
  </si>
  <si>
    <t>Geschätzte Nachfrage Jahr 3</t>
  </si>
  <si>
    <t>Anzahl Hosts in Fokus (Bogenhausen, Trudering-Riem, Berg am Laim, Ramersdorf-Perlach)</t>
  </si>
  <si>
    <t>E-Autos</t>
  </si>
  <si>
    <t>Plug-In</t>
  </si>
  <si>
    <t>Gesamt</t>
  </si>
  <si>
    <t>Anzahl Fokusautos</t>
  </si>
  <si>
    <t>Anteil E-Auto Besitzer mit Wallbox</t>
  </si>
  <si>
    <t>Anzahl E-Auto Besitzer mit Wallbox</t>
  </si>
  <si>
    <t>Anzahl Ladungen bei Hosts in Fokusregionen die mit uns zusammenarbeiten</t>
  </si>
  <si>
    <t>Anzahl Ladungen pro Monat Ladekapazität Anbieter</t>
  </si>
  <si>
    <t>Anzahl Ladungen pro Jahr</t>
  </si>
  <si>
    <t>Mntl. Zuwachs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</si>
  <si>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</si>
  <si>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</si>
  <si>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</si>
  <si>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</si>
  <si>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</si>
  <si>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</si>
  <si>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</si>
  <si>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</si>
  <si>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</si>
  <si>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</si>
  <si>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</si>
  <si>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</si>
  <si>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Summe</t>
  </si>
  <si>
    <t>Jahr 1</t>
  </si>
  <si>
    <t>Jahr 2</t>
  </si>
  <si>
    <t>Jahr 3</t>
  </si>
  <si>
    <t xml:space="preserve">1. Jahr </t>
  </si>
  <si>
    <t xml:space="preserve">Prozentualer Anteil  </t>
  </si>
  <si>
    <t xml:space="preserve">2. Jahr </t>
  </si>
  <si>
    <t xml:space="preserve">3. Jahr </t>
  </si>
  <si>
    <t>Monatlicher Durchschnitt</t>
  </si>
  <si>
    <t>Jahr</t>
  </si>
  <si>
    <t>Anzahl Wallbox Eigentümer die über unsere Plattform vermieten</t>
  </si>
  <si>
    <t>Prognose der Wallboxeigentümer mit eigener Wallbox bis 2030</t>
  </si>
  <si>
    <t>Plug-In Hybrid</t>
  </si>
  <si>
    <t>Prozentualer Anteil Wallboxeigentümer 2025</t>
  </si>
  <si>
    <t>Prozentualer Anteil ohne Wallbox</t>
  </si>
  <si>
    <t>Anzahl E-Autos in den Fokusgebieten</t>
  </si>
  <si>
    <t>Anzahl E-Auto Besitzer mit Wallbox in den Fokusgebieten</t>
  </si>
  <si>
    <t>Anzahl E-Auto Besitzer ohne Wallbox</t>
  </si>
  <si>
    <t xml:space="preserve">Rückgang pro Jahr: </t>
  </si>
  <si>
    <t>Host Einnahmen/Tag (€ Range)</t>
  </si>
  <si>
    <t>SmartShift Einnahmen/Tag (€ Range)</t>
  </si>
  <si>
    <t>Monatlicher Host-Umsatz (€)</t>
  </si>
  <si>
    <t>Monatlicher SmartShift-Umsatz (€)</t>
  </si>
  <si>
    <t>Risiko/Aufwand Host</t>
  </si>
  <si>
    <t>Mehrwert für Nutzer</t>
  </si>
  <si>
    <t>gering, da privates Grundstück</t>
  </si>
  <si>
    <t>einfache Anfahrt</t>
  </si>
  <si>
    <t>sicher, wettergeschützt</t>
  </si>
  <si>
    <t>Außenstellplatz</t>
  </si>
  <si>
    <t>Garagenplatz</t>
  </si>
  <si>
    <t>Umsatz pro Monat</t>
  </si>
  <si>
    <t>Monatliches Ergebnis</t>
  </si>
  <si>
    <t>Mieteinnahmen</t>
  </si>
  <si>
    <t>Stellplatz</t>
  </si>
  <si>
    <t>Host-Erlös/h (€ Range)</t>
  </si>
  <si>
    <t>SmartShift-Provision/h (€ Range)</t>
  </si>
  <si>
    <t>Endpreis Nutzer/h (€ Range)</t>
  </si>
  <si>
    <t>Stromkosten 1:1 (€/kWh)</t>
  </si>
  <si>
    <t>mittel (Zugang, TG-Regeln)</t>
  </si>
  <si>
    <t>Beispiel:</t>
  </si>
  <si>
    <t>Vgl. Öffentl.</t>
  </si>
  <si>
    <t>Standard Wallbox KWh</t>
  </si>
  <si>
    <t xml:space="preserve">Parkgebühr </t>
  </si>
  <si>
    <t>20-80% Ladung</t>
  </si>
  <si>
    <t>Aufwendungen:</t>
  </si>
  <si>
    <t>Betriebshaftpflichtversicherung 15-30 € mntl.</t>
  </si>
  <si>
    <t>Vermögensschadenhaftpflicht</t>
  </si>
  <si>
    <t>(Cyber Versicherung)</t>
  </si>
  <si>
    <t>Total Versicherungen</t>
  </si>
  <si>
    <t>IHK Beitrag</t>
  </si>
  <si>
    <t>Domain + E-Mail Postfach</t>
  </si>
  <si>
    <t>Server</t>
  </si>
  <si>
    <t>Anmeldung Kleingewerbe (einmalig)</t>
  </si>
  <si>
    <t>Softwarekosten (MS Office)</t>
  </si>
  <si>
    <t>Payment Anbieter (0,15€/Ladung)</t>
  </si>
  <si>
    <t>Total Beiträge</t>
  </si>
  <si>
    <t>Marketingaufwendungen</t>
  </si>
  <si>
    <t>Total  Aufwendungen</t>
  </si>
  <si>
    <t>Umsatz</t>
  </si>
  <si>
    <t>Idee:</t>
  </si>
  <si>
    <t>Kleingewerbe</t>
  </si>
  <si>
    <t xml:space="preserve">Kleingewerbe </t>
  </si>
  <si>
    <t>Marketingplan für SmartShift</t>
  </si>
  <si>
    <t xml:space="preserve">Ziele und Annahmen </t>
  </si>
  <si>
    <t>Hauptregion: Münchner Osten (Riem, Trudering, Berg am Laim)</t>
  </si>
  <si>
    <t xml:space="preserve">Fokus-ZG: Anwohner in den Fokusregionen </t>
  </si>
  <si>
    <t xml:space="preserve">in Apartments wohnend, Alter: 28-55, Interesse an E-Autos </t>
  </si>
  <si>
    <t>Maßnahmen und Budgetaufteilung (Jahr 1)</t>
  </si>
  <si>
    <t xml:space="preserve">Maßnahme </t>
  </si>
  <si>
    <t>Ziel</t>
  </si>
  <si>
    <t>Jahresbudget</t>
  </si>
  <si>
    <t>Kommentar</t>
  </si>
  <si>
    <t>Messe Aufsteller</t>
  </si>
  <si>
    <t>Sichtbarkeit, Networking, Neukunden Aquise</t>
  </si>
  <si>
    <t>3000-5000€</t>
  </si>
  <si>
    <t xml:space="preserve">Standkosten, Material, Flyer </t>
  </si>
  <si>
    <t>IAA Mobility Messe Sep.26 / Autotage München</t>
  </si>
  <si>
    <t>Flyer/Koop. mit lokalen Autohäusern</t>
  </si>
  <si>
    <t>Zugang zu E-Auto Interessenten in Zielregion</t>
  </si>
  <si>
    <t>1000-1500€</t>
  </si>
  <si>
    <t>östliches München, Wasserburger Landstraße</t>
  </si>
  <si>
    <t>Bsp: Autohaus Hemmerle, Automag GmBH</t>
  </si>
  <si>
    <t>Autohaus Eder München-Trudering, Tesla Service Center</t>
  </si>
  <si>
    <t>SEA: Google + Meta Ads</t>
  </si>
  <si>
    <t>Online Reichweite, App Downloads, Anfragen</t>
  </si>
  <si>
    <t>6000-7000€</t>
  </si>
  <si>
    <t>an ZG orientieren</t>
  </si>
  <si>
    <t>Social Media TT und IG</t>
  </si>
  <si>
    <t>Organische Reichweite, Markenaufbau, Giveaways</t>
  </si>
  <si>
    <t>nur Zeitaufwand nötig</t>
  </si>
  <si>
    <t xml:space="preserve">Lokale PR/ Zeitung etc. </t>
  </si>
  <si>
    <t>Vertrauen gewinnen, Reichweite in Zielregion</t>
  </si>
  <si>
    <t>500-1000€</t>
  </si>
  <si>
    <t>Reserve und Tests</t>
  </si>
  <si>
    <t>Optimierungen und Lernkurven</t>
  </si>
  <si>
    <t>Marketingkosten</t>
  </si>
  <si>
    <t xml:space="preserve">Messe </t>
  </si>
  <si>
    <t>Flyer</t>
  </si>
  <si>
    <t>Google/Meta ADS</t>
  </si>
  <si>
    <t xml:space="preserve">CPC in Muc 1,5-3,5€ </t>
  </si>
  <si>
    <t xml:space="preserve">PR/Zeitung </t>
  </si>
  <si>
    <t xml:space="preserve">Reserve Tests </t>
  </si>
  <si>
    <t xml:space="preserve">Gesamt Kosten Marketing </t>
  </si>
  <si>
    <t>zielgerichtete lokale Nutzer</t>
  </si>
  <si>
    <t>Münchner Osten, Zeitpunkt: nach Winter vor Messe</t>
  </si>
  <si>
    <t>Standgröße anpassen, andere Events wie Power2Drive</t>
  </si>
  <si>
    <t xml:space="preserve">lokale Medien, Messe.PR, große Anzeige SZ während Europäischer Mobilitätswoche, Jahresabschluss </t>
  </si>
  <si>
    <t>Provision</t>
  </si>
  <si>
    <t>Batteriekapazität KWh</t>
  </si>
  <si>
    <t>20-80% KWh</t>
  </si>
  <si>
    <t>0-100 % in Stunden</t>
  </si>
  <si>
    <t>20-80% Ladevergang in h</t>
  </si>
  <si>
    <t>Hosting/Storage</t>
  </si>
  <si>
    <t>Kosten</t>
  </si>
  <si>
    <t>Anzahl durchschnittliche Ladungen pro Tag</t>
  </si>
  <si>
    <r>
      <t xml:space="preserve">Außenstellplatz </t>
    </r>
    <r>
      <rPr>
        <sz val="11"/>
        <color rgb="FFFF0000"/>
        <rFont val="Aptos Narrow"/>
        <family val="2"/>
        <scheme val="minor"/>
      </rPr>
      <t>(80%)</t>
    </r>
  </si>
  <si>
    <r>
      <t xml:space="preserve">Garagenplatz </t>
    </r>
    <r>
      <rPr>
        <sz val="11"/>
        <color rgb="FFFF0000"/>
        <rFont val="Aptos Narrow"/>
        <family val="2"/>
        <scheme val="minor"/>
      </rPr>
      <t>(20%)</t>
    </r>
  </si>
  <si>
    <t>Steuern (25%)</t>
  </si>
  <si>
    <t>Gewinn vor Steuern</t>
  </si>
  <si>
    <t>Turn over</t>
  </si>
  <si>
    <t>Cost</t>
  </si>
  <si>
    <t>Profit/Loss</t>
  </si>
  <si>
    <t>Year 1</t>
  </si>
  <si>
    <t>Year 2</t>
  </si>
  <si>
    <t>Year 3</t>
  </si>
  <si>
    <t>-</t>
  </si>
  <si>
    <t>Total Gehalt</t>
  </si>
  <si>
    <t>Gehalt Vollzeit Brutto 2 Personen</t>
  </si>
  <si>
    <t>Gehalt Teilzeit 1 Person</t>
  </si>
  <si>
    <t>Anfertiger:</t>
  </si>
  <si>
    <t>Valentin Maresch</t>
  </si>
  <si>
    <t>Bernhard Raab</t>
  </si>
  <si>
    <t>Anfertiger: Hannes Hertel</t>
  </si>
  <si>
    <t>Anfertiger: Valentin Maresch, Bernhard Raab, Hannes Hertel(Marketing)</t>
  </si>
  <si>
    <t>Folien:</t>
  </si>
  <si>
    <t>Allgemein: Überblick über die geläufigsten Elektro und Hybrid Autos</t>
  </si>
  <si>
    <t>Strompreis: Kosten für das Verwenden von Strom im Durchschnitt</t>
  </si>
  <si>
    <t>Nachfrage Jahr 1 - Jahr 3: Berechnung wie hoch das mögliche Nachfragepotential ausfallen könnte</t>
  </si>
  <si>
    <t>Angebotsentwicklung: Skizzierung und Annahmen bezüglich der Entwicklung unserer Wallboxeigentümer für die wir Kunden vermitteln</t>
  </si>
  <si>
    <t>Schätzung Wallboxbesitzer: Folie auf die die Folie der Angebotsentwicklung basiert</t>
  </si>
  <si>
    <t>Umsatz Detail: Kalkulation der Kosten die für den Stellplatzmieter anfallen für das Aufladen an einer Ladestation die von Smart Shift vermittelt wurde</t>
  </si>
  <si>
    <t xml:space="preserve">GuV Tabelle: Prognostiziertedarstellung von Umsatz, Kosten und Gewinn für </t>
  </si>
  <si>
    <t>Break Even Analysis: Grafiken die den Verlauf des Umsatzes</t>
  </si>
  <si>
    <t>Werbeinnahmen: Themennahe Werbung auf unserer Website/App ab Jahr 2. Wir möchten, dass alle Werbeanzeigen mit dem Thema der Elektromobilität unmittelbar zu tuen hat</t>
  </si>
  <si>
    <t>Cost per click</t>
  </si>
  <si>
    <t>Revenue</t>
  </si>
  <si>
    <t xml:space="preserve">Anfertiger: </t>
  </si>
  <si>
    <t>Anfertiger</t>
  </si>
  <si>
    <t>ØNutzungsrate/Tag (h)</t>
  </si>
  <si>
    <t xml:space="preserve">Elektroautos </t>
  </si>
  <si>
    <t>Plug-In Autos</t>
  </si>
  <si>
    <t>Anzahl Websiten Aufrufe</t>
  </si>
  <si>
    <t>Erw. Nachfrage</t>
  </si>
  <si>
    <t>Erw. Angebot</t>
  </si>
  <si>
    <t>Regelbesteuerung</t>
  </si>
  <si>
    <t>Valentin Maresch, Bernhard Raab; 
Hannes Hertel (Marketingaufwendungen)</t>
  </si>
  <si>
    <t>Wallboxen im Überblick</t>
  </si>
  <si>
    <t>Proz. Anteil E-Auto&amp;Hybridauto München</t>
  </si>
  <si>
    <t>Anzahl PKW ohne Wallbox (Schätzung)</t>
  </si>
  <si>
    <t>Proz. Anteil Anreise mit Auto (Schätzung)</t>
  </si>
  <si>
    <t>Anzahl Messebesucher Autos gesamt (Schätzung)</t>
  </si>
  <si>
    <t>Pendler tgl. in München</t>
  </si>
  <si>
    <t>Pendler tgl. in München mit dem Auto</t>
  </si>
  <si>
    <t>Pendler tgl. in Fokusgebieten mit dem Auto</t>
  </si>
  <si>
    <t>gesch. Anteil lädt bei uns tgl.</t>
  </si>
  <si>
    <t>Potentielle monatliche Nachfrage</t>
  </si>
  <si>
    <t>Potentielle jährliche Nachfrage</t>
  </si>
  <si>
    <t>Gewinn n. Steuern</t>
  </si>
  <si>
    <t>Marketing 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</si>
</sst>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#,##0.00\ &quot;€&quot;"/>
    <numFmt numFmtId="168" formatCode="_-* #,##0\ [$€-407]_-;\-* #,##0\ [$€-407]_-;_-* &quot;-&quot;??\ [$€-407]_-;_-@_-"/>
    <numFmt numFmtId="169" formatCode="_-* #,##0.00\ _€_-;\-* #,##0.00\ _€_-;_-* &quot;-&quot;??\ _€_-;_-@_-"/>
    <numFmt numFmtId="170" formatCode="_-* #,##0\ &quot;€&quot;_-;\-* #,##0\ &quot;€&quot;_-;_-* &quot;-&quot;??\ &quot;€&quot;_-;_-@_-"/>
  </numFmts>
  <fonts count="1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262">
    <xf numFmtId="0" fontId="0" fillId="0" borderId="0" xfId="0"/>
    <xf numFmtId="0" fontId="3" fillId="0" borderId="0" xfId="0" applyFont="1"/>
    <xf numFmtId="0" fontId="3" fillId="0" borderId="1" xfId="0" applyFont="1" applyBorder="1"/>
    <xf numFmtId="2" fontId="0" fillId="0" borderId="0" xfId="0" applyNumberFormat="1"/>
    <xf numFmtId="2" fontId="3" fillId="0" borderId="0" xfId="0" applyNumberFormat="1" applyFont="1"/>
    <xf numFmtId="164" fontId="0" fillId="0" borderId="0" xfId="0" applyNumberFormat="1"/>
    <xf numFmtId="44" fontId="0" fillId="0" borderId="0" xfId="1" applyFont="1"/>
    <xf numFmtId="0" fontId="0" fillId="0" borderId="1" xfId="0" applyBorder="1"/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9" fontId="0" fillId="0" borderId="0" xfId="0" applyNumberFormat="1"/>
    <xf numFmtId="9" fontId="0" fillId="0" borderId="0" xfId="2" applyFont="1"/>
    <xf numFmtId="44" fontId="0" fillId="0" borderId="0" xfId="0" applyNumberFormat="1"/>
    <xf numFmtId="44" fontId="3" fillId="0" borderId="0" xfId="0" applyNumberFormat="1" applyFont="1"/>
    <xf numFmtId="10" fontId="0" fillId="0" borderId="0" xfId="2" applyNumberFormat="1" applyFont="1"/>
    <xf numFmtId="3" fontId="0" fillId="0" borderId="0" xfId="0" applyNumberFormat="1"/>
    <xf numFmtId="10" fontId="0" fillId="0" borderId="0" xfId="0" applyNumberFormat="1"/>
    <xf numFmtId="165" fontId="0" fillId="0" borderId="0" xfId="3" applyNumberFormat="1" applyFont="1"/>
    <xf numFmtId="165" fontId="0" fillId="0" borderId="0" xfId="3" applyNumberFormat="1" applyFont="1" applyAlignment="1">
      <alignment horizontal="right"/>
    </xf>
    <xf numFmtId="0" fontId="0" fillId="0" borderId="3" xfId="0" applyBorder="1"/>
    <xf numFmtId="165" fontId="0" fillId="0" borderId="0" xfId="0" applyNumberFormat="1"/>
    <xf numFmtId="0" fontId="3" fillId="0" borderId="0" xfId="0" applyFont="1" applyAlignment="1">
      <alignment horizontal="center"/>
    </xf>
    <xf numFmtId="0" fontId="7" fillId="0" borderId="0" xfId="0" applyFont="1"/>
    <xf numFmtId="166" fontId="0" fillId="0" borderId="0" xfId="2" applyNumberFormat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0" fontId="0" fillId="0" borderId="4" xfId="0" applyBorder="1"/>
    <xf numFmtId="165" fontId="0" fillId="0" borderId="4" xfId="0" applyNumberFormat="1" applyBorder="1"/>
    <xf numFmtId="0" fontId="0" fillId="6" borderId="0" xfId="0" applyFill="1"/>
    <xf numFmtId="166" fontId="0" fillId="0" borderId="0" xfId="0" applyNumberFormat="1"/>
    <xf numFmtId="0" fontId="6" fillId="0" borderId="0" xfId="0" applyFont="1"/>
    <xf numFmtId="165" fontId="6" fillId="0" borderId="0" xfId="0" applyNumberFormat="1" applyFont="1"/>
    <xf numFmtId="3" fontId="6" fillId="0" borderId="0" xfId="0" applyNumberFormat="1" applyFont="1"/>
    <xf numFmtId="9" fontId="0" fillId="0" borderId="0" xfId="3" applyNumberFormat="1" applyFont="1"/>
    <xf numFmtId="0" fontId="0" fillId="0" borderId="0" xfId="0" applyAlignment="1">
      <alignment horizontal="center"/>
    </xf>
    <xf numFmtId="10" fontId="0" fillId="7" borderId="0" xfId="0" applyNumberFormat="1" applyFill="1"/>
    <xf numFmtId="10" fontId="0" fillId="7" borderId="0" xfId="2" applyNumberFormat="1" applyFont="1" applyFill="1"/>
    <xf numFmtId="0" fontId="0" fillId="0" borderId="0" xfId="0" applyAlignment="1">
      <alignment horizontal="left"/>
    </xf>
    <xf numFmtId="165" fontId="3" fillId="0" borderId="0" xfId="0" applyNumberFormat="1" applyFont="1"/>
    <xf numFmtId="166" fontId="0" fillId="7" borderId="0" xfId="2" applyNumberFormat="1" applyFont="1" applyFill="1"/>
    <xf numFmtId="166" fontId="0" fillId="7" borderId="0" xfId="0" applyNumberFormat="1" applyFill="1"/>
    <xf numFmtId="8" fontId="0" fillId="0" borderId="0" xfId="0" applyNumberFormat="1"/>
    <xf numFmtId="0" fontId="0" fillId="8" borderId="0" xfId="0" applyFill="1"/>
    <xf numFmtId="0" fontId="3" fillId="2" borderId="0" xfId="0" applyFont="1" applyFill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5" xfId="0" applyBorder="1"/>
    <xf numFmtId="0" fontId="0" fillId="0" borderId="6" xfId="0" applyBorder="1"/>
    <xf numFmtId="1" fontId="0" fillId="0" borderId="2" xfId="0" applyNumberFormat="1" applyBorder="1"/>
    <xf numFmtId="0" fontId="0" fillId="8" borderId="2" xfId="0" applyFill="1" applyBorder="1"/>
    <xf numFmtId="165" fontId="0" fillId="0" borderId="2" xfId="0" applyNumberFormat="1" applyBorder="1"/>
    <xf numFmtId="1" fontId="0" fillId="8" borderId="2" xfId="0" applyNumberFormat="1" applyFill="1" applyBorder="1"/>
    <xf numFmtId="1" fontId="0" fillId="2" borderId="0" xfId="0" applyNumberFormat="1" applyFill="1"/>
    <xf numFmtId="0" fontId="0" fillId="0" borderId="8" xfId="0" applyBorder="1"/>
    <xf numFmtId="8" fontId="0" fillId="5" borderId="8" xfId="0" applyNumberFormat="1" applyFill="1" applyBorder="1"/>
    <xf numFmtId="165" fontId="0" fillId="0" borderId="2" xfId="3" applyNumberFormat="1" applyFont="1" applyBorder="1"/>
    <xf numFmtId="6" fontId="0" fillId="0" borderId="0" xfId="0" applyNumberFormat="1"/>
    <xf numFmtId="0" fontId="1" fillId="0" borderId="0" xfId="4"/>
    <xf numFmtId="167" fontId="10" fillId="0" borderId="9" xfId="4" applyNumberFormat="1" applyFont="1" applyBorder="1" applyAlignment="1">
      <alignment horizontal="center"/>
    </xf>
    <xf numFmtId="0" fontId="9" fillId="0" borderId="10" xfId="4" applyFont="1" applyBorder="1"/>
    <xf numFmtId="0" fontId="10" fillId="0" borderId="11" xfId="4" applyFont="1" applyBorder="1"/>
    <xf numFmtId="167" fontId="11" fillId="0" borderId="6" xfId="4" applyNumberFormat="1" applyFont="1" applyBorder="1" applyAlignment="1">
      <alignment horizontal="center"/>
    </xf>
    <xf numFmtId="0" fontId="11" fillId="0" borderId="6" xfId="4" applyFont="1" applyBorder="1"/>
    <xf numFmtId="167" fontId="11" fillId="0" borderId="2" xfId="4" applyNumberFormat="1" applyFont="1" applyBorder="1" applyAlignment="1">
      <alignment horizontal="center"/>
    </xf>
    <xf numFmtId="0" fontId="1" fillId="0" borderId="2" xfId="4" applyBorder="1"/>
    <xf numFmtId="6" fontId="1" fillId="0" borderId="2" xfId="4" applyNumberFormat="1" applyBorder="1"/>
    <xf numFmtId="0" fontId="11" fillId="0" borderId="2" xfId="4" applyFont="1" applyBorder="1"/>
    <xf numFmtId="167" fontId="11" fillId="0" borderId="12" xfId="4" applyNumberFormat="1" applyFont="1" applyBorder="1" applyAlignment="1">
      <alignment horizontal="center"/>
    </xf>
    <xf numFmtId="0" fontId="1" fillId="0" borderId="12" xfId="4" applyBorder="1"/>
    <xf numFmtId="0" fontId="11" fillId="0" borderId="12" xfId="4" applyFont="1" applyBorder="1"/>
    <xf numFmtId="8" fontId="10" fillId="0" borderId="16" xfId="4" applyNumberFormat="1" applyFont="1" applyBorder="1" applyAlignment="1">
      <alignment horizontal="center"/>
    </xf>
    <xf numFmtId="8" fontId="11" fillId="0" borderId="17" xfId="4" applyNumberFormat="1" applyFont="1" applyBorder="1"/>
    <xf numFmtId="8" fontId="11" fillId="0" borderId="18" xfId="4" applyNumberFormat="1" applyFont="1" applyBorder="1"/>
    <xf numFmtId="0" fontId="10" fillId="0" borderId="19" xfId="4" applyFont="1" applyBorder="1"/>
    <xf numFmtId="0" fontId="11" fillId="0" borderId="20" xfId="4" applyFont="1" applyBorder="1"/>
    <xf numFmtId="0" fontId="11" fillId="0" borderId="21" xfId="4" applyFont="1" applyBorder="1"/>
    <xf numFmtId="0" fontId="11" fillId="0" borderId="22" xfId="4" applyFont="1" applyBorder="1"/>
    <xf numFmtId="0" fontId="10" fillId="8" borderId="23" xfId="4" applyFont="1" applyFill="1" applyBorder="1" applyAlignment="1">
      <alignment horizontal="center" vertical="center"/>
    </xf>
    <xf numFmtId="0" fontId="11" fillId="8" borderId="24" xfId="4" applyFont="1" applyFill="1" applyBorder="1"/>
    <xf numFmtId="0" fontId="11" fillId="8" borderId="25" xfId="4" applyFont="1" applyFill="1" applyBorder="1"/>
    <xf numFmtId="0" fontId="10" fillId="0" borderId="26" xfId="4" applyFont="1" applyBorder="1"/>
    <xf numFmtId="0" fontId="11" fillId="0" borderId="0" xfId="4" applyFont="1"/>
    <xf numFmtId="8" fontId="10" fillId="0" borderId="0" xfId="4" applyNumberFormat="1" applyFont="1" applyAlignment="1">
      <alignment horizontal="center"/>
    </xf>
    <xf numFmtId="0" fontId="10" fillId="8" borderId="2" xfId="4" applyFont="1" applyFill="1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44" fontId="0" fillId="0" borderId="0" xfId="1" applyFont="1" applyBorder="1"/>
    <xf numFmtId="0" fontId="0" fillId="10" borderId="0" xfId="0" applyFill="1"/>
    <xf numFmtId="0" fontId="0" fillId="10" borderId="8" xfId="0" applyFill="1" applyBorder="1"/>
    <xf numFmtId="0" fontId="7" fillId="10" borderId="8" xfId="0" applyFont="1" applyFill="1" applyBorder="1"/>
    <xf numFmtId="0" fontId="7" fillId="10" borderId="7" xfId="0" applyFont="1" applyFill="1" applyBorder="1"/>
    <xf numFmtId="0" fontId="0" fillId="10" borderId="7" xfId="0" applyFill="1" applyBorder="1"/>
    <xf numFmtId="44" fontId="0" fillId="0" borderId="30" xfId="1" applyFont="1" applyBorder="1"/>
    <xf numFmtId="2" fontId="11" fillId="0" borderId="18" xfId="4" applyNumberFormat="1" applyFont="1" applyBorder="1"/>
    <xf numFmtId="167" fontId="10" fillId="0" borderId="18" xfId="4" applyNumberFormat="1" applyFont="1" applyBorder="1"/>
    <xf numFmtId="6" fontId="1" fillId="0" borderId="6" xfId="4" applyNumberFormat="1" applyBorder="1"/>
    <xf numFmtId="167" fontId="1" fillId="0" borderId="12" xfId="4" applyNumberFormat="1" applyBorder="1"/>
    <xf numFmtId="44" fontId="0" fillId="0" borderId="32" xfId="1" applyFont="1" applyBorder="1"/>
    <xf numFmtId="0" fontId="3" fillId="0" borderId="2" xfId="0" applyFont="1" applyBorder="1"/>
    <xf numFmtId="164" fontId="0" fillId="0" borderId="2" xfId="0" applyNumberFormat="1" applyBorder="1"/>
    <xf numFmtId="44" fontId="0" fillId="0" borderId="2" xfId="0" applyNumberFormat="1" applyBorder="1"/>
    <xf numFmtId="8" fontId="0" fillId="0" borderId="2" xfId="0" applyNumberFormat="1" applyBorder="1"/>
    <xf numFmtId="44" fontId="0" fillId="0" borderId="2" xfId="1" applyFont="1" applyBorder="1"/>
    <xf numFmtId="0" fontId="13" fillId="0" borderId="0" xfId="0" applyFont="1"/>
    <xf numFmtId="0" fontId="0" fillId="13" borderId="2" xfId="0" applyFill="1" applyBorder="1"/>
    <xf numFmtId="167" fontId="1" fillId="0" borderId="2" xfId="4" applyNumberFormat="1" applyBorder="1"/>
    <xf numFmtId="0" fontId="3" fillId="10" borderId="8" xfId="0" applyFont="1" applyFill="1" applyBorder="1"/>
    <xf numFmtId="0" fontId="0" fillId="14" borderId="0" xfId="0" applyFill="1"/>
    <xf numFmtId="6" fontId="0" fillId="0" borderId="33" xfId="0" applyNumberFormat="1" applyBorder="1"/>
    <xf numFmtId="168" fontId="1" fillId="0" borderId="2" xfId="4" applyNumberFormat="1" applyBorder="1"/>
    <xf numFmtId="44" fontId="1" fillId="0" borderId="2" xfId="1" applyFont="1" applyBorder="1"/>
    <xf numFmtId="0" fontId="6" fillId="2" borderId="0" xfId="0" applyFont="1" applyFill="1"/>
    <xf numFmtId="0" fontId="7" fillId="5" borderId="8" xfId="0" applyFont="1" applyFill="1" applyBorder="1"/>
    <xf numFmtId="0" fontId="7" fillId="8" borderId="0" xfId="0" applyFont="1" applyFill="1"/>
    <xf numFmtId="0" fontId="3" fillId="8" borderId="30" xfId="0" applyFont="1" applyFill="1" applyBorder="1"/>
    <xf numFmtId="0" fontId="3" fillId="8" borderId="0" xfId="0" applyFont="1" applyFill="1"/>
    <xf numFmtId="0" fontId="0" fillId="0" borderId="34" xfId="0" applyBorder="1"/>
    <xf numFmtId="0" fontId="0" fillId="0" borderId="35" xfId="0" applyBorder="1"/>
    <xf numFmtId="0" fontId="0" fillId="0" borderId="36" xfId="0" applyBorder="1"/>
    <xf numFmtId="8" fontId="0" fillId="5" borderId="37" xfId="0" applyNumberFormat="1" applyFill="1" applyBorder="1"/>
    <xf numFmtId="8" fontId="0" fillId="5" borderId="38" xfId="0" applyNumberFormat="1" applyFill="1" applyBorder="1"/>
    <xf numFmtId="0" fontId="0" fillId="0" borderId="22" xfId="0" applyBorder="1"/>
    <xf numFmtId="0" fontId="0" fillId="0" borderId="39" xfId="0" applyBorder="1"/>
    <xf numFmtId="0" fontId="0" fillId="0" borderId="40" xfId="0" applyBorder="1"/>
    <xf numFmtId="44" fontId="0" fillId="0" borderId="22" xfId="1" applyFont="1" applyBorder="1"/>
    <xf numFmtId="44" fontId="0" fillId="0" borderId="40" xfId="1" applyFont="1" applyBorder="1"/>
    <xf numFmtId="44" fontId="0" fillId="0" borderId="41" xfId="1" applyFont="1" applyBorder="1"/>
    <xf numFmtId="44" fontId="0" fillId="0" borderId="42" xfId="1" applyFont="1" applyBorder="1"/>
    <xf numFmtId="44" fontId="0" fillId="0" borderId="43" xfId="1" applyFont="1" applyBorder="1"/>
    <xf numFmtId="44" fontId="0" fillId="0" borderId="44" xfId="1" applyFont="1" applyBorder="1"/>
    <xf numFmtId="44" fontId="0" fillId="0" borderId="45" xfId="1" applyFont="1" applyBorder="1"/>
    <xf numFmtId="44" fontId="0" fillId="0" borderId="46" xfId="1" applyFont="1" applyBorder="1"/>
    <xf numFmtId="44" fontId="0" fillId="0" borderId="47" xfId="1" applyFont="1" applyBorder="1"/>
    <xf numFmtId="167" fontId="0" fillId="0" borderId="22" xfId="0" applyNumberFormat="1" applyBorder="1"/>
    <xf numFmtId="167" fontId="0" fillId="0" borderId="0" xfId="0" applyNumberFormat="1"/>
    <xf numFmtId="167" fontId="0" fillId="0" borderId="40" xfId="0" applyNumberFormat="1" applyBorder="1"/>
    <xf numFmtId="0" fontId="3" fillId="0" borderId="40" xfId="0" applyFont="1" applyBorder="1"/>
    <xf numFmtId="44" fontId="0" fillId="0" borderId="22" xfId="0" applyNumberForma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0" fillId="0" borderId="46" xfId="0" applyBorder="1"/>
    <xf numFmtId="0" fontId="0" fillId="0" borderId="32" xfId="0" applyBorder="1"/>
    <xf numFmtId="0" fontId="0" fillId="0" borderId="47" xfId="0" applyBorder="1"/>
    <xf numFmtId="8" fontId="3" fillId="0" borderId="48" xfId="0" applyNumberFormat="1" applyFont="1" applyBorder="1"/>
    <xf numFmtId="8" fontId="3" fillId="0" borderId="4" xfId="0" applyNumberFormat="1" applyFont="1" applyBorder="1"/>
    <xf numFmtId="8" fontId="3" fillId="0" borderId="49" xfId="0" applyNumberFormat="1" applyFont="1" applyBorder="1"/>
    <xf numFmtId="0" fontId="7" fillId="0" borderId="47" xfId="0" applyFont="1" applyBorder="1"/>
    <xf numFmtId="44" fontId="0" fillId="0" borderId="0" xfId="1" applyFont="1" applyFill="1" applyBorder="1"/>
    <xf numFmtId="0" fontId="0" fillId="0" borderId="0" xfId="1" applyNumberFormat="1" applyFont="1"/>
    <xf numFmtId="0" fontId="0" fillId="0" borderId="0" xfId="0" applyAlignment="1">
      <alignment wrapText="1"/>
    </xf>
    <xf numFmtId="0" fontId="0" fillId="0" borderId="26" xfId="0" applyBorder="1"/>
    <xf numFmtId="0" fontId="0" fillId="0" borderId="21" xfId="0" applyBorder="1"/>
    <xf numFmtId="0" fontId="3" fillId="0" borderId="20" xfId="0" applyFont="1" applyBorder="1"/>
    <xf numFmtId="44" fontId="0" fillId="0" borderId="20" xfId="1" applyFont="1" applyBorder="1"/>
    <xf numFmtId="0" fontId="0" fillId="0" borderId="19" xfId="0" applyBorder="1"/>
    <xf numFmtId="0" fontId="0" fillId="0" borderId="17" xfId="0" applyBorder="1"/>
    <xf numFmtId="44" fontId="0" fillId="0" borderId="17" xfId="0" applyNumberFormat="1" applyBorder="1"/>
    <xf numFmtId="44" fontId="0" fillId="0" borderId="16" xfId="0" applyNumberFormat="1" applyBorder="1"/>
    <xf numFmtId="44" fontId="3" fillId="0" borderId="2" xfId="0" applyNumberFormat="1" applyFont="1" applyBorder="1"/>
    <xf numFmtId="44" fontId="3" fillId="0" borderId="2" xfId="1" applyFont="1" applyBorder="1"/>
    <xf numFmtId="9" fontId="0" fillId="0" borderId="0" xfId="2" applyFont="1" applyFill="1"/>
    <xf numFmtId="0" fontId="3" fillId="0" borderId="22" xfId="0" applyFont="1" applyBorder="1"/>
    <xf numFmtId="0" fontId="3" fillId="0" borderId="43" xfId="0" applyFont="1" applyBorder="1"/>
    <xf numFmtId="0" fontId="3" fillId="0" borderId="12" xfId="0" applyFont="1" applyBorder="1"/>
    <xf numFmtId="0" fontId="3" fillId="0" borderId="51" xfId="0" applyFont="1" applyBorder="1"/>
    <xf numFmtId="8" fontId="0" fillId="0" borderId="27" xfId="0" applyNumberFormat="1" applyBorder="1"/>
    <xf numFmtId="44" fontId="0" fillId="0" borderId="27" xfId="0" applyNumberFormat="1" applyBorder="1"/>
    <xf numFmtId="0" fontId="3" fillId="0" borderId="50" xfId="0" applyFont="1" applyBorder="1"/>
    <xf numFmtId="8" fontId="0" fillId="0" borderId="52" xfId="0" applyNumberFormat="1" applyBorder="1"/>
    <xf numFmtId="44" fontId="0" fillId="0" borderId="52" xfId="0" applyNumberFormat="1" applyBorder="1"/>
    <xf numFmtId="0" fontId="3" fillId="0" borderId="55" xfId="0" applyFont="1" applyBorder="1"/>
    <xf numFmtId="0" fontId="3" fillId="0" borderId="56" xfId="0" applyFont="1" applyBorder="1"/>
    <xf numFmtId="8" fontId="0" fillId="0" borderId="57" xfId="0" applyNumberFormat="1" applyBorder="1"/>
    <xf numFmtId="44" fontId="0" fillId="0" borderId="57" xfId="0" applyNumberFormat="1" applyBorder="1"/>
    <xf numFmtId="0" fontId="3" fillId="0" borderId="44" xfId="0" applyFont="1" applyBorder="1"/>
    <xf numFmtId="0" fontId="3" fillId="0" borderId="45" xfId="0" applyFont="1" applyBorder="1"/>
    <xf numFmtId="0" fontId="3" fillId="0" borderId="27" xfId="0" applyFont="1" applyBorder="1"/>
    <xf numFmtId="44" fontId="0" fillId="0" borderId="27" xfId="1" applyFont="1" applyBorder="1"/>
    <xf numFmtId="44" fontId="0" fillId="0" borderId="18" xfId="0" applyNumberFormat="1" applyBorder="1"/>
    <xf numFmtId="0" fontId="3" fillId="0" borderId="52" xfId="0" applyFont="1" applyBorder="1"/>
    <xf numFmtId="0" fontId="0" fillId="0" borderId="52" xfId="0" applyBorder="1"/>
    <xf numFmtId="0" fontId="0" fillId="0" borderId="58" xfId="0" applyBorder="1"/>
    <xf numFmtId="0" fontId="3" fillId="0" borderId="57" xfId="0" applyFont="1" applyBorder="1"/>
    <xf numFmtId="44" fontId="0" fillId="0" borderId="57" xfId="1" applyFont="1" applyBorder="1"/>
    <xf numFmtId="44" fontId="0" fillId="0" borderId="52" xfId="1" applyFont="1" applyBorder="1"/>
    <xf numFmtId="44" fontId="0" fillId="0" borderId="60" xfId="0" applyNumberFormat="1" applyBorder="1"/>
    <xf numFmtId="44" fontId="0" fillId="0" borderId="58" xfId="0" applyNumberFormat="1" applyBorder="1"/>
    <xf numFmtId="3" fontId="0" fillId="0" borderId="2" xfId="0" applyNumberFormat="1" applyBorder="1"/>
    <xf numFmtId="3" fontId="0" fillId="0" borderId="52" xfId="0" applyNumberFormat="1" applyBorder="1"/>
    <xf numFmtId="3" fontId="0" fillId="0" borderId="57" xfId="0" applyNumberFormat="1" applyBorder="1"/>
    <xf numFmtId="3" fontId="0" fillId="0" borderId="27" xfId="0" applyNumberFormat="1" applyBorder="1"/>
    <xf numFmtId="3" fontId="0" fillId="0" borderId="20" xfId="0" applyNumberFormat="1" applyBorder="1"/>
    <xf numFmtId="0" fontId="3" fillId="0" borderId="20" xfId="0" applyFont="1" applyBorder="1" applyAlignment="1">
      <alignment horizontal="center" vertical="top"/>
    </xf>
    <xf numFmtId="169" fontId="0" fillId="0" borderId="0" xfId="0" applyNumberFormat="1"/>
    <xf numFmtId="165" fontId="3" fillId="0" borderId="0" xfId="3" applyNumberFormat="1" applyFont="1"/>
    <xf numFmtId="3" fontId="3" fillId="0" borderId="0" xfId="0" applyNumberFormat="1" applyFont="1"/>
    <xf numFmtId="165" fontId="3" fillId="0" borderId="3" xfId="0" applyNumberFormat="1" applyFont="1" applyBorder="1"/>
    <xf numFmtId="165" fontId="3" fillId="0" borderId="4" xfId="0" applyNumberFormat="1" applyFont="1" applyBorder="1"/>
    <xf numFmtId="8" fontId="0" fillId="0" borderId="1" xfId="0" applyNumberFormat="1" applyBorder="1"/>
    <xf numFmtId="44" fontId="0" fillId="0" borderId="1" xfId="1" applyFont="1" applyBorder="1"/>
    <xf numFmtId="8" fontId="3" fillId="0" borderId="1" xfId="0" applyNumberFormat="1" applyFont="1" applyBorder="1"/>
    <xf numFmtId="0" fontId="0" fillId="0" borderId="61" xfId="0" applyBorder="1"/>
    <xf numFmtId="0" fontId="0" fillId="0" borderId="28" xfId="0" applyBorder="1"/>
    <xf numFmtId="8" fontId="0" fillId="0" borderId="28" xfId="0" applyNumberFormat="1" applyBorder="1"/>
    <xf numFmtId="44" fontId="0" fillId="0" borderId="28" xfId="1" applyFont="1" applyBorder="1"/>
    <xf numFmtId="8" fontId="3" fillId="0" borderId="28" xfId="0" applyNumberFormat="1" applyFont="1" applyBorder="1"/>
    <xf numFmtId="0" fontId="0" fillId="0" borderId="62" xfId="0" applyBorder="1"/>
    <xf numFmtId="170" fontId="6" fillId="0" borderId="0" xfId="0" applyNumberFormat="1" applyFont="1"/>
    <xf numFmtId="6" fontId="6" fillId="0" borderId="0" xfId="0" applyNumberFormat="1" applyFont="1"/>
    <xf numFmtId="6" fontId="6" fillId="0" borderId="33" xfId="0" applyNumberFormat="1" applyFont="1" applyBorder="1"/>
    <xf numFmtId="0" fontId="7" fillId="8" borderId="45" xfId="0" applyFont="1" applyFill="1" applyBorder="1"/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textRotation="45" wrapText="1"/>
    </xf>
    <xf numFmtId="0" fontId="0" fillId="0" borderId="0" xfId="0" applyAlignment="1">
      <alignment horizontal="center" vertical="center" textRotation="45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/>
    <xf numFmtId="0" fontId="3" fillId="3" borderId="24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11" borderId="34" xfId="0" applyFont="1" applyFill="1" applyBorder="1" applyAlignment="1">
      <alignment horizontal="center"/>
    </xf>
    <xf numFmtId="0" fontId="3" fillId="11" borderId="35" xfId="0" applyFont="1" applyFill="1" applyBorder="1" applyAlignment="1">
      <alignment horizontal="center"/>
    </xf>
    <xf numFmtId="0" fontId="3" fillId="11" borderId="36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10" fillId="0" borderId="15" xfId="4" applyFont="1" applyBorder="1" applyAlignment="1">
      <alignment horizontal="left"/>
    </xf>
    <xf numFmtId="0" fontId="10" fillId="0" borderId="14" xfId="4" applyFont="1" applyBorder="1" applyAlignment="1">
      <alignment horizontal="left"/>
    </xf>
    <xf numFmtId="0" fontId="10" fillId="0" borderId="13" xfId="4" applyFont="1" applyBorder="1" applyAlignment="1">
      <alignment horizontal="left"/>
    </xf>
    <xf numFmtId="0" fontId="1" fillId="0" borderId="2" xfId="4" applyBorder="1" applyAlignment="1">
      <alignment horizontal="center"/>
    </xf>
    <xf numFmtId="0" fontId="1" fillId="0" borderId="5" xfId="4" applyBorder="1" applyAlignment="1">
      <alignment horizontal="center"/>
    </xf>
    <xf numFmtId="0" fontId="1" fillId="0" borderId="28" xfId="4" applyBorder="1" applyAlignment="1">
      <alignment horizontal="center"/>
    </xf>
    <xf numFmtId="0" fontId="1" fillId="0" borderId="27" xfId="4" applyBorder="1" applyAlignment="1">
      <alignment horizontal="center"/>
    </xf>
    <xf numFmtId="0" fontId="11" fillId="0" borderId="0" xfId="4" applyFont="1" applyAlignment="1">
      <alignment horizontal="center"/>
    </xf>
    <xf numFmtId="0" fontId="11" fillId="0" borderId="29" xfId="4" applyFont="1" applyBorder="1" applyAlignment="1">
      <alignment horizontal="center"/>
    </xf>
    <xf numFmtId="0" fontId="11" fillId="0" borderId="2" xfId="4" applyFont="1" applyBorder="1" applyAlignment="1">
      <alignment horizontal="center"/>
    </xf>
    <xf numFmtId="6" fontId="11" fillId="0" borderId="2" xfId="4" applyNumberFormat="1" applyFont="1" applyBorder="1" applyAlignment="1">
      <alignment horizontal="center"/>
    </xf>
    <xf numFmtId="0" fontId="10" fillId="8" borderId="2" xfId="4" applyFont="1" applyFill="1" applyBorder="1" applyAlignment="1">
      <alignment horizontal="center"/>
    </xf>
    <xf numFmtId="0" fontId="10" fillId="8" borderId="15" xfId="4" applyFont="1" applyFill="1" applyBorder="1" applyAlignment="1">
      <alignment horizontal="center"/>
    </xf>
    <xf numFmtId="0" fontId="10" fillId="8" borderId="14" xfId="4" applyFont="1" applyFill="1" applyBorder="1" applyAlignment="1">
      <alignment horizontal="center"/>
    </xf>
    <xf numFmtId="0" fontId="10" fillId="8" borderId="13" xfId="4" applyFont="1" applyFill="1" applyBorder="1" applyAlignment="1">
      <alignment horizontal="center"/>
    </xf>
    <xf numFmtId="0" fontId="10" fillId="8" borderId="0" xfId="4" applyFont="1" applyFill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4" applyFont="1" applyAlignment="1">
      <alignment horizontal="center"/>
    </xf>
    <xf numFmtId="0" fontId="1" fillId="8" borderId="31" xfId="4" applyFill="1" applyBorder="1" applyAlignment="1">
      <alignment horizontal="center"/>
    </xf>
    <xf numFmtId="0" fontId="1" fillId="8" borderId="0" xfId="4" applyFill="1" applyAlignment="1">
      <alignment horizontal="center"/>
    </xf>
  </cellXfs>
  <cellStyles count="5">
    <cellStyle name="Komma" xfId="3" builtinId="3"/>
    <cellStyle name="Prozent" xfId="2" builtinId="5"/>
    <cellStyle name="Standard" xfId="0" builtinId="0"/>
    <cellStyle name="Standard 2" xfId="4" xr:uid="{E3715B07-5AEB-4A49-BA29-8D2623726044}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Angebot und Nachfrage Entwicklung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'Angebot und Nachfrage'!$A$4</c:f>
              <c:strCache>
                <c:ptCount val="1"/>
                <c:pt idx="0">
                  <c:v>Erw. Nachfrage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'Angebot und Nachfrage'!$B$3:$D$3</c:f>
              <c:strCache>
                <c:ptCount val="3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</c:strCache>
            </c:strRef>
          </c:cat>
          <c:val>
            <c:numRef>
              <c:f>'Angebot und Nachfrage'!$B$4:$D$4</c:f>
              <c:numCache>
                <c:formatCode>0</c:formatCode>
                <c:ptCount val="3"/>
                <c:pt idx="0">
                  <c:v>1803.9953384698279</c:v>
                </c:pt>
                <c:pt idx="1">
                  <c:v>3688.2253754094827</c:v>
                </c:pt>
                <c:pt idx="2">
                  <c:v>8158.0963723491386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F-41A8-A5B0-B0F6992C828C}"/>
            </c:ext>
          </c:extLst>
        </c:ser>
        <c:ser>
          <c:idx val="1"/>
          <c:order val="1"/>
          <c:tx>
            <c:strRef>
              <c:f>'Angebot und Nachfrage'!$A$5</c:f>
              <c:strCache>
                <c:ptCount val="1"/>
                <c:pt idx="0">
                  <c:v>Erw. Angebot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'Angebot und Nachfrage'!$B$3:$D$3</c:f>
              <c:strCache>
                <c:ptCount val="3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</c:strCache>
            </c:strRef>
          </c:cat>
          <c:val>
            <c:numRef>
              <c:f>'Angebot und Nachfrage'!$B$5:$D$5</c:f>
              <c:numCache>
                <c:formatCode>0</c:formatCode>
                <c:ptCount val="3"/>
                <c:pt idx="0">
                  <c:v>814.47690239999997</c:v>
                </c:pt>
                <c:pt idx="1">
                  <c:v>2443.4307072000001</c:v>
                </c:pt>
                <c:pt idx="2">
                  <c:v>4072.3845119999996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F-41A8-A5B0-B0F6992C8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176463"/>
        <c:axId val="605177903"/>
      </c:lineChart>
      <c:catAx>
        <c:axId val="60517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177903"/>
        <c:crosses val="autoZero"/>
        <c:auto val="1"/>
        <c:lblAlgn val="ctr"/>
        <c:lblOffset val="100"/>
        <c:noMultiLvlLbl val="0"/>
      </c:catAx>
      <c:valAx>
        <c:axId val="6051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51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P&amp;L</a:t>
            </a:r>
            <a:r>
              <a:rPr lang="de-DE" baseline="0"/>
              <a:t> Development</a:t>
            </a:r>
            <a:endParaRPr lang="de-DE"/>
          </a:p>
        </c:rich>
      </c:tx>
      <c:layout>
        <c:manualLayout>
          <c:xMode val="edge"/>
          <c:yMode val="edge"/>
          <c:x val="0.4375471358473354"/>
          <c:y val="2.1190476521536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1E-4E15-89F0-24A379BEBB7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1E-4E15-89F0-24A379BEBB7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1E-4E15-89F0-24A379BEBB7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1E-4E15-89F0-24A379BEBB7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E1E-4E15-89F0-24A379BEBB7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1E-4E15-89F0-24A379BEBB7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E1E-4E15-89F0-24A379BEBB79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E1E-4E15-89F0-24A379BEBB7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E1E-4E15-89F0-24A379BEBB79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DE1E-4E15-89F0-24A379BEBB79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E1E-4E15-89F0-24A379BEBB79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E1E-4E15-89F0-24A379BEBB79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E1E-4E15-89F0-24A379BEBB79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E1E-4E15-89F0-24A379BEBB79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0088-419A-B2F0-746BB73F96A2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088-419A-B2F0-746BB73F96A2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0088-419A-B2F0-746BB73F96A2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0088-419A-B2F0-746BB73F96A2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0088-419A-B2F0-746BB73F96A2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0088-419A-B2F0-746BB73F96A2}"/>
              </c:ext>
            </c:extLst>
          </c:dPt>
          <c:cat>
            <c:strRef>
              <c:f>'GuV Tabelle'!$C$3:$AL$3</c:f>
              <c:strCache>
                <c:ptCount val="25"/>
                <c:pt idx="0">
                  <c:v>Year 1</c:v>
                </c:pt>
                <c:pt idx="12">
                  <c:v>Year 2</c:v>
                </c:pt>
                <c:pt idx="24">
                  <c:v>Year 3</c:v>
                </c:pt>
              </c:strCache>
            </c:strRef>
          </c:cat>
          <c:val>
            <c:numRef>
              <c:f>'GuV Tabelle'!$C$33:$AL$33</c:f>
              <c:numCache>
                <c:formatCode>"€"#,##0.00_);[Red]\("€"#,##0.00\)</c:formatCode>
                <c:ptCount val="36"/>
                <c:pt idx="0">
                  <c:v>-7189.29</c:v>
                </c:pt>
                <c:pt idx="1">
                  <c:v>-5504.5998288872725</c:v>
                </c:pt>
                <c:pt idx="2">
                  <c:v>-4629.9096577745449</c:v>
                </c:pt>
                <c:pt idx="3">
                  <c:v>-4505.2194866618192</c:v>
                </c:pt>
                <c:pt idx="4">
                  <c:v>-4380.5293155490908</c:v>
                </c:pt>
                <c:pt idx="5">
                  <c:v>-4255.8391444363642</c:v>
                </c:pt>
                <c:pt idx="6">
                  <c:v>-4131.1489733236367</c:v>
                </c:pt>
                <c:pt idx="7">
                  <c:v>-4006.4588022109087</c:v>
                </c:pt>
                <c:pt idx="8">
                  <c:v>-3881.7686310981817</c:v>
                </c:pt>
                <c:pt idx="9">
                  <c:v>-3257.0784599854546</c:v>
                </c:pt>
                <c:pt idx="10">
                  <c:v>-3132.3882888727276</c:v>
                </c:pt>
                <c:pt idx="11">
                  <c:v>-3007.6981177600001</c:v>
                </c:pt>
                <c:pt idx="12">
                  <c:v>-3814.1391133139396</c:v>
                </c:pt>
                <c:pt idx="13">
                  <c:v>-3109.0289733126165</c:v>
                </c:pt>
                <c:pt idx="14">
                  <c:v>-2653.9188333112952</c:v>
                </c:pt>
                <c:pt idx="15">
                  <c:v>-2948.8086933099726</c:v>
                </c:pt>
                <c:pt idx="16">
                  <c:v>-3243.6985533086499</c:v>
                </c:pt>
                <c:pt idx="17">
                  <c:v>-2038.5884133073278</c:v>
                </c:pt>
                <c:pt idx="18">
                  <c:v>-1833.4782733060051</c:v>
                </c:pt>
                <c:pt idx="19">
                  <c:v>-1628.3681333046829</c:v>
                </c:pt>
                <c:pt idx="20">
                  <c:v>-1423.2579933033612</c:v>
                </c:pt>
                <c:pt idx="21">
                  <c:v>-718.14785330203858</c:v>
                </c:pt>
                <c:pt idx="22">
                  <c:v>-513.03771330071504</c:v>
                </c:pt>
                <c:pt idx="23">
                  <c:v>-307.92757329939377</c:v>
                </c:pt>
                <c:pt idx="24">
                  <c:v>-1671.4551582980712</c:v>
                </c:pt>
                <c:pt idx="25">
                  <c:v>-850.47770880145254</c:v>
                </c:pt>
                <c:pt idx="26">
                  <c:v>-529.50025930483298</c:v>
                </c:pt>
                <c:pt idx="27">
                  <c:v>-608.52280980821433</c:v>
                </c:pt>
                <c:pt idx="28">
                  <c:v>-137.54536031159478</c:v>
                </c:pt>
                <c:pt idx="29">
                  <c:v>-16.56791081497704</c:v>
                </c:pt>
                <c:pt idx="30">
                  <c:v>1454.4095386816434</c:v>
                </c:pt>
                <c:pt idx="31">
                  <c:v>1275.3869881782621</c:v>
                </c:pt>
                <c:pt idx="32">
                  <c:v>596.36443767488163</c:v>
                </c:pt>
                <c:pt idx="33">
                  <c:v>2917.3418871715012</c:v>
                </c:pt>
                <c:pt idx="34">
                  <c:v>3238.3193366681189</c:v>
                </c:pt>
                <c:pt idx="35">
                  <c:v>3059.2967861647394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E-4E15-89F0-24A379BE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823376"/>
        <c:axId val="1522823856"/>
      </c:lineChart>
      <c:catAx>
        <c:axId val="15228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823856"/>
        <c:crosses val="autoZero"/>
        <c:auto val="1"/>
        <c:lblAlgn val="ctr"/>
        <c:lblOffset val="100"/>
        <c:noMultiLvlLbl val="0"/>
      </c:catAx>
      <c:valAx>
        <c:axId val="15228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8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Break-Even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Umsatz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39-4060-A544-958941B8D2D9}"/>
              </c:ext>
            </c:extLst>
          </c:dPt>
          <c:cat>
            <c:strRef>
              <c:f>'GuV Tabelle'!$C$3:$AL$3</c:f>
              <c:strCache>
                <c:ptCount val="25"/>
                <c:pt idx="0">
                  <c:v>Year 1</c:v>
                </c:pt>
                <c:pt idx="12">
                  <c:v>Year 2</c:v>
                </c:pt>
                <c:pt idx="24">
                  <c:v>Year 3</c:v>
                </c:pt>
              </c:strCache>
            </c:strRef>
          </c:cat>
          <c:val>
            <c:numRef>
              <c:f>'GuV Tabelle'!$C$6:$AL$6</c:f>
              <c:numCache>
                <c:formatCode>"€"#,##0.00_);[Red]\("€"#,##0.00\)</c:formatCode>
                <c:ptCount val="36"/>
                <c:pt idx="0">
                  <c:v>120</c:v>
                </c:pt>
                <c:pt idx="1">
                  <c:v>246.2685277090909</c:v>
                </c:pt>
                <c:pt idx="2">
                  <c:v>372.53705541818175</c:v>
                </c:pt>
                <c:pt idx="3">
                  <c:v>498.80558312727266</c:v>
                </c:pt>
                <c:pt idx="4">
                  <c:v>625.0741108363635</c:v>
                </c:pt>
                <c:pt idx="5">
                  <c:v>751.34263854545441</c:v>
                </c:pt>
                <c:pt idx="6">
                  <c:v>877.61116625454531</c:v>
                </c:pt>
                <c:pt idx="7">
                  <c:v>1003.8796939636363</c:v>
                </c:pt>
                <c:pt idx="8">
                  <c:v>1130.1482216727272</c:v>
                </c:pt>
                <c:pt idx="9">
                  <c:v>1256.4167493818181</c:v>
                </c:pt>
                <c:pt idx="10">
                  <c:v>1382.685277090909</c:v>
                </c:pt>
                <c:pt idx="11">
                  <c:v>1508.9538048000002</c:v>
                </c:pt>
                <c:pt idx="12">
                  <c:v>2085.2223325090908</c:v>
                </c:pt>
                <c:pt idx="13">
                  <c:v>2292.1693097256202</c:v>
                </c:pt>
                <c:pt idx="14">
                  <c:v>2499.1162869421487</c:v>
                </c:pt>
                <c:pt idx="15">
                  <c:v>2706.0632641586776</c:v>
                </c:pt>
                <c:pt idx="16">
                  <c:v>2913.0102413752065</c:v>
                </c:pt>
                <c:pt idx="17">
                  <c:v>3119.9572185917359</c:v>
                </c:pt>
                <c:pt idx="18">
                  <c:v>3326.9041958082648</c:v>
                </c:pt>
                <c:pt idx="19">
                  <c:v>3533.8511730247933</c:v>
                </c:pt>
                <c:pt idx="20">
                  <c:v>3740.7981502413222</c:v>
                </c:pt>
                <c:pt idx="21">
                  <c:v>3947.7451274578511</c:v>
                </c:pt>
                <c:pt idx="22">
                  <c:v>4154.692104674381</c:v>
                </c:pt>
                <c:pt idx="23">
                  <c:v>4361.6390818909094</c:v>
                </c:pt>
                <c:pt idx="24">
                  <c:v>5078.5860591074379</c:v>
                </c:pt>
                <c:pt idx="25">
                  <c:v>5401.0948687242671</c:v>
                </c:pt>
                <c:pt idx="26">
                  <c:v>5723.6036783410973</c:v>
                </c:pt>
                <c:pt idx="27">
                  <c:v>6046.1124879579265</c:v>
                </c:pt>
                <c:pt idx="28">
                  <c:v>6368.6212975747567</c:v>
                </c:pt>
                <c:pt idx="29">
                  <c:v>6891.130107191585</c:v>
                </c:pt>
                <c:pt idx="30">
                  <c:v>7213.6389168084152</c:v>
                </c:pt>
                <c:pt idx="31">
                  <c:v>7536.1477264252444</c:v>
                </c:pt>
                <c:pt idx="32">
                  <c:v>7858.6565360420736</c:v>
                </c:pt>
                <c:pt idx="33">
                  <c:v>8181.1653456589038</c:v>
                </c:pt>
                <c:pt idx="34">
                  <c:v>8503.6741552757321</c:v>
                </c:pt>
                <c:pt idx="35">
                  <c:v>8826.1829648925632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C-473E-8717-75EA87C426DF}"/>
            </c:ext>
          </c:extLst>
        </c:ser>
        <c:ser>
          <c:idx val="1"/>
          <c:order val="1"/>
          <c:tx>
            <c:v>Kosten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'GuV Tabelle'!$C$3:$AL$3</c:f>
              <c:strCache>
                <c:ptCount val="25"/>
                <c:pt idx="0">
                  <c:v>Year 1</c:v>
                </c:pt>
                <c:pt idx="12">
                  <c:v>Year 2</c:v>
                </c:pt>
                <c:pt idx="24">
                  <c:v>Year 3</c:v>
                </c:pt>
              </c:strCache>
            </c:strRef>
          </c:cat>
          <c:val>
            <c:numRef>
              <c:f>'GuV Tabelle'!$C$31:$AL$31</c:f>
              <c:numCache>
                <c:formatCode>_("€"* #,##0.00_);_("€"* \(#,##0.00\);_("€"* "-"??_);_(@_)</c:formatCode>
                <c:ptCount val="36"/>
                <c:pt idx="0">
                  <c:v>7309.29</c:v>
                </c:pt>
                <c:pt idx="1">
                  <c:v>5750.8683565963638</c:v>
                </c:pt>
                <c:pt idx="2">
                  <c:v>5002.4467131927267</c:v>
                </c:pt>
                <c:pt idx="3">
                  <c:v>5004.0250697890915</c:v>
                </c:pt>
                <c:pt idx="4">
                  <c:v>5005.6034263854544</c:v>
                </c:pt>
                <c:pt idx="5">
                  <c:v>5007.1817829818183</c:v>
                </c:pt>
                <c:pt idx="6">
                  <c:v>5008.7601395781821</c:v>
                </c:pt>
                <c:pt idx="7">
                  <c:v>5010.3384961745451</c:v>
                </c:pt>
                <c:pt idx="8">
                  <c:v>5011.9168527709089</c:v>
                </c:pt>
                <c:pt idx="9">
                  <c:v>4513.4952093672728</c:v>
                </c:pt>
                <c:pt idx="10">
                  <c:v>4515.0735659636366</c:v>
                </c:pt>
                <c:pt idx="11">
                  <c:v>4516.6519225600005</c:v>
                </c:pt>
                <c:pt idx="12">
                  <c:v>5899.3614458230304</c:v>
                </c:pt>
                <c:pt idx="13">
                  <c:v>5401.1982830382367</c:v>
                </c:pt>
                <c:pt idx="14">
                  <c:v>5153.0351202534439</c:v>
                </c:pt>
                <c:pt idx="15">
                  <c:v>5654.8719574686502</c:v>
                </c:pt>
                <c:pt idx="16">
                  <c:v>6156.7087946838565</c:v>
                </c:pt>
                <c:pt idx="17">
                  <c:v>5158.5456318990637</c:v>
                </c:pt>
                <c:pt idx="18">
                  <c:v>5160.38246911427</c:v>
                </c:pt>
                <c:pt idx="19">
                  <c:v>5162.2193063294762</c:v>
                </c:pt>
                <c:pt idx="20">
                  <c:v>5164.0561435446834</c:v>
                </c:pt>
                <c:pt idx="21">
                  <c:v>4665.8929807598897</c:v>
                </c:pt>
                <c:pt idx="22">
                  <c:v>4667.729817975096</c:v>
                </c:pt>
                <c:pt idx="23">
                  <c:v>4669.5666551903032</c:v>
                </c:pt>
                <c:pt idx="24">
                  <c:v>6750.0412174055091</c:v>
                </c:pt>
                <c:pt idx="25">
                  <c:v>6251.5725775257197</c:v>
                </c:pt>
                <c:pt idx="26">
                  <c:v>6253.1039376459303</c:v>
                </c:pt>
                <c:pt idx="27">
                  <c:v>6654.6352977661409</c:v>
                </c:pt>
                <c:pt idx="28">
                  <c:v>6506.1666578863515</c:v>
                </c:pt>
                <c:pt idx="29">
                  <c:v>6907.6980180065621</c:v>
                </c:pt>
                <c:pt idx="30">
                  <c:v>5759.2293781267717</c:v>
                </c:pt>
                <c:pt idx="31">
                  <c:v>6260.7607382469823</c:v>
                </c:pt>
                <c:pt idx="32">
                  <c:v>7262.292098367192</c:v>
                </c:pt>
                <c:pt idx="33">
                  <c:v>5263.8234584874026</c:v>
                </c:pt>
                <c:pt idx="34">
                  <c:v>5265.3548186076132</c:v>
                </c:pt>
                <c:pt idx="35">
                  <c:v>5766.8861787278238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C-473E-8717-75EA87C4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872367"/>
        <c:axId val="1137866127"/>
      </c:lineChart>
      <c:catAx>
        <c:axId val="11378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866127"/>
        <c:crosses val="autoZero"/>
        <c:auto val="1"/>
        <c:lblAlgn val="ctr"/>
        <c:lblOffset val="100"/>
        <c:noMultiLvlLbl val="0"/>
      </c:catAx>
      <c:valAx>
        <c:axId val="1137866127"/>
        <c:scaling>
          <c:orientation val="minMax"/>
        </c:scaling>
        <c:delete val="0"/>
        <c:axPos val="l"/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8723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7.png"/><Relationship Id="rId7" Type="http://schemas.openxmlformats.org/officeDocument/2006/relationships/image" Target="../media/image9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customXml" Target="../ink/ink2.xml"/><Relationship Id="rId5" Type="http://schemas.openxmlformats.org/officeDocument/2006/relationships/image" Target="../media/image8.png"/><Relationship Id="rId4" Type="http://schemas.openxmlformats.org/officeDocument/2006/relationships/customXml" Target="../ink/ink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48439</xdr:colOff>
      <xdr:row>2</xdr:row>
      <xdr:rowOff>83927</xdr:rowOff>
    </xdr:from>
    <xdr:to>
      <xdr:col>17</xdr:col>
      <xdr:colOff>315752</xdr:colOff>
      <xdr:row>25</xdr:row>
      <xdr:rowOff>61772</xdr:rowOff>
    </xdr:to>
    <xdr:pic>
      <xdr:nvPicPr>
        <xdr:cNvPr id="5" name="Grafik 2">
          <a:extLst>
            <a:ext uri="{FF2B5EF4-FFF2-40B4-BE49-F238E27FC236}">
              <a16:creationId xmlns:a16="http://schemas.microsoft.com/office/drawing/2014/main" id="{E38CF9C6-8E82-4F38-F6F0-36115C9BF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3631" y="83927"/>
          <a:ext cx="8375775" cy="4284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28</xdr:row>
      <xdr:rowOff>177800</xdr:rowOff>
    </xdr:from>
    <xdr:to>
      <xdr:col>6</xdr:col>
      <xdr:colOff>95250</xdr:colOff>
      <xdr:row>30</xdr:row>
      <xdr:rowOff>12701</xdr:rowOff>
    </xdr:to>
    <xdr:pic>
      <xdr:nvPicPr>
        <xdr:cNvPr id="2" name="Grafik 1" descr="Hinzufügen mit einfarbiger Füllung">
          <a:extLst>
            <a:ext uri="{FF2B5EF4-FFF2-40B4-BE49-F238E27FC236}">
              <a16:creationId xmlns:a16="http://schemas.microsoft.com/office/drawing/2014/main" id="{EEF66DD3-26CF-454D-B3C5-E6AA5BE06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50150" y="4781550"/>
          <a:ext cx="209550" cy="2095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29</xdr:row>
      <xdr:rowOff>5734</xdr:rowOff>
    </xdr:from>
    <xdr:to>
      <xdr:col>8</xdr:col>
      <xdr:colOff>522989</xdr:colOff>
      <xdr:row>29</xdr:row>
      <xdr:rowOff>171449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1A583D0-381E-4FAE-840A-CA1D82550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9594851" y="4793634"/>
          <a:ext cx="256288" cy="165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28</xdr:row>
      <xdr:rowOff>177800</xdr:rowOff>
    </xdr:from>
    <xdr:to>
      <xdr:col>6</xdr:col>
      <xdr:colOff>95250</xdr:colOff>
      <xdr:row>30</xdr:row>
      <xdr:rowOff>12701</xdr:rowOff>
    </xdr:to>
    <xdr:pic>
      <xdr:nvPicPr>
        <xdr:cNvPr id="2" name="Grafik 1" descr="Hinzufügen mit einfarbiger Füllung">
          <a:extLst>
            <a:ext uri="{FF2B5EF4-FFF2-40B4-BE49-F238E27FC236}">
              <a16:creationId xmlns:a16="http://schemas.microsoft.com/office/drawing/2014/main" id="{2588C80E-3719-4FC6-96AD-DD8BA9BA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58125" y="5130800"/>
          <a:ext cx="171450" cy="225425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29</xdr:row>
      <xdr:rowOff>5734</xdr:rowOff>
    </xdr:from>
    <xdr:to>
      <xdr:col>8</xdr:col>
      <xdr:colOff>522989</xdr:colOff>
      <xdr:row>29</xdr:row>
      <xdr:rowOff>171449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CB983E0-21CC-41CB-8CA9-9A9348B6E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9791701" y="5149234"/>
          <a:ext cx="256288" cy="165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698500</xdr:colOff>
      <xdr:row>28</xdr:row>
      <xdr:rowOff>165100</xdr:rowOff>
    </xdr:from>
    <xdr:to>
      <xdr:col>6</xdr:col>
      <xdr:colOff>146050</xdr:colOff>
      <xdr:row>29</xdr:row>
      <xdr:rowOff>184150</xdr:rowOff>
    </xdr:to>
    <xdr:pic>
      <xdr:nvPicPr>
        <xdr:cNvPr id="2" name="Grafik 2" descr="Hinzufügen mit einfarbiger Füllung">
          <a:extLst>
            <a:ext uri="{FF2B5EF4-FFF2-40B4-BE49-F238E27FC236}">
              <a16:creationId xmlns:a16="http://schemas.microsoft.com/office/drawing/2014/main" id="{6FBE2053-A08B-091B-B57D-05E48FC0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83600" y="4953000"/>
          <a:ext cx="209550" cy="2095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285751</xdr:colOff>
      <xdr:row>29</xdr:row>
      <xdr:rowOff>37484</xdr:rowOff>
    </xdr:from>
    <xdr:to>
      <xdr:col>8</xdr:col>
      <xdr:colOff>476250</xdr:colOff>
      <xdr:row>29</xdr:row>
      <xdr:rowOff>160660</xdr:rowOff>
    </xdr:to>
    <xdr:pic>
      <xdr:nvPicPr>
        <xdr:cNvPr id="6" name="Grafik 3">
          <a:extLst>
            <a:ext uri="{FF2B5EF4-FFF2-40B4-BE49-F238E27FC236}">
              <a16:creationId xmlns:a16="http://schemas.microsoft.com/office/drawing/2014/main" id="{5D47D16A-908F-9D3C-FED2-C891A54BF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V="1">
          <a:off x="10541001" y="5009534"/>
          <a:ext cx="190499" cy="1231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7</xdr:col>
      <xdr:colOff>358775</xdr:colOff>
      <xdr:row>26</xdr:row>
      <xdr:rowOff>133350</xdr:rowOff>
    </xdr:to>
    <xdr:graphicFrame macro="">
      <xdr:nvGraphicFramePr>
        <xdr:cNvPr id="37" name="Diagramm 1">
          <a:extLst>
            <a:ext uri="{FF2B5EF4-FFF2-40B4-BE49-F238E27FC236}">
              <a16:creationId xmlns:a16="http://schemas.microsoft.com/office/drawing/2014/main" id="{ABD99577-C57A-AB76-2EE8-AFB973103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119066</xdr:colOff>
      <xdr:row>45</xdr:row>
      <xdr:rowOff>134935</xdr:rowOff>
    </xdr:from>
    <xdr:to>
      <xdr:col>5</xdr:col>
      <xdr:colOff>174836</xdr:colOff>
      <xdr:row>68</xdr:row>
      <xdr:rowOff>180892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7A5D35E6-91C2-4384-7A7A-674F23C1D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879"/>
        <a:stretch>
          <a:fillRect/>
        </a:stretch>
      </xdr:blipFill>
      <xdr:spPr>
        <a:xfrm>
          <a:off x="119066" y="8889998"/>
          <a:ext cx="6266070" cy="4427457"/>
        </a:xfrm>
        <a:prstGeom prst="rect">
          <a:avLst/>
        </a:prstGeom>
      </xdr:spPr>
    </xdr:pic>
    <xdr:clientData/>
  </xdr:twoCellAnchor>
  <xdr:twoCellAnchor editAs="oneCell">
    <xdr:from>
      <xdr:col>4</xdr:col>
      <xdr:colOff>615560</xdr:colOff>
      <xdr:row>45</xdr:row>
      <xdr:rowOff>136776</xdr:rowOff>
    </xdr:from>
    <xdr:to>
      <xdr:col>12</xdr:col>
      <xdr:colOff>49762</xdr:colOff>
      <xdr:row>64</xdr:row>
      <xdr:rowOff>119152</xdr:rowOff>
    </xdr:to>
    <xdr:pic>
      <xdr:nvPicPr>
        <xdr:cNvPr id="6" name="Grafik 3">
          <a:extLst>
            <a:ext uri="{FF2B5EF4-FFF2-40B4-BE49-F238E27FC236}">
              <a16:creationId xmlns:a16="http://schemas.microsoft.com/office/drawing/2014/main" id="{8ECE69E4-1CF8-2933-6116-8D1B7F71B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666"/>
        <a:stretch>
          <a:fillRect/>
        </a:stretch>
      </xdr:blipFill>
      <xdr:spPr>
        <a:xfrm>
          <a:off x="6256937" y="8980762"/>
          <a:ext cx="6720827" cy="3601876"/>
        </a:xfrm>
        <a:prstGeom prst="rect">
          <a:avLst/>
        </a:prstGeom>
      </xdr:spPr>
    </xdr:pic>
    <xdr:clientData/>
  </xdr:twoCellAnchor>
  <xdr:twoCellAnchor editAs="oneCell">
    <xdr:from>
      <xdr:col>15</xdr:col>
      <xdr:colOff>707771</xdr:colOff>
      <xdr:row>46</xdr:row>
      <xdr:rowOff>115357</xdr:rowOff>
    </xdr:from>
    <xdr:to>
      <xdr:col>29</xdr:col>
      <xdr:colOff>435913</xdr:colOff>
      <xdr:row>79</xdr:row>
      <xdr:rowOff>121308</xdr:rowOff>
    </xdr:to>
    <xdr:pic>
      <xdr:nvPicPr>
        <xdr:cNvPr id="4" name="Grafik 21">
          <a:extLst>
            <a:ext uri="{FF2B5EF4-FFF2-40B4-BE49-F238E27FC236}">
              <a16:creationId xmlns:a16="http://schemas.microsoft.com/office/drawing/2014/main" id="{3B4E86B3-A140-FC34-A9D1-CF137CFC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9384" y="8984873"/>
          <a:ext cx="10493509" cy="6292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292530</xdr:colOff>
      <xdr:row>66</xdr:row>
      <xdr:rowOff>15935</xdr:rowOff>
    </xdr:from>
    <xdr:to>
      <xdr:col>17</xdr:col>
      <xdr:colOff>276291</xdr:colOff>
      <xdr:row>66</xdr:row>
      <xdr:rowOff>101255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3" name="Freihand 22">
              <a:extLst>
                <a:ext uri="{FF2B5EF4-FFF2-40B4-BE49-F238E27FC236}">
                  <a16:creationId xmlns:a16="http://schemas.microsoft.com/office/drawing/2014/main" id="{3D2C5AC8-498D-1129-0F2E-820DED74D64F}"/>
                </a:ext>
              </a:extLst>
            </xdr14:cNvPr>
            <xdr14:cNvContentPartPr/>
          </xdr14:nvContentPartPr>
          <xdr14:nvPr macro=""/>
          <xdr14:xfrm>
            <a:off x="14621806" y="9256856"/>
            <a:ext cx="783360" cy="85320"/>
          </xdr14:xfrm>
        </xdr:contentPart>
      </mc:Choice>
      <mc:Fallback xmlns="">
        <xdr:pic>
          <xdr:nvPicPr>
            <xdr:cNvPr id="23" name="Freihand 22">
              <a:extLst>
                <a:ext uri="{FF2B5EF4-FFF2-40B4-BE49-F238E27FC236}">
                  <a16:creationId xmlns:a16="http://schemas.microsoft.com/office/drawing/2014/main" id="{3D2C5AC8-498D-1129-0F2E-820DED74D64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567806" y="9148856"/>
              <a:ext cx="89100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89130</xdr:colOff>
      <xdr:row>61</xdr:row>
      <xdr:rowOff>66694</xdr:rowOff>
    </xdr:from>
    <xdr:to>
      <xdr:col>17</xdr:col>
      <xdr:colOff>708680</xdr:colOff>
      <xdr:row>69</xdr:row>
      <xdr:rowOff>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4" name="Freihand 23">
              <a:extLst>
                <a:ext uri="{FF2B5EF4-FFF2-40B4-BE49-F238E27FC236}">
                  <a16:creationId xmlns:a16="http://schemas.microsoft.com/office/drawing/2014/main" id="{63C9DEE9-3F88-D2A3-E6D2-605C238FB677}"/>
                </a:ext>
              </a:extLst>
            </xdr14:cNvPr>
            <xdr14:cNvContentPartPr/>
          </xdr14:nvContentPartPr>
          <xdr14:nvPr macro=""/>
          <xdr14:xfrm>
            <a:off x="14418406" y="8388536"/>
            <a:ext cx="1458000" cy="1404720"/>
          </xdr14:xfrm>
        </xdr:contentPart>
      </mc:Choice>
      <mc:Fallback xmlns="">
        <xdr:pic>
          <xdr:nvPicPr>
            <xdr:cNvPr id="24" name="Freihand 23">
              <a:extLst>
                <a:ext uri="{FF2B5EF4-FFF2-40B4-BE49-F238E27FC236}">
                  <a16:creationId xmlns:a16="http://schemas.microsoft.com/office/drawing/2014/main" id="{63C9DEE9-3F88-D2A3-E6D2-605C238FB67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364406" y="8280536"/>
              <a:ext cx="1565640" cy="162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207123</xdr:colOff>
      <xdr:row>46</xdr:row>
      <xdr:rowOff>38480</xdr:rowOff>
    </xdr:from>
    <xdr:to>
      <xdr:col>15</xdr:col>
      <xdr:colOff>556054</xdr:colOff>
      <xdr:row>97</xdr:row>
      <xdr:rowOff>101644</xdr:rowOff>
    </xdr:to>
    <xdr:pic>
      <xdr:nvPicPr>
        <xdr:cNvPr id="7" name="Grafik 1">
          <a:extLst>
            <a:ext uri="{FF2B5EF4-FFF2-40B4-BE49-F238E27FC236}">
              <a16:creationId xmlns:a16="http://schemas.microsoft.com/office/drawing/2014/main" id="{0636DCD5-E3F9-051B-D13D-89D5BB23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25040" y="9415313"/>
          <a:ext cx="3396931" cy="97786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117724</xdr:colOff>
      <xdr:row>11</xdr:row>
      <xdr:rowOff>171451</xdr:rowOff>
    </xdr:from>
    <xdr:to>
      <xdr:col>20</xdr:col>
      <xdr:colOff>315644</xdr:colOff>
      <xdr:row>31</xdr:row>
      <xdr:rowOff>107951</xdr:rowOff>
    </xdr:to>
    <xdr:graphicFrame macro="">
      <xdr:nvGraphicFramePr>
        <xdr:cNvPr id="15" name="Diagramm 4">
          <a:extLst>
            <a:ext uri="{FF2B5EF4-FFF2-40B4-BE49-F238E27FC236}">
              <a16:creationId xmlns:a16="http://schemas.microsoft.com/office/drawing/2014/main" id="{9A8CEA22-A1AD-4FBD-A617-99E3D6FB9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274250</xdr:colOff>
      <xdr:row>11</xdr:row>
      <xdr:rowOff>146393</xdr:rowOff>
    </xdr:from>
    <xdr:to>
      <xdr:col>10</xdr:col>
      <xdr:colOff>571500</xdr:colOff>
      <xdr:row>31</xdr:row>
      <xdr:rowOff>114300</xdr:rowOff>
    </xdr:to>
    <xdr:graphicFrame macro="">
      <xdr:nvGraphicFramePr>
        <xdr:cNvPr id="22" name="Diagramm 19">
          <a:extLst>
            <a:ext uri="{FF2B5EF4-FFF2-40B4-BE49-F238E27FC236}">
              <a16:creationId xmlns:a16="http://schemas.microsoft.com/office/drawing/2014/main" id="{8F9CAD4D-2566-42AA-AE84-BEA0D29F1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575104</xdr:colOff>
      <xdr:row>12</xdr:row>
      <xdr:rowOff>46166</xdr:rowOff>
    </xdr:from>
    <xdr:to>
      <xdr:col>14</xdr:col>
      <xdr:colOff>577850</xdr:colOff>
      <xdr:row>31</xdr:row>
      <xdr:rowOff>108735</xdr:rowOff>
    </xdr:to>
    <xdr:cxnSp macro="">
      <xdr:nvCxnSpPr>
        <xdr:cNvPr id="25" name="Gerader Verbinder 47">
          <a:extLst>
            <a:ext uri="{FF2B5EF4-FFF2-40B4-BE49-F238E27FC236}">
              <a16:creationId xmlns:a16="http://schemas.microsoft.com/office/drawing/2014/main" id="{4C8FCCD5-069A-B2E3-0337-8F21CB375EEB}"/>
            </a:ext>
          </a:extLst>
        </xdr:cNvPr>
        <xdr:cNvCxnSpPr/>
      </xdr:nvCxnSpPr>
      <xdr:spPr>
        <a:xfrm flipH="1" flipV="1">
          <a:off x="11484404" y="2808416"/>
          <a:ext cx="2746" cy="356141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339261</xdr:colOff>
      <xdr:row>12</xdr:row>
      <xdr:rowOff>48178</xdr:rowOff>
    </xdr:from>
    <xdr:to>
      <xdr:col>17</xdr:col>
      <xdr:colOff>351216</xdr:colOff>
      <xdr:row>31</xdr:row>
      <xdr:rowOff>115085</xdr:rowOff>
    </xdr:to>
    <xdr:cxnSp macro="">
      <xdr:nvCxnSpPr>
        <xdr:cNvPr id="26" name="Gerader Verbinder 50">
          <a:extLst>
            <a:ext uri="{FF2B5EF4-FFF2-40B4-BE49-F238E27FC236}">
              <a16:creationId xmlns:a16="http://schemas.microsoft.com/office/drawing/2014/main" id="{DC8D6DD9-E998-95DA-9BAD-FDA80C26E21A}"/>
            </a:ext>
          </a:extLst>
        </xdr:cNvPr>
        <xdr:cNvCxnSpPr/>
      </xdr:nvCxnSpPr>
      <xdr:spPr>
        <a:xfrm flipV="1">
          <a:off x="13496461" y="2810428"/>
          <a:ext cx="11955" cy="356575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537004</xdr:colOff>
      <xdr:row>11</xdr:row>
      <xdr:rowOff>155318</xdr:rowOff>
    </xdr:from>
    <xdr:to>
      <xdr:col>4</xdr:col>
      <xdr:colOff>537004</xdr:colOff>
      <xdr:row>30</xdr:row>
      <xdr:rowOff>181060</xdr:rowOff>
    </xdr:to>
    <xdr:cxnSp macro="">
      <xdr:nvCxnSpPr>
        <xdr:cNvPr id="24" name="Gerader Verbinder 56">
          <a:extLst>
            <a:ext uri="{FF2B5EF4-FFF2-40B4-BE49-F238E27FC236}">
              <a16:creationId xmlns:a16="http://schemas.microsoft.com/office/drawing/2014/main" id="{0CC8FA14-D28F-1B21-877D-3B7921B3B66B}"/>
            </a:ext>
          </a:extLst>
        </xdr:cNvPr>
        <xdr:cNvCxnSpPr/>
      </xdr:nvCxnSpPr>
      <xdr:spPr>
        <a:xfrm flipV="1">
          <a:off x="3953304" y="2733418"/>
          <a:ext cx="0" cy="352459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475563</xdr:colOff>
      <xdr:row>12</xdr:row>
      <xdr:rowOff>2231</xdr:rowOff>
    </xdr:from>
    <xdr:to>
      <xdr:col>7</xdr:col>
      <xdr:colOff>475563</xdr:colOff>
      <xdr:row>31</xdr:row>
      <xdr:rowOff>62298</xdr:rowOff>
    </xdr:to>
    <xdr:cxnSp macro="">
      <xdr:nvCxnSpPr>
        <xdr:cNvPr id="23" name="Gerader Verbinder 59">
          <a:extLst>
            <a:ext uri="{FF2B5EF4-FFF2-40B4-BE49-F238E27FC236}">
              <a16:creationId xmlns:a16="http://schemas.microsoft.com/office/drawing/2014/main" id="{2F0D41A0-481A-5CF0-F682-F6FCDDE85417}"/>
            </a:ext>
          </a:extLst>
        </xdr:cNvPr>
        <xdr:cNvCxnSpPr/>
      </xdr:nvCxnSpPr>
      <xdr:spPr>
        <a:xfrm flipV="1">
          <a:off x="6139763" y="2764481"/>
          <a:ext cx="0" cy="35589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30163</xdr:colOff>
      <xdr:row>19</xdr:row>
      <xdr:rowOff>180975</xdr:rowOff>
    </xdr:from>
    <xdr:to>
      <xdr:col>20</xdr:col>
      <xdr:colOff>117475</xdr:colOff>
      <xdr:row>19</xdr:row>
      <xdr:rowOff>182563</xdr:rowOff>
    </xdr:to>
    <xdr:cxnSp macro="">
      <xdr:nvCxnSpPr>
        <xdr:cNvPr id="16" name="Gerader Verbinder 50">
          <a:extLst>
            <a:ext uri="{FF2B5EF4-FFF2-40B4-BE49-F238E27FC236}">
              <a16:creationId xmlns:a16="http://schemas.microsoft.com/office/drawing/2014/main" id="{A4CB690B-192D-185E-6735-05608866F27B}"/>
            </a:ext>
          </a:extLst>
        </xdr:cNvPr>
        <xdr:cNvCxnSpPr/>
      </xdr:nvCxnSpPr>
      <xdr:spPr>
        <a:xfrm flipV="1">
          <a:off x="9440863" y="4232275"/>
          <a:ext cx="6081712" cy="158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07T18:55:19.07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0 187,'79'0,"5"-2,107 14,-45 0,202-8,-181-6,861 2,-1005 1,1 2,-1 0,39 11,-105-10,-122-4,-309-39,364 20,-189-58,217 52,-1 3,0 4,-2 4,1 3,-2 4,-88 4,138 3,7-1,0 2,1 1,-52 10,43-3,21-6,1 0,0 1,0 1,1 0,-1 1,-18 11,32-17,1 1,-1-1,0 0,1 1,-1-1,1 0,-1 1,1-1,-1 1,1-1,-1 1,1 0,-1-1,1 1,0-1,-1 1,1 0,0-1,-1 1,1 0,0-1,0 1,0 0,0-1,0 1,0 0,0 0,0 0,0 0,1 0,0 0,-1 0,1 0,0 0,0 0,-1 0,1-1,0 1,0 0,0 0,0-1,0 1,0-1,2 1,6 3,1-1,18 4,-26-6,67 11,121 5,76-15,-166-2,70-2,170 3,-338-1,15 0,-1 1,1 0,0 2,23 5,-40-8,0 1,0-1,0 0,0 0,0 0,-1 0,1 0,0 0,0 0,0 0,0 0,0 0,0 0,0 1,0-1,0 0,0 0,0 0,0 0,0 0,0 0,0 0,0 1,0-1,0 0,0 0,0 0,0 0,0 0,0 0,0 0,0 1,0-1,0 0,0 0,0 0,0 0,0 0,0 0,0 0,0 0,0 0,0 1,0-1,0 0,1 0,-1 0,0 0,0 0,0 0,-15 2,-300 3,191-6,-506-43,588 39,-41-12,47 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07T18:55:23.24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102 1,'104'-1,"149"19,456 131,-421-57,-6-1,-246-80,141 34,-137-37,0-1,60 0,316-10,-372 1,-1-1,1-4,0 0,-2-2,2-2,-3-2,65-29,-83 30,36-25,-46 27,1 1,0 0,1 1,-1 1,2 0,25-8,-21 10,6-2,1 2,-1 0,2 2,41 0,-8 8,101 24,0 1,-142-28,-4-1,-1 1,0 0,17 6,-29-8,0 1,0 0,0 0,-1 0,1 1,0-1,-1 1,1-1,-1 1,0 0,0 0,1 0,-1 0,-1 1,1 0,0-1,0 0,-1 1,1-1,-1 1,0 0,2 4,6 40,-2 0,0 55,-7 98,-1-87,2-90,2 1,1-2,1 0,0 1,2-1,14 32,-10-27,-2 2,0 0,5 31,16 314,-31 3,-1-158,2-126,4 1,18 106,-11-125,2 108,-13 79,-2-101,3-53,-3 124,1-226,1-1,-1 1,-1-1,1 0,-1 0,0 1,0 0,0-2,-7 10,1-2,-2 0,-13 13,13-16,1 0,1 1,-13 21,15-23,1-1,-1-1,0 1,-1-1,1 0,-1 0,0 0,-1-1,1-1,-2 2,-9 3,3-2,1 1,-19 15,13-7,-2-2,1-1,-2-1,1-1,-1-1,-1 0,0-2,0-1,-26 4,-19 0,0-3,-76 0,65-7,0-3,-117-19,-11-19,-146-20,125 42,-311 16,331 13,-92 3,82-17,158 0,-94-20,-126-50,221 57,39 10,-1-1,2-2,-1 1,1-2,-1 0,2-1,0-1,1-2,1 1,0-2,0 0,-24-30,37 40,0-1,1 0,0 0,0 0,0 0,1-2,0 2,0-1,1 1,0-1,-1-9,1-9,4-46,0 18,0-1001,-5 559,6 432,2 1,20-92,-13 90,-2-1,2-74,-15-302,-10 305,0 9,12 116,-14-236,9 191,-4-21,4 52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9BEF-0019-42F3-B3B9-DD4C6DC2E920}">
  <dimension ref="A1:G14"/>
  <sheetViews>
    <sheetView showGridLines="0" tabSelected="1" workbookViewId="0">
      <selection activeCell="K23" sqref="K23"/>
    </sheetView>
  </sheetViews>
  <sheetFormatPr baseColWidth="10" defaultColWidth="8.7109375" defaultRowHeight="15" x14ac:dyDescent="0.25"/>
  <cols>
    <col min="1" max="1" width="40.42578125" customWidth="1"/>
    <col min="7" max="7" width="16" customWidth="1"/>
  </cols>
  <sheetData>
    <row r="1" spans="1:7" ht="55.5" customHeight="1" x14ac:dyDescent="0.25">
      <c r="A1" s="152" t="s">
        <v>257</v>
      </c>
    </row>
    <row r="3" spans="1:7" x14ac:dyDescent="0.25">
      <c r="A3" s="214" t="s">
        <v>0</v>
      </c>
      <c r="B3" s="214"/>
      <c r="C3" s="214"/>
      <c r="D3" s="214"/>
      <c r="E3" s="214"/>
      <c r="F3" s="214"/>
      <c r="G3" s="214"/>
    </row>
    <row r="5" spans="1:7" x14ac:dyDescent="0.25">
      <c r="A5" t="s">
        <v>258</v>
      </c>
    </row>
    <row r="6" spans="1:7" x14ac:dyDescent="0.25">
      <c r="A6" t="s">
        <v>259</v>
      </c>
    </row>
    <row r="7" spans="1:7" x14ac:dyDescent="0.25">
      <c r="A7" t="s">
        <v>260</v>
      </c>
    </row>
    <row r="8" spans="1:7" x14ac:dyDescent="0.25">
      <c r="A8" t="s">
        <v>261</v>
      </c>
    </row>
    <row r="9" spans="1:7" x14ac:dyDescent="0.25">
      <c r="A9" t="s">
        <v>263</v>
      </c>
    </row>
    <row r="10" spans="1:7" x14ac:dyDescent="0.25">
      <c r="A10" t="s">
        <v>262</v>
      </c>
    </row>
    <row r="11" spans="1:7" x14ac:dyDescent="0.25">
      <c r="A11" t="s">
        <v>264</v>
      </c>
    </row>
    <row r="12" spans="1:7" x14ac:dyDescent="0.25">
      <c r="A12" t="s">
        <v>265</v>
      </c>
    </row>
    <row r="13" spans="1:7" x14ac:dyDescent="0.25">
      <c r="A13" t="s">
        <v>266</v>
      </c>
    </row>
    <row r="14" spans="1:7" x14ac:dyDescent="0.25">
      <c r="A14" t="s">
        <v>292</v>
      </c>
    </row>
  </sheetData>
  <mergeCells count="1">
    <mergeCell ref="A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E82D-72AA-4120-BE17-D6E0D6F0FA42}">
  <sheetPr>
    <tabColor theme="9" tint="-0.499984740745262"/>
  </sheetPr>
  <dimension ref="A1:U62"/>
  <sheetViews>
    <sheetView zoomScaleNormal="100" workbookViewId="0">
      <selection activeCell="H20" sqref="H20"/>
    </sheetView>
  </sheetViews>
  <sheetFormatPr baseColWidth="10" defaultColWidth="11.42578125" defaultRowHeight="15" x14ac:dyDescent="0.25"/>
  <cols>
    <col min="2" max="2" width="18.42578125" bestFit="1" customWidth="1"/>
    <col min="3" max="3" width="28.28515625" bestFit="1" customWidth="1"/>
    <col min="4" max="4" width="25.7109375" bestFit="1" customWidth="1"/>
    <col min="5" max="5" width="20.7109375" bestFit="1" customWidth="1"/>
    <col min="8" max="8" width="17.7109375" customWidth="1"/>
    <col min="9" max="9" width="15.42578125" bestFit="1" customWidth="1"/>
    <col min="10" max="10" width="13" customWidth="1"/>
    <col min="17" max="17" width="16.42578125" bestFit="1" customWidth="1"/>
    <col min="18" max="18" width="15.85546875" bestFit="1" customWidth="1"/>
    <col min="19" max="19" width="19" bestFit="1" customWidth="1"/>
  </cols>
  <sheetData>
    <row r="1" spans="1:20" x14ac:dyDescent="0.25">
      <c r="A1" t="s">
        <v>253</v>
      </c>
      <c r="B1" t="s">
        <v>254</v>
      </c>
      <c r="C1" t="s">
        <v>255</v>
      </c>
      <c r="O1" s="30"/>
    </row>
    <row r="2" spans="1:20" x14ac:dyDescent="0.25">
      <c r="O2" s="30"/>
    </row>
    <row r="3" spans="1:20" x14ac:dyDescent="0.25">
      <c r="A3" s="215" t="s">
        <v>273</v>
      </c>
      <c r="B3" s="215"/>
      <c r="C3" s="215"/>
      <c r="D3" s="215"/>
      <c r="E3" s="8"/>
      <c r="H3" s="215" t="s">
        <v>1</v>
      </c>
      <c r="I3" s="215"/>
      <c r="J3" s="215"/>
      <c r="K3" s="215"/>
      <c r="O3" s="30"/>
      <c r="Q3" s="215" t="s">
        <v>280</v>
      </c>
      <c r="R3" s="215"/>
      <c r="S3" s="215"/>
      <c r="T3" s="215"/>
    </row>
    <row r="4" spans="1:20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H4" s="216" t="s">
        <v>7</v>
      </c>
      <c r="I4" s="216"/>
      <c r="J4" t="s">
        <v>8</v>
      </c>
      <c r="O4" s="30"/>
      <c r="Q4" s="2" t="s">
        <v>9</v>
      </c>
      <c r="R4" s="2" t="s">
        <v>10</v>
      </c>
      <c r="S4" s="2" t="s">
        <v>11</v>
      </c>
      <c r="T4" s="2" t="s">
        <v>12</v>
      </c>
    </row>
    <row r="5" spans="1:20" x14ac:dyDescent="0.25">
      <c r="A5" s="39">
        <v>1</v>
      </c>
      <c r="B5" t="s">
        <v>13</v>
      </c>
      <c r="C5">
        <v>86</v>
      </c>
      <c r="D5">
        <v>175</v>
      </c>
      <c r="E5">
        <v>11</v>
      </c>
      <c r="H5" s="1" t="s">
        <v>14</v>
      </c>
      <c r="I5" s="6">
        <f>C26*Strompreis!E12</f>
        <v>21.883804166666671</v>
      </c>
      <c r="J5" s="5">
        <f>C26/R7</f>
        <v>6.6931818181818192</v>
      </c>
      <c r="O5" s="30"/>
    </row>
    <row r="6" spans="1:20" x14ac:dyDescent="0.25">
      <c r="A6" s="39">
        <v>2</v>
      </c>
      <c r="B6" t="s">
        <v>15</v>
      </c>
      <c r="C6">
        <v>77</v>
      </c>
      <c r="D6">
        <v>170</v>
      </c>
      <c r="E6">
        <v>11</v>
      </c>
      <c r="H6" s="1" t="s">
        <v>12</v>
      </c>
      <c r="I6" s="6">
        <f>(C26*0.6)*Strompreis!E12</f>
        <v>13.130282500000002</v>
      </c>
      <c r="J6" s="5">
        <f>(C26*0.6)/R7</f>
        <v>4.0159090909090915</v>
      </c>
      <c r="O6" s="30"/>
      <c r="Q6" t="s">
        <v>16</v>
      </c>
      <c r="R6">
        <v>3.7</v>
      </c>
      <c r="S6" s="5">
        <f>$C$26/R6</f>
        <v>19.898648648648653</v>
      </c>
      <c r="T6" s="5">
        <f>($C$26*0.6)/R6</f>
        <v>11.939189189189189</v>
      </c>
    </row>
    <row r="7" spans="1:20" x14ac:dyDescent="0.25">
      <c r="A7" s="39">
        <v>3</v>
      </c>
      <c r="B7" t="s">
        <v>17</v>
      </c>
      <c r="C7">
        <v>77</v>
      </c>
      <c r="D7">
        <v>135</v>
      </c>
      <c r="E7">
        <v>11</v>
      </c>
      <c r="O7" s="30"/>
      <c r="Q7" t="s">
        <v>18</v>
      </c>
      <c r="R7">
        <v>11</v>
      </c>
      <c r="S7" s="5">
        <f t="shared" ref="S7:S9" si="0">$C$26/R7</f>
        <v>6.6931818181818192</v>
      </c>
      <c r="T7" s="5">
        <f t="shared" ref="T7:T9" si="1">($C$26*0.6)/R7</f>
        <v>4.0159090909090915</v>
      </c>
    </row>
    <row r="8" spans="1:20" x14ac:dyDescent="0.25">
      <c r="A8" s="39">
        <v>4</v>
      </c>
      <c r="B8" t="s">
        <v>19</v>
      </c>
      <c r="C8">
        <v>77</v>
      </c>
      <c r="D8">
        <v>135</v>
      </c>
      <c r="E8">
        <v>11</v>
      </c>
      <c r="H8" s="216" t="s">
        <v>20</v>
      </c>
      <c r="I8" s="216"/>
      <c r="O8" s="30"/>
      <c r="Q8" t="s">
        <v>21</v>
      </c>
      <c r="R8">
        <v>22</v>
      </c>
      <c r="S8" s="5">
        <f t="shared" si="0"/>
        <v>3.3465909090909096</v>
      </c>
      <c r="T8" s="5">
        <f t="shared" si="1"/>
        <v>2.0079545454545458</v>
      </c>
    </row>
    <row r="9" spans="1:20" x14ac:dyDescent="0.25">
      <c r="A9" s="39">
        <v>5</v>
      </c>
      <c r="B9" t="s">
        <v>22</v>
      </c>
      <c r="C9">
        <v>77</v>
      </c>
      <c r="D9">
        <v>150</v>
      </c>
      <c r="E9">
        <v>11</v>
      </c>
      <c r="H9" s="1" t="s">
        <v>14</v>
      </c>
      <c r="I9" s="6">
        <f>C26*Strompreis!E23</f>
        <v>49.328750000000021</v>
      </c>
      <c r="O9" s="30"/>
      <c r="Q9" t="s">
        <v>23</v>
      </c>
      <c r="R9">
        <v>50</v>
      </c>
      <c r="S9" s="5">
        <f t="shared" si="0"/>
        <v>1.4725000000000004</v>
      </c>
      <c r="T9" s="5">
        <f t="shared" si="1"/>
        <v>0.88350000000000006</v>
      </c>
    </row>
    <row r="10" spans="1:20" x14ac:dyDescent="0.25">
      <c r="A10" s="39">
        <v>6</v>
      </c>
      <c r="B10" t="s">
        <v>24</v>
      </c>
      <c r="C10">
        <v>58</v>
      </c>
      <c r="D10">
        <v>120</v>
      </c>
      <c r="E10">
        <v>11</v>
      </c>
      <c r="H10" s="1" t="s">
        <v>12</v>
      </c>
      <c r="I10" s="6">
        <f>(C26*0.6)*Strompreis!E23</f>
        <v>29.59725000000001</v>
      </c>
      <c r="O10" s="30"/>
    </row>
    <row r="11" spans="1:20" x14ac:dyDescent="0.25">
      <c r="A11" s="39">
        <v>7</v>
      </c>
      <c r="B11" t="s">
        <v>25</v>
      </c>
      <c r="C11">
        <v>64.7</v>
      </c>
      <c r="D11">
        <v>130</v>
      </c>
      <c r="E11">
        <v>11</v>
      </c>
      <c r="O11" s="30"/>
    </row>
    <row r="12" spans="1:20" x14ac:dyDescent="0.25">
      <c r="A12" s="39">
        <v>8</v>
      </c>
      <c r="B12" t="s">
        <v>26</v>
      </c>
      <c r="C12">
        <v>54.2</v>
      </c>
      <c r="D12">
        <v>75</v>
      </c>
      <c r="E12">
        <v>11</v>
      </c>
      <c r="O12" s="30"/>
    </row>
    <row r="13" spans="1:20" x14ac:dyDescent="0.25">
      <c r="A13" s="39">
        <v>9</v>
      </c>
      <c r="B13" t="s">
        <v>27</v>
      </c>
      <c r="C13">
        <v>82</v>
      </c>
      <c r="D13">
        <v>135</v>
      </c>
      <c r="E13">
        <v>11</v>
      </c>
      <c r="H13" s="1"/>
      <c r="I13" s="1"/>
      <c r="J13" s="1"/>
      <c r="K13" s="1"/>
      <c r="L13" s="1"/>
      <c r="M13" s="1"/>
      <c r="N13" s="1"/>
      <c r="O13" s="30"/>
      <c r="P13" s="1"/>
    </row>
    <row r="14" spans="1:20" x14ac:dyDescent="0.25">
      <c r="A14" s="39">
        <v>10</v>
      </c>
      <c r="B14" t="s">
        <v>28</v>
      </c>
      <c r="C14">
        <v>75</v>
      </c>
      <c r="D14">
        <v>210</v>
      </c>
      <c r="E14">
        <v>11</v>
      </c>
      <c r="M14" s="1"/>
      <c r="N14" s="1"/>
      <c r="O14" s="30"/>
      <c r="P14" s="1"/>
    </row>
    <row r="15" spans="1:20" x14ac:dyDescent="0.25">
      <c r="A15" s="39">
        <v>11</v>
      </c>
      <c r="B15" t="s">
        <v>29</v>
      </c>
      <c r="C15">
        <v>106</v>
      </c>
      <c r="D15">
        <v>170</v>
      </c>
      <c r="E15">
        <v>11</v>
      </c>
      <c r="I15" s="12"/>
      <c r="L15" s="12"/>
      <c r="M15" s="13"/>
      <c r="N15" s="13"/>
      <c r="O15" s="30"/>
      <c r="P15" s="13"/>
    </row>
    <row r="16" spans="1:20" x14ac:dyDescent="0.25">
      <c r="A16" s="39">
        <v>12</v>
      </c>
      <c r="B16" t="s">
        <v>30</v>
      </c>
      <c r="C16">
        <v>77</v>
      </c>
      <c r="D16">
        <v>135</v>
      </c>
      <c r="E16">
        <v>11</v>
      </c>
      <c r="I16" s="12"/>
      <c r="L16" s="12"/>
      <c r="M16" s="13"/>
      <c r="N16" s="13"/>
      <c r="O16" s="30"/>
      <c r="P16" s="13"/>
    </row>
    <row r="17" spans="1:21" x14ac:dyDescent="0.25">
      <c r="A17" s="39">
        <v>13</v>
      </c>
      <c r="B17" t="s">
        <v>31</v>
      </c>
      <c r="C17">
        <v>100</v>
      </c>
      <c r="D17">
        <v>270</v>
      </c>
      <c r="E17">
        <v>11</v>
      </c>
      <c r="O17" s="30"/>
    </row>
    <row r="18" spans="1:21" x14ac:dyDescent="0.25">
      <c r="A18" s="39">
        <v>14</v>
      </c>
      <c r="B18" t="s">
        <v>32</v>
      </c>
      <c r="C18">
        <v>83.9</v>
      </c>
      <c r="D18">
        <v>205</v>
      </c>
      <c r="E18">
        <v>11</v>
      </c>
      <c r="O18" s="30"/>
    </row>
    <row r="19" spans="1:21" x14ac:dyDescent="0.25">
      <c r="A19" s="39">
        <v>15</v>
      </c>
      <c r="B19" t="s">
        <v>33</v>
      </c>
      <c r="C19">
        <v>49</v>
      </c>
      <c r="D19">
        <v>80</v>
      </c>
      <c r="E19">
        <v>11</v>
      </c>
      <c r="O19" s="30"/>
      <c r="Q19" s="1"/>
      <c r="R19" s="1"/>
      <c r="S19" s="1"/>
      <c r="T19" s="1"/>
    </row>
    <row r="20" spans="1:21" x14ac:dyDescent="0.25">
      <c r="A20" s="39">
        <v>16</v>
      </c>
      <c r="B20" t="s">
        <v>34</v>
      </c>
      <c r="C20">
        <v>77</v>
      </c>
      <c r="D20">
        <v>185</v>
      </c>
      <c r="E20">
        <v>11</v>
      </c>
      <c r="O20" s="30"/>
    </row>
    <row r="21" spans="1:21" x14ac:dyDescent="0.25">
      <c r="A21" s="39">
        <v>17</v>
      </c>
      <c r="B21" t="s">
        <v>35</v>
      </c>
      <c r="C21">
        <v>70.5</v>
      </c>
      <c r="D21">
        <v>100</v>
      </c>
      <c r="E21">
        <v>11</v>
      </c>
      <c r="O21" s="30"/>
      <c r="R21" s="10"/>
    </row>
    <row r="22" spans="1:21" x14ac:dyDescent="0.25">
      <c r="A22" s="39">
        <v>18</v>
      </c>
      <c r="B22" t="s">
        <v>36</v>
      </c>
      <c r="C22">
        <v>81.2</v>
      </c>
      <c r="D22">
        <v>205</v>
      </c>
      <c r="E22">
        <v>11</v>
      </c>
      <c r="O22" s="30"/>
      <c r="R22" s="163"/>
    </row>
    <row r="23" spans="1:21" x14ac:dyDescent="0.25">
      <c r="A23" s="39">
        <v>19</v>
      </c>
      <c r="B23" t="s">
        <v>37</v>
      </c>
      <c r="C23">
        <v>58</v>
      </c>
      <c r="D23">
        <v>102</v>
      </c>
      <c r="E23">
        <v>11</v>
      </c>
      <c r="O23" s="30"/>
    </row>
    <row r="24" spans="1:21" x14ac:dyDescent="0.25">
      <c r="A24" s="39">
        <v>20</v>
      </c>
      <c r="B24" t="s">
        <v>38</v>
      </c>
      <c r="C24">
        <v>42</v>
      </c>
      <c r="D24">
        <v>85</v>
      </c>
      <c r="E24">
        <v>11</v>
      </c>
      <c r="O24" s="30"/>
      <c r="Q24" s="1"/>
      <c r="R24" s="1"/>
      <c r="S24" s="1"/>
      <c r="T24" s="1"/>
      <c r="U24" s="1"/>
    </row>
    <row r="25" spans="1:21" x14ac:dyDescent="0.25">
      <c r="O25" s="30"/>
    </row>
    <row r="26" spans="1:21" x14ac:dyDescent="0.25">
      <c r="B26" s="1" t="s">
        <v>39</v>
      </c>
      <c r="C26" s="1">
        <f>AVERAGE(C5:C24)</f>
        <v>73.625000000000014</v>
      </c>
      <c r="D26" s="1">
        <f>AVERAGE(D5:D24)</f>
        <v>148.6</v>
      </c>
      <c r="E26" s="1">
        <f>AVERAGE(E5:E24)</f>
        <v>11</v>
      </c>
      <c r="O26" s="30"/>
      <c r="R26" s="3"/>
    </row>
    <row r="27" spans="1:21" x14ac:dyDescent="0.25">
      <c r="O27" s="30"/>
      <c r="R27" s="3"/>
    </row>
    <row r="28" spans="1:21" x14ac:dyDescent="0.25">
      <c r="O28" s="30"/>
    </row>
    <row r="29" spans="1:21" x14ac:dyDescent="0.25">
      <c r="O29" s="30"/>
      <c r="R29" s="3"/>
    </row>
    <row r="30" spans="1:21" x14ac:dyDescent="0.25">
      <c r="O30" s="30"/>
    </row>
    <row r="31" spans="1:21" s="30" customFormat="1" x14ac:dyDescent="0.25"/>
    <row r="32" spans="1:21" s="30" customFormat="1" x14ac:dyDescent="0.25"/>
    <row r="33" spans="1:16" x14ac:dyDescent="0.25">
      <c r="O33" s="30"/>
    </row>
    <row r="34" spans="1:16" x14ac:dyDescent="0.25">
      <c r="O34" s="30"/>
    </row>
    <row r="35" spans="1:16" x14ac:dyDescent="0.25">
      <c r="A35" s="215" t="s">
        <v>274</v>
      </c>
      <c r="B35" s="215"/>
      <c r="C35" s="215"/>
      <c r="D35" s="215"/>
      <c r="E35" s="8"/>
      <c r="H35" s="215" t="s">
        <v>1</v>
      </c>
      <c r="I35" s="215"/>
      <c r="J35" s="215"/>
      <c r="K35" s="215"/>
      <c r="O35" s="30"/>
    </row>
    <row r="36" spans="1:16" x14ac:dyDescent="0.25">
      <c r="A36" s="9" t="s">
        <v>2</v>
      </c>
      <c r="B36" s="9" t="s">
        <v>3</v>
      </c>
      <c r="C36" s="9" t="s">
        <v>4</v>
      </c>
      <c r="D36" s="9" t="s">
        <v>5</v>
      </c>
      <c r="E36" s="9" t="s">
        <v>6</v>
      </c>
      <c r="H36" s="21" t="s">
        <v>7</v>
      </c>
      <c r="I36" s="21"/>
      <c r="J36" t="s">
        <v>8</v>
      </c>
      <c r="O36" s="30"/>
    </row>
    <row r="37" spans="1:16" x14ac:dyDescent="0.25">
      <c r="A37" s="39">
        <v>1</v>
      </c>
      <c r="B37" t="s">
        <v>41</v>
      </c>
      <c r="C37">
        <v>12</v>
      </c>
      <c r="E37">
        <v>3.7</v>
      </c>
      <c r="H37" s="1" t="s">
        <v>14</v>
      </c>
      <c r="I37" s="6">
        <f>C58*Strompreis!E12</f>
        <v>4.8984053333333337</v>
      </c>
      <c r="J37" s="5">
        <f>C58/E58</f>
        <v>3.2124756335282654</v>
      </c>
      <c r="O37" s="30"/>
    </row>
    <row r="38" spans="1:16" x14ac:dyDescent="0.25">
      <c r="A38" s="39">
        <v>2</v>
      </c>
      <c r="B38" t="s">
        <v>42</v>
      </c>
      <c r="C38">
        <v>12</v>
      </c>
      <c r="E38">
        <v>3.7</v>
      </c>
      <c r="H38" s="1" t="s">
        <v>12</v>
      </c>
      <c r="I38" s="6">
        <f>(C58*0.6)*Strompreis!E12</f>
        <v>2.9390432</v>
      </c>
      <c r="J38" s="5">
        <f>(C58*0.6)/E58</f>
        <v>1.9274853801169591</v>
      </c>
      <c r="O38" s="30"/>
    </row>
    <row r="39" spans="1:16" x14ac:dyDescent="0.25">
      <c r="A39" s="39">
        <v>3</v>
      </c>
      <c r="B39" t="s">
        <v>43</v>
      </c>
      <c r="C39">
        <v>25.7</v>
      </c>
      <c r="E39">
        <v>7.4</v>
      </c>
      <c r="O39" s="30"/>
    </row>
    <row r="40" spans="1:16" x14ac:dyDescent="0.25">
      <c r="A40" s="39">
        <v>4</v>
      </c>
      <c r="B40" t="s">
        <v>44</v>
      </c>
      <c r="C40">
        <v>25.4</v>
      </c>
      <c r="D40">
        <v>55</v>
      </c>
      <c r="E40">
        <v>11</v>
      </c>
      <c r="H40" s="21" t="s">
        <v>20</v>
      </c>
      <c r="I40" s="21"/>
      <c r="O40" s="30"/>
    </row>
    <row r="41" spans="1:16" x14ac:dyDescent="0.25">
      <c r="A41" s="39">
        <v>5</v>
      </c>
      <c r="B41" t="s">
        <v>45</v>
      </c>
      <c r="C41">
        <v>25.4</v>
      </c>
      <c r="D41">
        <v>55</v>
      </c>
      <c r="E41">
        <v>11</v>
      </c>
      <c r="H41" s="1" t="s">
        <v>14</v>
      </c>
      <c r="I41" s="6">
        <f>C58*Strompreis!E23</f>
        <v>11.041600000000003</v>
      </c>
      <c r="O41" s="30"/>
    </row>
    <row r="42" spans="1:16" x14ac:dyDescent="0.25">
      <c r="A42" s="39">
        <v>6</v>
      </c>
      <c r="B42" t="s">
        <v>46</v>
      </c>
      <c r="C42">
        <v>31.2</v>
      </c>
      <c r="D42">
        <v>60</v>
      </c>
      <c r="E42">
        <v>11</v>
      </c>
      <c r="H42" s="1" t="s">
        <v>12</v>
      </c>
      <c r="I42" s="6">
        <f>(C58*0.6)*Strompreis!E23</f>
        <v>6.6249600000000015</v>
      </c>
      <c r="O42" s="30"/>
    </row>
    <row r="43" spans="1:16" x14ac:dyDescent="0.25">
      <c r="A43" s="39">
        <v>7</v>
      </c>
      <c r="B43" t="s">
        <v>47</v>
      </c>
      <c r="C43">
        <v>18.8</v>
      </c>
      <c r="E43">
        <v>3.7</v>
      </c>
      <c r="O43" s="30"/>
    </row>
    <row r="44" spans="1:16" x14ac:dyDescent="0.25">
      <c r="A44" s="39">
        <v>8</v>
      </c>
      <c r="B44" t="s">
        <v>48</v>
      </c>
      <c r="C44">
        <v>18.8</v>
      </c>
      <c r="E44">
        <v>3.7</v>
      </c>
      <c r="O44" s="30"/>
    </row>
    <row r="45" spans="1:16" x14ac:dyDescent="0.25">
      <c r="A45" s="39">
        <v>9</v>
      </c>
      <c r="B45" t="s">
        <v>49</v>
      </c>
      <c r="C45">
        <v>13</v>
      </c>
      <c r="E45">
        <v>3.6</v>
      </c>
      <c r="O45" s="30"/>
    </row>
    <row r="46" spans="1:16" x14ac:dyDescent="0.25">
      <c r="A46" s="39">
        <v>10</v>
      </c>
      <c r="B46" t="s">
        <v>50</v>
      </c>
      <c r="C46">
        <v>13</v>
      </c>
      <c r="E46">
        <v>3.6</v>
      </c>
      <c r="O46" s="30"/>
    </row>
    <row r="47" spans="1:16" x14ac:dyDescent="0.25">
      <c r="A47" s="39">
        <v>11</v>
      </c>
      <c r="B47" t="s">
        <v>51</v>
      </c>
      <c r="C47">
        <v>17.899999999999999</v>
      </c>
      <c r="E47">
        <v>7.4</v>
      </c>
      <c r="H47" s="1"/>
      <c r="I47" s="1"/>
      <c r="J47" s="1"/>
      <c r="K47" s="1"/>
      <c r="L47" s="1"/>
      <c r="M47" s="1"/>
      <c r="N47" s="1"/>
      <c r="O47" s="30"/>
      <c r="P47" s="1"/>
    </row>
    <row r="48" spans="1:16" x14ac:dyDescent="0.25">
      <c r="A48" s="39">
        <v>12</v>
      </c>
      <c r="B48" t="s">
        <v>52</v>
      </c>
      <c r="C48">
        <v>8.8000000000000007</v>
      </c>
      <c r="E48">
        <v>3.7</v>
      </c>
      <c r="M48" s="1"/>
      <c r="N48" s="1"/>
      <c r="O48" s="30"/>
      <c r="P48" s="1"/>
    </row>
    <row r="49" spans="1:16" x14ac:dyDescent="0.25">
      <c r="A49" s="39">
        <v>13</v>
      </c>
      <c r="B49" t="s">
        <v>53</v>
      </c>
      <c r="C49">
        <v>13</v>
      </c>
      <c r="E49">
        <v>3.6</v>
      </c>
      <c r="I49" s="12"/>
      <c r="L49" s="12"/>
      <c r="M49" s="13"/>
      <c r="N49" s="13"/>
      <c r="O49" s="30"/>
      <c r="P49" s="13"/>
    </row>
    <row r="50" spans="1:16" x14ac:dyDescent="0.25">
      <c r="A50" s="39">
        <v>14</v>
      </c>
      <c r="B50" t="s">
        <v>54</v>
      </c>
      <c r="C50">
        <v>13</v>
      </c>
      <c r="E50">
        <v>3.6</v>
      </c>
      <c r="I50" s="12"/>
      <c r="L50" s="12"/>
      <c r="M50" s="13"/>
      <c r="N50" s="13"/>
      <c r="O50" s="30"/>
      <c r="P50" s="13"/>
    </row>
    <row r="51" spans="1:16" x14ac:dyDescent="0.25">
      <c r="A51" s="39">
        <v>15</v>
      </c>
      <c r="B51" t="s">
        <v>55</v>
      </c>
      <c r="C51">
        <v>13</v>
      </c>
      <c r="E51">
        <v>3.6</v>
      </c>
      <c r="O51" s="30"/>
    </row>
    <row r="52" spans="1:16" x14ac:dyDescent="0.25">
      <c r="A52" s="39">
        <v>16</v>
      </c>
      <c r="B52" t="s">
        <v>56</v>
      </c>
      <c r="C52">
        <v>12.8</v>
      </c>
      <c r="E52">
        <v>3.6</v>
      </c>
      <c r="O52" s="30"/>
    </row>
    <row r="53" spans="1:16" x14ac:dyDescent="0.25">
      <c r="A53" s="39">
        <v>17</v>
      </c>
      <c r="B53" t="s">
        <v>57</v>
      </c>
      <c r="C53">
        <v>13.8</v>
      </c>
      <c r="D53">
        <v>22</v>
      </c>
      <c r="E53">
        <v>3.7</v>
      </c>
      <c r="O53" s="30"/>
    </row>
    <row r="54" spans="1:16" x14ac:dyDescent="0.25">
      <c r="A54" s="39">
        <v>18</v>
      </c>
      <c r="B54" t="s">
        <v>58</v>
      </c>
      <c r="C54">
        <v>13.8</v>
      </c>
      <c r="E54">
        <v>3.7</v>
      </c>
      <c r="O54" s="30"/>
    </row>
    <row r="55" spans="1:16" x14ac:dyDescent="0.25">
      <c r="A55" s="39">
        <v>19</v>
      </c>
      <c r="B55" t="s">
        <v>59</v>
      </c>
      <c r="C55">
        <v>13.8</v>
      </c>
      <c r="E55">
        <v>3.7</v>
      </c>
      <c r="O55" s="30"/>
    </row>
    <row r="56" spans="1:16" x14ac:dyDescent="0.25">
      <c r="A56" s="39">
        <v>20</v>
      </c>
      <c r="B56" t="s">
        <v>60</v>
      </c>
      <c r="C56">
        <v>14.4</v>
      </c>
      <c r="E56">
        <v>3.6</v>
      </c>
      <c r="O56" s="30"/>
    </row>
    <row r="57" spans="1:16" x14ac:dyDescent="0.25">
      <c r="O57" s="30"/>
    </row>
    <row r="58" spans="1:16" x14ac:dyDescent="0.25">
      <c r="B58" s="1" t="s">
        <v>39</v>
      </c>
      <c r="C58" s="1">
        <f>AVERAGE(C37:C56)</f>
        <v>16.48</v>
      </c>
      <c r="D58" s="1">
        <f>AVERAGE(D37:D56)</f>
        <v>48</v>
      </c>
      <c r="E58" s="1">
        <f>AVERAGE(E37:E56)</f>
        <v>5.13</v>
      </c>
      <c r="O58" s="30"/>
    </row>
    <row r="59" spans="1:16" x14ac:dyDescent="0.25">
      <c r="O59" s="30"/>
    </row>
    <row r="60" spans="1:16" x14ac:dyDescent="0.25">
      <c r="O60" s="30"/>
    </row>
    <row r="61" spans="1:16" x14ac:dyDescent="0.25">
      <c r="O61" s="30"/>
    </row>
    <row r="62" spans="1:16" x14ac:dyDescent="0.25">
      <c r="O62" s="30"/>
    </row>
  </sheetData>
  <mergeCells count="7">
    <mergeCell ref="A35:D35"/>
    <mergeCell ref="H35:K35"/>
    <mergeCell ref="Q3:T3"/>
    <mergeCell ref="A3:D3"/>
    <mergeCell ref="H3:K3"/>
    <mergeCell ref="H4:I4"/>
    <mergeCell ref="H8:I8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2567-09D0-4AA2-9561-9F1C0B89D530}">
  <sheetPr>
    <tabColor theme="9" tint="0.39997558519241921"/>
  </sheetPr>
  <dimension ref="A1:E23"/>
  <sheetViews>
    <sheetView workbookViewId="0">
      <selection activeCell="H14" sqref="H14"/>
    </sheetView>
  </sheetViews>
  <sheetFormatPr baseColWidth="10" defaultColWidth="11.42578125" defaultRowHeight="15" x14ac:dyDescent="0.25"/>
  <cols>
    <col min="2" max="2" width="19.85546875" bestFit="1" customWidth="1"/>
    <col min="3" max="3" width="24.42578125" bestFit="1" customWidth="1"/>
  </cols>
  <sheetData>
    <row r="1" spans="1:5" x14ac:dyDescent="0.25">
      <c r="A1" t="s">
        <v>253</v>
      </c>
      <c r="B1" t="s">
        <v>254</v>
      </c>
      <c r="C1" t="s">
        <v>255</v>
      </c>
    </row>
    <row r="3" spans="1:5" x14ac:dyDescent="0.25">
      <c r="B3" s="217" t="s">
        <v>61</v>
      </c>
      <c r="C3" s="217"/>
      <c r="D3" s="217"/>
      <c r="E3" s="217"/>
    </row>
    <row r="4" spans="1:5" x14ac:dyDescent="0.25">
      <c r="B4" s="1" t="s">
        <v>62</v>
      </c>
      <c r="C4" s="1" t="s">
        <v>63</v>
      </c>
      <c r="D4" s="1" t="s">
        <v>64</v>
      </c>
      <c r="E4" s="1" t="s">
        <v>65</v>
      </c>
    </row>
    <row r="5" spans="1:5" x14ac:dyDescent="0.25">
      <c r="B5" t="s">
        <v>66</v>
      </c>
      <c r="C5" t="s">
        <v>67</v>
      </c>
      <c r="D5">
        <v>37.57</v>
      </c>
      <c r="E5" s="3">
        <f>D5/100</f>
        <v>0.37569999999999998</v>
      </c>
    </row>
    <row r="6" spans="1:5" x14ac:dyDescent="0.25">
      <c r="B6" t="s">
        <v>68</v>
      </c>
      <c r="C6" t="s">
        <v>69</v>
      </c>
      <c r="D6">
        <v>31</v>
      </c>
      <c r="E6" s="3">
        <f t="shared" ref="E6:E12" si="0">D6/100</f>
        <v>0.31</v>
      </c>
    </row>
    <row r="7" spans="1:5" x14ac:dyDescent="0.25">
      <c r="B7" t="s">
        <v>70</v>
      </c>
      <c r="C7" t="s">
        <v>71</v>
      </c>
      <c r="D7">
        <v>33.56</v>
      </c>
      <c r="E7" s="3">
        <f t="shared" si="0"/>
        <v>0.33560000000000001</v>
      </c>
    </row>
    <row r="8" spans="1:5" x14ac:dyDescent="0.25">
      <c r="B8" t="s">
        <v>72</v>
      </c>
      <c r="C8" t="s">
        <v>73</v>
      </c>
      <c r="D8">
        <v>24.48</v>
      </c>
      <c r="E8" s="3">
        <f t="shared" si="0"/>
        <v>0.24480000000000002</v>
      </c>
    </row>
    <row r="9" spans="1:5" x14ac:dyDescent="0.25">
      <c r="B9" t="s">
        <v>74</v>
      </c>
      <c r="C9" t="s">
        <v>75</v>
      </c>
      <c r="D9">
        <v>29.99</v>
      </c>
      <c r="E9" s="3">
        <f t="shared" si="0"/>
        <v>0.2999</v>
      </c>
    </row>
    <row r="10" spans="1:5" x14ac:dyDescent="0.25">
      <c r="B10" t="s">
        <v>76</v>
      </c>
      <c r="C10" t="s">
        <v>77</v>
      </c>
      <c r="D10">
        <v>21.74</v>
      </c>
      <c r="E10" s="3">
        <f t="shared" si="0"/>
        <v>0.21739999999999998</v>
      </c>
    </row>
    <row r="11" spans="1:5" x14ac:dyDescent="0.25">
      <c r="E11" s="3"/>
    </row>
    <row r="12" spans="1:5" x14ac:dyDescent="0.25">
      <c r="C12" s="1" t="s">
        <v>78</v>
      </c>
      <c r="D12" s="4">
        <f>AVERAGE(D5:D10)</f>
        <v>29.723333333333333</v>
      </c>
      <c r="E12" s="4">
        <f t="shared" si="0"/>
        <v>0.29723333333333335</v>
      </c>
    </row>
    <row r="16" spans="1:5" x14ac:dyDescent="0.25">
      <c r="B16" s="217" t="s">
        <v>79</v>
      </c>
      <c r="C16" s="217"/>
      <c r="D16" s="217"/>
      <c r="E16" s="217"/>
    </row>
    <row r="17" spans="2:5" x14ac:dyDescent="0.25">
      <c r="B17" s="1" t="s">
        <v>62</v>
      </c>
      <c r="C17" s="1"/>
      <c r="D17" s="1"/>
      <c r="E17" s="1" t="s">
        <v>65</v>
      </c>
    </row>
    <row r="18" spans="2:5" x14ac:dyDescent="0.25">
      <c r="B18" t="s">
        <v>80</v>
      </c>
      <c r="E18">
        <v>0.75</v>
      </c>
    </row>
    <row r="19" spans="2:5" x14ac:dyDescent="0.25">
      <c r="B19" t="s">
        <v>81</v>
      </c>
      <c r="E19">
        <v>0.87</v>
      </c>
    </row>
    <row r="20" spans="2:5" x14ac:dyDescent="0.25">
      <c r="B20" t="s">
        <v>82</v>
      </c>
      <c r="E20">
        <v>0.52</v>
      </c>
    </row>
    <row r="21" spans="2:5" x14ac:dyDescent="0.25">
      <c r="B21" t="s">
        <v>83</v>
      </c>
      <c r="E21">
        <v>0.55000000000000004</v>
      </c>
    </row>
    <row r="22" spans="2:5" x14ac:dyDescent="0.25">
      <c r="B22" t="s">
        <v>84</v>
      </c>
      <c r="E22" s="7">
        <v>0.66</v>
      </c>
    </row>
    <row r="23" spans="2:5" x14ac:dyDescent="0.25">
      <c r="E23" s="1">
        <f>AVERAGE(E18:E22)</f>
        <v>0.67000000000000015</v>
      </c>
    </row>
  </sheetData>
  <mergeCells count="2">
    <mergeCell ref="B16:E16"/>
    <mergeCell ref="B3:E3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CA21-D1EF-44E7-8169-A2FCBA74F7FF}">
  <sheetPr>
    <tabColor theme="9" tint="0.39997558519241921"/>
  </sheetPr>
  <dimension ref="A1:M34"/>
  <sheetViews>
    <sheetView zoomScale="117" workbookViewId="0">
      <selection activeCell="D21" sqref="D21"/>
    </sheetView>
  </sheetViews>
  <sheetFormatPr baseColWidth="10" defaultColWidth="11.42578125" defaultRowHeight="15" x14ac:dyDescent="0.25"/>
  <cols>
    <col min="1" max="1" width="51.28515625" bestFit="1" customWidth="1"/>
    <col min="2" max="2" width="14.85546875" bestFit="1" customWidth="1"/>
    <col min="3" max="3" width="12.7109375" bestFit="1" customWidth="1"/>
    <col min="12" max="12" width="18.28515625" bestFit="1" customWidth="1"/>
  </cols>
  <sheetData>
    <row r="1" spans="1:5" x14ac:dyDescent="0.25">
      <c r="A1" t="s">
        <v>270</v>
      </c>
      <c r="B1" t="s">
        <v>254</v>
      </c>
      <c r="C1" t="s">
        <v>255</v>
      </c>
    </row>
    <row r="3" spans="1:5" x14ac:dyDescent="0.25">
      <c r="A3" s="218" t="s">
        <v>135</v>
      </c>
      <c r="B3" s="218"/>
      <c r="C3" s="218"/>
      <c r="D3" s="218"/>
      <c r="E3" s="218"/>
    </row>
    <row r="4" spans="1:5" x14ac:dyDescent="0.25">
      <c r="B4" t="s">
        <v>102</v>
      </c>
      <c r="C4" t="s">
        <v>136</v>
      </c>
    </row>
    <row r="5" spans="1:5" x14ac:dyDescent="0.25">
      <c r="A5" t="s">
        <v>137</v>
      </c>
      <c r="B5" s="10">
        <v>0.7</v>
      </c>
      <c r="C5" s="10">
        <v>0.2</v>
      </c>
    </row>
    <row r="6" spans="1:5" x14ac:dyDescent="0.25">
      <c r="A6" t="s">
        <v>138</v>
      </c>
      <c r="B6" s="11">
        <v>0.3</v>
      </c>
      <c r="C6" s="11">
        <v>0.8</v>
      </c>
    </row>
    <row r="7" spans="1:5" x14ac:dyDescent="0.25">
      <c r="A7" t="s">
        <v>139</v>
      </c>
      <c r="B7" s="17">
        <f>'Nachfrage Jahr 3'!E8</f>
        <v>7900.5695999999998</v>
      </c>
      <c r="C7" s="15">
        <f>'Nachfrage Jahr 3'!H8</f>
        <v>6284.5440000000008</v>
      </c>
    </row>
    <row r="8" spans="1:5" x14ac:dyDescent="0.25">
      <c r="A8" t="s">
        <v>140</v>
      </c>
      <c r="B8" s="20">
        <f>B7*B5</f>
        <v>5530.3987199999992</v>
      </c>
      <c r="C8" s="15">
        <f>C7*C5</f>
        <v>1256.9088000000002</v>
      </c>
    </row>
    <row r="9" spans="1:5" x14ac:dyDescent="0.25">
      <c r="A9" s="32" t="s">
        <v>141</v>
      </c>
      <c r="B9" s="33">
        <f>B7-B8</f>
        <v>2370.1708800000006</v>
      </c>
      <c r="C9" s="34">
        <f>C7-C8</f>
        <v>5027.6352000000006</v>
      </c>
    </row>
    <row r="27" spans="9:13" x14ac:dyDescent="0.25">
      <c r="I27">
        <v>2023</v>
      </c>
      <c r="J27" s="23">
        <v>0.8</v>
      </c>
      <c r="L27" t="s">
        <v>142</v>
      </c>
      <c r="M27" s="31">
        <f>(J27-J34)/7</f>
        <v>4.7142857142857153E-2</v>
      </c>
    </row>
    <row r="28" spans="9:13" x14ac:dyDescent="0.25">
      <c r="I28">
        <v>2024</v>
      </c>
      <c r="J28" s="23">
        <f t="shared" ref="J28:J33" si="0">J27-$M$27</f>
        <v>0.75285714285714289</v>
      </c>
    </row>
    <row r="29" spans="9:13" x14ac:dyDescent="0.25">
      <c r="I29">
        <v>2025</v>
      </c>
      <c r="J29" s="23">
        <f t="shared" si="0"/>
        <v>0.70571428571428574</v>
      </c>
    </row>
    <row r="30" spans="9:13" x14ac:dyDescent="0.25">
      <c r="I30">
        <v>2026</v>
      </c>
      <c r="J30" s="23">
        <f t="shared" si="0"/>
        <v>0.65857142857142859</v>
      </c>
    </row>
    <row r="31" spans="9:13" x14ac:dyDescent="0.25">
      <c r="I31">
        <v>2027</v>
      </c>
      <c r="J31" s="23">
        <f t="shared" si="0"/>
        <v>0.61142857142857143</v>
      </c>
    </row>
    <row r="32" spans="9:13" x14ac:dyDescent="0.25">
      <c r="I32">
        <v>2028</v>
      </c>
      <c r="J32" s="23">
        <f t="shared" si="0"/>
        <v>0.56428571428571428</v>
      </c>
    </row>
    <row r="33" spans="9:10" x14ac:dyDescent="0.25">
      <c r="I33">
        <v>2029</v>
      </c>
      <c r="J33" s="23">
        <f t="shared" si="0"/>
        <v>0.51714285714285713</v>
      </c>
    </row>
    <row r="34" spans="9:10" x14ac:dyDescent="0.25">
      <c r="I34">
        <v>2030</v>
      </c>
      <c r="J34" s="23">
        <v>0.47</v>
      </c>
    </row>
  </sheetData>
  <mergeCells count="1">
    <mergeCell ref="A3:E3"/>
  </mergeCells>
  <pageMargins left="0.7" right="0.7" top="0.78740157499999996" bottom="0.78740157499999996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51F5-5D47-4DB3-8FAC-DC824162DBD5}">
  <sheetPr>
    <tabColor theme="9" tint="-0.249977111117893"/>
  </sheetPr>
  <dimension ref="A1:M33"/>
  <sheetViews>
    <sheetView zoomScale="119" workbookViewId="0">
      <selection activeCell="H9" sqref="H9"/>
    </sheetView>
  </sheetViews>
  <sheetFormatPr baseColWidth="10" defaultColWidth="11.42578125" defaultRowHeight="15" x14ac:dyDescent="0.25"/>
  <cols>
    <col min="1" max="1" width="20.7109375" customWidth="1"/>
    <col min="2" max="2" width="42.42578125" bestFit="1" customWidth="1"/>
    <col min="3" max="3" width="21.28515625" customWidth="1"/>
    <col min="4" max="4" width="14.140625" bestFit="1" customWidth="1"/>
    <col min="5" max="5" width="12.28515625" bestFit="1" customWidth="1"/>
    <col min="8" max="8" width="12.42578125" bestFit="1" customWidth="1"/>
  </cols>
  <sheetData>
    <row r="1" spans="1:10" x14ac:dyDescent="0.25">
      <c r="A1" t="s">
        <v>253</v>
      </c>
      <c r="B1" t="s">
        <v>254</v>
      </c>
      <c r="C1" t="s">
        <v>255</v>
      </c>
    </row>
    <row r="3" spans="1:10" x14ac:dyDescent="0.25">
      <c r="B3" s="218" t="s">
        <v>85</v>
      </c>
      <c r="C3" s="218"/>
      <c r="D3" s="218"/>
      <c r="E3" s="218"/>
      <c r="F3" s="218"/>
      <c r="G3" s="218"/>
    </row>
    <row r="4" spans="1:10" x14ac:dyDescent="0.25">
      <c r="B4" s="215" t="s">
        <v>86</v>
      </c>
      <c r="C4" s="215"/>
      <c r="D4" s="215"/>
      <c r="E4" s="215"/>
      <c r="F4" s="215"/>
    </row>
    <row r="5" spans="1:10" x14ac:dyDescent="0.25">
      <c r="E5" s="22" t="s">
        <v>87</v>
      </c>
      <c r="H5" s="22" t="s">
        <v>88</v>
      </c>
    </row>
    <row r="7" spans="1:10" x14ac:dyDescent="0.25">
      <c r="A7" s="219" t="s">
        <v>89</v>
      </c>
      <c r="B7" t="s">
        <v>90</v>
      </c>
      <c r="C7" s="18">
        <v>752873</v>
      </c>
    </row>
    <row r="8" spans="1:10" x14ac:dyDescent="0.25">
      <c r="A8" s="219"/>
      <c r="B8" s="24" t="s">
        <v>91</v>
      </c>
      <c r="C8" s="17">
        <f>43783+38054+19500+48295</f>
        <v>149632</v>
      </c>
      <c r="E8" s="18">
        <f>C8*E9</f>
        <v>7900.5695999999998</v>
      </c>
      <c r="H8" s="20">
        <f>C8*4.2%</f>
        <v>6284.5440000000008</v>
      </c>
    </row>
    <row r="9" spans="1:10" x14ac:dyDescent="0.25">
      <c r="A9" s="219"/>
      <c r="B9" s="24" t="s">
        <v>281</v>
      </c>
      <c r="C9" s="16"/>
      <c r="E9" s="14">
        <v>5.28E-2</v>
      </c>
      <c r="H9" s="14">
        <f>31000/C7</f>
        <v>4.1175603322207065E-2</v>
      </c>
    </row>
    <row r="10" spans="1:10" x14ac:dyDescent="0.25">
      <c r="A10" s="219"/>
      <c r="B10" s="24" t="s">
        <v>282</v>
      </c>
      <c r="C10" s="17"/>
      <c r="E10" s="18">
        <f>'Schätzung Wallboxbesitzer'!B9</f>
        <v>2370.1708800000006</v>
      </c>
      <c r="H10" s="20">
        <f>H8*'Schätzung Wallboxbesitzer'!C6</f>
        <v>5027.6352000000006</v>
      </c>
      <c r="J10" s="36"/>
    </row>
    <row r="11" spans="1:10" x14ac:dyDescent="0.25">
      <c r="A11" s="219"/>
      <c r="B11" s="24" t="s">
        <v>288</v>
      </c>
      <c r="C11" s="37">
        <v>5.0000000000000001E-3</v>
      </c>
      <c r="E11" s="40">
        <f>E10*C11</f>
        <v>11.850854400000003</v>
      </c>
      <c r="G11" s="196"/>
      <c r="H11" s="40">
        <f>(C11*H10)*I11</f>
        <v>2.5138176000000008</v>
      </c>
      <c r="I11" s="11">
        <v>0.1</v>
      </c>
      <c r="J11" s="36"/>
    </row>
    <row r="13" spans="1:10" x14ac:dyDescent="0.25">
      <c r="A13" s="220" t="s">
        <v>92</v>
      </c>
      <c r="B13" s="25" t="s">
        <v>93</v>
      </c>
      <c r="C13" s="17">
        <v>2500000</v>
      </c>
    </row>
    <row r="14" spans="1:10" x14ac:dyDescent="0.25">
      <c r="A14" s="220"/>
      <c r="B14" s="25" t="s">
        <v>283</v>
      </c>
      <c r="C14" s="35">
        <v>0.4</v>
      </c>
    </row>
    <row r="15" spans="1:10" x14ac:dyDescent="0.25">
      <c r="A15" s="220"/>
      <c r="B15" s="25" t="s">
        <v>284</v>
      </c>
      <c r="C15" s="17">
        <f>C13*C14</f>
        <v>1000000</v>
      </c>
    </row>
    <row r="16" spans="1:10" x14ac:dyDescent="0.25">
      <c r="A16" s="220"/>
      <c r="B16" s="25" t="s">
        <v>94</v>
      </c>
      <c r="E16" s="23">
        <v>2.3E-2</v>
      </c>
      <c r="H16" s="23">
        <v>2.5000000000000001E-2</v>
      </c>
    </row>
    <row r="17" spans="1:13" x14ac:dyDescent="0.25">
      <c r="A17" s="220"/>
      <c r="B17" s="25" t="s">
        <v>95</v>
      </c>
      <c r="E17" s="15">
        <f>C15*E16</f>
        <v>23000</v>
      </c>
      <c r="H17" s="15">
        <f>C15*H16</f>
        <v>25000</v>
      </c>
    </row>
    <row r="18" spans="1:13" x14ac:dyDescent="0.25">
      <c r="A18" s="220"/>
      <c r="B18" s="25" t="s">
        <v>96</v>
      </c>
      <c r="C18" s="38">
        <v>1E-3</v>
      </c>
      <c r="E18" s="197">
        <f>E17*C18</f>
        <v>23</v>
      </c>
      <c r="H18" s="197">
        <f>(H17*C18)*I18</f>
        <v>2.5</v>
      </c>
      <c r="I18" s="11">
        <v>0.1</v>
      </c>
    </row>
    <row r="20" spans="1:13" x14ac:dyDescent="0.25">
      <c r="A20" s="220" t="s">
        <v>97</v>
      </c>
      <c r="B20" s="26" t="s">
        <v>285</v>
      </c>
      <c r="C20" s="15">
        <v>529834</v>
      </c>
      <c r="M20" t="s">
        <v>249</v>
      </c>
    </row>
    <row r="21" spans="1:13" x14ac:dyDescent="0.25">
      <c r="A21" s="220"/>
      <c r="B21" s="26" t="s">
        <v>286</v>
      </c>
      <c r="C21" s="15">
        <f>C20*C22</f>
        <v>291408.7</v>
      </c>
      <c r="E21" s="15">
        <f>C21*E9</f>
        <v>15386.379360000001</v>
      </c>
      <c r="H21" s="15">
        <f>C21*H9</f>
        <v>11998.929035840043</v>
      </c>
    </row>
    <row r="22" spans="1:13" x14ac:dyDescent="0.25">
      <c r="A22" s="220"/>
      <c r="B22" s="26" t="s">
        <v>98</v>
      </c>
      <c r="C22" s="10">
        <v>0.55000000000000004</v>
      </c>
    </row>
    <row r="23" spans="1:13" x14ac:dyDescent="0.25">
      <c r="A23" s="220"/>
      <c r="B23" s="26" t="s">
        <v>95</v>
      </c>
      <c r="C23" s="15">
        <f>C21*C22</f>
        <v>160274.78500000003</v>
      </c>
    </row>
    <row r="24" spans="1:13" x14ac:dyDescent="0.25">
      <c r="A24" s="220"/>
      <c r="B24" s="26" t="s">
        <v>287</v>
      </c>
      <c r="C24" s="15">
        <f>C23*4/24</f>
        <v>26712.464166666672</v>
      </c>
      <c r="E24" s="15">
        <f>C24*E9</f>
        <v>1410.4181080000003</v>
      </c>
      <c r="H24" s="15">
        <f>(C24*H9)*I24</f>
        <v>109.99018282853375</v>
      </c>
      <c r="I24" s="11">
        <v>0.1</v>
      </c>
    </row>
    <row r="25" spans="1:13" x14ac:dyDescent="0.25">
      <c r="A25" s="220"/>
      <c r="B25" s="26" t="s">
        <v>96</v>
      </c>
      <c r="C25" s="38">
        <v>1E-4</v>
      </c>
      <c r="E25" s="198">
        <f>C25*E24*360</f>
        <v>50.775051888000007</v>
      </c>
      <c r="F25" s="27"/>
      <c r="G25" s="27"/>
      <c r="H25" s="198">
        <f>C25*H24*360</f>
        <v>3.9596465818272151</v>
      </c>
      <c r="I25" s="11"/>
    </row>
    <row r="28" spans="1:13" x14ac:dyDescent="0.25">
      <c r="E28" s="20"/>
    </row>
    <row r="30" spans="1:13" ht="15.75" thickBot="1" x14ac:dyDescent="0.3">
      <c r="B30" s="19" t="s">
        <v>289</v>
      </c>
      <c r="C30" s="19"/>
      <c r="D30" s="19"/>
      <c r="E30" s="199">
        <f>(E11*10)+(E18/12)+(E25/12)</f>
        <v>124.65646499066671</v>
      </c>
      <c r="F30" s="19"/>
      <c r="G30" s="19"/>
      <c r="H30" s="199">
        <f>(H11*10)+(H18/12)+(H25/12)</f>
        <v>25.676479881818942</v>
      </c>
      <c r="I30" s="28"/>
      <c r="J30" s="200">
        <f>E30+H30</f>
        <v>150.33294487248565</v>
      </c>
      <c r="L30" s="20"/>
    </row>
    <row r="32" spans="1:13" ht="15.75" thickBot="1" x14ac:dyDescent="0.3">
      <c r="B32" s="28" t="s">
        <v>290</v>
      </c>
      <c r="C32" s="28"/>
      <c r="D32" s="28"/>
      <c r="E32" s="28"/>
      <c r="F32" s="28"/>
      <c r="G32" s="28"/>
      <c r="H32" s="28"/>
      <c r="I32" s="28"/>
      <c r="J32" s="29">
        <f>J30*12</f>
        <v>1803.9953384698279</v>
      </c>
    </row>
    <row r="33" ht="15.75" thickTop="1" x14ac:dyDescent="0.25"/>
  </sheetData>
  <mergeCells count="5">
    <mergeCell ref="B3:G3"/>
    <mergeCell ref="B4:F4"/>
    <mergeCell ref="A7:A11"/>
    <mergeCell ref="A13:A18"/>
    <mergeCell ref="A20:A25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483C-51C8-4558-9B26-10D4FBCFBD6A}">
  <sheetPr>
    <tabColor theme="9" tint="-0.249977111117893"/>
  </sheetPr>
  <dimension ref="A1:L33"/>
  <sheetViews>
    <sheetView zoomScale="119" workbookViewId="0">
      <selection activeCell="E44" sqref="E44"/>
    </sheetView>
  </sheetViews>
  <sheetFormatPr baseColWidth="10" defaultColWidth="11.42578125" defaultRowHeight="15" x14ac:dyDescent="0.25"/>
  <cols>
    <col min="1" max="1" width="20.7109375" customWidth="1"/>
    <col min="2" max="2" width="45.140625" bestFit="1" customWidth="1"/>
    <col min="3" max="3" width="21.28515625" customWidth="1"/>
    <col min="4" max="4" width="14.140625" bestFit="1" customWidth="1"/>
    <col min="5" max="5" width="12.28515625" bestFit="1" customWidth="1"/>
    <col min="8" max="8" width="12.42578125" bestFit="1" customWidth="1"/>
  </cols>
  <sheetData>
    <row r="1" spans="1:10" x14ac:dyDescent="0.25">
      <c r="A1" t="s">
        <v>253</v>
      </c>
      <c r="B1" t="s">
        <v>254</v>
      </c>
      <c r="C1" t="s">
        <v>255</v>
      </c>
    </row>
    <row r="3" spans="1:10" x14ac:dyDescent="0.25">
      <c r="B3" s="218" t="s">
        <v>99</v>
      </c>
      <c r="C3" s="218"/>
      <c r="D3" s="218"/>
      <c r="E3" s="218"/>
      <c r="F3" s="218"/>
      <c r="G3" s="218"/>
    </row>
    <row r="4" spans="1:10" x14ac:dyDescent="0.25">
      <c r="B4" s="215" t="s">
        <v>86</v>
      </c>
      <c r="C4" s="215"/>
      <c r="D4" s="215"/>
      <c r="E4" s="215"/>
      <c r="F4" s="215"/>
    </row>
    <row r="5" spans="1:10" x14ac:dyDescent="0.25">
      <c r="E5" s="22" t="s">
        <v>87</v>
      </c>
      <c r="H5" s="22" t="s">
        <v>88</v>
      </c>
    </row>
    <row r="7" spans="1:10" x14ac:dyDescent="0.25">
      <c r="A7" s="219" t="s">
        <v>89</v>
      </c>
      <c r="B7" t="s">
        <v>90</v>
      </c>
      <c r="C7" s="18">
        <v>752873</v>
      </c>
    </row>
    <row r="8" spans="1:10" x14ac:dyDescent="0.25">
      <c r="A8" s="219"/>
      <c r="B8" s="24" t="s">
        <v>91</v>
      </c>
      <c r="C8" s="17">
        <f>43783+38054+19500+48295</f>
        <v>149632</v>
      </c>
      <c r="E8" s="18">
        <f>C8*E9</f>
        <v>7900.5695999999998</v>
      </c>
      <c r="H8" s="20">
        <f>C8*4.2%</f>
        <v>6284.5440000000008</v>
      </c>
    </row>
    <row r="9" spans="1:10" x14ac:dyDescent="0.25">
      <c r="A9" s="219"/>
      <c r="B9" s="24" t="s">
        <v>281</v>
      </c>
      <c r="C9" s="16"/>
      <c r="E9" s="14">
        <v>5.28E-2</v>
      </c>
      <c r="H9" s="14">
        <f>31000/C7</f>
        <v>4.1175603322207065E-2</v>
      </c>
    </row>
    <row r="10" spans="1:10" x14ac:dyDescent="0.25">
      <c r="A10" s="219"/>
      <c r="B10" s="24" t="s">
        <v>282</v>
      </c>
      <c r="C10" s="17"/>
      <c r="E10" s="18">
        <f>'Schätzung Wallboxbesitzer'!B9</f>
        <v>2370.1708800000006</v>
      </c>
      <c r="H10" s="20">
        <f>H8*'Schätzung Wallboxbesitzer'!C6</f>
        <v>5027.6352000000006</v>
      </c>
      <c r="J10" s="36"/>
    </row>
    <row r="11" spans="1:10" x14ac:dyDescent="0.25">
      <c r="A11" s="219"/>
      <c r="B11" s="24" t="s">
        <v>288</v>
      </c>
      <c r="C11" s="37">
        <v>0.01</v>
      </c>
      <c r="E11" s="40">
        <f>E10*C11</f>
        <v>23.701708800000006</v>
      </c>
      <c r="H11" s="40">
        <f>(C11*H10)*I11</f>
        <v>5.0276352000000015</v>
      </c>
      <c r="I11" s="11">
        <v>0.1</v>
      </c>
      <c r="J11" s="36"/>
    </row>
    <row r="13" spans="1:10" x14ac:dyDescent="0.25">
      <c r="A13" s="220" t="s">
        <v>92</v>
      </c>
      <c r="B13" s="25" t="s">
        <v>93</v>
      </c>
      <c r="C13" s="17">
        <v>2500000</v>
      </c>
    </row>
    <row r="14" spans="1:10" x14ac:dyDescent="0.25">
      <c r="A14" s="220"/>
      <c r="B14" s="25" t="s">
        <v>283</v>
      </c>
      <c r="C14" s="35">
        <v>0.4</v>
      </c>
    </row>
    <row r="15" spans="1:10" x14ac:dyDescent="0.25">
      <c r="A15" s="220"/>
      <c r="B15" s="25" t="s">
        <v>284</v>
      </c>
      <c r="C15" s="17">
        <f>C13*C14</f>
        <v>1000000</v>
      </c>
    </row>
    <row r="16" spans="1:10" x14ac:dyDescent="0.25">
      <c r="A16" s="220"/>
      <c r="B16" s="25" t="s">
        <v>94</v>
      </c>
      <c r="E16" s="23">
        <v>2.3E-2</v>
      </c>
      <c r="H16" s="23">
        <v>2.5000000000000001E-2</v>
      </c>
    </row>
    <row r="17" spans="1:12" x14ac:dyDescent="0.25">
      <c r="A17" s="220"/>
      <c r="B17" s="25" t="s">
        <v>95</v>
      </c>
      <c r="E17" s="15">
        <f>C15*E16</f>
        <v>23000</v>
      </c>
      <c r="H17" s="15">
        <f>C15*H16</f>
        <v>25000</v>
      </c>
    </row>
    <row r="18" spans="1:12" x14ac:dyDescent="0.25">
      <c r="A18" s="220"/>
      <c r="B18" s="25" t="s">
        <v>96</v>
      </c>
      <c r="C18" s="38">
        <v>3.0000000000000001E-3</v>
      </c>
      <c r="E18" s="197">
        <f>E17*C18</f>
        <v>69</v>
      </c>
      <c r="H18" s="197">
        <f>(H17*C18)*I18</f>
        <v>7.5</v>
      </c>
      <c r="I18" s="11">
        <v>0.1</v>
      </c>
    </row>
    <row r="20" spans="1:12" x14ac:dyDescent="0.25">
      <c r="A20" s="220" t="s">
        <v>97</v>
      </c>
      <c r="B20" s="26" t="s">
        <v>285</v>
      </c>
      <c r="C20" s="15">
        <v>529834</v>
      </c>
    </row>
    <row r="21" spans="1:12" x14ac:dyDescent="0.25">
      <c r="A21" s="220"/>
      <c r="B21" s="26" t="s">
        <v>286</v>
      </c>
      <c r="C21" s="15">
        <f>C20*C22</f>
        <v>291408.7</v>
      </c>
      <c r="E21" s="15">
        <f>C21*E9</f>
        <v>15386.379360000001</v>
      </c>
      <c r="H21" s="15">
        <f>C21*H9</f>
        <v>11998.929035840043</v>
      </c>
    </row>
    <row r="22" spans="1:12" x14ac:dyDescent="0.25">
      <c r="A22" s="220"/>
      <c r="B22" s="26" t="s">
        <v>98</v>
      </c>
      <c r="C22" s="10">
        <v>0.55000000000000004</v>
      </c>
    </row>
    <row r="23" spans="1:12" x14ac:dyDescent="0.25">
      <c r="A23" s="220"/>
      <c r="B23" s="26" t="s">
        <v>95</v>
      </c>
      <c r="C23" s="15">
        <f>C21*C22</f>
        <v>160274.78500000003</v>
      </c>
    </row>
    <row r="24" spans="1:12" x14ac:dyDescent="0.25">
      <c r="A24" s="220"/>
      <c r="B24" s="26" t="s">
        <v>287</v>
      </c>
      <c r="C24" s="15">
        <f>C23*4/24</f>
        <v>26712.464166666672</v>
      </c>
      <c r="E24" s="15">
        <f>C24*E9</f>
        <v>1410.4181080000003</v>
      </c>
      <c r="H24" s="15">
        <f>(C24*H9)*I24</f>
        <v>109.99018282853375</v>
      </c>
      <c r="I24" s="11">
        <v>0.1</v>
      </c>
    </row>
    <row r="25" spans="1:12" x14ac:dyDescent="0.25">
      <c r="A25" s="220"/>
      <c r="B25" s="26" t="s">
        <v>96</v>
      </c>
      <c r="C25" s="38">
        <v>2.9999999999999997E-4</v>
      </c>
      <c r="E25" s="198">
        <f>C25*E24*360</f>
        <v>152.32515566400002</v>
      </c>
      <c r="F25" s="27"/>
      <c r="G25" s="27"/>
      <c r="H25" s="198">
        <f>C25*H24*360</f>
        <v>11.878939745481643</v>
      </c>
      <c r="I25" s="11"/>
    </row>
    <row r="30" spans="1:12" ht="15.75" thickBot="1" x14ac:dyDescent="0.3">
      <c r="B30" s="19" t="s">
        <v>289</v>
      </c>
      <c r="C30" s="19"/>
      <c r="D30" s="19"/>
      <c r="E30" s="199">
        <f>(E11*10)+(E18/12)+(E25/12)</f>
        <v>255.46085097200006</v>
      </c>
      <c r="F30" s="19"/>
      <c r="G30" s="19"/>
      <c r="H30" s="199">
        <f>(H11*10)+(H18/12)+(H25/12)</f>
        <v>51.891263645456817</v>
      </c>
      <c r="I30" s="28"/>
      <c r="J30" s="200">
        <f>E30+H30</f>
        <v>307.35211461745689</v>
      </c>
      <c r="L30" s="20"/>
    </row>
    <row r="32" spans="1:12" ht="15.75" thickBot="1" x14ac:dyDescent="0.3">
      <c r="B32" s="28" t="s">
        <v>290</v>
      </c>
      <c r="C32" s="28"/>
      <c r="D32" s="28"/>
      <c r="E32" s="28"/>
      <c r="F32" s="28"/>
      <c r="G32" s="28"/>
      <c r="H32" s="28"/>
      <c r="I32" s="28"/>
      <c r="J32" s="29">
        <f>J30*12</f>
        <v>3688.2253754094827</v>
      </c>
    </row>
    <row r="33" ht="15.75" thickTop="1" x14ac:dyDescent="0.25"/>
  </sheetData>
  <mergeCells count="5">
    <mergeCell ref="B3:G3"/>
    <mergeCell ref="B4:F4"/>
    <mergeCell ref="A7:A11"/>
    <mergeCell ref="A13:A18"/>
    <mergeCell ref="A20:A25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E76D-9961-4663-A365-F863C2A993AB}">
  <sheetPr>
    <tabColor theme="9" tint="-0.249977111117893"/>
  </sheetPr>
  <dimension ref="A1:J33"/>
  <sheetViews>
    <sheetView zoomScale="120" zoomScaleNormal="120" workbookViewId="0">
      <selection activeCell="D27" sqref="D27"/>
    </sheetView>
  </sheetViews>
  <sheetFormatPr baseColWidth="10" defaultColWidth="11.42578125" defaultRowHeight="15" x14ac:dyDescent="0.25"/>
  <cols>
    <col min="1" max="1" width="21" customWidth="1"/>
    <col min="2" max="2" width="47.85546875" bestFit="1" customWidth="1"/>
    <col min="3" max="3" width="21.28515625" customWidth="1"/>
    <col min="4" max="4" width="14.140625" bestFit="1" customWidth="1"/>
    <col min="5" max="5" width="12.28515625" bestFit="1" customWidth="1"/>
    <col min="8" max="8" width="12.42578125" bestFit="1" customWidth="1"/>
  </cols>
  <sheetData>
    <row r="1" spans="1:9" x14ac:dyDescent="0.25">
      <c r="A1" t="s">
        <v>253</v>
      </c>
      <c r="B1" t="s">
        <v>254</v>
      </c>
      <c r="C1" t="s">
        <v>255</v>
      </c>
    </row>
    <row r="3" spans="1:9" x14ac:dyDescent="0.25">
      <c r="B3" s="218" t="s">
        <v>100</v>
      </c>
      <c r="C3" s="218"/>
      <c r="D3" s="218"/>
      <c r="E3" s="218"/>
      <c r="F3" s="218"/>
      <c r="G3" s="218"/>
    </row>
    <row r="4" spans="1:9" x14ac:dyDescent="0.25">
      <c r="B4" s="215" t="s">
        <v>86</v>
      </c>
      <c r="C4" s="215"/>
      <c r="D4" s="215"/>
      <c r="E4" s="215"/>
      <c r="F4" s="215"/>
    </row>
    <row r="5" spans="1:9" x14ac:dyDescent="0.25">
      <c r="E5" s="22" t="s">
        <v>87</v>
      </c>
      <c r="H5" s="22" t="s">
        <v>88</v>
      </c>
    </row>
    <row r="7" spans="1:9" x14ac:dyDescent="0.25">
      <c r="A7" s="219" t="s">
        <v>89</v>
      </c>
      <c r="B7" t="s">
        <v>90</v>
      </c>
      <c r="C7" s="18">
        <v>752873</v>
      </c>
    </row>
    <row r="8" spans="1:9" x14ac:dyDescent="0.25">
      <c r="A8" s="219"/>
      <c r="B8" s="24" t="s">
        <v>91</v>
      </c>
      <c r="C8" s="17">
        <f>43783+38054+19500+48295</f>
        <v>149632</v>
      </c>
      <c r="E8" s="18">
        <f>C8*E9</f>
        <v>7900.5695999999998</v>
      </c>
      <c r="H8" s="20">
        <f>C8*4.2%</f>
        <v>6284.5440000000008</v>
      </c>
    </row>
    <row r="9" spans="1:9" x14ac:dyDescent="0.25">
      <c r="A9" s="219"/>
      <c r="B9" s="24" t="s">
        <v>281</v>
      </c>
      <c r="C9" s="16"/>
      <c r="E9" s="14">
        <v>5.28E-2</v>
      </c>
      <c r="H9" s="14">
        <f>31000/C7</f>
        <v>4.1175603322207065E-2</v>
      </c>
    </row>
    <row r="10" spans="1:9" x14ac:dyDescent="0.25">
      <c r="A10" s="219"/>
      <c r="B10" s="24" t="s">
        <v>282</v>
      </c>
      <c r="C10" s="17"/>
      <c r="E10" s="18">
        <f>'Schätzung Wallboxbesitzer'!B9</f>
        <v>2370.1708800000006</v>
      </c>
      <c r="H10" s="20">
        <f>H8*'Schätzung Wallboxbesitzer'!C6</f>
        <v>5027.6352000000006</v>
      </c>
    </row>
    <row r="11" spans="1:9" x14ac:dyDescent="0.25">
      <c r="A11" s="219"/>
      <c r="B11" s="24" t="s">
        <v>288</v>
      </c>
      <c r="C11" s="42">
        <v>1.4999999999999999E-2</v>
      </c>
      <c r="E11" s="40">
        <f>E10*C11</f>
        <v>35.552563200000009</v>
      </c>
      <c r="H11" s="40">
        <f>(C11*H10)*I11</f>
        <v>7.541452800000001</v>
      </c>
      <c r="I11" s="11">
        <v>0.1</v>
      </c>
    </row>
    <row r="13" spans="1:9" x14ac:dyDescent="0.25">
      <c r="A13" s="220" t="s">
        <v>92</v>
      </c>
      <c r="B13" s="25" t="s">
        <v>93</v>
      </c>
      <c r="C13" s="17">
        <v>2500000</v>
      </c>
    </row>
    <row r="14" spans="1:9" x14ac:dyDescent="0.25">
      <c r="A14" s="220"/>
      <c r="B14" s="25" t="s">
        <v>283</v>
      </c>
      <c r="C14" s="35">
        <v>0.4</v>
      </c>
    </row>
    <row r="15" spans="1:9" x14ac:dyDescent="0.25">
      <c r="A15" s="220"/>
      <c r="B15" s="25" t="s">
        <v>284</v>
      </c>
      <c r="C15" s="17">
        <f>C13*C14</f>
        <v>1000000</v>
      </c>
    </row>
    <row r="16" spans="1:9" x14ac:dyDescent="0.25">
      <c r="A16" s="220"/>
      <c r="B16" s="25" t="s">
        <v>94</v>
      </c>
      <c r="E16" s="23">
        <v>2.3E-2</v>
      </c>
      <c r="H16" s="23">
        <v>2.5000000000000001E-2</v>
      </c>
    </row>
    <row r="17" spans="1:10" x14ac:dyDescent="0.25">
      <c r="A17" s="220"/>
      <c r="B17" s="25" t="s">
        <v>95</v>
      </c>
      <c r="E17" s="15">
        <f>C15*E16</f>
        <v>23000</v>
      </c>
      <c r="H17" s="15">
        <f>C15*H16</f>
        <v>25000</v>
      </c>
    </row>
    <row r="18" spans="1:10" x14ac:dyDescent="0.25">
      <c r="A18" s="220"/>
      <c r="B18" s="25" t="s">
        <v>96</v>
      </c>
      <c r="C18" s="41">
        <v>5.0000000000000001E-3</v>
      </c>
      <c r="E18" s="197">
        <f>E17*C18</f>
        <v>115</v>
      </c>
      <c r="H18" s="40">
        <f>(C18*H17)*I18</f>
        <v>12.5</v>
      </c>
      <c r="I18" s="11">
        <v>0.1</v>
      </c>
    </row>
    <row r="20" spans="1:10" x14ac:dyDescent="0.25">
      <c r="A20" s="220" t="s">
        <v>97</v>
      </c>
      <c r="B20" s="26" t="s">
        <v>285</v>
      </c>
      <c r="C20" s="15">
        <v>529834</v>
      </c>
    </row>
    <row r="21" spans="1:10" x14ac:dyDescent="0.25">
      <c r="A21" s="220"/>
      <c r="B21" s="26" t="s">
        <v>286</v>
      </c>
      <c r="C21" s="15">
        <f>C20*C22</f>
        <v>291408.7</v>
      </c>
      <c r="E21" s="15">
        <f>C21*E9</f>
        <v>15386.379360000001</v>
      </c>
      <c r="H21" s="15">
        <f>C21*H9</f>
        <v>11998.929035840043</v>
      </c>
    </row>
    <row r="22" spans="1:10" x14ac:dyDescent="0.25">
      <c r="A22" s="220"/>
      <c r="B22" s="26" t="s">
        <v>98</v>
      </c>
      <c r="C22" s="10">
        <v>0.55000000000000004</v>
      </c>
    </row>
    <row r="23" spans="1:10" x14ac:dyDescent="0.25">
      <c r="A23" s="220"/>
      <c r="B23" s="26" t="s">
        <v>95</v>
      </c>
      <c r="C23" s="15">
        <f>C21*C22</f>
        <v>160274.78500000003</v>
      </c>
    </row>
    <row r="24" spans="1:10" x14ac:dyDescent="0.25">
      <c r="A24" s="220"/>
      <c r="B24" s="26" t="s">
        <v>287</v>
      </c>
      <c r="C24" s="15">
        <f>C23*(4/24)</f>
        <v>26712.464166666672</v>
      </c>
      <c r="E24" s="15">
        <f>C24*E9</f>
        <v>1410.4181080000003</v>
      </c>
      <c r="H24" s="15">
        <f>(C24*H9)*I24</f>
        <v>109.99018282853375</v>
      </c>
      <c r="I24" s="11">
        <v>0.1</v>
      </c>
    </row>
    <row r="25" spans="1:10" x14ac:dyDescent="0.25">
      <c r="A25" s="220"/>
      <c r="B25" s="26" t="s">
        <v>96</v>
      </c>
      <c r="C25" s="38">
        <v>5.0000000000000001E-4</v>
      </c>
      <c r="E25" s="198">
        <f>C25*E24*360</f>
        <v>253.87525944000004</v>
      </c>
      <c r="F25" s="27"/>
      <c r="G25" s="27"/>
      <c r="H25" s="198">
        <f>C25*H24*360</f>
        <v>19.798232909136075</v>
      </c>
      <c r="I25" s="11"/>
    </row>
    <row r="30" spans="1:10" ht="15.75" thickBot="1" x14ac:dyDescent="0.3">
      <c r="B30" s="19" t="s">
        <v>289</v>
      </c>
      <c r="C30" s="19"/>
      <c r="D30" s="19"/>
      <c r="E30" s="199">
        <f>(E11*15)+(E18/12)+(E25/12)</f>
        <v>564.02805295333349</v>
      </c>
      <c r="F30" s="19"/>
      <c r="G30" s="19"/>
      <c r="H30" s="199">
        <f>(H11*15)+(H18/12)+(H25/12)</f>
        <v>115.81331140909469</v>
      </c>
      <c r="I30" s="28"/>
      <c r="J30" s="200">
        <f>E30+H30</f>
        <v>679.84136436242818</v>
      </c>
    </row>
    <row r="32" spans="1:10" ht="15.75" thickBot="1" x14ac:dyDescent="0.3">
      <c r="B32" s="28" t="s">
        <v>290</v>
      </c>
      <c r="C32" s="28"/>
      <c r="D32" s="28"/>
      <c r="E32" s="28"/>
      <c r="F32" s="28"/>
      <c r="G32" s="28"/>
      <c r="H32" s="28"/>
      <c r="I32" s="28"/>
      <c r="J32" s="29">
        <f>J30*12</f>
        <v>8158.0963723491386</v>
      </c>
    </row>
    <row r="33" ht="15.75" thickTop="1" x14ac:dyDescent="0.25"/>
  </sheetData>
  <mergeCells count="5">
    <mergeCell ref="B4:F4"/>
    <mergeCell ref="B3:G3"/>
    <mergeCell ref="A7:A11"/>
    <mergeCell ref="A13:A18"/>
    <mergeCell ref="A20:A25"/>
  </mergeCells>
  <pageMargins left="0.7" right="0.7" top="0.78740157499999996" bottom="0.78740157499999996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09C0-0F57-4C92-9A7E-15AC1759202E}">
  <sheetPr>
    <tabColor theme="9" tint="0.39997558519241921"/>
  </sheetPr>
  <dimension ref="A1:V25"/>
  <sheetViews>
    <sheetView zoomScale="103" zoomScaleNormal="120" workbookViewId="0">
      <selection activeCell="F35" sqref="F35"/>
    </sheetView>
  </sheetViews>
  <sheetFormatPr baseColWidth="10" defaultColWidth="11.42578125" defaultRowHeight="15" x14ac:dyDescent="0.25"/>
  <cols>
    <col min="2" max="2" width="37.42578125" bestFit="1" customWidth="1"/>
    <col min="3" max="3" width="12.85546875" bestFit="1" customWidth="1"/>
    <col min="6" max="6" width="14" customWidth="1"/>
    <col min="8" max="8" width="16.42578125" customWidth="1"/>
    <col min="21" max="21" width="23.85546875" bestFit="1" customWidth="1"/>
    <col min="22" max="22" width="13.7109375" bestFit="1" customWidth="1"/>
  </cols>
  <sheetData>
    <row r="1" spans="1:22" x14ac:dyDescent="0.25">
      <c r="A1" t="s">
        <v>253</v>
      </c>
      <c r="B1" t="s">
        <v>254</v>
      </c>
      <c r="C1" t="s">
        <v>255</v>
      </c>
    </row>
    <row r="3" spans="1:22" x14ac:dyDescent="0.25">
      <c r="B3" s="215" t="s">
        <v>101</v>
      </c>
      <c r="C3" s="215"/>
      <c r="D3" s="215"/>
      <c r="E3" s="215"/>
      <c r="F3" s="215"/>
      <c r="G3" s="215"/>
      <c r="H3" s="215"/>
    </row>
    <row r="5" spans="1:22" x14ac:dyDescent="0.25">
      <c r="C5" s="1" t="s">
        <v>102</v>
      </c>
      <c r="D5" s="1" t="s">
        <v>103</v>
      </c>
      <c r="E5" s="1" t="s">
        <v>104</v>
      </c>
    </row>
    <row r="7" spans="1:22" x14ac:dyDescent="0.25">
      <c r="B7" t="s">
        <v>105</v>
      </c>
      <c r="C7" s="17">
        <f>'Nachfrage Jahr 3'!E8</f>
        <v>7900.5695999999998</v>
      </c>
      <c r="D7" s="17">
        <f>'Nachfrage Jahr 3'!H8</f>
        <v>6284.5440000000008</v>
      </c>
      <c r="E7" s="20">
        <f>SUM(C7:D7)</f>
        <v>14185.113600000001</v>
      </c>
    </row>
    <row r="8" spans="1:22" x14ac:dyDescent="0.25">
      <c r="B8" t="s">
        <v>106</v>
      </c>
      <c r="C8" s="10">
        <f>'Schätzung Wallboxbesitzer'!B5</f>
        <v>0.7</v>
      </c>
      <c r="D8" s="10">
        <f>'Schätzung Wallboxbesitzer'!C5</f>
        <v>0.2</v>
      </c>
    </row>
    <row r="9" spans="1:22" x14ac:dyDescent="0.25">
      <c r="B9" t="s">
        <v>107</v>
      </c>
      <c r="C9" s="20">
        <f>C7*C8</f>
        <v>5530.3987199999992</v>
      </c>
      <c r="D9" s="20">
        <f>D7*D8</f>
        <v>1256.9088000000002</v>
      </c>
      <c r="E9" s="40">
        <f>SUM(C9:D9)</f>
        <v>6787.3075199999994</v>
      </c>
    </row>
    <row r="13" spans="1:22" x14ac:dyDescent="0.25">
      <c r="B13" s="215" t="s">
        <v>108</v>
      </c>
      <c r="C13" s="215"/>
      <c r="D13" s="215"/>
      <c r="E13" s="215"/>
      <c r="H13" s="46"/>
      <c r="I13" s="221" t="s">
        <v>109</v>
      </c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47" t="s">
        <v>110</v>
      </c>
      <c r="V13" s="45" t="s">
        <v>111</v>
      </c>
    </row>
    <row r="14" spans="1:22" x14ac:dyDescent="0.25">
      <c r="H14" s="46"/>
      <c r="I14" s="46" t="s">
        <v>112</v>
      </c>
      <c r="J14" s="46" t="s">
        <v>113</v>
      </c>
      <c r="K14" s="46" t="s">
        <v>114</v>
      </c>
      <c r="L14" s="46" t="s">
        <v>115</v>
      </c>
      <c r="M14" s="46" t="s">
        <v>116</v>
      </c>
      <c r="N14" s="46" t="s">
        <v>117</v>
      </c>
      <c r="O14" s="46" t="s">
        <v>118</v>
      </c>
      <c r="P14" s="46" t="s">
        <v>119</v>
      </c>
      <c r="Q14" s="46" t="s">
        <v>120</v>
      </c>
      <c r="R14" s="46" t="s">
        <v>121</v>
      </c>
      <c r="S14" s="46" t="s">
        <v>122</v>
      </c>
      <c r="T14" s="46" t="s">
        <v>123</v>
      </c>
      <c r="U14" s="46" t="s">
        <v>124</v>
      </c>
      <c r="V14" s="8"/>
    </row>
    <row r="15" spans="1:22" x14ac:dyDescent="0.25">
      <c r="C15" s="1" t="s">
        <v>125</v>
      </c>
      <c r="D15" s="1" t="s">
        <v>126</v>
      </c>
      <c r="E15" s="1" t="s">
        <v>127</v>
      </c>
      <c r="H15" s="46" t="s">
        <v>128</v>
      </c>
      <c r="I15" s="51">
        <v>10</v>
      </c>
      <c r="J15" s="50">
        <f t="shared" ref="J15:T15" si="0">I15+$V$15</f>
        <v>20.522377309090906</v>
      </c>
      <c r="K15" s="50">
        <f t="shared" si="0"/>
        <v>31.044754618181813</v>
      </c>
      <c r="L15" s="50">
        <f t="shared" si="0"/>
        <v>41.567131927272719</v>
      </c>
      <c r="M15" s="50">
        <f t="shared" si="0"/>
        <v>52.089509236363625</v>
      </c>
      <c r="N15" s="50">
        <f t="shared" si="0"/>
        <v>62.611886545454531</v>
      </c>
      <c r="O15" s="50">
        <f t="shared" si="0"/>
        <v>73.134263854545438</v>
      </c>
      <c r="P15" s="50">
        <f t="shared" si="0"/>
        <v>83.656641163636351</v>
      </c>
      <c r="Q15" s="50">
        <f t="shared" si="0"/>
        <v>94.179018472727265</v>
      </c>
      <c r="R15" s="50">
        <f t="shared" si="0"/>
        <v>104.70139578181818</v>
      </c>
      <c r="S15" s="50">
        <f t="shared" si="0"/>
        <v>115.22377309090909</v>
      </c>
      <c r="T15" s="50">
        <f t="shared" si="0"/>
        <v>125.7461504</v>
      </c>
      <c r="U15" s="57">
        <f>C21</f>
        <v>814.47690239999997</v>
      </c>
      <c r="V15" s="54">
        <f>(U15-12*I15)/66</f>
        <v>10.522377309090908</v>
      </c>
    </row>
    <row r="16" spans="1:22" x14ac:dyDescent="0.25">
      <c r="B16" t="s">
        <v>129</v>
      </c>
      <c r="C16" s="14">
        <v>1E-3</v>
      </c>
      <c r="D16" s="14">
        <v>3.0000000000000001E-3</v>
      </c>
      <c r="E16" s="14">
        <v>5.0000000000000001E-3</v>
      </c>
      <c r="H16" s="46" t="s">
        <v>130</v>
      </c>
      <c r="I16" s="53">
        <f>T15+V15</f>
        <v>136.2685277090909</v>
      </c>
      <c r="J16" s="50">
        <f>I16+$V$16</f>
        <v>148.51410914380165</v>
      </c>
      <c r="K16" s="50">
        <f t="shared" ref="K16:T16" si="1">J16+$V$16</f>
        <v>160.75969057851239</v>
      </c>
      <c r="L16" s="50">
        <f t="shared" si="1"/>
        <v>173.00527201322313</v>
      </c>
      <c r="M16" s="50">
        <f t="shared" si="1"/>
        <v>185.25085344793388</v>
      </c>
      <c r="N16" s="50">
        <f t="shared" si="1"/>
        <v>197.49643488264462</v>
      </c>
      <c r="O16" s="50">
        <f t="shared" si="1"/>
        <v>209.74201631735536</v>
      </c>
      <c r="P16" s="50">
        <f t="shared" si="1"/>
        <v>221.98759775206611</v>
      </c>
      <c r="Q16" s="50">
        <f t="shared" si="1"/>
        <v>234.23317918677685</v>
      </c>
      <c r="R16" s="50">
        <f t="shared" si="1"/>
        <v>246.4787606214876</v>
      </c>
      <c r="S16" s="50">
        <f t="shared" si="1"/>
        <v>258.72434205619834</v>
      </c>
      <c r="T16" s="50">
        <f t="shared" si="1"/>
        <v>270.96992349090908</v>
      </c>
      <c r="U16" s="52">
        <f>D21</f>
        <v>2443.4307072000001</v>
      </c>
      <c r="V16" s="54">
        <f t="shared" ref="V16" si="2">(U16-12*I16)/66</f>
        <v>12.245581434710747</v>
      </c>
    </row>
    <row r="17" spans="2:22" x14ac:dyDescent="0.25">
      <c r="B17" t="s">
        <v>238</v>
      </c>
      <c r="C17" s="20">
        <f>$E$9*C16</f>
        <v>6.7873075199999997</v>
      </c>
      <c r="D17" s="20">
        <f>$E$9*D16</f>
        <v>20.36192256</v>
      </c>
      <c r="E17" s="20">
        <f>$E$9*E16</f>
        <v>33.936537599999994</v>
      </c>
      <c r="H17" s="46" t="s">
        <v>131</v>
      </c>
      <c r="I17" s="53">
        <f>T16+V16</f>
        <v>283.21550492561983</v>
      </c>
      <c r="J17" s="50">
        <f>I17+$V$17</f>
        <v>293.42457239368895</v>
      </c>
      <c r="K17" s="50">
        <f t="shared" ref="K17:S17" si="3">J17+$V$17</f>
        <v>303.63363986175807</v>
      </c>
      <c r="L17" s="50">
        <f t="shared" si="3"/>
        <v>313.84270732982719</v>
      </c>
      <c r="M17" s="50">
        <f t="shared" si="3"/>
        <v>324.05177479789631</v>
      </c>
      <c r="N17" s="50">
        <f t="shared" si="3"/>
        <v>334.26084226596544</v>
      </c>
      <c r="O17" s="50">
        <f t="shared" si="3"/>
        <v>344.46990973403456</v>
      </c>
      <c r="P17" s="50">
        <f t="shared" si="3"/>
        <v>354.67897720210368</v>
      </c>
      <c r="Q17" s="50">
        <f t="shared" si="3"/>
        <v>364.8880446701728</v>
      </c>
      <c r="R17" s="50">
        <f t="shared" si="3"/>
        <v>375.09711213824193</v>
      </c>
      <c r="S17" s="50">
        <f t="shared" si="3"/>
        <v>385.30617960631105</v>
      </c>
      <c r="T17" s="50">
        <f>S17+$V$17</f>
        <v>395.51524707438017</v>
      </c>
      <c r="U17" s="52">
        <f>E21</f>
        <v>4072.3845119999996</v>
      </c>
      <c r="V17" s="54">
        <f>(U17-12*I17)/66</f>
        <v>10.209067468069117</v>
      </c>
    </row>
    <row r="18" spans="2:22" x14ac:dyDescent="0.25">
      <c r="C18" s="20"/>
      <c r="D18" s="20"/>
      <c r="E18" s="20"/>
    </row>
    <row r="19" spans="2:22" x14ac:dyDescent="0.25">
      <c r="B19" t="s">
        <v>132</v>
      </c>
      <c r="C19" s="20">
        <f>C17*10</f>
        <v>67.873075200000002</v>
      </c>
      <c r="D19" s="20">
        <f>D17*10</f>
        <v>203.61922559999999</v>
      </c>
      <c r="E19" s="20">
        <f>E17*10</f>
        <v>339.36537599999997</v>
      </c>
    </row>
    <row r="21" spans="2:22" x14ac:dyDescent="0.25">
      <c r="B21" s="109" t="s">
        <v>133</v>
      </c>
      <c r="C21" s="20">
        <f>C19*12</f>
        <v>814.47690239999997</v>
      </c>
      <c r="D21" s="20">
        <f>D19*12</f>
        <v>2443.4307072000001</v>
      </c>
      <c r="E21" s="20">
        <f>E19*12</f>
        <v>4072.3845119999996</v>
      </c>
      <c r="H21" s="46"/>
      <c r="I21" s="222" t="s">
        <v>134</v>
      </c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</row>
    <row r="22" spans="2:22" x14ac:dyDescent="0.25">
      <c r="H22" s="46"/>
      <c r="I22" s="49" t="s">
        <v>112</v>
      </c>
      <c r="J22" s="49" t="s">
        <v>113</v>
      </c>
      <c r="K22" s="49" t="s">
        <v>114</v>
      </c>
      <c r="L22" s="49" t="s">
        <v>115</v>
      </c>
      <c r="M22" s="49" t="s">
        <v>116</v>
      </c>
      <c r="N22" s="49" t="s">
        <v>117</v>
      </c>
      <c r="O22" s="49" t="s">
        <v>118</v>
      </c>
      <c r="P22" s="49" t="s">
        <v>119</v>
      </c>
      <c r="Q22" s="49" t="s">
        <v>120</v>
      </c>
      <c r="R22" s="49" t="s">
        <v>121</v>
      </c>
      <c r="S22" s="49" t="s">
        <v>122</v>
      </c>
      <c r="T22" s="49" t="s">
        <v>123</v>
      </c>
    </row>
    <row r="23" spans="2:22" x14ac:dyDescent="0.25">
      <c r="H23" s="48" t="s">
        <v>128</v>
      </c>
      <c r="I23" s="50">
        <f t="shared" ref="I23:T23" si="4">I15/10</f>
        <v>1</v>
      </c>
      <c r="J23" s="50">
        <f t="shared" si="4"/>
        <v>2.0522377309090905</v>
      </c>
      <c r="K23" s="50">
        <f t="shared" si="4"/>
        <v>3.1044754618181813</v>
      </c>
      <c r="L23" s="50">
        <f t="shared" si="4"/>
        <v>4.1567131927272722</v>
      </c>
      <c r="M23" s="50">
        <f t="shared" si="4"/>
        <v>5.2089509236363627</v>
      </c>
      <c r="N23" s="50">
        <f t="shared" si="4"/>
        <v>6.2611886545454531</v>
      </c>
      <c r="O23" s="50">
        <f t="shared" si="4"/>
        <v>7.3134263854545436</v>
      </c>
      <c r="P23" s="50">
        <f t="shared" si="4"/>
        <v>8.3656641163636358</v>
      </c>
      <c r="Q23" s="50">
        <f t="shared" si="4"/>
        <v>9.4179018472727272</v>
      </c>
      <c r="R23" s="50">
        <f t="shared" si="4"/>
        <v>10.470139578181819</v>
      </c>
      <c r="S23" s="50">
        <f t="shared" si="4"/>
        <v>11.52237730909091</v>
      </c>
      <c r="T23" s="50">
        <f t="shared" si="4"/>
        <v>12.574615040000001</v>
      </c>
    </row>
    <row r="24" spans="2:22" x14ac:dyDescent="0.25">
      <c r="H24" s="48" t="s">
        <v>130</v>
      </c>
      <c r="I24" s="50">
        <f t="shared" ref="I24:T24" si="5">I16/10</f>
        <v>13.626852770909091</v>
      </c>
      <c r="J24" s="50">
        <f t="shared" si="5"/>
        <v>14.851410914380164</v>
      </c>
      <c r="K24" s="50">
        <f t="shared" si="5"/>
        <v>16.075969057851239</v>
      </c>
      <c r="L24" s="50">
        <f t="shared" si="5"/>
        <v>17.300527201322314</v>
      </c>
      <c r="M24" s="50">
        <f t="shared" si="5"/>
        <v>18.525085344793389</v>
      </c>
      <c r="N24" s="50">
        <f t="shared" si="5"/>
        <v>19.749643488264461</v>
      </c>
      <c r="O24" s="50">
        <f t="shared" si="5"/>
        <v>20.974201631735536</v>
      </c>
      <c r="P24" s="50">
        <f t="shared" si="5"/>
        <v>22.198759775206611</v>
      </c>
      <c r="Q24" s="50">
        <f t="shared" si="5"/>
        <v>23.423317918677686</v>
      </c>
      <c r="R24" s="50">
        <f t="shared" si="5"/>
        <v>24.647876062148761</v>
      </c>
      <c r="S24" s="50">
        <f t="shared" si="5"/>
        <v>25.872434205619832</v>
      </c>
      <c r="T24" s="50">
        <f t="shared" si="5"/>
        <v>27.096992349090907</v>
      </c>
    </row>
    <row r="25" spans="2:22" x14ac:dyDescent="0.25">
      <c r="H25" s="48" t="s">
        <v>131</v>
      </c>
      <c r="I25" s="50">
        <f t="shared" ref="I25:T25" si="6">I17/10</f>
        <v>28.321550492561983</v>
      </c>
      <c r="J25" s="50">
        <f t="shared" si="6"/>
        <v>29.342457239368894</v>
      </c>
      <c r="K25" s="50">
        <f t="shared" si="6"/>
        <v>30.363363986175806</v>
      </c>
      <c r="L25" s="50">
        <f t="shared" si="6"/>
        <v>31.384270732982721</v>
      </c>
      <c r="M25" s="50">
        <f t="shared" si="6"/>
        <v>32.405177479789629</v>
      </c>
      <c r="N25" s="50">
        <f t="shared" si="6"/>
        <v>33.426084226596544</v>
      </c>
      <c r="O25" s="50">
        <f t="shared" si="6"/>
        <v>34.446990973403459</v>
      </c>
      <c r="P25" s="50">
        <f t="shared" si="6"/>
        <v>35.467897720210367</v>
      </c>
      <c r="Q25" s="50">
        <f t="shared" si="6"/>
        <v>36.488804467017282</v>
      </c>
      <c r="R25" s="50">
        <f t="shared" si="6"/>
        <v>37.50971121382419</v>
      </c>
      <c r="S25" s="50">
        <f t="shared" si="6"/>
        <v>38.530617960631105</v>
      </c>
      <c r="T25" s="50">
        <f t="shared" si="6"/>
        <v>39.55152470743802</v>
      </c>
    </row>
  </sheetData>
  <mergeCells count="4">
    <mergeCell ref="B3:H3"/>
    <mergeCell ref="B13:E13"/>
    <mergeCell ref="I13:T13"/>
    <mergeCell ref="I21:T21"/>
  </mergeCells>
  <phoneticPr fontId="8" type="noConversion"/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4CF-A9D3-4EE0-B382-341C3F9EF400}">
  <sheetPr>
    <tabColor rgb="FF92D050"/>
  </sheetPr>
  <dimension ref="A1:D5"/>
  <sheetViews>
    <sheetView workbookViewId="0">
      <selection activeCell="I15" sqref="I15"/>
    </sheetView>
  </sheetViews>
  <sheetFormatPr baseColWidth="10" defaultRowHeight="15" x14ac:dyDescent="0.25"/>
  <cols>
    <col min="1" max="1" width="14.28515625" bestFit="1" customWidth="1"/>
    <col min="2" max="2" width="14.42578125" bestFit="1" customWidth="1"/>
    <col min="3" max="3" width="13.42578125" bestFit="1" customWidth="1"/>
  </cols>
  <sheetData>
    <row r="1" spans="1:4" x14ac:dyDescent="0.25">
      <c r="A1" t="s">
        <v>271</v>
      </c>
      <c r="B1" t="s">
        <v>254</v>
      </c>
      <c r="C1" t="s">
        <v>255</v>
      </c>
    </row>
    <row r="3" spans="1:4" x14ac:dyDescent="0.25">
      <c r="B3" s="1" t="s">
        <v>125</v>
      </c>
      <c r="C3" s="1" t="s">
        <v>126</v>
      </c>
      <c r="D3" s="1" t="s">
        <v>127</v>
      </c>
    </row>
    <row r="4" spans="1:4" x14ac:dyDescent="0.25">
      <c r="A4" s="1" t="s">
        <v>276</v>
      </c>
      <c r="B4" s="27">
        <f>'Nachfrage Jahr 1'!J32</f>
        <v>1803.9953384698279</v>
      </c>
      <c r="C4" s="27">
        <f>'Nachfrage Jahr 2'!J32</f>
        <v>3688.2253754094827</v>
      </c>
      <c r="D4" s="27">
        <f>'Nachfrage Jahr 3'!J32</f>
        <v>8158.0963723491386</v>
      </c>
    </row>
    <row r="5" spans="1:4" x14ac:dyDescent="0.25">
      <c r="A5" s="1" t="s">
        <v>277</v>
      </c>
      <c r="B5" s="27">
        <f>Angebotsentwicklung!U15</f>
        <v>814.47690239999997</v>
      </c>
      <c r="C5" s="27">
        <f>Angebotsentwicklung!U16</f>
        <v>2443.4307072000001</v>
      </c>
      <c r="D5" s="27">
        <f>Angebotsentwicklung!U17</f>
        <v>4072.3845119999996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B5EF-6D95-427F-BF05-6F75D1C8579D}">
  <sheetPr>
    <tabColor rgb="FFFFC000"/>
  </sheetPr>
  <dimension ref="A1:AK29"/>
  <sheetViews>
    <sheetView zoomScaleNormal="100" workbookViewId="0">
      <selection activeCell="A22" sqref="A22"/>
    </sheetView>
  </sheetViews>
  <sheetFormatPr baseColWidth="10" defaultColWidth="11.42578125" defaultRowHeight="15" x14ac:dyDescent="0.25"/>
  <cols>
    <col min="1" max="1" width="22.140625" customWidth="1"/>
    <col min="2" max="2" width="21.42578125" bestFit="1" customWidth="1"/>
    <col min="3" max="3" width="30.85546875" bestFit="1" customWidth="1"/>
    <col min="4" max="4" width="26.42578125" bestFit="1" customWidth="1"/>
    <col min="5" max="5" width="23.42578125" bestFit="1" customWidth="1"/>
    <col min="6" max="6" width="21.5703125" customWidth="1"/>
    <col min="7" max="7" width="28.85546875" bestFit="1" customWidth="1"/>
    <col min="8" max="8" width="34.28515625" bestFit="1" customWidth="1"/>
    <col min="9" max="9" width="27" bestFit="1" customWidth="1"/>
    <col min="10" max="10" width="32.42578125" bestFit="1" customWidth="1"/>
    <col min="11" max="11" width="28.140625" bestFit="1" customWidth="1"/>
    <col min="12" max="12" width="21.28515625" bestFit="1" customWidth="1"/>
    <col min="13" max="13" width="16.5703125" customWidth="1"/>
  </cols>
  <sheetData>
    <row r="1" spans="1:14" x14ac:dyDescent="0.25">
      <c r="A1" t="s">
        <v>253</v>
      </c>
      <c r="B1" t="s">
        <v>254</v>
      </c>
      <c r="C1" t="s">
        <v>255</v>
      </c>
    </row>
    <row r="3" spans="1:14" x14ac:dyDescent="0.25">
      <c r="A3" s="22" t="s">
        <v>156</v>
      </c>
    </row>
    <row r="5" spans="1:14" x14ac:dyDescent="0.25">
      <c r="A5" s="9" t="s">
        <v>157</v>
      </c>
      <c r="B5" s="9" t="s">
        <v>158</v>
      </c>
      <c r="C5" s="9" t="s">
        <v>159</v>
      </c>
      <c r="D5" s="9" t="s">
        <v>160</v>
      </c>
      <c r="E5" s="9" t="s">
        <v>161</v>
      </c>
      <c r="F5" s="9" t="s">
        <v>272</v>
      </c>
      <c r="G5" s="9" t="s">
        <v>143</v>
      </c>
      <c r="H5" s="9" t="s">
        <v>144</v>
      </c>
      <c r="I5" s="87" t="s">
        <v>145</v>
      </c>
      <c r="J5" s="87" t="s">
        <v>146</v>
      </c>
      <c r="K5" s="9" t="s">
        <v>147</v>
      </c>
      <c r="L5" s="195" t="s">
        <v>148</v>
      </c>
    </row>
    <row r="6" spans="1:14" x14ac:dyDescent="0.25">
      <c r="L6" s="125"/>
    </row>
    <row r="7" spans="1:14" x14ac:dyDescent="0.25">
      <c r="A7" s="7" t="s">
        <v>239</v>
      </c>
      <c r="B7" s="201">
        <v>1.5</v>
      </c>
      <c r="C7" s="201">
        <f>B7*0.15</f>
        <v>0.22499999999999998</v>
      </c>
      <c r="D7" s="201">
        <f>B7+C7</f>
        <v>1.7250000000000001</v>
      </c>
      <c r="E7" s="202">
        <f>Strompreis!E12</f>
        <v>0.29723333333333335</v>
      </c>
      <c r="F7" s="7">
        <v>5</v>
      </c>
      <c r="G7" s="201">
        <f>B7*F7</f>
        <v>7.5</v>
      </c>
      <c r="H7" s="201">
        <f>C7*F7</f>
        <v>1.125</v>
      </c>
      <c r="I7" s="203">
        <f>G7*10</f>
        <v>75</v>
      </c>
      <c r="J7" s="203">
        <f>H7*10</f>
        <v>11.25</v>
      </c>
      <c r="K7" s="7" t="s">
        <v>149</v>
      </c>
      <c r="L7" s="204" t="s">
        <v>150</v>
      </c>
    </row>
    <row r="8" spans="1:14" x14ac:dyDescent="0.25">
      <c r="A8" s="205" t="s">
        <v>240</v>
      </c>
      <c r="B8" s="206">
        <v>2</v>
      </c>
      <c r="C8" s="206">
        <f>B8*0.15</f>
        <v>0.3</v>
      </c>
      <c r="D8" s="206">
        <f>B8+C8</f>
        <v>2.2999999999999998</v>
      </c>
      <c r="E8" s="207">
        <f>Strompreis!E12</f>
        <v>0.29723333333333335</v>
      </c>
      <c r="F8" s="205">
        <v>5</v>
      </c>
      <c r="G8" s="206">
        <f>B8*F8</f>
        <v>10</v>
      </c>
      <c r="H8" s="206">
        <f>C8*F8</f>
        <v>1.5</v>
      </c>
      <c r="I8" s="208">
        <f>G8*10</f>
        <v>100</v>
      </c>
      <c r="J8" s="208">
        <f>H8*10</f>
        <v>15</v>
      </c>
      <c r="K8" s="205" t="s">
        <v>162</v>
      </c>
      <c r="L8" s="209" t="s">
        <v>151</v>
      </c>
    </row>
    <row r="9" spans="1:14" x14ac:dyDescent="0.25">
      <c r="B9" s="43"/>
    </row>
    <row r="12" spans="1:14" x14ac:dyDescent="0.25">
      <c r="B12" s="105" t="s">
        <v>163</v>
      </c>
    </row>
    <row r="13" spans="1:14" x14ac:dyDescent="0.25">
      <c r="B13" s="223" t="s">
        <v>152</v>
      </c>
      <c r="C13" s="46"/>
      <c r="D13" s="46" t="s">
        <v>232</v>
      </c>
      <c r="E13" s="46" t="s">
        <v>233</v>
      </c>
      <c r="F13" s="46" t="s">
        <v>165</v>
      </c>
      <c r="G13" s="46" t="s">
        <v>234</v>
      </c>
      <c r="H13" s="46" t="s">
        <v>235</v>
      </c>
      <c r="I13" s="46" t="s">
        <v>166</v>
      </c>
      <c r="J13" s="46" t="s">
        <v>40</v>
      </c>
      <c r="K13" s="46" t="s">
        <v>231</v>
      </c>
      <c r="L13" s="100" t="s">
        <v>104</v>
      </c>
      <c r="M13" s="106"/>
      <c r="N13" s="100" t="s">
        <v>164</v>
      </c>
    </row>
    <row r="14" spans="1:14" x14ac:dyDescent="0.25">
      <c r="B14" s="223"/>
      <c r="C14" s="46" t="s">
        <v>167</v>
      </c>
      <c r="D14" s="46">
        <f>Allgemein!C26</f>
        <v>73.625000000000014</v>
      </c>
      <c r="E14" s="46">
        <f>D14*0.6</f>
        <v>44.175000000000004</v>
      </c>
      <c r="F14" s="46">
        <v>11</v>
      </c>
      <c r="G14" s="101">
        <f>D14/F14</f>
        <v>6.6931818181818192</v>
      </c>
      <c r="H14" s="50">
        <f>G14*0.6</f>
        <v>4.0159090909090915</v>
      </c>
      <c r="I14" s="102">
        <f>H14*B7</f>
        <v>6.0238636363636378</v>
      </c>
      <c r="J14" s="102">
        <f>E14*E7</f>
        <v>13.130282500000002</v>
      </c>
      <c r="K14" s="103">
        <f>C7*H14</f>
        <v>0.90357954545454555</v>
      </c>
      <c r="L14" s="161">
        <f>I14+J14+K14</f>
        <v>20.057725681818184</v>
      </c>
      <c r="M14" s="106"/>
      <c r="N14" s="162">
        <f>E14*0.49</f>
        <v>21.645750000000003</v>
      </c>
    </row>
    <row r="15" spans="1:14" x14ac:dyDescent="0.25">
      <c r="B15" s="46" t="s">
        <v>153</v>
      </c>
      <c r="C15" s="46" t="s">
        <v>167</v>
      </c>
      <c r="D15" s="46">
        <f>D14</f>
        <v>73.625000000000014</v>
      </c>
      <c r="E15" s="46">
        <f>E14</f>
        <v>44.175000000000004</v>
      </c>
      <c r="F15" s="46">
        <v>11</v>
      </c>
      <c r="G15" s="101">
        <f>D15/F15</f>
        <v>6.6931818181818192</v>
      </c>
      <c r="H15" s="50">
        <f>G15*0.6</f>
        <v>4.0159090909090915</v>
      </c>
      <c r="I15" s="102">
        <f>H15*B8</f>
        <v>8.0318181818181831</v>
      </c>
      <c r="J15" s="102">
        <f>E8*E15</f>
        <v>13.130282500000002</v>
      </c>
      <c r="K15" s="103">
        <f>C8*H15</f>
        <v>1.2047727272727273</v>
      </c>
      <c r="L15" s="161">
        <f>I15+J15+K15</f>
        <v>22.36687340909091</v>
      </c>
      <c r="M15" s="106"/>
      <c r="N15" s="46"/>
    </row>
    <row r="22" spans="1:37" x14ac:dyDescent="0.25">
      <c r="A22" s="22" t="s">
        <v>267</v>
      </c>
      <c r="B22" s="22"/>
      <c r="C22" s="22"/>
      <c r="D22" s="22"/>
      <c r="E22" s="22"/>
      <c r="F22" s="22"/>
    </row>
    <row r="24" spans="1:37" ht="15.75" thickBot="1" x14ac:dyDescent="0.3"/>
    <row r="25" spans="1:37" x14ac:dyDescent="0.25">
      <c r="A25" s="153"/>
      <c r="B25" s="224" t="s">
        <v>246</v>
      </c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5"/>
      <c r="N25" s="226" t="s">
        <v>247</v>
      </c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5"/>
      <c r="Z25" s="227" t="s">
        <v>248</v>
      </c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8"/>
    </row>
    <row r="26" spans="1:37" x14ac:dyDescent="0.25">
      <c r="A26" s="154"/>
      <c r="B26" s="100" t="s">
        <v>112</v>
      </c>
      <c r="C26" s="100" t="s">
        <v>113</v>
      </c>
      <c r="D26" s="100" t="s">
        <v>114</v>
      </c>
      <c r="E26" s="100" t="s">
        <v>115</v>
      </c>
      <c r="F26" s="100" t="s">
        <v>116</v>
      </c>
      <c r="G26" s="100" t="s">
        <v>117</v>
      </c>
      <c r="H26" s="100" t="s">
        <v>118</v>
      </c>
      <c r="I26" s="100" t="s">
        <v>119</v>
      </c>
      <c r="J26" s="100" t="s">
        <v>120</v>
      </c>
      <c r="K26" s="100" t="s">
        <v>121</v>
      </c>
      <c r="L26" s="100" t="s">
        <v>122</v>
      </c>
      <c r="M26" s="182" t="s">
        <v>123</v>
      </c>
      <c r="N26" s="185" t="s">
        <v>112</v>
      </c>
      <c r="O26" s="100" t="s">
        <v>113</v>
      </c>
      <c r="P26" s="100" t="s">
        <v>114</v>
      </c>
      <c r="Q26" s="100" t="s">
        <v>115</v>
      </c>
      <c r="R26" s="100" t="s">
        <v>116</v>
      </c>
      <c r="S26" s="100" t="s">
        <v>117</v>
      </c>
      <c r="T26" s="100" t="s">
        <v>118</v>
      </c>
      <c r="U26" s="100" t="s">
        <v>119</v>
      </c>
      <c r="V26" s="100" t="s">
        <v>120</v>
      </c>
      <c r="W26" s="100" t="s">
        <v>121</v>
      </c>
      <c r="X26" s="100" t="s">
        <v>122</v>
      </c>
      <c r="Y26" s="182" t="s">
        <v>123</v>
      </c>
      <c r="Z26" s="179" t="s">
        <v>112</v>
      </c>
      <c r="AA26" s="100" t="s">
        <v>113</v>
      </c>
      <c r="AB26" s="100" t="s">
        <v>114</v>
      </c>
      <c r="AC26" s="100" t="s">
        <v>115</v>
      </c>
      <c r="AD26" s="100" t="s">
        <v>116</v>
      </c>
      <c r="AE26" s="100" t="s">
        <v>117</v>
      </c>
      <c r="AF26" s="100" t="s">
        <v>118</v>
      </c>
      <c r="AG26" s="100" t="s">
        <v>119</v>
      </c>
      <c r="AH26" s="100" t="s">
        <v>120</v>
      </c>
      <c r="AI26" s="100" t="s">
        <v>121</v>
      </c>
      <c r="AJ26" s="100" t="s">
        <v>122</v>
      </c>
      <c r="AK26" s="155" t="s">
        <v>123</v>
      </c>
    </row>
    <row r="27" spans="1:37" x14ac:dyDescent="0.25">
      <c r="A27" s="154" t="s">
        <v>275</v>
      </c>
      <c r="B27" s="190">
        <v>200</v>
      </c>
      <c r="C27" s="190">
        <v>300</v>
      </c>
      <c r="D27" s="190">
        <v>400</v>
      </c>
      <c r="E27" s="190">
        <v>500</v>
      </c>
      <c r="F27" s="190">
        <v>600</v>
      </c>
      <c r="G27" s="190">
        <v>700</v>
      </c>
      <c r="H27" s="190">
        <v>800</v>
      </c>
      <c r="I27" s="190">
        <v>900</v>
      </c>
      <c r="J27" s="190">
        <v>1000</v>
      </c>
      <c r="K27" s="190">
        <v>1100</v>
      </c>
      <c r="L27" s="190">
        <v>1200</v>
      </c>
      <c r="M27" s="191">
        <v>1300</v>
      </c>
      <c r="N27" s="192">
        <v>1500</v>
      </c>
      <c r="O27" s="190">
        <v>1700</v>
      </c>
      <c r="P27" s="190">
        <v>1900</v>
      </c>
      <c r="Q27" s="190">
        <v>2100</v>
      </c>
      <c r="R27" s="190">
        <v>2300</v>
      </c>
      <c r="S27" s="190">
        <v>2500</v>
      </c>
      <c r="T27" s="190">
        <v>2700</v>
      </c>
      <c r="U27" s="190">
        <v>2900</v>
      </c>
      <c r="V27" s="190">
        <v>3100</v>
      </c>
      <c r="W27" s="190">
        <v>3300</v>
      </c>
      <c r="X27" s="190">
        <v>3500</v>
      </c>
      <c r="Y27" s="191">
        <v>3700</v>
      </c>
      <c r="Z27" s="193">
        <v>4200</v>
      </c>
      <c r="AA27" s="190">
        <v>4700</v>
      </c>
      <c r="AB27" s="190">
        <v>5200</v>
      </c>
      <c r="AC27" s="190">
        <v>5700</v>
      </c>
      <c r="AD27" s="190">
        <v>6200</v>
      </c>
      <c r="AE27" s="190">
        <v>7200</v>
      </c>
      <c r="AF27" s="190">
        <v>7700</v>
      </c>
      <c r="AG27" s="190">
        <v>8200</v>
      </c>
      <c r="AH27" s="190">
        <v>8700</v>
      </c>
      <c r="AI27" s="190">
        <v>9200</v>
      </c>
      <c r="AJ27" s="190">
        <v>9700</v>
      </c>
      <c r="AK27" s="194">
        <v>10200</v>
      </c>
    </row>
    <row r="28" spans="1:37" x14ac:dyDescent="0.25">
      <c r="A28" s="154" t="s">
        <v>268</v>
      </c>
      <c r="B28" s="46" t="s">
        <v>249</v>
      </c>
      <c r="C28" s="46" t="s">
        <v>249</v>
      </c>
      <c r="D28" s="46" t="s">
        <v>249</v>
      </c>
      <c r="E28" s="46" t="s">
        <v>249</v>
      </c>
      <c r="F28" s="46" t="s">
        <v>249</v>
      </c>
      <c r="G28" s="46" t="s">
        <v>249</v>
      </c>
      <c r="H28" s="46" t="s">
        <v>249</v>
      </c>
      <c r="I28" s="46" t="s">
        <v>249</v>
      </c>
      <c r="J28" s="46" t="s">
        <v>249</v>
      </c>
      <c r="K28" s="46" t="s">
        <v>249</v>
      </c>
      <c r="L28" s="46" t="s">
        <v>249</v>
      </c>
      <c r="M28" s="183" t="s">
        <v>249</v>
      </c>
      <c r="N28" s="186">
        <v>0.3</v>
      </c>
      <c r="O28" s="104">
        <v>0.3</v>
      </c>
      <c r="P28" s="104">
        <v>0.3</v>
      </c>
      <c r="Q28" s="104">
        <v>0.3</v>
      </c>
      <c r="R28" s="104">
        <v>0.3</v>
      </c>
      <c r="S28" s="104">
        <v>0.3</v>
      </c>
      <c r="T28" s="104">
        <v>0.3</v>
      </c>
      <c r="U28" s="104">
        <v>0.3</v>
      </c>
      <c r="V28" s="104">
        <v>0.3</v>
      </c>
      <c r="W28" s="104">
        <v>0.3</v>
      </c>
      <c r="X28" s="104">
        <v>0.3</v>
      </c>
      <c r="Y28" s="187">
        <v>0.3</v>
      </c>
      <c r="Z28" s="180">
        <v>0.4</v>
      </c>
      <c r="AA28" s="104">
        <v>0.4</v>
      </c>
      <c r="AB28" s="104">
        <v>0.4</v>
      </c>
      <c r="AC28" s="104">
        <v>0.4</v>
      </c>
      <c r="AD28" s="104">
        <v>0.4</v>
      </c>
      <c r="AE28" s="104">
        <v>0.4</v>
      </c>
      <c r="AF28" s="104">
        <v>0.4</v>
      </c>
      <c r="AG28" s="104">
        <v>0.4</v>
      </c>
      <c r="AH28" s="104">
        <v>0.4</v>
      </c>
      <c r="AI28" s="104">
        <v>0.4</v>
      </c>
      <c r="AJ28" s="104">
        <v>0.4</v>
      </c>
      <c r="AK28" s="156">
        <v>0.4</v>
      </c>
    </row>
    <row r="29" spans="1:37" ht="15.75" thickBot="1" x14ac:dyDescent="0.3">
      <c r="A29" s="157" t="s">
        <v>269</v>
      </c>
      <c r="B29" s="158" t="s">
        <v>249</v>
      </c>
      <c r="C29" s="158" t="s">
        <v>249</v>
      </c>
      <c r="D29" s="158" t="s">
        <v>249</v>
      </c>
      <c r="E29" s="158" t="s">
        <v>249</v>
      </c>
      <c r="F29" s="158" t="s">
        <v>249</v>
      </c>
      <c r="G29" s="158" t="s">
        <v>249</v>
      </c>
      <c r="H29" s="158" t="s">
        <v>249</v>
      </c>
      <c r="I29" s="158" t="s">
        <v>249</v>
      </c>
      <c r="J29" s="158" t="s">
        <v>249</v>
      </c>
      <c r="K29" s="158" t="s">
        <v>249</v>
      </c>
      <c r="L29" s="158" t="s">
        <v>249</v>
      </c>
      <c r="M29" s="184" t="s">
        <v>249</v>
      </c>
      <c r="N29" s="188">
        <f>N27*N28</f>
        <v>450</v>
      </c>
      <c r="O29" s="159">
        <f t="shared" ref="O29:AK29" si="0">O27*O28</f>
        <v>510</v>
      </c>
      <c r="P29" s="159">
        <f t="shared" si="0"/>
        <v>570</v>
      </c>
      <c r="Q29" s="159">
        <f t="shared" si="0"/>
        <v>630</v>
      </c>
      <c r="R29" s="159">
        <f t="shared" si="0"/>
        <v>690</v>
      </c>
      <c r="S29" s="159">
        <f t="shared" si="0"/>
        <v>750</v>
      </c>
      <c r="T29" s="159">
        <f t="shared" si="0"/>
        <v>810</v>
      </c>
      <c r="U29" s="159">
        <f t="shared" si="0"/>
        <v>870</v>
      </c>
      <c r="V29" s="159">
        <f t="shared" si="0"/>
        <v>930</v>
      </c>
      <c r="W29" s="159">
        <f t="shared" si="0"/>
        <v>990</v>
      </c>
      <c r="X29" s="159">
        <f t="shared" si="0"/>
        <v>1050</v>
      </c>
      <c r="Y29" s="189">
        <f t="shared" si="0"/>
        <v>1110</v>
      </c>
      <c r="Z29" s="181">
        <f t="shared" si="0"/>
        <v>1680</v>
      </c>
      <c r="AA29" s="159">
        <f t="shared" si="0"/>
        <v>1880</v>
      </c>
      <c r="AB29" s="159">
        <f t="shared" si="0"/>
        <v>2080</v>
      </c>
      <c r="AC29" s="159">
        <f t="shared" si="0"/>
        <v>2280</v>
      </c>
      <c r="AD29" s="159">
        <f t="shared" si="0"/>
        <v>2480</v>
      </c>
      <c r="AE29" s="159">
        <f t="shared" si="0"/>
        <v>2880</v>
      </c>
      <c r="AF29" s="159">
        <f t="shared" si="0"/>
        <v>3080</v>
      </c>
      <c r="AG29" s="159">
        <f t="shared" si="0"/>
        <v>3280</v>
      </c>
      <c r="AH29" s="159">
        <f t="shared" si="0"/>
        <v>3480</v>
      </c>
      <c r="AI29" s="159">
        <f t="shared" si="0"/>
        <v>3680</v>
      </c>
      <c r="AJ29" s="159">
        <f t="shared" si="0"/>
        <v>3880</v>
      </c>
      <c r="AK29" s="160">
        <f t="shared" si="0"/>
        <v>4080</v>
      </c>
    </row>
  </sheetData>
  <mergeCells count="4">
    <mergeCell ref="B13:B14"/>
    <mergeCell ref="B25:M25"/>
    <mergeCell ref="N25:Y25"/>
    <mergeCell ref="Z25:AK25"/>
  </mergeCells>
  <pageMargins left="0.7" right="0.7" top="0.78740157499999996" bottom="0.78740157499999996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EF07-301B-4626-9CC7-AA09E8FDCA2F}">
  <sheetPr>
    <tabColor rgb="FFFFC000"/>
  </sheetPr>
  <dimension ref="A1:XFD42"/>
  <sheetViews>
    <sheetView topLeftCell="I1" zoomScale="90" zoomScaleNormal="90" zoomScaleSheetLayoutView="89" workbookViewId="0">
      <selection activeCell="AK15" sqref="AK15"/>
    </sheetView>
  </sheetViews>
  <sheetFormatPr baseColWidth="10" defaultColWidth="11.42578125" defaultRowHeight="15" x14ac:dyDescent="0.25"/>
  <cols>
    <col min="2" max="2" width="42.140625" bestFit="1" customWidth="1"/>
    <col min="3" max="3" width="15.7109375" bestFit="1" customWidth="1"/>
    <col min="4" max="4" width="11.5703125" bestFit="1" customWidth="1"/>
    <col min="5" max="5" width="12.28515625" customWidth="1"/>
    <col min="6" max="6" width="12.5703125" customWidth="1"/>
    <col min="7" max="7" width="12.5703125" bestFit="1" customWidth="1"/>
    <col min="8" max="8" width="18.85546875" bestFit="1" customWidth="1"/>
    <col min="9" max="9" width="13.5703125" bestFit="1" customWidth="1"/>
    <col min="10" max="10" width="16.5703125" customWidth="1"/>
    <col min="11" max="11" width="11.5703125" bestFit="1" customWidth="1"/>
    <col min="12" max="15" width="11.42578125" bestFit="1" customWidth="1"/>
    <col min="16" max="19" width="11.5703125" bestFit="1" customWidth="1"/>
    <col min="20" max="20" width="11.28515625" customWidth="1"/>
    <col min="21" max="23" width="11.5703125" bestFit="1" customWidth="1"/>
    <col min="24" max="26" width="11.42578125" bestFit="1" customWidth="1"/>
    <col min="27" max="30" width="11.5703125" bestFit="1" customWidth="1"/>
    <col min="31" max="38" width="11.42578125" bestFit="1" customWidth="1"/>
  </cols>
  <sheetData>
    <row r="1" spans="1:38" ht="30" x14ac:dyDescent="0.25">
      <c r="A1" t="s">
        <v>253</v>
      </c>
      <c r="B1" s="152" t="s">
        <v>279</v>
      </c>
    </row>
    <row r="2" spans="1:38" ht="15.75" thickBot="1" x14ac:dyDescent="0.3"/>
    <row r="3" spans="1:38" ht="15.75" thickBot="1" x14ac:dyDescent="0.3">
      <c r="C3" s="229" t="s">
        <v>246</v>
      </c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1"/>
      <c r="O3" s="232" t="s">
        <v>247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4"/>
      <c r="AA3" s="235" t="s">
        <v>248</v>
      </c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7"/>
    </row>
    <row r="4" spans="1:38" ht="15.75" thickBot="1" x14ac:dyDescent="0.3">
      <c r="B4" s="55"/>
      <c r="C4" s="140" t="s">
        <v>112</v>
      </c>
      <c r="D4" s="141" t="s">
        <v>113</v>
      </c>
      <c r="E4" s="141" t="s">
        <v>114</v>
      </c>
      <c r="F4" s="141" t="s">
        <v>115</v>
      </c>
      <c r="G4" s="141" t="s">
        <v>116</v>
      </c>
      <c r="H4" s="141" t="s">
        <v>117</v>
      </c>
      <c r="I4" s="141" t="s">
        <v>118</v>
      </c>
      <c r="J4" s="141" t="s">
        <v>119</v>
      </c>
      <c r="K4" s="141" t="s">
        <v>120</v>
      </c>
      <c r="L4" s="141" t="s">
        <v>121</v>
      </c>
      <c r="M4" s="141" t="s">
        <v>122</v>
      </c>
      <c r="N4" s="142" t="s">
        <v>123</v>
      </c>
      <c r="O4" s="1" t="s">
        <v>112</v>
      </c>
      <c r="P4" s="1" t="s">
        <v>113</v>
      </c>
      <c r="Q4" s="1" t="s">
        <v>114</v>
      </c>
      <c r="R4" s="1" t="s">
        <v>115</v>
      </c>
      <c r="S4" s="1" t="s">
        <v>116</v>
      </c>
      <c r="T4" s="1" t="s">
        <v>117</v>
      </c>
      <c r="U4" s="1" t="s">
        <v>118</v>
      </c>
      <c r="V4" s="1" t="s">
        <v>119</v>
      </c>
      <c r="W4" s="1" t="s">
        <v>120</v>
      </c>
      <c r="X4" s="1" t="s">
        <v>121</v>
      </c>
      <c r="Y4" s="1" t="s">
        <v>122</v>
      </c>
      <c r="Z4" s="138" t="s">
        <v>123</v>
      </c>
      <c r="AA4" s="165" t="s">
        <v>112</v>
      </c>
      <c r="AB4" s="177" t="s">
        <v>113</v>
      </c>
      <c r="AC4" s="177" t="s">
        <v>114</v>
      </c>
      <c r="AD4" s="177" t="s">
        <v>115</v>
      </c>
      <c r="AE4" s="177" t="s">
        <v>116</v>
      </c>
      <c r="AF4" s="177" t="s">
        <v>117</v>
      </c>
      <c r="AG4" s="177" t="s">
        <v>118</v>
      </c>
      <c r="AH4" s="177" t="s">
        <v>119</v>
      </c>
      <c r="AI4" s="177" t="s">
        <v>120</v>
      </c>
      <c r="AJ4" s="177" t="s">
        <v>121</v>
      </c>
      <c r="AK4" s="177" t="s">
        <v>122</v>
      </c>
      <c r="AL4" s="178" t="s">
        <v>123</v>
      </c>
    </row>
    <row r="5" spans="1:38" ht="15.75" thickTop="1" x14ac:dyDescent="0.25"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20"/>
      <c r="AA5" s="123"/>
      <c r="AL5" s="125"/>
    </row>
    <row r="6" spans="1:38" ht="15.75" thickBot="1" x14ac:dyDescent="0.3">
      <c r="B6" s="114" t="s">
        <v>154</v>
      </c>
      <c r="C6" s="121">
        <f>(Angebotsentwicklung!I15*0.8*'Umsatz Detail'!$J$7)+(Angebotsentwicklung!I15*0.2*'Umsatz Detail'!$J$8)</f>
        <v>120</v>
      </c>
      <c r="D6" s="56">
        <f>(Angebotsentwicklung!J15*0.8*'Umsatz Detail'!$J$7)+(Angebotsentwicklung!J15*0.2*'Umsatz Detail'!$J$8)</f>
        <v>246.2685277090909</v>
      </c>
      <c r="E6" s="56">
        <f>(Angebotsentwicklung!K15*0.8*'Umsatz Detail'!$J$7)+(Angebotsentwicklung!K15*0.2*'Umsatz Detail'!$J$8)</f>
        <v>372.53705541818175</v>
      </c>
      <c r="F6" s="56">
        <f>(Angebotsentwicklung!L15*0.8*'Umsatz Detail'!$J$7)+(Angebotsentwicklung!L15*0.2*'Umsatz Detail'!$J$8)</f>
        <v>498.80558312727266</v>
      </c>
      <c r="G6" s="56">
        <f>(Angebotsentwicklung!M15*0.8*'Umsatz Detail'!$J$7)+(Angebotsentwicklung!M15*0.2*'Umsatz Detail'!$J$8)</f>
        <v>625.0741108363635</v>
      </c>
      <c r="H6" s="56">
        <f>(Angebotsentwicklung!N15*0.8*'Umsatz Detail'!$J$7)+(Angebotsentwicklung!N15*0.2*'Umsatz Detail'!$J$8)</f>
        <v>751.34263854545441</v>
      </c>
      <c r="I6" s="56">
        <f>(Angebotsentwicklung!O15*0.8*'Umsatz Detail'!$J$7)+(Angebotsentwicklung!O15*0.2*'Umsatz Detail'!$J$8)</f>
        <v>877.61116625454531</v>
      </c>
      <c r="J6" s="56">
        <f>(Angebotsentwicklung!P15*0.8*'Umsatz Detail'!$J$7)+(Angebotsentwicklung!P15*0.2*'Umsatz Detail'!$J$8)</f>
        <v>1003.8796939636363</v>
      </c>
      <c r="K6" s="56">
        <f>(Angebotsentwicklung!Q15*0.8*'Umsatz Detail'!$J$7)+(Angebotsentwicklung!Q15*0.2*'Umsatz Detail'!$J$8)</f>
        <v>1130.1482216727272</v>
      </c>
      <c r="L6" s="56">
        <f>(Angebotsentwicklung!R15*0.8*'Umsatz Detail'!$J$7)+(Angebotsentwicklung!R15*0.2*'Umsatz Detail'!$J$8)</f>
        <v>1256.4167493818181</v>
      </c>
      <c r="M6" s="56">
        <f>(Angebotsentwicklung!S15*0.8*'Umsatz Detail'!$J$7)+(Angebotsentwicklung!S15*0.2*'Umsatz Detail'!$J$8)</f>
        <v>1382.685277090909</v>
      </c>
      <c r="N6" s="122">
        <f>(Angebotsentwicklung!T15*0.8*'Umsatz Detail'!$J$7)+(Angebotsentwicklung!T15*0.2*'Umsatz Detail'!$J$8)</f>
        <v>1508.9538048000002</v>
      </c>
      <c r="O6" s="56">
        <f>(Angebotsentwicklung!I16*0.8*'Umsatz Detail'!$J$7)+(Angebotsentwicklung!I16*0.2*'Umsatz Detail'!$J$8)+'Umsatz Detail'!N29</f>
        <v>2085.2223325090908</v>
      </c>
      <c r="P6" s="56">
        <f>(Angebotsentwicklung!J16*0.8*'Umsatz Detail'!$J$7)+(Angebotsentwicklung!J16*0.2*'Umsatz Detail'!$J$8)+'Umsatz Detail'!O29</f>
        <v>2292.1693097256202</v>
      </c>
      <c r="Q6" s="56">
        <f>(Angebotsentwicklung!K16*0.8*'Umsatz Detail'!$J$7)+(Angebotsentwicklung!K16*0.2*'Umsatz Detail'!$J$8)+'Umsatz Detail'!P29</f>
        <v>2499.1162869421487</v>
      </c>
      <c r="R6" s="56">
        <f>(Angebotsentwicklung!L16*0.8*'Umsatz Detail'!$J$7)+(Angebotsentwicklung!L16*0.2*'Umsatz Detail'!$J$8)+'Umsatz Detail'!Q29</f>
        <v>2706.0632641586776</v>
      </c>
      <c r="S6" s="56">
        <f>(Angebotsentwicklung!M16*0.8*'Umsatz Detail'!$J$7)+(Angebotsentwicklung!M16*0.2*'Umsatz Detail'!$J$8)+'Umsatz Detail'!R29</f>
        <v>2913.0102413752065</v>
      </c>
      <c r="T6" s="56">
        <f>(Angebotsentwicklung!N16*0.8*'Umsatz Detail'!$J$7)+(Angebotsentwicklung!N16*0.2*'Umsatz Detail'!$J$8)+'Umsatz Detail'!S29</f>
        <v>3119.9572185917359</v>
      </c>
      <c r="U6" s="56">
        <f>(Angebotsentwicklung!O16*0.8*'Umsatz Detail'!$J$7)+(Angebotsentwicklung!O16*0.2*'Umsatz Detail'!$J$8)+'Umsatz Detail'!T29</f>
        <v>3326.9041958082648</v>
      </c>
      <c r="V6" s="56">
        <f>(Angebotsentwicklung!P16*0.8*'Umsatz Detail'!$J$7)+(Angebotsentwicklung!P16*0.2*'Umsatz Detail'!$J$8)+'Umsatz Detail'!U29</f>
        <v>3533.8511730247933</v>
      </c>
      <c r="W6" s="56">
        <f>(Angebotsentwicklung!Q16*0.8*'Umsatz Detail'!$J$7)+(Angebotsentwicklung!Q16*0.2*'Umsatz Detail'!$J$8)+'Umsatz Detail'!V29</f>
        <v>3740.7981502413222</v>
      </c>
      <c r="X6" s="56">
        <f>(Angebotsentwicklung!R16*0.8*'Umsatz Detail'!$J$7)+(Angebotsentwicklung!R16*0.2*'Umsatz Detail'!$J$8)+'Umsatz Detail'!W29</f>
        <v>3947.7451274578511</v>
      </c>
      <c r="Y6" s="56">
        <f>(Angebotsentwicklung!S16*0.8*'Umsatz Detail'!$J$7)+(Angebotsentwicklung!S16*0.2*'Umsatz Detail'!$J$8)+'Umsatz Detail'!X29</f>
        <v>4154.692104674381</v>
      </c>
      <c r="Z6" s="122">
        <f>(Angebotsentwicklung!T16*0.8*'Umsatz Detail'!$J$7)+(Angebotsentwicklung!T16*0.2*'Umsatz Detail'!$J$8)+'Umsatz Detail'!Y29</f>
        <v>4361.6390818909094</v>
      </c>
      <c r="AA6" s="121">
        <f>(Angebotsentwicklung!I17*0.8*'Umsatz Detail'!$J$7)+(Angebotsentwicklung!I17*0.2*'Umsatz Detail'!$J$8)+'Umsatz Detail'!Z29</f>
        <v>5078.5860591074379</v>
      </c>
      <c r="AB6" s="56">
        <f>(Angebotsentwicklung!J17*0.8*'Umsatz Detail'!$J$7)+(Angebotsentwicklung!J17*0.2*'Umsatz Detail'!$J$8)+'Umsatz Detail'!AA29</f>
        <v>5401.0948687242671</v>
      </c>
      <c r="AC6" s="56">
        <f>(Angebotsentwicklung!K17*0.8*'Umsatz Detail'!$J$7)+(Angebotsentwicklung!K17*0.2*'Umsatz Detail'!$J$8)+'Umsatz Detail'!AB29</f>
        <v>5723.6036783410973</v>
      </c>
      <c r="AD6" s="56">
        <f>(Angebotsentwicklung!L17*0.8*'Umsatz Detail'!$J$7)+(Angebotsentwicklung!L17*0.2*'Umsatz Detail'!$J$8)+'Umsatz Detail'!AC29</f>
        <v>6046.1124879579265</v>
      </c>
      <c r="AE6" s="56">
        <f>(Angebotsentwicklung!M17*0.8*'Umsatz Detail'!$J$7)+(Angebotsentwicklung!M17*0.2*'Umsatz Detail'!$J$8)+'Umsatz Detail'!AD29</f>
        <v>6368.6212975747567</v>
      </c>
      <c r="AF6" s="56">
        <f>(Angebotsentwicklung!N17*0.8*'Umsatz Detail'!$J$7)+(Angebotsentwicklung!N17*0.2*'Umsatz Detail'!$J$8)+'Umsatz Detail'!AE29</f>
        <v>6891.130107191585</v>
      </c>
      <c r="AG6" s="56">
        <f>(Angebotsentwicklung!O17*0.8*'Umsatz Detail'!$J$7)+(Angebotsentwicklung!O17*0.2*'Umsatz Detail'!$J$8)+'Umsatz Detail'!AF29</f>
        <v>7213.6389168084152</v>
      </c>
      <c r="AH6" s="56">
        <f>(Angebotsentwicklung!P17*0.8*'Umsatz Detail'!$J$7)+(Angebotsentwicklung!P17*0.2*'Umsatz Detail'!$J$8)+'Umsatz Detail'!AG29</f>
        <v>7536.1477264252444</v>
      </c>
      <c r="AI6" s="56">
        <f>(Angebotsentwicklung!Q17*0.8*'Umsatz Detail'!$J$7)+(Angebotsentwicklung!Q17*0.2*'Umsatz Detail'!$J$8)+'Umsatz Detail'!AH29</f>
        <v>7858.6565360420736</v>
      </c>
      <c r="AJ6" s="56">
        <f>(Angebotsentwicklung!R17*0.8*'Umsatz Detail'!$J$7)+(Angebotsentwicklung!R17*0.2*'Umsatz Detail'!$J$8)+'Umsatz Detail'!AI29</f>
        <v>8181.1653456589038</v>
      </c>
      <c r="AK6" s="56">
        <f>(Angebotsentwicklung!S17*0.8*'Umsatz Detail'!$J$7)+(Angebotsentwicklung!S17*0.2*'Umsatz Detail'!$J$8)+'Umsatz Detail'!AJ29</f>
        <v>8503.6741552757321</v>
      </c>
      <c r="AL6" s="122">
        <f>(Angebotsentwicklung!T17*0.8*'Umsatz Detail'!$J$7)+(Angebotsentwicklung!T17*0.2*'Umsatz Detail'!$J$8)+'Umsatz Detail'!AK29</f>
        <v>8826.1829648925632</v>
      </c>
    </row>
    <row r="7" spans="1:38" ht="15.75" thickTop="1" x14ac:dyDescent="0.25">
      <c r="C7" s="123"/>
      <c r="N7" s="124"/>
      <c r="Z7" s="125"/>
      <c r="AA7" s="123"/>
      <c r="AL7" s="125"/>
    </row>
    <row r="8" spans="1:38" x14ac:dyDescent="0.25">
      <c r="B8" s="115" t="s">
        <v>168</v>
      </c>
      <c r="C8" s="123"/>
      <c r="N8" s="125"/>
      <c r="Z8" s="125"/>
      <c r="AA8" s="139"/>
      <c r="AL8" s="125"/>
    </row>
    <row r="9" spans="1:38" x14ac:dyDescent="0.25">
      <c r="B9" s="115"/>
      <c r="C9" s="123"/>
      <c r="N9" s="125"/>
      <c r="Z9" s="125"/>
      <c r="AA9" s="123"/>
      <c r="AL9" s="125"/>
    </row>
    <row r="10" spans="1:38" x14ac:dyDescent="0.25">
      <c r="B10" s="44" t="s">
        <v>169</v>
      </c>
      <c r="C10" s="126">
        <v>20.420000000000002</v>
      </c>
      <c r="D10" s="88">
        <v>20.420000000000002</v>
      </c>
      <c r="E10" s="88">
        <v>20.420000000000002</v>
      </c>
      <c r="F10" s="88">
        <v>20.420000000000002</v>
      </c>
      <c r="G10" s="88">
        <v>20.420000000000002</v>
      </c>
      <c r="H10" s="88">
        <v>20.420000000000002</v>
      </c>
      <c r="I10" s="88">
        <v>20.420000000000002</v>
      </c>
      <c r="J10" s="88">
        <v>20.420000000000002</v>
      </c>
      <c r="K10" s="88">
        <v>20.420000000000002</v>
      </c>
      <c r="L10" s="88">
        <v>20.420000000000002</v>
      </c>
      <c r="M10" s="88">
        <v>20.420000000000002</v>
      </c>
      <c r="N10" s="127">
        <v>20.420000000000002</v>
      </c>
      <c r="O10" s="88">
        <f>20.42*1.05</f>
        <v>21.441000000000003</v>
      </c>
      <c r="P10" s="88">
        <f t="shared" ref="P10:Z10" si="0">20.42*1.05</f>
        <v>21.441000000000003</v>
      </c>
      <c r="Q10" s="88">
        <f t="shared" si="0"/>
        <v>21.441000000000003</v>
      </c>
      <c r="R10" s="88">
        <f t="shared" si="0"/>
        <v>21.441000000000003</v>
      </c>
      <c r="S10" s="88">
        <f t="shared" si="0"/>
        <v>21.441000000000003</v>
      </c>
      <c r="T10" s="88">
        <f t="shared" si="0"/>
        <v>21.441000000000003</v>
      </c>
      <c r="U10" s="88">
        <f t="shared" si="0"/>
        <v>21.441000000000003</v>
      </c>
      <c r="V10" s="88">
        <f t="shared" si="0"/>
        <v>21.441000000000003</v>
      </c>
      <c r="W10" s="88">
        <f t="shared" si="0"/>
        <v>21.441000000000003</v>
      </c>
      <c r="X10" s="88">
        <f t="shared" si="0"/>
        <v>21.441000000000003</v>
      </c>
      <c r="Y10" s="88">
        <f t="shared" si="0"/>
        <v>21.441000000000003</v>
      </c>
      <c r="Z10" s="127">
        <f t="shared" si="0"/>
        <v>21.441000000000003</v>
      </c>
      <c r="AA10" s="126">
        <f>$Z$10*1.05</f>
        <v>22.513050000000003</v>
      </c>
      <c r="AB10" s="88">
        <f t="shared" ref="AB10:AL10" si="1">$Z$10*1.05</f>
        <v>22.513050000000003</v>
      </c>
      <c r="AC10" s="88">
        <f t="shared" si="1"/>
        <v>22.513050000000003</v>
      </c>
      <c r="AD10" s="88">
        <f t="shared" si="1"/>
        <v>22.513050000000003</v>
      </c>
      <c r="AE10" s="88">
        <f t="shared" si="1"/>
        <v>22.513050000000003</v>
      </c>
      <c r="AF10" s="88">
        <f t="shared" si="1"/>
        <v>22.513050000000003</v>
      </c>
      <c r="AG10" s="88">
        <f t="shared" si="1"/>
        <v>22.513050000000003</v>
      </c>
      <c r="AH10" s="88">
        <f t="shared" si="1"/>
        <v>22.513050000000003</v>
      </c>
      <c r="AI10" s="88">
        <f t="shared" si="1"/>
        <v>22.513050000000003</v>
      </c>
      <c r="AJ10" s="88">
        <f t="shared" si="1"/>
        <v>22.513050000000003</v>
      </c>
      <c r="AK10" s="88">
        <f t="shared" si="1"/>
        <v>22.513050000000003</v>
      </c>
      <c r="AL10" s="127">
        <f t="shared" si="1"/>
        <v>22.513050000000003</v>
      </c>
    </row>
    <row r="11" spans="1:38" x14ac:dyDescent="0.25">
      <c r="B11" s="44" t="s">
        <v>170</v>
      </c>
      <c r="C11" s="126">
        <v>30</v>
      </c>
      <c r="D11" s="88">
        <v>30</v>
      </c>
      <c r="E11" s="88">
        <v>30</v>
      </c>
      <c r="F11" s="88">
        <v>30</v>
      </c>
      <c r="G11" s="88">
        <v>30</v>
      </c>
      <c r="H11" s="88">
        <v>30</v>
      </c>
      <c r="I11" s="88">
        <v>30</v>
      </c>
      <c r="J11" s="88">
        <v>30</v>
      </c>
      <c r="K11" s="88">
        <v>30</v>
      </c>
      <c r="L11" s="88">
        <v>30</v>
      </c>
      <c r="M11" s="88">
        <v>30</v>
      </c>
      <c r="N11" s="127">
        <v>30</v>
      </c>
      <c r="O11" s="88">
        <f>30*1.05</f>
        <v>31.5</v>
      </c>
      <c r="P11" s="88">
        <f t="shared" ref="P11:Z11" si="2">30*1.05</f>
        <v>31.5</v>
      </c>
      <c r="Q11" s="88">
        <f t="shared" si="2"/>
        <v>31.5</v>
      </c>
      <c r="R11" s="88">
        <f t="shared" si="2"/>
        <v>31.5</v>
      </c>
      <c r="S11" s="88">
        <f t="shared" si="2"/>
        <v>31.5</v>
      </c>
      <c r="T11" s="88">
        <f t="shared" si="2"/>
        <v>31.5</v>
      </c>
      <c r="U11" s="88">
        <f t="shared" si="2"/>
        <v>31.5</v>
      </c>
      <c r="V11" s="88">
        <f t="shared" si="2"/>
        <v>31.5</v>
      </c>
      <c r="W11" s="88">
        <f t="shared" si="2"/>
        <v>31.5</v>
      </c>
      <c r="X11" s="88">
        <f t="shared" si="2"/>
        <v>31.5</v>
      </c>
      <c r="Y11" s="88">
        <f t="shared" si="2"/>
        <v>31.5</v>
      </c>
      <c r="Z11" s="127">
        <f t="shared" si="2"/>
        <v>31.5</v>
      </c>
      <c r="AA11" s="126">
        <f>$Z$11*1.05</f>
        <v>33.075000000000003</v>
      </c>
      <c r="AB11" s="88">
        <f t="shared" ref="AB11:AL11" si="3">$Z$11*1.05</f>
        <v>33.075000000000003</v>
      </c>
      <c r="AC11" s="88">
        <f t="shared" si="3"/>
        <v>33.075000000000003</v>
      </c>
      <c r="AD11" s="88">
        <f t="shared" si="3"/>
        <v>33.075000000000003</v>
      </c>
      <c r="AE11" s="88">
        <f t="shared" si="3"/>
        <v>33.075000000000003</v>
      </c>
      <c r="AF11" s="88">
        <f t="shared" si="3"/>
        <v>33.075000000000003</v>
      </c>
      <c r="AG11" s="88">
        <f t="shared" si="3"/>
        <v>33.075000000000003</v>
      </c>
      <c r="AH11" s="88">
        <f t="shared" si="3"/>
        <v>33.075000000000003</v>
      </c>
      <c r="AI11" s="88">
        <f t="shared" si="3"/>
        <v>33.075000000000003</v>
      </c>
      <c r="AJ11" s="88">
        <f t="shared" si="3"/>
        <v>33.075000000000003</v>
      </c>
      <c r="AK11" s="88">
        <f t="shared" si="3"/>
        <v>33.075000000000003</v>
      </c>
      <c r="AL11" s="127">
        <f t="shared" si="3"/>
        <v>33.075000000000003</v>
      </c>
    </row>
    <row r="12" spans="1:38" ht="15.75" thickBot="1" x14ac:dyDescent="0.3">
      <c r="B12" s="44" t="s">
        <v>171</v>
      </c>
      <c r="C12" s="126">
        <v>18.87</v>
      </c>
      <c r="D12" s="88">
        <v>18.87</v>
      </c>
      <c r="E12" s="88">
        <v>18.87</v>
      </c>
      <c r="F12" s="88">
        <v>18.87</v>
      </c>
      <c r="G12" s="88">
        <v>18.87</v>
      </c>
      <c r="H12" s="88">
        <v>18.87</v>
      </c>
      <c r="I12" s="88">
        <v>18.87</v>
      </c>
      <c r="J12" s="88">
        <v>18.87</v>
      </c>
      <c r="K12" s="88">
        <v>18.87</v>
      </c>
      <c r="L12" s="88">
        <v>18.87</v>
      </c>
      <c r="M12" s="88">
        <v>18.87</v>
      </c>
      <c r="N12" s="127">
        <v>18.87</v>
      </c>
      <c r="O12" s="133">
        <f>18.87*1.05</f>
        <v>19.813500000000001</v>
      </c>
      <c r="P12" s="99">
        <f t="shared" ref="P12:Z12" si="4">18.87*1.05</f>
        <v>19.813500000000001</v>
      </c>
      <c r="Q12" s="99">
        <f t="shared" si="4"/>
        <v>19.813500000000001</v>
      </c>
      <c r="R12" s="99">
        <f t="shared" si="4"/>
        <v>19.813500000000001</v>
      </c>
      <c r="S12" s="99">
        <f t="shared" si="4"/>
        <v>19.813500000000001</v>
      </c>
      <c r="T12" s="99">
        <f t="shared" si="4"/>
        <v>19.813500000000001</v>
      </c>
      <c r="U12" s="99">
        <f t="shared" si="4"/>
        <v>19.813500000000001</v>
      </c>
      <c r="V12" s="99">
        <f t="shared" si="4"/>
        <v>19.813500000000001</v>
      </c>
      <c r="W12" s="99">
        <f t="shared" si="4"/>
        <v>19.813500000000001</v>
      </c>
      <c r="X12" s="99">
        <f t="shared" si="4"/>
        <v>19.813500000000001</v>
      </c>
      <c r="Y12" s="99">
        <f t="shared" si="4"/>
        <v>19.813500000000001</v>
      </c>
      <c r="Z12" s="134">
        <f t="shared" si="4"/>
        <v>19.813500000000001</v>
      </c>
      <c r="AA12" s="133">
        <f>$Z$12*1.05</f>
        <v>20.804175000000001</v>
      </c>
      <c r="AB12" s="99">
        <f t="shared" ref="AB12:AL12" si="5">$Z$12*1.05</f>
        <v>20.804175000000001</v>
      </c>
      <c r="AC12" s="99">
        <f t="shared" si="5"/>
        <v>20.804175000000001</v>
      </c>
      <c r="AD12" s="99">
        <f t="shared" si="5"/>
        <v>20.804175000000001</v>
      </c>
      <c r="AE12" s="99">
        <f t="shared" si="5"/>
        <v>20.804175000000001</v>
      </c>
      <c r="AF12" s="99">
        <f t="shared" si="5"/>
        <v>20.804175000000001</v>
      </c>
      <c r="AG12" s="99">
        <f t="shared" si="5"/>
        <v>20.804175000000001</v>
      </c>
      <c r="AH12" s="99">
        <f t="shared" si="5"/>
        <v>20.804175000000001</v>
      </c>
      <c r="AI12" s="99">
        <f t="shared" si="5"/>
        <v>20.804175000000001</v>
      </c>
      <c r="AJ12" s="99">
        <f t="shared" si="5"/>
        <v>20.804175000000001</v>
      </c>
      <c r="AK12" s="99">
        <f t="shared" si="5"/>
        <v>20.804175000000001</v>
      </c>
      <c r="AL12" s="134">
        <f t="shared" si="5"/>
        <v>20.804175000000001</v>
      </c>
    </row>
    <row r="13" spans="1:38" ht="15.75" thickTop="1" x14ac:dyDescent="0.25">
      <c r="B13" s="116" t="s">
        <v>172</v>
      </c>
      <c r="C13" s="128">
        <f t="shared" ref="C13:AL13" si="6">SUM(C10:C12)</f>
        <v>69.290000000000006</v>
      </c>
      <c r="D13" s="94">
        <f t="shared" si="6"/>
        <v>69.290000000000006</v>
      </c>
      <c r="E13" s="94">
        <f t="shared" si="6"/>
        <v>69.290000000000006</v>
      </c>
      <c r="F13" s="94">
        <f t="shared" si="6"/>
        <v>69.290000000000006</v>
      </c>
      <c r="G13" s="94">
        <f t="shared" si="6"/>
        <v>69.290000000000006</v>
      </c>
      <c r="H13" s="94">
        <f t="shared" si="6"/>
        <v>69.290000000000006</v>
      </c>
      <c r="I13" s="94">
        <f t="shared" si="6"/>
        <v>69.290000000000006</v>
      </c>
      <c r="J13" s="94">
        <f t="shared" si="6"/>
        <v>69.290000000000006</v>
      </c>
      <c r="K13" s="94">
        <f t="shared" si="6"/>
        <v>69.290000000000006</v>
      </c>
      <c r="L13" s="94">
        <f t="shared" si="6"/>
        <v>69.290000000000006</v>
      </c>
      <c r="M13" s="94">
        <f t="shared" si="6"/>
        <v>69.290000000000006</v>
      </c>
      <c r="N13" s="129">
        <f t="shared" si="6"/>
        <v>69.290000000000006</v>
      </c>
      <c r="O13" s="88">
        <f t="shared" si="6"/>
        <v>72.754500000000007</v>
      </c>
      <c r="P13" s="88">
        <f t="shared" si="6"/>
        <v>72.754500000000007</v>
      </c>
      <c r="Q13" s="88">
        <f t="shared" si="6"/>
        <v>72.754500000000007</v>
      </c>
      <c r="R13" s="88">
        <f t="shared" si="6"/>
        <v>72.754500000000007</v>
      </c>
      <c r="S13" s="88">
        <f t="shared" si="6"/>
        <v>72.754500000000007</v>
      </c>
      <c r="T13" s="88">
        <f t="shared" si="6"/>
        <v>72.754500000000007</v>
      </c>
      <c r="U13" s="88">
        <f t="shared" si="6"/>
        <v>72.754500000000007</v>
      </c>
      <c r="V13" s="88">
        <f t="shared" si="6"/>
        <v>72.754500000000007</v>
      </c>
      <c r="W13" s="88">
        <f t="shared" si="6"/>
        <v>72.754500000000007</v>
      </c>
      <c r="X13" s="88">
        <f t="shared" si="6"/>
        <v>72.754500000000007</v>
      </c>
      <c r="Y13" s="88">
        <f t="shared" si="6"/>
        <v>72.754500000000007</v>
      </c>
      <c r="Z13" s="127">
        <f t="shared" si="6"/>
        <v>72.754500000000007</v>
      </c>
      <c r="AA13" s="126">
        <f t="shared" si="6"/>
        <v>76.39222500000001</v>
      </c>
      <c r="AB13" s="88">
        <f t="shared" si="6"/>
        <v>76.39222500000001</v>
      </c>
      <c r="AC13" s="88">
        <f t="shared" si="6"/>
        <v>76.39222500000001</v>
      </c>
      <c r="AD13" s="88">
        <f t="shared" si="6"/>
        <v>76.39222500000001</v>
      </c>
      <c r="AE13" s="88">
        <f t="shared" si="6"/>
        <v>76.39222500000001</v>
      </c>
      <c r="AF13" s="88">
        <f t="shared" si="6"/>
        <v>76.39222500000001</v>
      </c>
      <c r="AG13" s="88">
        <f t="shared" si="6"/>
        <v>76.39222500000001</v>
      </c>
      <c r="AH13" s="88">
        <f t="shared" si="6"/>
        <v>76.39222500000001</v>
      </c>
      <c r="AI13" s="88">
        <f t="shared" si="6"/>
        <v>76.39222500000001</v>
      </c>
      <c r="AJ13" s="88">
        <f t="shared" si="6"/>
        <v>76.39222500000001</v>
      </c>
      <c r="AK13" s="88">
        <f t="shared" si="6"/>
        <v>76.39222500000001</v>
      </c>
      <c r="AL13" s="127">
        <f t="shared" si="6"/>
        <v>76.39222500000001</v>
      </c>
    </row>
    <row r="14" spans="1:38" x14ac:dyDescent="0.25">
      <c r="B14" s="117"/>
      <c r="C14" s="126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127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127"/>
      <c r="AA14" s="126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127"/>
    </row>
    <row r="15" spans="1:38" x14ac:dyDescent="0.25">
      <c r="B15" s="44" t="s">
        <v>173</v>
      </c>
      <c r="C15" s="126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127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127">
        <v>0</v>
      </c>
      <c r="AA15" s="126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</v>
      </c>
      <c r="AK15" s="88">
        <v>0</v>
      </c>
      <c r="AL15" s="127">
        <v>0</v>
      </c>
    </row>
    <row r="16" spans="1:38" x14ac:dyDescent="0.25">
      <c r="B16" s="44" t="s">
        <v>174</v>
      </c>
      <c r="C16" s="126">
        <f t="shared" ref="C16:N16" si="7">(3*2)/12</f>
        <v>0.5</v>
      </c>
      <c r="D16" s="88">
        <f t="shared" si="7"/>
        <v>0.5</v>
      </c>
      <c r="E16" s="88">
        <f t="shared" si="7"/>
        <v>0.5</v>
      </c>
      <c r="F16" s="88">
        <f t="shared" si="7"/>
        <v>0.5</v>
      </c>
      <c r="G16" s="88">
        <f t="shared" si="7"/>
        <v>0.5</v>
      </c>
      <c r="H16" s="88">
        <f t="shared" si="7"/>
        <v>0.5</v>
      </c>
      <c r="I16" s="88">
        <f t="shared" si="7"/>
        <v>0.5</v>
      </c>
      <c r="J16" s="88">
        <f t="shared" si="7"/>
        <v>0.5</v>
      </c>
      <c r="K16" s="88">
        <f t="shared" si="7"/>
        <v>0.5</v>
      </c>
      <c r="L16" s="88">
        <f t="shared" si="7"/>
        <v>0.5</v>
      </c>
      <c r="M16" s="88">
        <f t="shared" si="7"/>
        <v>0.5</v>
      </c>
      <c r="N16" s="127">
        <f t="shared" si="7"/>
        <v>0.5</v>
      </c>
      <c r="O16" s="88">
        <f t="shared" ref="O16:AL16" si="8">(19*2)/12</f>
        <v>3.1666666666666665</v>
      </c>
      <c r="P16" s="88">
        <f t="shared" si="8"/>
        <v>3.1666666666666665</v>
      </c>
      <c r="Q16" s="88">
        <f t="shared" si="8"/>
        <v>3.1666666666666665</v>
      </c>
      <c r="R16" s="88">
        <f t="shared" si="8"/>
        <v>3.1666666666666665</v>
      </c>
      <c r="S16" s="88">
        <f t="shared" si="8"/>
        <v>3.1666666666666665</v>
      </c>
      <c r="T16" s="88">
        <f t="shared" si="8"/>
        <v>3.1666666666666665</v>
      </c>
      <c r="U16" s="88">
        <f t="shared" si="8"/>
        <v>3.1666666666666665</v>
      </c>
      <c r="V16" s="88">
        <f t="shared" si="8"/>
        <v>3.1666666666666665</v>
      </c>
      <c r="W16" s="88">
        <f t="shared" si="8"/>
        <v>3.1666666666666665</v>
      </c>
      <c r="X16" s="88">
        <f t="shared" si="8"/>
        <v>3.1666666666666665</v>
      </c>
      <c r="Y16" s="88">
        <f t="shared" si="8"/>
        <v>3.1666666666666665</v>
      </c>
      <c r="Z16" s="127">
        <f t="shared" si="8"/>
        <v>3.1666666666666665</v>
      </c>
      <c r="AA16" s="126">
        <f t="shared" si="8"/>
        <v>3.1666666666666665</v>
      </c>
      <c r="AB16" s="88">
        <f t="shared" si="8"/>
        <v>3.1666666666666665</v>
      </c>
      <c r="AC16" s="88">
        <f t="shared" si="8"/>
        <v>3.1666666666666665</v>
      </c>
      <c r="AD16" s="88">
        <f t="shared" si="8"/>
        <v>3.1666666666666665</v>
      </c>
      <c r="AE16" s="88">
        <f t="shared" si="8"/>
        <v>3.1666666666666665</v>
      </c>
      <c r="AF16" s="88">
        <f t="shared" si="8"/>
        <v>3.1666666666666665</v>
      </c>
      <c r="AG16" s="88">
        <f t="shared" si="8"/>
        <v>3.1666666666666665</v>
      </c>
      <c r="AH16" s="88">
        <f t="shared" si="8"/>
        <v>3.1666666666666665</v>
      </c>
      <c r="AI16" s="88">
        <f t="shared" si="8"/>
        <v>3.1666666666666665</v>
      </c>
      <c r="AJ16" s="88">
        <f t="shared" si="8"/>
        <v>3.1666666666666665</v>
      </c>
      <c r="AK16" s="88">
        <f t="shared" si="8"/>
        <v>3.1666666666666665</v>
      </c>
      <c r="AL16" s="127">
        <f t="shared" si="8"/>
        <v>3.1666666666666665</v>
      </c>
    </row>
    <row r="17" spans="2:38 16384:16384" x14ac:dyDescent="0.25">
      <c r="B17" s="44" t="s">
        <v>175</v>
      </c>
      <c r="C17" s="123"/>
      <c r="N17" s="125"/>
      <c r="Z17" s="125"/>
      <c r="AA17" s="123"/>
      <c r="AL17" s="125"/>
    </row>
    <row r="18" spans="2:38 16384:16384" x14ac:dyDescent="0.25">
      <c r="B18" s="44" t="s">
        <v>176</v>
      </c>
      <c r="C18" s="126">
        <v>60</v>
      </c>
      <c r="N18" s="125"/>
      <c r="Z18" s="125"/>
      <c r="AA18" s="123"/>
      <c r="AL18" s="125"/>
    </row>
    <row r="19" spans="2:38 16384:16384" x14ac:dyDescent="0.25">
      <c r="B19" s="44" t="s">
        <v>177</v>
      </c>
      <c r="C19" s="126">
        <f t="shared" ref="C19:AL19" si="9">5*5.6</f>
        <v>28</v>
      </c>
      <c r="D19" s="88">
        <f t="shared" si="9"/>
        <v>28</v>
      </c>
      <c r="E19" s="88">
        <f t="shared" si="9"/>
        <v>28</v>
      </c>
      <c r="F19" s="88">
        <f t="shared" si="9"/>
        <v>28</v>
      </c>
      <c r="G19" s="88">
        <f t="shared" si="9"/>
        <v>28</v>
      </c>
      <c r="H19" s="88">
        <f t="shared" si="9"/>
        <v>28</v>
      </c>
      <c r="I19" s="88">
        <f t="shared" si="9"/>
        <v>28</v>
      </c>
      <c r="J19" s="88">
        <f t="shared" si="9"/>
        <v>28</v>
      </c>
      <c r="K19" s="88">
        <f t="shared" si="9"/>
        <v>28</v>
      </c>
      <c r="L19" s="88">
        <f t="shared" si="9"/>
        <v>28</v>
      </c>
      <c r="M19" s="88">
        <f t="shared" si="9"/>
        <v>28</v>
      </c>
      <c r="N19" s="127">
        <f t="shared" si="9"/>
        <v>28</v>
      </c>
      <c r="O19" s="88">
        <f t="shared" si="9"/>
        <v>28</v>
      </c>
      <c r="P19" s="88">
        <f t="shared" si="9"/>
        <v>28</v>
      </c>
      <c r="Q19" s="88">
        <f t="shared" si="9"/>
        <v>28</v>
      </c>
      <c r="R19" s="88">
        <f t="shared" si="9"/>
        <v>28</v>
      </c>
      <c r="S19" s="88">
        <f t="shared" si="9"/>
        <v>28</v>
      </c>
      <c r="T19" s="88">
        <f t="shared" si="9"/>
        <v>28</v>
      </c>
      <c r="U19" s="88">
        <f t="shared" si="9"/>
        <v>28</v>
      </c>
      <c r="V19" s="88">
        <f t="shared" si="9"/>
        <v>28</v>
      </c>
      <c r="W19" s="88">
        <f t="shared" si="9"/>
        <v>28</v>
      </c>
      <c r="X19" s="88">
        <f t="shared" si="9"/>
        <v>28</v>
      </c>
      <c r="Y19" s="88">
        <f t="shared" si="9"/>
        <v>28</v>
      </c>
      <c r="Z19" s="127">
        <f t="shared" si="9"/>
        <v>28</v>
      </c>
      <c r="AA19" s="126">
        <f t="shared" si="9"/>
        <v>28</v>
      </c>
      <c r="AB19" s="88">
        <f t="shared" si="9"/>
        <v>28</v>
      </c>
      <c r="AC19" s="88">
        <f t="shared" si="9"/>
        <v>28</v>
      </c>
      <c r="AD19" s="88">
        <f t="shared" si="9"/>
        <v>28</v>
      </c>
      <c r="AE19" s="88">
        <f t="shared" si="9"/>
        <v>28</v>
      </c>
      <c r="AF19" s="88">
        <f t="shared" si="9"/>
        <v>28</v>
      </c>
      <c r="AG19" s="88">
        <f t="shared" si="9"/>
        <v>28</v>
      </c>
      <c r="AH19" s="88">
        <f t="shared" si="9"/>
        <v>28</v>
      </c>
      <c r="AI19" s="88">
        <f t="shared" si="9"/>
        <v>28</v>
      </c>
      <c r="AJ19" s="88">
        <f t="shared" si="9"/>
        <v>28</v>
      </c>
      <c r="AK19" s="88">
        <f t="shared" si="9"/>
        <v>28</v>
      </c>
      <c r="AL19" s="127">
        <f t="shared" si="9"/>
        <v>28</v>
      </c>
    </row>
    <row r="20" spans="2:38 16384:16384" x14ac:dyDescent="0.25">
      <c r="B20" s="44" t="s">
        <v>178</v>
      </c>
      <c r="C20" s="126">
        <f>Angebotsentwicklung!I15*0.15</f>
        <v>1.5</v>
      </c>
      <c r="D20" s="88">
        <f>Angebotsentwicklung!J15*0.15</f>
        <v>3.0783565963636357</v>
      </c>
      <c r="E20" s="88">
        <f>Angebotsentwicklung!K15*0.15</f>
        <v>4.6567131927272714</v>
      </c>
      <c r="F20" s="88">
        <f>Angebotsentwicklung!L15*0.15</f>
        <v>6.2350697890909075</v>
      </c>
      <c r="G20" s="88">
        <f>Angebotsentwicklung!M15*0.15</f>
        <v>7.8134263854545436</v>
      </c>
      <c r="H20" s="88">
        <f>Angebotsentwicklung!N15*0.15</f>
        <v>9.3917829818181797</v>
      </c>
      <c r="I20" s="88">
        <f>Angebotsentwicklung!O15*0.15</f>
        <v>10.970139578181815</v>
      </c>
      <c r="J20" s="88">
        <f>Angebotsentwicklung!P15*0.15</f>
        <v>12.548496174545452</v>
      </c>
      <c r="K20" s="88">
        <f>Angebotsentwicklung!Q15*0.15</f>
        <v>14.126852770909089</v>
      </c>
      <c r="L20" s="88">
        <f>Angebotsentwicklung!R15*0.15</f>
        <v>15.705209367272726</v>
      </c>
      <c r="M20" s="88">
        <f>Angebotsentwicklung!S15*0.15</f>
        <v>17.283565963636363</v>
      </c>
      <c r="N20" s="127">
        <f>Angebotsentwicklung!T15*0.15</f>
        <v>18.86192256</v>
      </c>
      <c r="O20" s="88">
        <f>Angebotsentwicklung!I16*0.15</f>
        <v>20.440279156363633</v>
      </c>
      <c r="P20" s="88">
        <f>Angebotsentwicklung!J16*0.15</f>
        <v>22.277116371570248</v>
      </c>
      <c r="Q20" s="88">
        <f>Angebotsentwicklung!K16*0.15</f>
        <v>24.113953586776859</v>
      </c>
      <c r="R20" s="88">
        <f>Angebotsentwicklung!L16*0.15</f>
        <v>25.950790801983469</v>
      </c>
      <c r="S20" s="88">
        <f>Angebotsentwicklung!M16*0.15</f>
        <v>27.78762801719008</v>
      </c>
      <c r="T20" s="88">
        <f>Angebotsentwicklung!N16*0.15</f>
        <v>29.624465232396691</v>
      </c>
      <c r="U20" s="88">
        <f>Angebotsentwicklung!O16*0.15</f>
        <v>31.461302447603302</v>
      </c>
      <c r="V20" s="88">
        <f>Angebotsentwicklung!P16*0.15</f>
        <v>33.298139662809916</v>
      </c>
      <c r="W20" s="88">
        <f>Angebotsentwicklung!Q16*0.15</f>
        <v>35.134976878016523</v>
      </c>
      <c r="X20" s="88">
        <f>Angebotsentwicklung!R16*0.15</f>
        <v>36.971814093223138</v>
      </c>
      <c r="Y20" s="88">
        <f>Angebotsentwicklung!S16*0.15</f>
        <v>38.808651308429752</v>
      </c>
      <c r="Z20" s="127">
        <f>Angebotsentwicklung!T16*0.15</f>
        <v>40.645488523636359</v>
      </c>
      <c r="AA20" s="126">
        <f>Angebotsentwicklung!I17*0.15</f>
        <v>42.482325738842974</v>
      </c>
      <c r="AB20" s="88">
        <f>Angebotsentwicklung!J17*0.15</f>
        <v>44.013685859053339</v>
      </c>
      <c r="AC20" s="88">
        <f>Angebotsentwicklung!K17*0.15</f>
        <v>45.545045979263712</v>
      </c>
      <c r="AD20" s="88">
        <f>Angebotsentwicklung!L17*0.15</f>
        <v>47.076406099474077</v>
      </c>
      <c r="AE20" s="88">
        <f>Angebotsentwicklung!M17*0.15</f>
        <v>48.607766219684443</v>
      </c>
      <c r="AF20" s="88">
        <f>Angebotsentwicklung!N17*0.15</f>
        <v>50.139126339894815</v>
      </c>
      <c r="AG20" s="88">
        <f>Angebotsentwicklung!O17*0.15</f>
        <v>51.670486460105181</v>
      </c>
      <c r="AH20" s="88">
        <f>Angebotsentwicklung!P17*0.15</f>
        <v>53.201846580315554</v>
      </c>
      <c r="AI20" s="88">
        <f>Angebotsentwicklung!Q17*0.15</f>
        <v>54.733206700525919</v>
      </c>
      <c r="AJ20" s="88">
        <f>Angebotsentwicklung!R17*0.15</f>
        <v>56.264566820736285</v>
      </c>
      <c r="AK20" s="88">
        <f>Angebotsentwicklung!S17*0.15</f>
        <v>57.795926940946657</v>
      </c>
      <c r="AL20" s="127">
        <f>Angebotsentwicklung!T17*0.15</f>
        <v>59.327287061157023</v>
      </c>
    </row>
    <row r="21" spans="2:38 16384:16384" ht="15.75" thickBot="1" x14ac:dyDescent="0.3">
      <c r="B21" s="44" t="s">
        <v>236</v>
      </c>
      <c r="C21" s="126">
        <v>50</v>
      </c>
      <c r="D21" s="88">
        <v>50</v>
      </c>
      <c r="E21" s="88">
        <v>50</v>
      </c>
      <c r="F21" s="88">
        <v>50</v>
      </c>
      <c r="G21" s="88">
        <v>50</v>
      </c>
      <c r="H21" s="88">
        <v>50</v>
      </c>
      <c r="I21" s="88">
        <v>50</v>
      </c>
      <c r="J21" s="88">
        <v>50</v>
      </c>
      <c r="K21" s="88">
        <v>50</v>
      </c>
      <c r="L21" s="88">
        <v>50</v>
      </c>
      <c r="M21" s="88">
        <v>50</v>
      </c>
      <c r="N21" s="127">
        <v>50</v>
      </c>
      <c r="O21" s="99">
        <v>100</v>
      </c>
      <c r="P21" s="99">
        <v>100</v>
      </c>
      <c r="Q21" s="99">
        <v>100</v>
      </c>
      <c r="R21" s="99">
        <v>100</v>
      </c>
      <c r="S21" s="99">
        <v>100</v>
      </c>
      <c r="T21" s="99">
        <v>100</v>
      </c>
      <c r="U21" s="99">
        <v>100</v>
      </c>
      <c r="V21" s="99">
        <v>100</v>
      </c>
      <c r="W21" s="99">
        <v>100</v>
      </c>
      <c r="X21" s="99">
        <v>100</v>
      </c>
      <c r="Y21" s="99">
        <v>100</v>
      </c>
      <c r="Z21" s="134">
        <v>100</v>
      </c>
      <c r="AA21" s="133">
        <v>200</v>
      </c>
      <c r="AB21" s="99">
        <v>200</v>
      </c>
      <c r="AC21" s="99">
        <v>200</v>
      </c>
      <c r="AD21" s="99">
        <v>200</v>
      </c>
      <c r="AE21" s="99">
        <v>200</v>
      </c>
      <c r="AF21" s="99">
        <v>200</v>
      </c>
      <c r="AG21" s="99">
        <v>200</v>
      </c>
      <c r="AH21" s="99">
        <v>200</v>
      </c>
      <c r="AI21" s="99">
        <v>200</v>
      </c>
      <c r="AJ21" s="99">
        <v>200</v>
      </c>
      <c r="AK21" s="99">
        <v>200</v>
      </c>
      <c r="AL21" s="134">
        <v>200</v>
      </c>
    </row>
    <row r="22" spans="2:38 16384:16384" ht="15.75" thickTop="1" x14ac:dyDescent="0.25">
      <c r="B22" s="116" t="s">
        <v>179</v>
      </c>
      <c r="C22" s="128">
        <f>SUM(C15:C21)</f>
        <v>140</v>
      </c>
      <c r="D22" s="94">
        <f t="shared" ref="D22:AL22" si="10">SUM(D15:D21)</f>
        <v>81.578356596363633</v>
      </c>
      <c r="E22" s="94">
        <f t="shared" si="10"/>
        <v>83.156713192727267</v>
      </c>
      <c r="F22" s="94">
        <f t="shared" si="10"/>
        <v>84.735069789090915</v>
      </c>
      <c r="G22" s="94">
        <f t="shared" si="10"/>
        <v>86.313426385454534</v>
      </c>
      <c r="H22" s="94">
        <f t="shared" si="10"/>
        <v>87.891782981818181</v>
      </c>
      <c r="I22" s="94">
        <f t="shared" si="10"/>
        <v>89.470139578181815</v>
      </c>
      <c r="J22" s="94">
        <f t="shared" si="10"/>
        <v>91.048496174545448</v>
      </c>
      <c r="K22" s="94">
        <f t="shared" si="10"/>
        <v>92.626852770909096</v>
      </c>
      <c r="L22" s="94">
        <f t="shared" si="10"/>
        <v>94.20520936727273</v>
      </c>
      <c r="M22" s="94">
        <f t="shared" si="10"/>
        <v>95.783565963636363</v>
      </c>
      <c r="N22" s="129">
        <f>SUM(N15:N21)</f>
        <v>97.361922559999996</v>
      </c>
      <c r="O22" s="94">
        <f t="shared" si="10"/>
        <v>151.60694582303029</v>
      </c>
      <c r="P22" s="94">
        <f t="shared" si="10"/>
        <v>153.44378303823692</v>
      </c>
      <c r="Q22" s="94">
        <f t="shared" si="10"/>
        <v>155.28062025344354</v>
      </c>
      <c r="R22" s="94">
        <f t="shared" si="10"/>
        <v>157.11745746865014</v>
      </c>
      <c r="S22" s="94">
        <f t="shared" si="10"/>
        <v>158.95429468385674</v>
      </c>
      <c r="T22" s="94">
        <f t="shared" si="10"/>
        <v>160.79113189906337</v>
      </c>
      <c r="U22" s="94">
        <f t="shared" si="10"/>
        <v>162.62796911426997</v>
      </c>
      <c r="V22" s="94">
        <f t="shared" si="10"/>
        <v>164.46480632947657</v>
      </c>
      <c r="W22" s="94">
        <f t="shared" si="10"/>
        <v>166.3016435446832</v>
      </c>
      <c r="X22" s="94">
        <f t="shared" si="10"/>
        <v>168.1384807598898</v>
      </c>
      <c r="Y22" s="94">
        <f t="shared" si="10"/>
        <v>169.9753179750964</v>
      </c>
      <c r="Z22" s="129">
        <f t="shared" si="10"/>
        <v>171.81215519030303</v>
      </c>
      <c r="AA22" s="128">
        <f t="shared" si="10"/>
        <v>273.64899240550966</v>
      </c>
      <c r="AB22" s="94">
        <f t="shared" si="10"/>
        <v>275.18035252572002</v>
      </c>
      <c r="AC22" s="94">
        <f t="shared" si="10"/>
        <v>276.71171264593039</v>
      </c>
      <c r="AD22" s="94">
        <f t="shared" si="10"/>
        <v>278.24307276614076</v>
      </c>
      <c r="AE22" s="94">
        <f t="shared" si="10"/>
        <v>279.77443288635112</v>
      </c>
      <c r="AF22" s="94">
        <f t="shared" si="10"/>
        <v>281.30579300656149</v>
      </c>
      <c r="AG22" s="94">
        <f t="shared" si="10"/>
        <v>282.83715312677185</v>
      </c>
      <c r="AH22" s="94">
        <f t="shared" si="10"/>
        <v>284.36851324698222</v>
      </c>
      <c r="AI22" s="94">
        <f t="shared" si="10"/>
        <v>285.89987336719258</v>
      </c>
      <c r="AJ22" s="94">
        <f t="shared" si="10"/>
        <v>287.43123348740295</v>
      </c>
      <c r="AK22" s="94">
        <f t="shared" si="10"/>
        <v>288.96259360761331</v>
      </c>
      <c r="AL22" s="129">
        <f t="shared" si="10"/>
        <v>290.49395372782368</v>
      </c>
    </row>
    <row r="23" spans="2:38 16384:16384" x14ac:dyDescent="0.25">
      <c r="B23" s="117"/>
      <c r="C23" s="126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127"/>
      <c r="Z23" s="125"/>
      <c r="AA23" s="123"/>
      <c r="AL23" s="125"/>
    </row>
    <row r="24" spans="2:38 16384:16384" x14ac:dyDescent="0.25">
      <c r="B24" s="44" t="s">
        <v>251</v>
      </c>
      <c r="C24" s="126">
        <f>1500*2</f>
        <v>3000</v>
      </c>
      <c r="D24" s="88">
        <f>1500*2</f>
        <v>3000</v>
      </c>
      <c r="E24" s="88">
        <f t="shared" ref="E24:M24" si="11">1500*2</f>
        <v>3000</v>
      </c>
      <c r="F24" s="88">
        <f t="shared" si="11"/>
        <v>3000</v>
      </c>
      <c r="G24" s="88">
        <f t="shared" si="11"/>
        <v>3000</v>
      </c>
      <c r="H24" s="88">
        <f t="shared" si="11"/>
        <v>3000</v>
      </c>
      <c r="I24" s="88">
        <f t="shared" si="11"/>
        <v>3000</v>
      </c>
      <c r="J24" s="88">
        <f t="shared" si="11"/>
        <v>3000</v>
      </c>
      <c r="K24" s="88">
        <f t="shared" si="11"/>
        <v>3000</v>
      </c>
      <c r="L24" s="88">
        <f t="shared" si="11"/>
        <v>3000</v>
      </c>
      <c r="M24" s="88">
        <f t="shared" si="11"/>
        <v>3000</v>
      </c>
      <c r="N24" s="127">
        <f>1500*2</f>
        <v>3000</v>
      </c>
      <c r="O24" s="150">
        <f>1650*2</f>
        <v>3300</v>
      </c>
      <c r="P24" s="150">
        <f>1650*2</f>
        <v>3300</v>
      </c>
      <c r="Q24" s="150">
        <f t="shared" ref="Q24:Y24" si="12">1650*2</f>
        <v>3300</v>
      </c>
      <c r="R24" s="150">
        <f t="shared" si="12"/>
        <v>3300</v>
      </c>
      <c r="S24" s="150">
        <f t="shared" si="12"/>
        <v>3300</v>
      </c>
      <c r="T24" s="150">
        <f t="shared" si="12"/>
        <v>3300</v>
      </c>
      <c r="U24" s="150">
        <f t="shared" si="12"/>
        <v>3300</v>
      </c>
      <c r="V24" s="150">
        <f t="shared" si="12"/>
        <v>3300</v>
      </c>
      <c r="W24" s="150">
        <f t="shared" si="12"/>
        <v>3300</v>
      </c>
      <c r="X24" s="150">
        <f t="shared" si="12"/>
        <v>3300</v>
      </c>
      <c r="Y24" s="150">
        <f t="shared" si="12"/>
        <v>3300</v>
      </c>
      <c r="Z24" s="127">
        <f>1650*2</f>
        <v>3300</v>
      </c>
      <c r="AA24" s="126">
        <f>1800*2</f>
        <v>3600</v>
      </c>
      <c r="AB24" s="150">
        <f>1800*2</f>
        <v>3600</v>
      </c>
      <c r="AC24" s="150">
        <f t="shared" ref="AC24:AK24" si="13">1800*2</f>
        <v>3600</v>
      </c>
      <c r="AD24" s="150">
        <f t="shared" si="13"/>
        <v>3600</v>
      </c>
      <c r="AE24" s="150">
        <f t="shared" si="13"/>
        <v>3600</v>
      </c>
      <c r="AF24" s="150">
        <f t="shared" si="13"/>
        <v>3600</v>
      </c>
      <c r="AG24" s="150">
        <f t="shared" si="13"/>
        <v>3600</v>
      </c>
      <c r="AH24" s="150">
        <f t="shared" si="13"/>
        <v>3600</v>
      </c>
      <c r="AI24" s="150">
        <f t="shared" si="13"/>
        <v>3600</v>
      </c>
      <c r="AJ24" s="150">
        <f t="shared" si="13"/>
        <v>3600</v>
      </c>
      <c r="AK24" s="150">
        <f t="shared" si="13"/>
        <v>3600</v>
      </c>
      <c r="AL24" s="127">
        <f>1800*2</f>
        <v>3600</v>
      </c>
    </row>
    <row r="25" spans="2:38 16384:16384" ht="15.75" thickBot="1" x14ac:dyDescent="0.3">
      <c r="B25" s="44" t="s">
        <v>252</v>
      </c>
      <c r="C25" s="133">
        <f t="shared" ref="C25:N25" si="14">1500/2</f>
        <v>750</v>
      </c>
      <c r="D25" s="99">
        <f t="shared" si="14"/>
        <v>750</v>
      </c>
      <c r="E25" s="99">
        <f t="shared" si="14"/>
        <v>750</v>
      </c>
      <c r="F25" s="99">
        <f t="shared" si="14"/>
        <v>750</v>
      </c>
      <c r="G25" s="99">
        <f t="shared" si="14"/>
        <v>750</v>
      </c>
      <c r="H25" s="99">
        <f t="shared" si="14"/>
        <v>750</v>
      </c>
      <c r="I25" s="99">
        <f t="shared" si="14"/>
        <v>750</v>
      </c>
      <c r="J25" s="99">
        <f t="shared" si="14"/>
        <v>750</v>
      </c>
      <c r="K25" s="99">
        <f t="shared" si="14"/>
        <v>750</v>
      </c>
      <c r="L25" s="99">
        <f t="shared" si="14"/>
        <v>750</v>
      </c>
      <c r="M25" s="99">
        <f t="shared" si="14"/>
        <v>750</v>
      </c>
      <c r="N25" s="127">
        <f t="shared" si="14"/>
        <v>750</v>
      </c>
      <c r="O25" s="99">
        <f>1650/2</f>
        <v>825</v>
      </c>
      <c r="P25" s="99">
        <f>1650/2</f>
        <v>825</v>
      </c>
      <c r="Q25" s="99">
        <f t="shared" ref="Q25:Y25" si="15">1650/2</f>
        <v>825</v>
      </c>
      <c r="R25" s="99">
        <f t="shared" si="15"/>
        <v>825</v>
      </c>
      <c r="S25" s="99">
        <f t="shared" si="15"/>
        <v>825</v>
      </c>
      <c r="T25" s="99">
        <f t="shared" si="15"/>
        <v>825</v>
      </c>
      <c r="U25" s="99">
        <f t="shared" si="15"/>
        <v>825</v>
      </c>
      <c r="V25" s="99">
        <f t="shared" si="15"/>
        <v>825</v>
      </c>
      <c r="W25" s="99">
        <f t="shared" si="15"/>
        <v>825</v>
      </c>
      <c r="X25" s="99">
        <f t="shared" si="15"/>
        <v>825</v>
      </c>
      <c r="Y25" s="99">
        <f t="shared" si="15"/>
        <v>825</v>
      </c>
      <c r="Z25" s="134">
        <f>1650/2</f>
        <v>825</v>
      </c>
      <c r="AA25" s="133">
        <f>1800/2</f>
        <v>900</v>
      </c>
      <c r="AB25" s="99">
        <f>1800/2</f>
        <v>900</v>
      </c>
      <c r="AC25" s="99">
        <f t="shared" ref="AC25:AK25" si="16">1800/2</f>
        <v>900</v>
      </c>
      <c r="AD25" s="99">
        <f t="shared" si="16"/>
        <v>900</v>
      </c>
      <c r="AE25" s="99">
        <f t="shared" si="16"/>
        <v>900</v>
      </c>
      <c r="AF25" s="99">
        <f t="shared" si="16"/>
        <v>900</v>
      </c>
      <c r="AG25" s="99">
        <f t="shared" si="16"/>
        <v>900</v>
      </c>
      <c r="AH25" s="99">
        <f t="shared" si="16"/>
        <v>900</v>
      </c>
      <c r="AI25" s="99">
        <f t="shared" si="16"/>
        <v>900</v>
      </c>
      <c r="AJ25" s="99">
        <f t="shared" si="16"/>
        <v>900</v>
      </c>
      <c r="AK25" s="99">
        <f t="shared" si="16"/>
        <v>900</v>
      </c>
      <c r="AL25" s="134">
        <f>1800/2</f>
        <v>900</v>
      </c>
      <c r="XFD25">
        <f>1500/2</f>
        <v>750</v>
      </c>
    </row>
    <row r="26" spans="2:38 16384:16384" ht="15.75" thickTop="1" x14ac:dyDescent="0.25">
      <c r="B26" s="116" t="s">
        <v>250</v>
      </c>
      <c r="C26" s="126">
        <f>C24+C25</f>
        <v>3750</v>
      </c>
      <c r="D26" s="88">
        <f t="shared" ref="D26:N26" si="17">D24+D25</f>
        <v>3750</v>
      </c>
      <c r="E26" s="88">
        <f t="shared" si="17"/>
        <v>3750</v>
      </c>
      <c r="F26" s="88">
        <f t="shared" si="17"/>
        <v>3750</v>
      </c>
      <c r="G26" s="88">
        <f t="shared" si="17"/>
        <v>3750</v>
      </c>
      <c r="H26" s="88">
        <f t="shared" si="17"/>
        <v>3750</v>
      </c>
      <c r="I26" s="88">
        <f t="shared" si="17"/>
        <v>3750</v>
      </c>
      <c r="J26" s="88">
        <f t="shared" si="17"/>
        <v>3750</v>
      </c>
      <c r="K26" s="88">
        <f t="shared" si="17"/>
        <v>3750</v>
      </c>
      <c r="L26" s="88">
        <f t="shared" si="17"/>
        <v>3750</v>
      </c>
      <c r="M26" s="88">
        <f t="shared" si="17"/>
        <v>3750</v>
      </c>
      <c r="N26" s="129">
        <f t="shared" si="17"/>
        <v>3750</v>
      </c>
      <c r="O26" s="94">
        <f>SUM(O24:O25)</f>
        <v>4125</v>
      </c>
      <c r="P26" s="94">
        <f>SUM(P24:P25)</f>
        <v>4125</v>
      </c>
      <c r="Q26" s="94">
        <f t="shared" ref="Q26:Y26" si="18">SUM(Q24:Q25)</f>
        <v>4125</v>
      </c>
      <c r="R26" s="94">
        <f t="shared" si="18"/>
        <v>4125</v>
      </c>
      <c r="S26" s="94">
        <f t="shared" si="18"/>
        <v>4125</v>
      </c>
      <c r="T26" s="94">
        <f t="shared" si="18"/>
        <v>4125</v>
      </c>
      <c r="U26" s="94">
        <f t="shared" si="18"/>
        <v>4125</v>
      </c>
      <c r="V26" s="94">
        <f t="shared" si="18"/>
        <v>4125</v>
      </c>
      <c r="W26" s="94">
        <f t="shared" si="18"/>
        <v>4125</v>
      </c>
      <c r="X26" s="94">
        <f t="shared" si="18"/>
        <v>4125</v>
      </c>
      <c r="Y26" s="94">
        <f t="shared" si="18"/>
        <v>4125</v>
      </c>
      <c r="Z26" s="129">
        <f>SUM(Z24:Z25)</f>
        <v>4125</v>
      </c>
      <c r="AA26" s="128">
        <f>SUM(AA24:AA25)</f>
        <v>4500</v>
      </c>
      <c r="AB26" s="94">
        <f>SUM(AB24:AB25)</f>
        <v>4500</v>
      </c>
      <c r="AC26" s="94">
        <f t="shared" ref="AC26:AK26" si="19">SUM(AC24:AC25)</f>
        <v>4500</v>
      </c>
      <c r="AD26" s="94">
        <f t="shared" si="19"/>
        <v>4500</v>
      </c>
      <c r="AE26" s="94">
        <f t="shared" si="19"/>
        <v>4500</v>
      </c>
      <c r="AF26" s="94">
        <f t="shared" si="19"/>
        <v>4500</v>
      </c>
      <c r="AG26" s="94">
        <f t="shared" si="19"/>
        <v>4500</v>
      </c>
      <c r="AH26" s="94">
        <f t="shared" si="19"/>
        <v>4500</v>
      </c>
      <c r="AI26" s="94">
        <f t="shared" si="19"/>
        <v>4500</v>
      </c>
      <c r="AJ26" s="94">
        <f t="shared" si="19"/>
        <v>4500</v>
      </c>
      <c r="AK26" s="94">
        <f t="shared" si="19"/>
        <v>4500</v>
      </c>
      <c r="AL26" s="129">
        <f>SUM(AL24:AL25)</f>
        <v>4500</v>
      </c>
    </row>
    <row r="27" spans="2:38 16384:16384" x14ac:dyDescent="0.25">
      <c r="B27" s="117"/>
      <c r="C27" s="123"/>
      <c r="N27" s="125"/>
      <c r="Z27" s="125"/>
      <c r="AA27" s="123"/>
      <c r="AL27" s="125"/>
    </row>
    <row r="28" spans="2:38 16384:16384" x14ac:dyDescent="0.25">
      <c r="B28" s="115" t="s">
        <v>180</v>
      </c>
      <c r="C28" s="126">
        <f>SUM(Marketingplan!B37:B41)</f>
        <v>3350</v>
      </c>
      <c r="D28" s="88">
        <f>SUM(Marketingplan!C37:C41)</f>
        <v>1850</v>
      </c>
      <c r="E28" s="88">
        <f>SUM(Marketingplan!D37:D41)</f>
        <v>1100</v>
      </c>
      <c r="F28" s="88">
        <f>SUM(Marketingplan!E37:E41)</f>
        <v>1100</v>
      </c>
      <c r="G28" s="88">
        <f>SUM(Marketingplan!F37:F41)</f>
        <v>1100</v>
      </c>
      <c r="H28" s="88">
        <f>SUM(Marketingplan!G37:G41)</f>
        <v>1100</v>
      </c>
      <c r="I28" s="88">
        <f>SUM(Marketingplan!H37:H41)</f>
        <v>1100</v>
      </c>
      <c r="J28" s="88">
        <f>SUM(Marketingplan!I37:I41)</f>
        <v>1100</v>
      </c>
      <c r="K28" s="88">
        <f>SUM(Marketingplan!J37:J41)</f>
        <v>1100</v>
      </c>
      <c r="L28" s="88">
        <f>SUM(Marketingplan!K37:K41)</f>
        <v>600</v>
      </c>
      <c r="M28" s="88">
        <f>SUM(Marketingplan!L37:L41)</f>
        <v>600</v>
      </c>
      <c r="N28" s="127">
        <f>SUM(Marketingplan!M37:M41)</f>
        <v>600</v>
      </c>
      <c r="O28" s="136">
        <f>SUM(Marketingplan!B51:B55)</f>
        <v>1550</v>
      </c>
      <c r="P28" s="136">
        <f>SUM(Marketingplan!C51:C55)</f>
        <v>1050</v>
      </c>
      <c r="Q28" s="136">
        <f>SUM(Marketingplan!D51:D55)</f>
        <v>800</v>
      </c>
      <c r="R28" s="136">
        <f>SUM(Marketingplan!E51:E55)</f>
        <v>1300</v>
      </c>
      <c r="S28" s="136">
        <f>SUM(Marketingplan!F51:F55)</f>
        <v>1800</v>
      </c>
      <c r="T28" s="136">
        <f>SUM(Marketingplan!G51:G55)</f>
        <v>800</v>
      </c>
      <c r="U28" s="136">
        <f>SUM(Marketingplan!H51:H55)</f>
        <v>800</v>
      </c>
      <c r="V28" s="136">
        <f>SUM(Marketingplan!I51:I55)</f>
        <v>800</v>
      </c>
      <c r="W28" s="136">
        <f>SUM(Marketingplan!J51:J55)</f>
        <v>800</v>
      </c>
      <c r="X28" s="136">
        <f>SUM(Marketingplan!K51:K55)</f>
        <v>300</v>
      </c>
      <c r="Y28" s="136">
        <f>SUM(Marketingplan!L51:L55)</f>
        <v>300</v>
      </c>
      <c r="Z28" s="137">
        <f>SUM(Marketingplan!M51:M55)</f>
        <v>300</v>
      </c>
      <c r="AA28" s="135">
        <f>SUM(Marketingplan!B65:B69)</f>
        <v>1900</v>
      </c>
      <c r="AB28" s="136">
        <f>SUM(Marketingplan!C65:C69)</f>
        <v>1400</v>
      </c>
      <c r="AC28" s="136">
        <f>SUM(Marketingplan!D65:D69)</f>
        <v>1400</v>
      </c>
      <c r="AD28" s="136">
        <f>SUM(Marketingplan!E65:E69)</f>
        <v>1800</v>
      </c>
      <c r="AE28" s="136">
        <f>SUM(Marketingplan!F65:F69)</f>
        <v>1650</v>
      </c>
      <c r="AF28" s="136">
        <f>SUM(Marketingplan!G65:G69)</f>
        <v>2050</v>
      </c>
      <c r="AG28" s="136">
        <f>SUM(Marketingplan!H65:H69)</f>
        <v>900</v>
      </c>
      <c r="AH28" s="136">
        <f>SUM(Marketingplan!I65:I69)</f>
        <v>1400</v>
      </c>
      <c r="AI28" s="136">
        <f>SUM(Marketingplan!J65:J69)</f>
        <v>2400</v>
      </c>
      <c r="AJ28" s="136">
        <f>SUM(Marketingplan!K65:K69)</f>
        <v>400</v>
      </c>
      <c r="AK28" s="136">
        <f>SUM(Marketingplan!L65:L69)</f>
        <v>400</v>
      </c>
      <c r="AL28" s="137">
        <f>SUM(Marketingplan!M65:M69)</f>
        <v>900</v>
      </c>
    </row>
    <row r="29" spans="2:38 16384:16384" x14ac:dyDescent="0.25">
      <c r="B29" s="44"/>
      <c r="C29" s="123"/>
      <c r="N29" s="125"/>
      <c r="Z29" s="125"/>
      <c r="AA29" s="123"/>
      <c r="AL29" s="125"/>
    </row>
    <row r="30" spans="2:38 16384:16384" ht="15.75" thickBot="1" x14ac:dyDescent="0.3">
      <c r="B30" s="44"/>
      <c r="C30" s="143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5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5"/>
      <c r="AA30" s="143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</row>
    <row r="31" spans="2:38 16384:16384" ht="16.5" thickTop="1" thickBot="1" x14ac:dyDescent="0.3">
      <c r="B31" s="213" t="s">
        <v>181</v>
      </c>
      <c r="C31" s="130">
        <f>SUM(C13+C22+C28+C26)</f>
        <v>7309.29</v>
      </c>
      <c r="D31" s="131">
        <f>SUM(D13+D22+D28+D26)</f>
        <v>5750.8683565963638</v>
      </c>
      <c r="E31" s="131">
        <f>SUM(E13+E22+E28+E26)</f>
        <v>5002.4467131927267</v>
      </c>
      <c r="F31" s="131">
        <f>SUM(F13+F22+F28+F26)</f>
        <v>5004.0250697890915</v>
      </c>
      <c r="G31" s="131">
        <f>SUM(G13+G22+G28+G26)</f>
        <v>5005.6034263854544</v>
      </c>
      <c r="H31" s="131">
        <f>SUM(H13+H22+H28+H26)</f>
        <v>5007.1817829818183</v>
      </c>
      <c r="I31" s="131">
        <f>SUM(I13+I22+I28+I26)</f>
        <v>5008.7601395781821</v>
      </c>
      <c r="J31" s="131">
        <f>SUM(J13+J22+J28+J26)</f>
        <v>5010.3384961745451</v>
      </c>
      <c r="K31" s="131">
        <f>SUM(K13+K22+K28+K26)</f>
        <v>5011.9168527709089</v>
      </c>
      <c r="L31" s="131">
        <f>SUM(L13+L22+L28+L26)</f>
        <v>4513.4952093672728</v>
      </c>
      <c r="M31" s="131">
        <f>SUM(M13+M22+M28+M26)</f>
        <v>4515.0735659636366</v>
      </c>
      <c r="N31" s="132">
        <f>SUM(N13+N22+N28+N26)</f>
        <v>4516.6519225600005</v>
      </c>
      <c r="O31" s="131">
        <f>SUM(O13+O22+O28+O26)</f>
        <v>5899.3614458230304</v>
      </c>
      <c r="P31" s="131">
        <f>SUM(P13+P22+P28+P26)</f>
        <v>5401.1982830382367</v>
      </c>
      <c r="Q31" s="131">
        <f>SUM(Q13+Q22+Q28+Q26)</f>
        <v>5153.0351202534439</v>
      </c>
      <c r="R31" s="131">
        <f>SUM(R13+R22+R28+R26)</f>
        <v>5654.8719574686502</v>
      </c>
      <c r="S31" s="131">
        <f>SUM(S13+S22+S28+S26)</f>
        <v>6156.7087946838565</v>
      </c>
      <c r="T31" s="131">
        <f>SUM(T13+T22+T28+T26)</f>
        <v>5158.5456318990637</v>
      </c>
      <c r="U31" s="131">
        <f>SUM(U13+U22+U28+U26)</f>
        <v>5160.38246911427</v>
      </c>
      <c r="V31" s="131">
        <f>SUM(V13+V22+V28+V26)</f>
        <v>5162.2193063294762</v>
      </c>
      <c r="W31" s="131">
        <f>SUM(W13+W22+W28+W26)</f>
        <v>5164.0561435446834</v>
      </c>
      <c r="X31" s="131">
        <f>SUM(X13+X22+X28+X26)</f>
        <v>4665.8929807598897</v>
      </c>
      <c r="Y31" s="131">
        <f>SUM(Y13+Y22+Y28+Y26)</f>
        <v>4667.729817975096</v>
      </c>
      <c r="Z31" s="132">
        <f>SUM(Z13+Z22+Z28+Z26)</f>
        <v>4669.5666551903032</v>
      </c>
      <c r="AA31" s="131">
        <f>SUM(AA13+AA22+AA28+AA26)</f>
        <v>6750.0412174055091</v>
      </c>
      <c r="AB31" s="131">
        <f>SUM(AB13+AB22+AB28+AB26)</f>
        <v>6251.5725775257197</v>
      </c>
      <c r="AC31" s="131">
        <f>SUM(AC13+AC22+AC28+AC26)</f>
        <v>6253.1039376459303</v>
      </c>
      <c r="AD31" s="131">
        <f>SUM(AD13+AD22+AD28+AD26)</f>
        <v>6654.6352977661409</v>
      </c>
      <c r="AE31" s="131">
        <f>SUM(AE13+AE22+AE28+AE26)</f>
        <v>6506.1666578863515</v>
      </c>
      <c r="AF31" s="131">
        <f>SUM(AF13+AF22+AF28+AF26)</f>
        <v>6907.6980180065621</v>
      </c>
      <c r="AG31" s="131">
        <f>SUM(AG13+AG22+AG28+AG26)</f>
        <v>5759.2293781267717</v>
      </c>
      <c r="AH31" s="131">
        <f>SUM(AH13+AH22+AH28+AH26)</f>
        <v>6260.7607382469823</v>
      </c>
      <c r="AI31" s="131">
        <f>SUM(AI13+AI22+AI28+AI26)</f>
        <v>7262.292098367192</v>
      </c>
      <c r="AJ31" s="131">
        <f>SUM(AJ13+AJ22+AJ28+AJ26)</f>
        <v>5263.8234584874026</v>
      </c>
      <c r="AK31" s="131">
        <f>SUM(AK13+AK22+AK28+AK26)</f>
        <v>5265.3548186076132</v>
      </c>
      <c r="AL31" s="132">
        <f>SUM(AL13+AL22+AL28+AL26)</f>
        <v>5766.8861787278238</v>
      </c>
    </row>
    <row r="32" spans="2:38 16384:16384" x14ac:dyDescent="0.25">
      <c r="C32" s="123"/>
      <c r="N32" s="125"/>
      <c r="Z32" s="125"/>
      <c r="AL32" s="120"/>
    </row>
    <row r="33" spans="2:38" ht="15.75" thickBot="1" x14ac:dyDescent="0.3">
      <c r="B33" s="149" t="s">
        <v>155</v>
      </c>
      <c r="C33" s="146">
        <f t="shared" ref="C33:AL33" si="20">C6-C31</f>
        <v>-7189.29</v>
      </c>
      <c r="D33" s="147">
        <f t="shared" si="20"/>
        <v>-5504.5998288872725</v>
      </c>
      <c r="E33" s="147">
        <f t="shared" si="20"/>
        <v>-4629.9096577745449</v>
      </c>
      <c r="F33" s="147">
        <f t="shared" si="20"/>
        <v>-4505.2194866618192</v>
      </c>
      <c r="G33" s="147">
        <f t="shared" si="20"/>
        <v>-4380.5293155490908</v>
      </c>
      <c r="H33" s="147">
        <f t="shared" si="20"/>
        <v>-4255.8391444363642</v>
      </c>
      <c r="I33" s="147">
        <f t="shared" si="20"/>
        <v>-4131.1489733236367</v>
      </c>
      <c r="J33" s="147">
        <f t="shared" si="20"/>
        <v>-4006.4588022109087</v>
      </c>
      <c r="K33" s="147">
        <f t="shared" si="20"/>
        <v>-3881.7686310981817</v>
      </c>
      <c r="L33" s="147">
        <f t="shared" si="20"/>
        <v>-3257.0784599854546</v>
      </c>
      <c r="M33" s="147">
        <f t="shared" si="20"/>
        <v>-3132.3882888727276</v>
      </c>
      <c r="N33" s="148">
        <f t="shared" si="20"/>
        <v>-3007.6981177600001</v>
      </c>
      <c r="O33" s="147">
        <f t="shared" si="20"/>
        <v>-3814.1391133139396</v>
      </c>
      <c r="P33" s="147">
        <f t="shared" si="20"/>
        <v>-3109.0289733126165</v>
      </c>
      <c r="Q33" s="147">
        <f t="shared" si="20"/>
        <v>-2653.9188333112952</v>
      </c>
      <c r="R33" s="147">
        <f t="shared" si="20"/>
        <v>-2948.8086933099726</v>
      </c>
      <c r="S33" s="147">
        <f t="shared" si="20"/>
        <v>-3243.6985533086499</v>
      </c>
      <c r="T33" s="147">
        <f t="shared" si="20"/>
        <v>-2038.5884133073278</v>
      </c>
      <c r="U33" s="147">
        <f t="shared" si="20"/>
        <v>-1833.4782733060051</v>
      </c>
      <c r="V33" s="147">
        <f t="shared" si="20"/>
        <v>-1628.3681333046829</v>
      </c>
      <c r="W33" s="147">
        <f t="shared" si="20"/>
        <v>-1423.2579933033612</v>
      </c>
      <c r="X33" s="147">
        <f t="shared" si="20"/>
        <v>-718.14785330203858</v>
      </c>
      <c r="Y33" s="147">
        <f t="shared" si="20"/>
        <v>-513.03771330071504</v>
      </c>
      <c r="Z33" s="148">
        <f t="shared" si="20"/>
        <v>-307.92757329939377</v>
      </c>
      <c r="AA33" s="147">
        <f t="shared" si="20"/>
        <v>-1671.4551582980712</v>
      </c>
      <c r="AB33" s="147">
        <f t="shared" si="20"/>
        <v>-850.47770880145254</v>
      </c>
      <c r="AC33" s="147">
        <f t="shared" si="20"/>
        <v>-529.50025930483298</v>
      </c>
      <c r="AD33" s="147">
        <f t="shared" si="20"/>
        <v>-608.52280980821433</v>
      </c>
      <c r="AE33" s="147">
        <f t="shared" si="20"/>
        <v>-137.54536031159478</v>
      </c>
      <c r="AF33" s="147">
        <f t="shared" si="20"/>
        <v>-16.56791081497704</v>
      </c>
      <c r="AG33" s="147">
        <f t="shared" si="20"/>
        <v>1454.4095386816434</v>
      </c>
      <c r="AH33" s="147">
        <f t="shared" si="20"/>
        <v>1275.3869881782621</v>
      </c>
      <c r="AI33" s="147">
        <f t="shared" si="20"/>
        <v>596.36443767488163</v>
      </c>
      <c r="AJ33" s="147">
        <f t="shared" si="20"/>
        <v>2917.3418871715012</v>
      </c>
      <c r="AK33" s="147">
        <f t="shared" si="20"/>
        <v>3238.3193366681189</v>
      </c>
      <c r="AL33" s="148">
        <f t="shared" si="20"/>
        <v>3059.2967861647394</v>
      </c>
    </row>
    <row r="34" spans="2:38" ht="15.75" thickTop="1" x14ac:dyDescent="0.25"/>
    <row r="37" spans="2:38" ht="15.75" thickBot="1" x14ac:dyDescent="0.3">
      <c r="B37" s="89"/>
      <c r="C37" s="90"/>
      <c r="D37" s="90"/>
      <c r="E37" s="91" t="s">
        <v>182</v>
      </c>
      <c r="F37" s="90"/>
      <c r="G37" s="108" t="s">
        <v>237</v>
      </c>
      <c r="H37" s="91" t="s">
        <v>242</v>
      </c>
      <c r="I37" s="91" t="s">
        <v>241</v>
      </c>
      <c r="J37" s="91" t="s">
        <v>291</v>
      </c>
    </row>
    <row r="38" spans="2:38" ht="15.75" thickTop="1" x14ac:dyDescent="0.25">
      <c r="B38" s="92" t="s">
        <v>183</v>
      </c>
    </row>
    <row r="39" spans="2:38" x14ac:dyDescent="0.25">
      <c r="B39" s="93" t="s">
        <v>128</v>
      </c>
      <c r="C39" s="8" t="s">
        <v>184</v>
      </c>
      <c r="E39" s="58">
        <f>SUM(C6:N6)</f>
        <v>9773.7228288000006</v>
      </c>
      <c r="G39" s="210">
        <f>-SUM(C31:N31)</f>
        <v>-61655.651535359997</v>
      </c>
      <c r="H39" s="58">
        <f>SUM(C33:N33)</f>
        <v>-51881.92870656</v>
      </c>
      <c r="I39" s="151">
        <v>0</v>
      </c>
      <c r="J39" s="58">
        <f>H39-I39</f>
        <v>-51881.92870656</v>
      </c>
    </row>
    <row r="40" spans="2:38" x14ac:dyDescent="0.25">
      <c r="B40" s="93" t="s">
        <v>130</v>
      </c>
      <c r="C40" s="8" t="s">
        <v>185</v>
      </c>
      <c r="E40" s="58">
        <f>SUM(O6:Z6)</f>
        <v>38681.168486399998</v>
      </c>
      <c r="G40" s="210">
        <f>-SUM(O31:Z31)</f>
        <v>-62913.56860608</v>
      </c>
      <c r="H40" s="58">
        <f>SUM(O33:Z33)</f>
        <v>-24232.400119680002</v>
      </c>
      <c r="I40" s="151">
        <v>0</v>
      </c>
      <c r="J40" s="58">
        <f>H40-I40</f>
        <v>-24232.400119680002</v>
      </c>
    </row>
    <row r="41" spans="2:38" ht="15.75" thickBot="1" x14ac:dyDescent="0.3">
      <c r="B41" s="93" t="s">
        <v>131</v>
      </c>
      <c r="C41" s="113" t="s">
        <v>278</v>
      </c>
      <c r="E41" s="58">
        <f>SUM(AA6:AL6)</f>
        <v>83628.614143999992</v>
      </c>
      <c r="F41" s="32"/>
      <c r="G41" s="210">
        <f>-SUM(AA31:AL31)</f>
        <v>-74901.564376800001</v>
      </c>
      <c r="H41" s="58">
        <f>SUM(AA33:AL33)</f>
        <v>8727.0497672000038</v>
      </c>
      <c r="I41" s="211">
        <f>-(H41*0.25)</f>
        <v>-2181.7624418000009</v>
      </c>
      <c r="J41" s="58">
        <f>(H41-(-I41))</f>
        <v>6545.2873254000024</v>
      </c>
    </row>
    <row r="42" spans="2:38" ht="15.75" thickTop="1" x14ac:dyDescent="0.25">
      <c r="H42" s="110">
        <f>SUM(H39:H41)</f>
        <v>-67387.279059039996</v>
      </c>
      <c r="I42" s="212">
        <f>SUM(I39:I41)</f>
        <v>-2181.7624418000009</v>
      </c>
      <c r="J42" s="110">
        <f>SUM(J39:J41)</f>
        <v>-69569.041500840001</v>
      </c>
    </row>
  </sheetData>
  <mergeCells count="3">
    <mergeCell ref="C3:N3"/>
    <mergeCell ref="O3:Z3"/>
    <mergeCell ref="AA3:AL3"/>
  </mergeCells>
  <pageMargins left="0.7" right="0.7" top="0.78740157499999996" bottom="0.78740157499999996" header="0.3" footer="0.3"/>
  <pageSetup paperSize="9" scale="95" orientation="portrait" r:id="rId1"/>
  <colBreaks count="2" manualBreakCount="2">
    <brk id="4" min="2" max="77" man="1"/>
    <brk id="11" max="1048575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4E21-FAF7-4CB5-9034-DEF1672F859B}">
  <sheetPr>
    <tabColor rgb="FFFFC000"/>
  </sheetPr>
  <dimension ref="A1:AK78"/>
  <sheetViews>
    <sheetView zoomScaleNormal="100" workbookViewId="0">
      <selection activeCell="AB41" sqref="AB41"/>
    </sheetView>
  </sheetViews>
  <sheetFormatPr baseColWidth="10" defaultColWidth="10.7109375" defaultRowHeight="15" x14ac:dyDescent="0.25"/>
  <cols>
    <col min="2" max="2" width="14.85546875" bestFit="1" customWidth="1"/>
    <col min="3" max="3" width="12.5703125" bestFit="1" customWidth="1"/>
  </cols>
  <sheetData>
    <row r="1" spans="1:37" x14ac:dyDescent="0.25">
      <c r="A1" t="s">
        <v>253</v>
      </c>
      <c r="B1" t="s">
        <v>254</v>
      </c>
      <c r="C1" t="s">
        <v>255</v>
      </c>
    </row>
    <row r="4" spans="1:37" ht="15.75" thickBot="1" x14ac:dyDescent="0.3"/>
    <row r="5" spans="1:37" ht="15.75" thickBot="1" x14ac:dyDescent="0.3">
      <c r="B5" s="238">
        <v>2026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40"/>
      <c r="N5" s="241">
        <v>2027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40"/>
      <c r="Z5" s="241">
        <v>2028</v>
      </c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40"/>
    </row>
    <row r="6" spans="1:37" ht="15.75" thickBot="1" x14ac:dyDescent="0.3">
      <c r="B6" s="166">
        <v>1</v>
      </c>
      <c r="C6" s="166">
        <v>2</v>
      </c>
      <c r="D6" s="166">
        <v>3</v>
      </c>
      <c r="E6" s="166">
        <v>4</v>
      </c>
      <c r="F6" s="166">
        <v>5</v>
      </c>
      <c r="G6" s="166">
        <v>6</v>
      </c>
      <c r="H6" s="166">
        <v>7</v>
      </c>
      <c r="I6" s="166">
        <v>8</v>
      </c>
      <c r="J6" s="166">
        <v>9</v>
      </c>
      <c r="K6" s="166">
        <v>10</v>
      </c>
      <c r="L6" s="166">
        <v>11</v>
      </c>
      <c r="M6" s="170">
        <v>12</v>
      </c>
      <c r="N6" s="167">
        <v>1</v>
      </c>
      <c r="O6" s="166">
        <v>2</v>
      </c>
      <c r="P6" s="166">
        <v>3</v>
      </c>
      <c r="Q6" s="166">
        <v>4</v>
      </c>
      <c r="R6" s="166">
        <v>5</v>
      </c>
      <c r="S6" s="166">
        <v>6</v>
      </c>
      <c r="T6" s="166">
        <v>7</v>
      </c>
      <c r="U6" s="166">
        <v>8</v>
      </c>
      <c r="V6" s="166">
        <v>9</v>
      </c>
      <c r="W6" s="166">
        <v>10</v>
      </c>
      <c r="X6" s="166">
        <v>11</v>
      </c>
      <c r="Y6" s="170">
        <v>12</v>
      </c>
      <c r="Z6" s="173">
        <v>1</v>
      </c>
      <c r="AA6" s="166">
        <v>2</v>
      </c>
      <c r="AB6" s="166">
        <v>3</v>
      </c>
      <c r="AC6" s="166">
        <v>4</v>
      </c>
      <c r="AD6" s="166">
        <v>5</v>
      </c>
      <c r="AE6" s="166">
        <v>6</v>
      </c>
      <c r="AF6" s="166">
        <v>7</v>
      </c>
      <c r="AG6" s="166">
        <v>8</v>
      </c>
      <c r="AH6" s="166">
        <v>9</v>
      </c>
      <c r="AI6" s="166">
        <v>10</v>
      </c>
      <c r="AJ6" s="166">
        <v>11</v>
      </c>
      <c r="AK6" s="174">
        <v>12</v>
      </c>
    </row>
    <row r="7" spans="1:37" x14ac:dyDescent="0.25">
      <c r="A7" s="140" t="s">
        <v>243</v>
      </c>
      <c r="B7" s="103">
        <f>'GuV Tabelle'!C6</f>
        <v>120</v>
      </c>
      <c r="C7" s="103">
        <f>'GuV Tabelle'!D6</f>
        <v>246.2685277090909</v>
      </c>
      <c r="D7" s="103">
        <f>'GuV Tabelle'!E6</f>
        <v>372.53705541818175</v>
      </c>
      <c r="E7" s="103">
        <f>'GuV Tabelle'!F6</f>
        <v>498.80558312727266</v>
      </c>
      <c r="F7" s="103">
        <f>'GuV Tabelle'!G6</f>
        <v>625.0741108363635</v>
      </c>
      <c r="G7" s="103">
        <f>'GuV Tabelle'!H6</f>
        <v>751.34263854545441</v>
      </c>
      <c r="H7" s="103">
        <f>'GuV Tabelle'!I6</f>
        <v>877.61116625454531</v>
      </c>
      <c r="I7" s="103">
        <f>'GuV Tabelle'!J6</f>
        <v>1003.8796939636363</v>
      </c>
      <c r="J7" s="103">
        <f>'GuV Tabelle'!K6</f>
        <v>1130.1482216727272</v>
      </c>
      <c r="K7" s="103">
        <f>'GuV Tabelle'!L6</f>
        <v>1256.4167493818181</v>
      </c>
      <c r="L7" s="103">
        <f>'GuV Tabelle'!M6</f>
        <v>1382.685277090909</v>
      </c>
      <c r="M7" s="171">
        <f>'GuV Tabelle'!N6</f>
        <v>1508.9538048000002</v>
      </c>
      <c r="N7" s="168">
        <f>'GuV Tabelle'!O6</f>
        <v>2085.2223325090908</v>
      </c>
      <c r="O7" s="103">
        <f>'GuV Tabelle'!P6</f>
        <v>2292.1693097256202</v>
      </c>
      <c r="P7" s="103">
        <f>'GuV Tabelle'!Q6</f>
        <v>2499.1162869421487</v>
      </c>
      <c r="Q7" s="103">
        <f>'GuV Tabelle'!R6</f>
        <v>2706.0632641586776</v>
      </c>
      <c r="R7" s="103">
        <f>'GuV Tabelle'!S6</f>
        <v>2913.0102413752065</v>
      </c>
      <c r="S7" s="103">
        <f>'GuV Tabelle'!T6</f>
        <v>3119.9572185917359</v>
      </c>
      <c r="T7" s="103">
        <f>'GuV Tabelle'!U6</f>
        <v>3326.9041958082648</v>
      </c>
      <c r="U7" s="103">
        <f>'GuV Tabelle'!V6</f>
        <v>3533.8511730247933</v>
      </c>
      <c r="V7" s="103">
        <f>'GuV Tabelle'!W6</f>
        <v>3740.7981502413222</v>
      </c>
      <c r="W7" s="103">
        <f>'GuV Tabelle'!X6</f>
        <v>3947.7451274578511</v>
      </c>
      <c r="X7" s="103">
        <f>'GuV Tabelle'!Y6</f>
        <v>4154.692104674381</v>
      </c>
      <c r="Y7" s="171">
        <f>'GuV Tabelle'!Z6</f>
        <v>4361.6390818909094</v>
      </c>
      <c r="Z7" s="175">
        <f>'GuV Tabelle'!AA6</f>
        <v>5078.5860591074379</v>
      </c>
      <c r="AA7" s="103">
        <f>'GuV Tabelle'!AB6</f>
        <v>5401.0948687242671</v>
      </c>
      <c r="AB7" s="103">
        <f>'GuV Tabelle'!AC6</f>
        <v>5723.6036783410973</v>
      </c>
      <c r="AC7" s="103">
        <f>'GuV Tabelle'!AD6</f>
        <v>6046.1124879579265</v>
      </c>
      <c r="AD7" s="103">
        <f>'GuV Tabelle'!AE6</f>
        <v>6368.6212975747567</v>
      </c>
      <c r="AE7" s="103">
        <f>'GuV Tabelle'!AF6</f>
        <v>6891.130107191585</v>
      </c>
      <c r="AF7" s="103">
        <f>'GuV Tabelle'!AG6</f>
        <v>7213.6389168084152</v>
      </c>
      <c r="AG7" s="103">
        <f>'GuV Tabelle'!AH6</f>
        <v>7536.1477264252444</v>
      </c>
      <c r="AH7" s="103">
        <f>'GuV Tabelle'!AI6</f>
        <v>7858.6565360420736</v>
      </c>
      <c r="AI7" s="103">
        <f>'GuV Tabelle'!AJ6</f>
        <v>8181.1653456589038</v>
      </c>
      <c r="AJ7" s="103">
        <f>'GuV Tabelle'!AK6</f>
        <v>8503.6741552757321</v>
      </c>
      <c r="AK7" s="171">
        <f>'GuV Tabelle'!AL6</f>
        <v>8826.1829648925632</v>
      </c>
    </row>
    <row r="8" spans="1:37" x14ac:dyDescent="0.25">
      <c r="A8" s="164" t="s">
        <v>244</v>
      </c>
      <c r="B8" s="102">
        <f>'GuV Tabelle'!C31</f>
        <v>7309.29</v>
      </c>
      <c r="C8" s="102">
        <f>'GuV Tabelle'!D31</f>
        <v>5750.8683565963638</v>
      </c>
      <c r="D8" s="102">
        <f>'GuV Tabelle'!E31</f>
        <v>5002.4467131927267</v>
      </c>
      <c r="E8" s="102">
        <f>'GuV Tabelle'!F31</f>
        <v>5004.0250697890915</v>
      </c>
      <c r="F8" s="102">
        <f>'GuV Tabelle'!G31</f>
        <v>5005.6034263854544</v>
      </c>
      <c r="G8" s="102">
        <f>'GuV Tabelle'!H31</f>
        <v>5007.1817829818183</v>
      </c>
      <c r="H8" s="102">
        <f>'GuV Tabelle'!I31</f>
        <v>5008.7601395781821</v>
      </c>
      <c r="I8" s="102">
        <f>'GuV Tabelle'!J31</f>
        <v>5010.3384961745451</v>
      </c>
      <c r="J8" s="102">
        <f>'GuV Tabelle'!K31</f>
        <v>5011.9168527709089</v>
      </c>
      <c r="K8" s="102">
        <f>'GuV Tabelle'!L31</f>
        <v>4513.4952093672728</v>
      </c>
      <c r="L8" s="102">
        <f>'GuV Tabelle'!M31</f>
        <v>4515.0735659636366</v>
      </c>
      <c r="M8" s="172">
        <f>'GuV Tabelle'!N31</f>
        <v>4516.6519225600005</v>
      </c>
      <c r="N8" s="169">
        <f>'GuV Tabelle'!O31</f>
        <v>5899.3614458230304</v>
      </c>
      <c r="O8" s="102">
        <f>'GuV Tabelle'!P31</f>
        <v>5401.1982830382367</v>
      </c>
      <c r="P8" s="102">
        <f>'GuV Tabelle'!Q31</f>
        <v>5153.0351202534439</v>
      </c>
      <c r="Q8" s="102">
        <f>'GuV Tabelle'!R31</f>
        <v>5654.8719574686502</v>
      </c>
      <c r="R8" s="102">
        <f>'GuV Tabelle'!S31</f>
        <v>6156.7087946838565</v>
      </c>
      <c r="S8" s="102">
        <f>'GuV Tabelle'!T31</f>
        <v>5158.5456318990637</v>
      </c>
      <c r="T8" s="102">
        <f>'GuV Tabelle'!U31</f>
        <v>5160.38246911427</v>
      </c>
      <c r="U8" s="102">
        <f>'GuV Tabelle'!V31</f>
        <v>5162.2193063294762</v>
      </c>
      <c r="V8" s="102">
        <f>'GuV Tabelle'!W31</f>
        <v>5164.0561435446834</v>
      </c>
      <c r="W8" s="102">
        <f>'GuV Tabelle'!X31</f>
        <v>4665.8929807598897</v>
      </c>
      <c r="X8" s="102">
        <f>'GuV Tabelle'!Y31</f>
        <v>4667.729817975096</v>
      </c>
      <c r="Y8" s="172">
        <f>'GuV Tabelle'!Z31</f>
        <v>4669.5666551903032</v>
      </c>
      <c r="Z8" s="176">
        <f>'GuV Tabelle'!AA31</f>
        <v>6750.0412174055091</v>
      </c>
      <c r="AA8" s="102">
        <f>'GuV Tabelle'!AB31</f>
        <v>6251.5725775257197</v>
      </c>
      <c r="AB8" s="102">
        <f>'GuV Tabelle'!AC31</f>
        <v>6253.1039376459303</v>
      </c>
      <c r="AC8" s="102">
        <f>'GuV Tabelle'!AD31</f>
        <v>6654.6352977661409</v>
      </c>
      <c r="AD8" s="102">
        <f>'GuV Tabelle'!AE31</f>
        <v>6506.1666578863515</v>
      </c>
      <c r="AE8" s="102">
        <f>'GuV Tabelle'!AF31</f>
        <v>6907.6980180065621</v>
      </c>
      <c r="AF8" s="102">
        <f>'GuV Tabelle'!AG31</f>
        <v>5759.2293781267717</v>
      </c>
      <c r="AG8" s="102">
        <f>'GuV Tabelle'!AH31</f>
        <v>6260.7607382469823</v>
      </c>
      <c r="AH8" s="102">
        <f>'GuV Tabelle'!AI31</f>
        <v>7262.292098367192</v>
      </c>
      <c r="AI8" s="102">
        <f>'GuV Tabelle'!AJ31</f>
        <v>5263.8234584874026</v>
      </c>
      <c r="AJ8" s="102">
        <f>'GuV Tabelle'!AK31</f>
        <v>5265.3548186076132</v>
      </c>
      <c r="AK8" s="172">
        <f>'GuV Tabelle'!AL31</f>
        <v>5766.8861787278238</v>
      </c>
    </row>
    <row r="9" spans="1:37" ht="15.75" thickBot="1" x14ac:dyDescent="0.3">
      <c r="A9" s="165" t="s">
        <v>245</v>
      </c>
      <c r="B9" s="103">
        <f t="shared" ref="B9:AK9" si="0">B7-B8</f>
        <v>-7189.29</v>
      </c>
      <c r="C9" s="103">
        <f t="shared" si="0"/>
        <v>-5504.5998288872725</v>
      </c>
      <c r="D9" s="103">
        <f t="shared" si="0"/>
        <v>-4629.9096577745449</v>
      </c>
      <c r="E9" s="103">
        <f t="shared" si="0"/>
        <v>-4505.2194866618192</v>
      </c>
      <c r="F9" s="103">
        <f t="shared" si="0"/>
        <v>-4380.5293155490908</v>
      </c>
      <c r="G9" s="103">
        <f t="shared" si="0"/>
        <v>-4255.8391444363642</v>
      </c>
      <c r="H9" s="103">
        <f t="shared" si="0"/>
        <v>-4131.1489733236367</v>
      </c>
      <c r="I9" s="103">
        <f t="shared" si="0"/>
        <v>-4006.4588022109087</v>
      </c>
      <c r="J9" s="103">
        <f t="shared" si="0"/>
        <v>-3881.7686310981817</v>
      </c>
      <c r="K9" s="103">
        <f t="shared" si="0"/>
        <v>-3257.0784599854546</v>
      </c>
      <c r="L9" s="103">
        <f t="shared" si="0"/>
        <v>-3132.3882888727276</v>
      </c>
      <c r="M9" s="171">
        <f t="shared" si="0"/>
        <v>-3007.6981177600001</v>
      </c>
      <c r="N9" s="168">
        <f t="shared" si="0"/>
        <v>-3814.1391133139396</v>
      </c>
      <c r="O9" s="103">
        <f t="shared" si="0"/>
        <v>-3109.0289733126165</v>
      </c>
      <c r="P9" s="103">
        <f t="shared" si="0"/>
        <v>-2653.9188333112952</v>
      </c>
      <c r="Q9" s="103">
        <f t="shared" si="0"/>
        <v>-2948.8086933099726</v>
      </c>
      <c r="R9" s="103">
        <f t="shared" si="0"/>
        <v>-3243.6985533086499</v>
      </c>
      <c r="S9" s="103">
        <f t="shared" si="0"/>
        <v>-2038.5884133073278</v>
      </c>
      <c r="T9" s="103">
        <f t="shared" si="0"/>
        <v>-1833.4782733060051</v>
      </c>
      <c r="U9" s="103">
        <f t="shared" si="0"/>
        <v>-1628.3681333046829</v>
      </c>
      <c r="V9" s="103">
        <f t="shared" si="0"/>
        <v>-1423.2579933033612</v>
      </c>
      <c r="W9" s="103">
        <f t="shared" si="0"/>
        <v>-718.14785330203858</v>
      </c>
      <c r="X9" s="103">
        <f t="shared" si="0"/>
        <v>-513.03771330071504</v>
      </c>
      <c r="Y9" s="171">
        <f t="shared" si="0"/>
        <v>-307.92757329939377</v>
      </c>
      <c r="Z9" s="175">
        <f t="shared" si="0"/>
        <v>-1671.4551582980712</v>
      </c>
      <c r="AA9" s="103">
        <f t="shared" si="0"/>
        <v>-850.47770880145254</v>
      </c>
      <c r="AB9" s="103">
        <f t="shared" si="0"/>
        <v>-529.50025930483298</v>
      </c>
      <c r="AC9" s="103">
        <f t="shared" si="0"/>
        <v>-608.52280980821433</v>
      </c>
      <c r="AD9" s="103">
        <f t="shared" si="0"/>
        <v>-137.54536031159478</v>
      </c>
      <c r="AE9" s="103">
        <f t="shared" si="0"/>
        <v>-16.56791081497704</v>
      </c>
      <c r="AF9" s="103">
        <f t="shared" si="0"/>
        <v>1454.4095386816434</v>
      </c>
      <c r="AG9" s="103">
        <f t="shared" si="0"/>
        <v>1275.3869881782621</v>
      </c>
      <c r="AH9" s="103">
        <f t="shared" si="0"/>
        <v>596.36443767488163</v>
      </c>
      <c r="AI9" s="103">
        <f t="shared" si="0"/>
        <v>2917.3418871715012</v>
      </c>
      <c r="AJ9" s="103">
        <f t="shared" si="0"/>
        <v>3238.3193366681189</v>
      </c>
      <c r="AK9" s="171">
        <f t="shared" si="0"/>
        <v>3059.2967861647394</v>
      </c>
    </row>
    <row r="67" spans="4:5" x14ac:dyDescent="0.25">
      <c r="D67" s="12"/>
      <c r="E67" s="43"/>
    </row>
    <row r="68" spans="4:5" x14ac:dyDescent="0.25">
      <c r="D68" s="12"/>
      <c r="E68" s="43"/>
    </row>
    <row r="69" spans="4:5" x14ac:dyDescent="0.25">
      <c r="D69" s="12"/>
      <c r="E69" s="43"/>
    </row>
    <row r="70" spans="4:5" x14ac:dyDescent="0.25">
      <c r="D70" s="12"/>
      <c r="E70" s="43"/>
    </row>
    <row r="71" spans="4:5" x14ac:dyDescent="0.25">
      <c r="D71" s="12"/>
      <c r="E71" s="43"/>
    </row>
    <row r="72" spans="4:5" x14ac:dyDescent="0.25">
      <c r="D72" s="12"/>
      <c r="E72" s="43"/>
    </row>
    <row r="73" spans="4:5" x14ac:dyDescent="0.25">
      <c r="D73" s="12"/>
      <c r="E73" s="43"/>
    </row>
    <row r="74" spans="4:5" x14ac:dyDescent="0.25">
      <c r="D74" s="12"/>
      <c r="E74" s="43"/>
    </row>
    <row r="75" spans="4:5" x14ac:dyDescent="0.25">
      <c r="D75" s="12"/>
      <c r="E75" s="43"/>
    </row>
    <row r="76" spans="4:5" x14ac:dyDescent="0.25">
      <c r="D76" s="12"/>
      <c r="E76" s="43"/>
    </row>
    <row r="77" spans="4:5" x14ac:dyDescent="0.25">
      <c r="D77" s="12"/>
      <c r="E77" s="43"/>
    </row>
    <row r="78" spans="4:5" x14ac:dyDescent="0.25">
      <c r="D78" s="12"/>
      <c r="E78" s="43"/>
    </row>
  </sheetData>
  <mergeCells count="3">
    <mergeCell ref="B5:M5"/>
    <mergeCell ref="N5:Y5"/>
    <mergeCell ref="Z5:AK5"/>
  </mergeCells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F401-6563-4543-8F3C-E299E7345D8E}">
  <dimension ref="A1:Q70"/>
  <sheetViews>
    <sheetView showGridLines="0" zoomScale="84" workbookViewId="0">
      <selection activeCell="A9" sqref="A9:F9"/>
    </sheetView>
  </sheetViews>
  <sheetFormatPr baseColWidth="10" defaultColWidth="10.85546875" defaultRowHeight="15.75" x14ac:dyDescent="0.25"/>
  <cols>
    <col min="1" max="1" width="39" style="59" customWidth="1"/>
    <col min="2" max="2" width="11" style="59" customWidth="1"/>
    <col min="3" max="3" width="11.28515625" style="59" customWidth="1"/>
    <col min="4" max="4" width="31.42578125" style="59" customWidth="1"/>
    <col min="5" max="5" width="11.7109375" style="59" customWidth="1"/>
    <col min="6" max="6" width="11.42578125" style="59" customWidth="1"/>
    <col min="7" max="7" width="13.42578125" style="59" customWidth="1"/>
    <col min="8" max="8" width="12" style="59" customWidth="1"/>
    <col min="9" max="9" width="12.140625" style="59" customWidth="1"/>
    <col min="10" max="10" width="13" style="59" customWidth="1"/>
    <col min="11" max="11" width="11.85546875" style="59" customWidth="1"/>
    <col min="12" max="12" width="12" style="59" customWidth="1"/>
    <col min="13" max="13" width="11.85546875" style="59" customWidth="1"/>
    <col min="14" max="14" width="23.85546875" style="59" customWidth="1"/>
    <col min="15" max="15" width="17.140625" style="59" customWidth="1"/>
    <col min="16" max="16" width="10.85546875" style="59"/>
    <col min="17" max="17" width="75.85546875" style="59" customWidth="1"/>
    <col min="18" max="16384" width="10.85546875" style="59"/>
  </cols>
  <sheetData>
    <row r="1" spans="1:6" x14ac:dyDescent="0.25">
      <c r="A1" s="59" t="s">
        <v>256</v>
      </c>
    </row>
    <row r="3" spans="1:6" x14ac:dyDescent="0.25">
      <c r="A3" s="257" t="s">
        <v>186</v>
      </c>
      <c r="B3" s="257"/>
      <c r="C3" s="257"/>
      <c r="D3" s="257"/>
      <c r="E3" s="257"/>
      <c r="F3" s="257"/>
    </row>
    <row r="4" spans="1:6" x14ac:dyDescent="0.25">
      <c r="A4" s="257"/>
      <c r="B4" s="257"/>
      <c r="C4" s="257"/>
      <c r="D4" s="257"/>
      <c r="E4" s="257"/>
      <c r="F4" s="257"/>
    </row>
    <row r="7" spans="1:6" x14ac:dyDescent="0.25">
      <c r="A7" s="258" t="s">
        <v>187</v>
      </c>
      <c r="B7" s="258"/>
      <c r="C7" s="258"/>
      <c r="D7" s="258"/>
      <c r="E7" s="258"/>
      <c r="F7" s="258"/>
    </row>
    <row r="9" spans="1:6" x14ac:dyDescent="0.25">
      <c r="A9" s="249" t="s">
        <v>188</v>
      </c>
      <c r="B9" s="249"/>
      <c r="C9" s="249"/>
      <c r="D9" s="249"/>
      <c r="E9" s="249"/>
      <c r="F9" s="249"/>
    </row>
    <row r="10" spans="1:6" x14ac:dyDescent="0.25">
      <c r="A10" s="249"/>
      <c r="B10" s="249"/>
      <c r="C10" s="249"/>
      <c r="D10" s="249"/>
      <c r="E10" s="249"/>
      <c r="F10" s="249"/>
    </row>
    <row r="11" spans="1:6" x14ac:dyDescent="0.25">
      <c r="A11" s="259" t="s">
        <v>189</v>
      </c>
      <c r="B11" s="259"/>
      <c r="C11" s="259"/>
      <c r="D11" s="259"/>
      <c r="E11" s="259"/>
      <c r="F11" s="259"/>
    </row>
    <row r="12" spans="1:6" x14ac:dyDescent="0.25">
      <c r="A12" s="249" t="s">
        <v>190</v>
      </c>
      <c r="B12" s="249"/>
      <c r="C12" s="249"/>
      <c r="D12" s="249"/>
      <c r="E12" s="249"/>
      <c r="F12" s="249"/>
    </row>
    <row r="13" spans="1:6" x14ac:dyDescent="0.25">
      <c r="A13" s="249"/>
      <c r="B13" s="249"/>
      <c r="C13" s="249"/>
      <c r="D13" s="249"/>
      <c r="E13" s="249"/>
      <c r="F13" s="249"/>
    </row>
    <row r="14" spans="1:6" x14ac:dyDescent="0.25">
      <c r="A14" s="249"/>
      <c r="B14" s="249"/>
      <c r="C14" s="249"/>
      <c r="D14" s="249"/>
      <c r="E14" s="249"/>
      <c r="F14" s="249"/>
    </row>
    <row r="15" spans="1:6" ht="16.5" thickBot="1" x14ac:dyDescent="0.3"/>
    <row r="16" spans="1:6" ht="16.5" thickBot="1" x14ac:dyDescent="0.3">
      <c r="A16" s="254" t="s">
        <v>191</v>
      </c>
      <c r="B16" s="255"/>
      <c r="C16" s="255"/>
      <c r="D16" s="255"/>
      <c r="E16" s="255"/>
      <c r="F16" s="256"/>
    </row>
    <row r="17" spans="1:17" x14ac:dyDescent="0.25">
      <c r="O17" s="86"/>
    </row>
    <row r="18" spans="1:17" x14ac:dyDescent="0.25">
      <c r="A18" s="85" t="s">
        <v>192</v>
      </c>
      <c r="B18" s="253" t="s">
        <v>193</v>
      </c>
      <c r="C18" s="253"/>
      <c r="D18" s="253"/>
      <c r="E18" s="253" t="s">
        <v>194</v>
      </c>
      <c r="F18" s="253"/>
      <c r="H18" s="260" t="s">
        <v>195</v>
      </c>
      <c r="I18" s="261"/>
      <c r="J18" s="261"/>
      <c r="K18" s="261"/>
      <c r="L18" s="261"/>
      <c r="M18" s="261"/>
      <c r="N18" s="261"/>
      <c r="O18" s="261"/>
      <c r="P18" s="261"/>
      <c r="Q18" s="261"/>
    </row>
    <row r="19" spans="1:17" x14ac:dyDescent="0.25">
      <c r="A19" s="250"/>
      <c r="B19" s="250"/>
      <c r="C19" s="250"/>
      <c r="D19" s="250"/>
      <c r="E19" s="250"/>
      <c r="F19" s="250"/>
      <c r="O19" s="84"/>
    </row>
    <row r="20" spans="1:17" x14ac:dyDescent="0.25">
      <c r="A20" s="68" t="s">
        <v>196</v>
      </c>
      <c r="B20" s="251" t="s">
        <v>197</v>
      </c>
      <c r="C20" s="251"/>
      <c r="D20" s="251"/>
      <c r="E20" s="251" t="s">
        <v>198</v>
      </c>
      <c r="F20" s="251"/>
      <c r="H20" s="245" t="s">
        <v>199</v>
      </c>
      <c r="I20" s="245"/>
      <c r="J20" s="245"/>
      <c r="K20" s="245"/>
      <c r="L20" s="245" t="s">
        <v>200</v>
      </c>
      <c r="M20" s="245"/>
      <c r="N20" s="246"/>
      <c r="O20" s="245"/>
      <c r="P20" s="245"/>
      <c r="Q20" s="245"/>
    </row>
    <row r="21" spans="1:17" x14ac:dyDescent="0.25">
      <c r="A21" s="68" t="s">
        <v>201</v>
      </c>
      <c r="B21" s="251" t="s">
        <v>202</v>
      </c>
      <c r="C21" s="251"/>
      <c r="D21" s="251"/>
      <c r="E21" s="251" t="s">
        <v>203</v>
      </c>
      <c r="F21" s="251"/>
      <c r="H21" s="246" t="s">
        <v>204</v>
      </c>
      <c r="I21" s="247"/>
      <c r="J21" s="247"/>
      <c r="K21" s="248"/>
      <c r="L21" s="246" t="s">
        <v>205</v>
      </c>
      <c r="M21" s="247"/>
      <c r="N21" s="248"/>
      <c r="O21" s="245" t="s">
        <v>206</v>
      </c>
      <c r="P21" s="245"/>
      <c r="Q21" s="245"/>
    </row>
    <row r="22" spans="1:17" x14ac:dyDescent="0.25">
      <c r="A22" s="68" t="s">
        <v>207</v>
      </c>
      <c r="B22" s="251" t="s">
        <v>208</v>
      </c>
      <c r="C22" s="251"/>
      <c r="D22" s="251"/>
      <c r="E22" s="251" t="s">
        <v>209</v>
      </c>
      <c r="F22" s="251"/>
      <c r="H22" s="245" t="s">
        <v>210</v>
      </c>
      <c r="I22" s="245"/>
      <c r="J22" s="245"/>
      <c r="K22" s="245"/>
      <c r="L22" s="246"/>
      <c r="M22" s="247"/>
      <c r="N22" s="248"/>
      <c r="O22" s="245"/>
      <c r="P22" s="245"/>
      <c r="Q22" s="245"/>
    </row>
    <row r="23" spans="1:17" x14ac:dyDescent="0.25">
      <c r="A23" s="68" t="s">
        <v>211</v>
      </c>
      <c r="B23" s="251" t="s">
        <v>212</v>
      </c>
      <c r="C23" s="251"/>
      <c r="D23" s="251"/>
      <c r="E23" s="252">
        <v>0</v>
      </c>
      <c r="F23" s="251"/>
      <c r="H23" s="245" t="s">
        <v>213</v>
      </c>
      <c r="I23" s="245"/>
      <c r="J23" s="245"/>
      <c r="K23" s="245"/>
      <c r="L23" s="246"/>
      <c r="M23" s="247"/>
      <c r="N23" s="248"/>
      <c r="O23" s="245"/>
      <c r="P23" s="245"/>
      <c r="Q23" s="245"/>
    </row>
    <row r="24" spans="1:17" x14ac:dyDescent="0.25">
      <c r="A24" s="68" t="s">
        <v>214</v>
      </c>
      <c r="B24" s="251" t="s">
        <v>215</v>
      </c>
      <c r="C24" s="251"/>
      <c r="D24" s="251"/>
      <c r="E24" s="251" t="s">
        <v>216</v>
      </c>
      <c r="F24" s="251"/>
      <c r="H24" s="245"/>
      <c r="I24" s="245"/>
      <c r="J24" s="245"/>
      <c r="K24" s="245"/>
      <c r="L24" s="246"/>
      <c r="M24" s="247"/>
      <c r="N24" s="248"/>
      <c r="O24" s="245"/>
      <c r="P24" s="245"/>
      <c r="Q24" s="245"/>
    </row>
    <row r="25" spans="1:17" x14ac:dyDescent="0.25">
      <c r="A25" s="68" t="s">
        <v>217</v>
      </c>
      <c r="B25" s="251" t="s">
        <v>218</v>
      </c>
      <c r="C25" s="251"/>
      <c r="D25" s="251"/>
      <c r="E25" s="252">
        <v>1000</v>
      </c>
      <c r="F25" s="251"/>
      <c r="H25" s="245"/>
      <c r="I25" s="245"/>
      <c r="J25" s="245"/>
      <c r="K25" s="245"/>
      <c r="L25" s="246"/>
      <c r="M25" s="247"/>
      <c r="N25" s="248"/>
      <c r="O25" s="245"/>
      <c r="P25" s="245"/>
      <c r="Q25" s="245"/>
    </row>
    <row r="26" spans="1:17" x14ac:dyDescent="0.25">
      <c r="A26" s="83"/>
      <c r="B26" s="249"/>
      <c r="C26" s="249"/>
      <c r="D26" s="249"/>
      <c r="E26" s="249"/>
      <c r="F26" s="249"/>
    </row>
    <row r="27" spans="1:17" x14ac:dyDescent="0.25">
      <c r="A27" s="83"/>
      <c r="B27" s="249"/>
      <c r="C27" s="249"/>
      <c r="D27" s="249"/>
      <c r="E27" s="249"/>
      <c r="F27" s="249"/>
    </row>
    <row r="28" spans="1:17" x14ac:dyDescent="0.25">
      <c r="A28" s="83"/>
      <c r="B28" s="249"/>
      <c r="C28" s="249"/>
      <c r="D28" s="249"/>
      <c r="E28" s="249"/>
      <c r="F28" s="249"/>
    </row>
    <row r="29" spans="1:17" x14ac:dyDescent="0.25">
      <c r="A29" s="83"/>
      <c r="B29" s="249"/>
      <c r="C29" s="249"/>
      <c r="D29" s="249"/>
      <c r="E29" s="249"/>
      <c r="F29" s="249"/>
    </row>
    <row r="31" spans="1:17" ht="16.5" thickBot="1" x14ac:dyDescent="0.3"/>
    <row r="32" spans="1:17" x14ac:dyDescent="0.25">
      <c r="A32" s="82" t="s">
        <v>125</v>
      </c>
      <c r="B32" s="81" t="s">
        <v>112</v>
      </c>
      <c r="C32" s="80" t="s">
        <v>113</v>
      </c>
      <c r="D32" s="80" t="s">
        <v>114</v>
      </c>
      <c r="E32" s="80" t="s">
        <v>115</v>
      </c>
      <c r="F32" s="80" t="s">
        <v>116</v>
      </c>
      <c r="G32" s="80" t="s">
        <v>117</v>
      </c>
      <c r="H32" s="80" t="s">
        <v>118</v>
      </c>
      <c r="I32" s="80" t="s">
        <v>119</v>
      </c>
      <c r="J32" s="80" t="s">
        <v>120</v>
      </c>
      <c r="K32" s="80" t="s">
        <v>121</v>
      </c>
      <c r="L32" s="80" t="s">
        <v>122</v>
      </c>
      <c r="M32" s="80" t="s">
        <v>123</v>
      </c>
      <c r="N32" s="79" t="s">
        <v>104</v>
      </c>
      <c r="P32" s="246"/>
      <c r="Q32" s="248"/>
    </row>
    <row r="33" spans="1:17" x14ac:dyDescent="0.25">
      <c r="A33" s="78"/>
      <c r="B33" s="7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76"/>
      <c r="P33" s="246"/>
      <c r="Q33" s="248"/>
    </row>
    <row r="34" spans="1:17" ht="16.5" thickBot="1" x14ac:dyDescent="0.3">
      <c r="A34" s="75" t="s">
        <v>154</v>
      </c>
      <c r="B34" s="74">
        <v>292.5</v>
      </c>
      <c r="C34" s="73">
        <v>479.97</v>
      </c>
      <c r="D34" s="73">
        <v>667.43</v>
      </c>
      <c r="E34" s="73">
        <v>854.9</v>
      </c>
      <c r="F34" s="73">
        <v>1042.3599999999999</v>
      </c>
      <c r="G34" s="73">
        <v>1229.83</v>
      </c>
      <c r="H34" s="73">
        <v>1417.3</v>
      </c>
      <c r="I34" s="73">
        <v>1604.76</v>
      </c>
      <c r="J34" s="73">
        <v>1792.23</v>
      </c>
      <c r="K34" s="73">
        <v>1979.69</v>
      </c>
      <c r="L34" s="73">
        <v>2167.16</v>
      </c>
      <c r="M34" s="73">
        <v>2354.63</v>
      </c>
      <c r="N34" s="72">
        <f>SUM(B34:M34)</f>
        <v>15882.760000000002</v>
      </c>
      <c r="P34" s="246"/>
      <c r="Q34" s="248"/>
    </row>
    <row r="35" spans="1:17" ht="16.5" thickBot="1" x14ac:dyDescent="0.3">
      <c r="P35" s="246"/>
      <c r="Q35" s="248"/>
    </row>
    <row r="36" spans="1:17" ht="16.5" thickBot="1" x14ac:dyDescent="0.3">
      <c r="A36" s="242" t="s">
        <v>219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4"/>
      <c r="P36" s="246"/>
      <c r="Q36" s="248"/>
    </row>
    <row r="37" spans="1:17" x14ac:dyDescent="0.25">
      <c r="A37" s="71" t="s">
        <v>220</v>
      </c>
      <c r="B37" s="98">
        <v>750</v>
      </c>
      <c r="C37" s="98">
        <v>750</v>
      </c>
      <c r="D37" s="98">
        <v>500</v>
      </c>
      <c r="E37" s="98">
        <v>500</v>
      </c>
      <c r="F37" s="98">
        <v>500</v>
      </c>
      <c r="G37" s="98">
        <v>500</v>
      </c>
      <c r="H37" s="98">
        <v>500</v>
      </c>
      <c r="I37" s="98">
        <v>500</v>
      </c>
      <c r="J37" s="98">
        <v>500</v>
      </c>
      <c r="K37" s="70"/>
      <c r="L37" s="70"/>
      <c r="M37" s="70"/>
      <c r="N37" s="69">
        <f>SUM(B37:M37)</f>
        <v>5000</v>
      </c>
      <c r="P37" s="246"/>
      <c r="Q37" s="248"/>
    </row>
    <row r="38" spans="1:17" x14ac:dyDescent="0.25">
      <c r="A38" s="68" t="s">
        <v>221</v>
      </c>
      <c r="B38" s="67">
        <v>1500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5">
        <f>SUM(B38:M38)</f>
        <v>1500</v>
      </c>
      <c r="P38" s="246"/>
      <c r="Q38" s="248"/>
    </row>
    <row r="39" spans="1:17" x14ac:dyDescent="0.25">
      <c r="A39" s="68" t="s">
        <v>222</v>
      </c>
      <c r="B39" s="67">
        <v>500</v>
      </c>
      <c r="C39" s="67">
        <v>500</v>
      </c>
      <c r="D39" s="67">
        <v>500</v>
      </c>
      <c r="E39" s="67">
        <v>500</v>
      </c>
      <c r="F39" s="67">
        <v>500</v>
      </c>
      <c r="G39" s="67">
        <v>500</v>
      </c>
      <c r="H39" s="67">
        <v>500</v>
      </c>
      <c r="I39" s="67">
        <v>500</v>
      </c>
      <c r="J39" s="67">
        <v>500</v>
      </c>
      <c r="K39" s="67">
        <v>500</v>
      </c>
      <c r="L39" s="67">
        <v>500</v>
      </c>
      <c r="M39" s="67">
        <v>500</v>
      </c>
      <c r="N39" s="65">
        <f>SUM(B39:M39)</f>
        <v>6000</v>
      </c>
      <c r="P39" s="246" t="s">
        <v>223</v>
      </c>
      <c r="Q39" s="248"/>
    </row>
    <row r="40" spans="1:17" x14ac:dyDescent="0.25">
      <c r="A40" s="68" t="s">
        <v>224</v>
      </c>
      <c r="B40" s="67">
        <v>500</v>
      </c>
      <c r="C40" s="67">
        <v>500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5">
        <f>SUM(B40:C40)</f>
        <v>1000</v>
      </c>
      <c r="P40" s="246"/>
      <c r="Q40" s="248"/>
    </row>
    <row r="41" spans="1:17" ht="16.5" thickBot="1" x14ac:dyDescent="0.3">
      <c r="A41" s="64" t="s">
        <v>225</v>
      </c>
      <c r="B41" s="97">
        <v>100</v>
      </c>
      <c r="C41" s="97">
        <v>100</v>
      </c>
      <c r="D41" s="97">
        <v>100</v>
      </c>
      <c r="E41" s="97">
        <v>100</v>
      </c>
      <c r="F41" s="97">
        <v>100</v>
      </c>
      <c r="G41" s="97">
        <v>100</v>
      </c>
      <c r="H41" s="97">
        <v>100</v>
      </c>
      <c r="I41" s="97">
        <v>100</v>
      </c>
      <c r="J41" s="97">
        <v>100</v>
      </c>
      <c r="K41" s="97">
        <v>100</v>
      </c>
      <c r="L41" s="97">
        <v>100</v>
      </c>
      <c r="M41" s="97">
        <v>100</v>
      </c>
      <c r="N41" s="63">
        <f>SUM(B41:M41)</f>
        <v>1200</v>
      </c>
      <c r="P41" s="246"/>
      <c r="Q41" s="248"/>
    </row>
    <row r="42" spans="1:17" ht="16.5" thickBot="1" x14ac:dyDescent="0.3">
      <c r="A42" s="62" t="s">
        <v>226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0">
        <f>SUM(N37:N41)</f>
        <v>14700</v>
      </c>
      <c r="P42" s="246"/>
      <c r="Q42" s="248"/>
    </row>
    <row r="43" spans="1:17" x14ac:dyDescent="0.25">
      <c r="P43" s="246"/>
      <c r="Q43" s="248"/>
    </row>
    <row r="44" spans="1:17" x14ac:dyDescent="0.25">
      <c r="P44" s="246"/>
      <c r="Q44" s="248"/>
    </row>
    <row r="45" spans="1:17" ht="16.5" thickBot="1" x14ac:dyDescent="0.3">
      <c r="P45" s="246"/>
      <c r="Q45" s="248"/>
    </row>
    <row r="46" spans="1:17" x14ac:dyDescent="0.25">
      <c r="A46" s="82" t="s">
        <v>126</v>
      </c>
      <c r="B46" s="81" t="s">
        <v>112</v>
      </c>
      <c r="C46" s="80" t="s">
        <v>113</v>
      </c>
      <c r="D46" s="80" t="s">
        <v>114</v>
      </c>
      <c r="E46" s="80" t="s">
        <v>115</v>
      </c>
      <c r="F46" s="80" t="s">
        <v>116</v>
      </c>
      <c r="G46" s="80" t="s">
        <v>117</v>
      </c>
      <c r="H46" s="80" t="s">
        <v>118</v>
      </c>
      <c r="I46" s="80" t="s">
        <v>119</v>
      </c>
      <c r="J46" s="80" t="s">
        <v>120</v>
      </c>
      <c r="K46" s="80" t="s">
        <v>121</v>
      </c>
      <c r="L46" s="80" t="s">
        <v>122</v>
      </c>
      <c r="M46" s="80" t="s">
        <v>123</v>
      </c>
      <c r="N46" s="79" t="s">
        <v>104</v>
      </c>
      <c r="P46" s="246"/>
      <c r="Q46" s="248"/>
    </row>
    <row r="47" spans="1:17" x14ac:dyDescent="0.25">
      <c r="A47" s="78"/>
      <c r="B47" s="77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76"/>
      <c r="P47" s="246"/>
      <c r="Q47" s="248"/>
    </row>
    <row r="48" spans="1:17" ht="16.5" thickBot="1" x14ac:dyDescent="0.3">
      <c r="A48" s="75" t="s">
        <v>154</v>
      </c>
      <c r="B48" s="95">
        <f>'GuV Tabelle'!O6</f>
        <v>2085.2223325090908</v>
      </c>
      <c r="C48" s="95">
        <f>'GuV Tabelle'!P6</f>
        <v>2292.1693097256202</v>
      </c>
      <c r="D48" s="95">
        <f>'GuV Tabelle'!Q6</f>
        <v>2499.1162869421487</v>
      </c>
      <c r="E48" s="95">
        <f>'GuV Tabelle'!R6</f>
        <v>2706.0632641586776</v>
      </c>
      <c r="F48" s="95">
        <f>'GuV Tabelle'!S6</f>
        <v>2913.0102413752065</v>
      </c>
      <c r="G48" s="95">
        <f>'GuV Tabelle'!T6</f>
        <v>3119.9572185917359</v>
      </c>
      <c r="H48" s="95">
        <f>'GuV Tabelle'!U6</f>
        <v>3326.9041958082648</v>
      </c>
      <c r="I48" s="95">
        <f>'GuV Tabelle'!V6</f>
        <v>3533.8511730247933</v>
      </c>
      <c r="J48" s="95">
        <f>'GuV Tabelle'!W6</f>
        <v>3740.7981502413222</v>
      </c>
      <c r="K48" s="95">
        <f>'GuV Tabelle'!X6</f>
        <v>3947.7451274578511</v>
      </c>
      <c r="L48" s="95">
        <f>'GuV Tabelle'!Y6</f>
        <v>4154.692104674381</v>
      </c>
      <c r="M48" s="95">
        <f>'GuV Tabelle'!Z6</f>
        <v>4361.6390818909094</v>
      </c>
      <c r="N48" s="96">
        <f>SUM(B48:M48)</f>
        <v>38681.168486399998</v>
      </c>
      <c r="P48" s="246"/>
      <c r="Q48" s="248"/>
    </row>
    <row r="49" spans="1:17" ht="16.5" thickBot="1" x14ac:dyDescent="0.3">
      <c r="P49" s="246"/>
      <c r="Q49" s="248"/>
    </row>
    <row r="50" spans="1:17" ht="16.5" thickBot="1" x14ac:dyDescent="0.3">
      <c r="A50" s="242" t="s">
        <v>219</v>
      </c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4"/>
      <c r="P50" s="246"/>
      <c r="Q50" s="248"/>
    </row>
    <row r="51" spans="1:17" x14ac:dyDescent="0.25">
      <c r="A51" s="71" t="s">
        <v>220</v>
      </c>
      <c r="B51" s="98">
        <v>750</v>
      </c>
      <c r="C51" s="98">
        <v>750</v>
      </c>
      <c r="D51" s="98">
        <v>500</v>
      </c>
      <c r="E51" s="98">
        <v>500</v>
      </c>
      <c r="F51" s="98">
        <v>500</v>
      </c>
      <c r="G51" s="98">
        <v>500</v>
      </c>
      <c r="H51" s="98">
        <v>500</v>
      </c>
      <c r="I51" s="98">
        <v>500</v>
      </c>
      <c r="J51" s="98">
        <v>500</v>
      </c>
      <c r="K51" s="70"/>
      <c r="L51" s="70"/>
      <c r="M51" s="70"/>
      <c r="N51" s="69">
        <f>SUM(B51:M51)</f>
        <v>5000</v>
      </c>
      <c r="P51" s="246"/>
      <c r="Q51" s="248"/>
    </row>
    <row r="52" spans="1:17" x14ac:dyDescent="0.25">
      <c r="A52" s="68" t="s">
        <v>221</v>
      </c>
      <c r="B52" s="67">
        <v>500</v>
      </c>
      <c r="C52" s="66"/>
      <c r="D52" s="66"/>
      <c r="E52" s="66"/>
      <c r="F52" s="107">
        <v>500</v>
      </c>
      <c r="G52" s="66"/>
      <c r="H52" s="66"/>
      <c r="I52" s="66"/>
      <c r="J52" s="66"/>
      <c r="K52" s="66"/>
      <c r="L52" s="66"/>
      <c r="M52" s="66"/>
      <c r="N52" s="65">
        <f>SUM(B52:M52)</f>
        <v>1000</v>
      </c>
      <c r="P52" s="246"/>
      <c r="Q52" s="248"/>
    </row>
    <row r="53" spans="1:17" x14ac:dyDescent="0.25">
      <c r="A53" s="68" t="s">
        <v>222</v>
      </c>
      <c r="B53" s="67">
        <v>200</v>
      </c>
      <c r="C53" s="67">
        <v>200</v>
      </c>
      <c r="D53" s="67">
        <v>200</v>
      </c>
      <c r="E53" s="67">
        <v>200</v>
      </c>
      <c r="F53" s="67">
        <v>200</v>
      </c>
      <c r="G53" s="67">
        <v>200</v>
      </c>
      <c r="H53" s="67">
        <v>200</v>
      </c>
      <c r="I53" s="67">
        <v>200</v>
      </c>
      <c r="J53" s="67">
        <v>200</v>
      </c>
      <c r="K53" s="67">
        <v>200</v>
      </c>
      <c r="L53" s="67">
        <v>200</v>
      </c>
      <c r="M53" s="67">
        <v>200</v>
      </c>
      <c r="N53" s="65">
        <f>SUM(B53:M53)</f>
        <v>2400</v>
      </c>
      <c r="P53" s="246" t="s">
        <v>227</v>
      </c>
      <c r="Q53" s="248"/>
    </row>
    <row r="54" spans="1:17" x14ac:dyDescent="0.25">
      <c r="A54" s="68" t="s">
        <v>224</v>
      </c>
      <c r="B54" s="67"/>
      <c r="C54" s="67"/>
      <c r="D54" s="66"/>
      <c r="E54" s="67">
        <v>500</v>
      </c>
      <c r="F54" s="67">
        <v>500</v>
      </c>
      <c r="G54" s="66"/>
      <c r="H54" s="66"/>
      <c r="I54" s="66"/>
      <c r="J54" s="66"/>
      <c r="K54" s="66"/>
      <c r="L54" s="66"/>
      <c r="M54" s="66"/>
      <c r="N54" s="65">
        <f>SUM(B54:M54)</f>
        <v>1000</v>
      </c>
      <c r="P54" s="246" t="s">
        <v>228</v>
      </c>
      <c r="Q54" s="248"/>
    </row>
    <row r="55" spans="1:17" ht="16.5" thickBot="1" x14ac:dyDescent="0.3">
      <c r="A55" s="64" t="s">
        <v>225</v>
      </c>
      <c r="B55" s="97">
        <v>100</v>
      </c>
      <c r="C55" s="97">
        <v>100</v>
      </c>
      <c r="D55" s="97">
        <v>100</v>
      </c>
      <c r="E55" s="97">
        <v>100</v>
      </c>
      <c r="F55" s="97">
        <v>100</v>
      </c>
      <c r="G55" s="97">
        <v>100</v>
      </c>
      <c r="H55" s="97">
        <v>100</v>
      </c>
      <c r="I55" s="97">
        <v>100</v>
      </c>
      <c r="J55" s="97">
        <v>100</v>
      </c>
      <c r="K55" s="97">
        <v>100</v>
      </c>
      <c r="L55" s="97">
        <v>100</v>
      </c>
      <c r="M55" s="97">
        <v>100</v>
      </c>
      <c r="N55" s="63">
        <f>SUM(B55:M55)</f>
        <v>1200</v>
      </c>
      <c r="P55" s="246"/>
      <c r="Q55" s="248"/>
    </row>
    <row r="56" spans="1:17" ht="16.5" thickBot="1" x14ac:dyDescent="0.3">
      <c r="A56" s="62" t="s">
        <v>226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0">
        <f>SUM(N51:N55)</f>
        <v>10600</v>
      </c>
      <c r="P56" s="246"/>
      <c r="Q56" s="248"/>
    </row>
    <row r="57" spans="1:17" x14ac:dyDescent="0.25">
      <c r="P57" s="246"/>
      <c r="Q57" s="248"/>
    </row>
    <row r="58" spans="1:17" x14ac:dyDescent="0.25">
      <c r="P58" s="246"/>
      <c r="Q58" s="248"/>
    </row>
    <row r="59" spans="1:17" ht="16.5" thickBot="1" x14ac:dyDescent="0.3">
      <c r="P59" s="246"/>
      <c r="Q59" s="248"/>
    </row>
    <row r="60" spans="1:17" x14ac:dyDescent="0.25">
      <c r="A60" s="82" t="s">
        <v>127</v>
      </c>
      <c r="B60" s="81" t="s">
        <v>112</v>
      </c>
      <c r="C60" s="80" t="s">
        <v>113</v>
      </c>
      <c r="D60" s="80" t="s">
        <v>114</v>
      </c>
      <c r="E60" s="80" t="s">
        <v>115</v>
      </c>
      <c r="F60" s="80" t="s">
        <v>116</v>
      </c>
      <c r="G60" s="80" t="s">
        <v>117</v>
      </c>
      <c r="H60" s="80" t="s">
        <v>118</v>
      </c>
      <c r="I60" s="80" t="s">
        <v>119</v>
      </c>
      <c r="J60" s="80" t="s">
        <v>120</v>
      </c>
      <c r="K60" s="80" t="s">
        <v>121</v>
      </c>
      <c r="L60" s="80" t="s">
        <v>122</v>
      </c>
      <c r="M60" s="80" t="s">
        <v>123</v>
      </c>
      <c r="N60" s="79" t="s">
        <v>104</v>
      </c>
      <c r="P60" s="246"/>
      <c r="Q60" s="248"/>
    </row>
    <row r="61" spans="1:17" x14ac:dyDescent="0.25">
      <c r="A61" s="78"/>
      <c r="B61" s="77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76"/>
      <c r="P61" s="246"/>
      <c r="Q61" s="248"/>
    </row>
    <row r="62" spans="1:17" ht="16.5" thickBot="1" x14ac:dyDescent="0.3">
      <c r="A62" s="75" t="s">
        <v>154</v>
      </c>
      <c r="B62" s="95">
        <f>'GuV Tabelle'!AA6</f>
        <v>5078.5860591074379</v>
      </c>
      <c r="C62" s="95">
        <f>'GuV Tabelle'!AB6</f>
        <v>5401.0948687242671</v>
      </c>
      <c r="D62" s="95">
        <f>'GuV Tabelle'!AC6</f>
        <v>5723.6036783410973</v>
      </c>
      <c r="E62" s="95">
        <f>'GuV Tabelle'!AD6</f>
        <v>6046.1124879579265</v>
      </c>
      <c r="F62" s="95">
        <f>'GuV Tabelle'!AE6</f>
        <v>6368.6212975747567</v>
      </c>
      <c r="G62" s="95">
        <f>'GuV Tabelle'!AF6</f>
        <v>6891.130107191585</v>
      </c>
      <c r="H62" s="95">
        <f>'GuV Tabelle'!AG6</f>
        <v>7213.6389168084152</v>
      </c>
      <c r="I62" s="95">
        <f>'GuV Tabelle'!AH6</f>
        <v>7536.1477264252444</v>
      </c>
      <c r="J62" s="95">
        <f>'GuV Tabelle'!AI6</f>
        <v>7858.6565360420736</v>
      </c>
      <c r="K62" s="95">
        <f>'GuV Tabelle'!AJ6</f>
        <v>8181.1653456589038</v>
      </c>
      <c r="L62" s="95">
        <f>'GuV Tabelle'!AK6</f>
        <v>8503.6741552757321</v>
      </c>
      <c r="M62" s="95">
        <f>'GuV Tabelle'!AL6</f>
        <v>8826.1829648925632</v>
      </c>
      <c r="N62" s="72">
        <f>SUM(B62:M62)</f>
        <v>83628.614143999992</v>
      </c>
      <c r="P62" s="246"/>
      <c r="Q62" s="248"/>
    </row>
    <row r="63" spans="1:17" ht="16.5" thickBot="1" x14ac:dyDescent="0.3">
      <c r="P63" s="246"/>
      <c r="Q63" s="248"/>
    </row>
    <row r="64" spans="1:17" ht="16.5" thickBot="1" x14ac:dyDescent="0.3">
      <c r="A64" s="242" t="s">
        <v>219</v>
      </c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4"/>
      <c r="P64" s="246"/>
      <c r="Q64" s="248"/>
    </row>
    <row r="65" spans="1:17" x14ac:dyDescent="0.25">
      <c r="A65" s="71" t="s">
        <v>220</v>
      </c>
      <c r="B65" s="98">
        <v>1000</v>
      </c>
      <c r="C65" s="98">
        <v>1000</v>
      </c>
      <c r="D65" s="98">
        <v>1000</v>
      </c>
      <c r="E65" s="98">
        <v>1000</v>
      </c>
      <c r="F65" s="98">
        <v>500</v>
      </c>
      <c r="G65" s="98">
        <v>500</v>
      </c>
      <c r="H65" s="98">
        <v>500</v>
      </c>
      <c r="I65" s="98">
        <v>1000</v>
      </c>
      <c r="J65" s="98">
        <v>1000</v>
      </c>
      <c r="K65" s="70"/>
      <c r="L65" s="70"/>
      <c r="M65" s="70"/>
      <c r="N65" s="69">
        <f>SUM(B65:M65)</f>
        <v>7500</v>
      </c>
      <c r="P65" s="246" t="s">
        <v>229</v>
      </c>
      <c r="Q65" s="248"/>
    </row>
    <row r="66" spans="1:17" x14ac:dyDescent="0.25">
      <c r="A66" s="68" t="s">
        <v>221</v>
      </c>
      <c r="B66" s="67"/>
      <c r="C66" s="66"/>
      <c r="D66" s="66"/>
      <c r="E66" s="66"/>
      <c r="F66" s="107">
        <v>750</v>
      </c>
      <c r="G66" s="112">
        <v>750</v>
      </c>
      <c r="H66" s="66"/>
      <c r="I66" s="66"/>
      <c r="J66" s="66"/>
      <c r="K66" s="66"/>
      <c r="L66" s="66"/>
      <c r="M66" s="66"/>
      <c r="N66" s="65">
        <f>SUM(B66:M66)</f>
        <v>1500</v>
      </c>
      <c r="P66" s="246"/>
      <c r="Q66" s="248"/>
    </row>
    <row r="67" spans="1:17" x14ac:dyDescent="0.25">
      <c r="A67" s="68" t="s">
        <v>222</v>
      </c>
      <c r="B67" s="67">
        <v>300</v>
      </c>
      <c r="C67" s="67">
        <v>300</v>
      </c>
      <c r="D67" s="67">
        <v>300</v>
      </c>
      <c r="E67" s="67">
        <v>300</v>
      </c>
      <c r="F67" s="67">
        <v>300</v>
      </c>
      <c r="G67" s="67">
        <v>300</v>
      </c>
      <c r="H67" s="67">
        <v>300</v>
      </c>
      <c r="I67" s="67">
        <v>300</v>
      </c>
      <c r="J67" s="67">
        <v>300</v>
      </c>
      <c r="K67" s="67">
        <v>300</v>
      </c>
      <c r="L67" s="67">
        <v>300</v>
      </c>
      <c r="M67" s="67">
        <v>300</v>
      </c>
      <c r="N67" s="65">
        <f>SUM(B67:M67)</f>
        <v>3600</v>
      </c>
      <c r="P67" s="246"/>
      <c r="Q67" s="248"/>
    </row>
    <row r="68" spans="1:17" x14ac:dyDescent="0.25">
      <c r="A68" s="68" t="s">
        <v>224</v>
      </c>
      <c r="B68" s="67">
        <v>500</v>
      </c>
      <c r="C68" s="67"/>
      <c r="D68" s="66"/>
      <c r="E68" s="111">
        <v>400</v>
      </c>
      <c r="F68" s="67">
        <v>0</v>
      </c>
      <c r="G68" s="111">
        <v>400</v>
      </c>
      <c r="H68" s="66"/>
      <c r="I68" s="66"/>
      <c r="J68" s="67">
        <v>1000</v>
      </c>
      <c r="K68" s="66"/>
      <c r="L68" s="66"/>
      <c r="M68" s="67">
        <v>500</v>
      </c>
      <c r="N68" s="65">
        <f>SUM(B68:M68)</f>
        <v>2800</v>
      </c>
      <c r="P68" s="246" t="s">
        <v>230</v>
      </c>
      <c r="Q68" s="248"/>
    </row>
    <row r="69" spans="1:17" ht="16.5" thickBot="1" x14ac:dyDescent="0.3">
      <c r="A69" s="64" t="s">
        <v>225</v>
      </c>
      <c r="B69" s="97">
        <v>100</v>
      </c>
      <c r="C69" s="97">
        <v>100</v>
      </c>
      <c r="D69" s="97">
        <v>100</v>
      </c>
      <c r="E69" s="97">
        <v>100</v>
      </c>
      <c r="F69" s="97">
        <v>100</v>
      </c>
      <c r="G69" s="97">
        <v>100</v>
      </c>
      <c r="H69" s="97">
        <v>100</v>
      </c>
      <c r="I69" s="97">
        <v>100</v>
      </c>
      <c r="J69" s="97">
        <v>100</v>
      </c>
      <c r="K69" s="97">
        <v>100</v>
      </c>
      <c r="L69" s="97">
        <v>100</v>
      </c>
      <c r="M69" s="97">
        <v>100</v>
      </c>
      <c r="N69" s="63">
        <f>SUM(B69:M69)</f>
        <v>1200</v>
      </c>
      <c r="P69" s="246"/>
      <c r="Q69" s="248"/>
    </row>
    <row r="70" spans="1:17" ht="16.5" thickBot="1" x14ac:dyDescent="0.3">
      <c r="A70" s="62" t="s">
        <v>226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0">
        <f>SUM(N65:N69)</f>
        <v>16600</v>
      </c>
      <c r="P70" s="246"/>
      <c r="Q70" s="248"/>
    </row>
  </sheetData>
  <mergeCells count="93">
    <mergeCell ref="P69:Q69"/>
    <mergeCell ref="P70:Q70"/>
    <mergeCell ref="P64:Q64"/>
    <mergeCell ref="P65:Q65"/>
    <mergeCell ref="P66:Q66"/>
    <mergeCell ref="P67:Q67"/>
    <mergeCell ref="P68:Q68"/>
    <mergeCell ref="P59:Q59"/>
    <mergeCell ref="P60:Q60"/>
    <mergeCell ref="P61:Q61"/>
    <mergeCell ref="P62:Q62"/>
    <mergeCell ref="P63:Q63"/>
    <mergeCell ref="P54:Q54"/>
    <mergeCell ref="P55:Q55"/>
    <mergeCell ref="P56:Q56"/>
    <mergeCell ref="P57:Q57"/>
    <mergeCell ref="P58:Q58"/>
    <mergeCell ref="P49:Q49"/>
    <mergeCell ref="P50:Q50"/>
    <mergeCell ref="P51:Q51"/>
    <mergeCell ref="P52:Q52"/>
    <mergeCell ref="P53:Q53"/>
    <mergeCell ref="P44:Q44"/>
    <mergeCell ref="P45:Q45"/>
    <mergeCell ref="P46:Q46"/>
    <mergeCell ref="P47:Q47"/>
    <mergeCell ref="P48:Q48"/>
    <mergeCell ref="O22:Q22"/>
    <mergeCell ref="O23:Q23"/>
    <mergeCell ref="O24:Q24"/>
    <mergeCell ref="O25:Q25"/>
    <mergeCell ref="P43:Q43"/>
    <mergeCell ref="A50:N50"/>
    <mergeCell ref="A64:N64"/>
    <mergeCell ref="H18:Q18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O20:Q20"/>
    <mergeCell ref="O21:Q21"/>
    <mergeCell ref="A3:F4"/>
    <mergeCell ref="A7:F7"/>
    <mergeCell ref="A9:F9"/>
    <mergeCell ref="A10:F10"/>
    <mergeCell ref="A11:F11"/>
    <mergeCell ref="A12:F12"/>
    <mergeCell ref="A13:F13"/>
    <mergeCell ref="A14:F14"/>
    <mergeCell ref="B18:D18"/>
    <mergeCell ref="E18:F18"/>
    <mergeCell ref="A16:F16"/>
    <mergeCell ref="E28:F28"/>
    <mergeCell ref="B22:D22"/>
    <mergeCell ref="E23:F23"/>
    <mergeCell ref="B24:D24"/>
    <mergeCell ref="E24:F24"/>
    <mergeCell ref="B25:D25"/>
    <mergeCell ref="E25:F25"/>
    <mergeCell ref="H20:K20"/>
    <mergeCell ref="L20:N20"/>
    <mergeCell ref="B23:D23"/>
    <mergeCell ref="H21:K21"/>
    <mergeCell ref="H22:K22"/>
    <mergeCell ref="E22:F22"/>
    <mergeCell ref="A19:F19"/>
    <mergeCell ref="B20:D20"/>
    <mergeCell ref="E20:F20"/>
    <mergeCell ref="B21:D21"/>
    <mergeCell ref="E21:F21"/>
    <mergeCell ref="A36:N36"/>
    <mergeCell ref="H23:K23"/>
    <mergeCell ref="H24:K24"/>
    <mergeCell ref="L21:N21"/>
    <mergeCell ref="L22:N22"/>
    <mergeCell ref="L23:N23"/>
    <mergeCell ref="L24:N24"/>
    <mergeCell ref="B29:D29"/>
    <mergeCell ref="E29:F29"/>
    <mergeCell ref="B26:D26"/>
    <mergeCell ref="E26:F26"/>
    <mergeCell ref="B27:D27"/>
    <mergeCell ref="H25:K25"/>
    <mergeCell ref="L25:N25"/>
    <mergeCell ref="E27:F27"/>
    <mergeCell ref="B28:D28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Legende</vt:lpstr>
      <vt:lpstr>Allgemein</vt:lpstr>
      <vt:lpstr>Strompreis</vt:lpstr>
      <vt:lpstr>Schätzung Wallboxbesitzer</vt:lpstr>
      <vt:lpstr>Nachfrage Jahr 1</vt:lpstr>
      <vt:lpstr>Nachfrage Jahr 2</vt:lpstr>
      <vt:lpstr>Nachfrage Jahr 3</vt:lpstr>
      <vt:lpstr>Angebotsentwicklung</vt:lpstr>
      <vt:lpstr>Angebot und Nachfrage</vt:lpstr>
      <vt:lpstr>Umsatz Detail</vt:lpstr>
      <vt:lpstr>GuV Tabelle</vt:lpstr>
      <vt:lpstr>Break Even Analysis</vt:lpstr>
      <vt:lpstr>Marketingplan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 Maresch</dc:creator>
  <cp:keywords/>
  <dc:description/>
  <cp:lastModifiedBy>Valentin Maresch</cp:lastModifiedBy>
  <cp:revision/>
  <cp:lastPrinted>2026-01-04T10:37:44Z</cp:lastPrinted>
  <dcterms:created xsi:type="dcterms:W3CDTF">2025-11-10T19:06:21Z</dcterms:created>
  <dcterms:modified xsi:type="dcterms:W3CDTF">2026-01-04T10:43:19Z</dcterms:modified>
  <cp:category/>
  <cp:contentStatus/>
</cp:coreProperties>
</file>