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2x\emt-bootcamp\Support\"/>
    </mc:Choice>
  </mc:AlternateContent>
  <xr:revisionPtr revIDLastSave="0" documentId="13_ncr:1_{6043CF7A-9568-4C49-BD28-11237C08EC52}" xr6:coauthVersionLast="47" xr6:coauthVersionMax="47" xr10:uidLastSave="{00000000-0000-0000-0000-000000000000}"/>
  <bookViews>
    <workbookView xWindow="8460" yWindow="10580" windowWidth="21200" windowHeight="13810" activeTab="4" xr2:uid="{A8C2E3F1-142E-440E-A762-DE7B4CF8E5D3}"/>
  </bookViews>
  <sheets>
    <sheet name="COMTRADE" sheetId="1" r:id="rId1"/>
    <sheet name="Source" sheetId="2" r:id="rId2"/>
    <sheet name="Weak" sheetId="3" r:id="rId3"/>
    <sheet name="StepSCR" sheetId="4" r:id="rId4"/>
    <sheet name="IEEE39m" sheetId="5" r:id="rId5"/>
  </sheets>
  <definedNames>
    <definedName name="Dmax">COMTRADE!$N$2</definedName>
    <definedName name="Dmin">COMTRADE!$N$1</definedName>
    <definedName name="Ibase">COMTRADE!$N$5</definedName>
    <definedName name="IpuMax">COMTRADE!$N$10</definedName>
    <definedName name="Iscale">COMTRADE!$N$7</definedName>
    <definedName name="kvb">IEEE39m!$AF$1</definedName>
    <definedName name="mips">IEEE39m!$AJ$1</definedName>
    <definedName name="sb">IEEE39m!$AG$1</definedName>
    <definedName name="Splant">COMTRADE!$N$3</definedName>
    <definedName name="SpuMax">COMTRADE!$N$11</definedName>
    <definedName name="Sscale">COMTRADE!$N$8</definedName>
    <definedName name="Vpoc">COMTRADE!$N$4</definedName>
    <definedName name="VpuMax">COMTRADE!$N$9</definedName>
    <definedName name="Vscale">COMTRADE!$N$6</definedName>
    <definedName name="wb">IEEE39m!$AH$1</definedName>
    <definedName name="XS" localSheetId="3">StepSCR!$J$6</definedName>
    <definedName name="XS" localSheetId="2">Weak!$F$5</definedName>
    <definedName name="XS">Source!$F$5</definedName>
    <definedName name="zb">IEEE39m!$AI$1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5" l="1"/>
  <c r="M5" i="5"/>
  <c r="M12" i="5"/>
  <c r="M4" i="5"/>
  <c r="M7" i="5"/>
  <c r="M6" i="5"/>
  <c r="M9" i="5"/>
  <c r="M8" i="5"/>
  <c r="M11" i="5"/>
  <c r="M3" i="5"/>
  <c r="M10" i="5"/>
  <c r="AI1" i="5"/>
  <c r="AH1" i="5"/>
  <c r="AG46" i="5" s="1"/>
  <c r="R42" i="5"/>
  <c r="Q42" i="5"/>
  <c r="C14" i="5" s="1"/>
  <c r="L13" i="5"/>
  <c r="L15" i="5" s="1"/>
  <c r="C13" i="5"/>
  <c r="F13" i="5"/>
  <c r="F10" i="4"/>
  <c r="D10" i="4"/>
  <c r="B10" i="4"/>
  <c r="C10" i="4" s="1"/>
  <c r="G12" i="4"/>
  <c r="E12" i="4"/>
  <c r="F11" i="4"/>
  <c r="F9" i="4"/>
  <c r="F8" i="4"/>
  <c r="F7" i="4"/>
  <c r="F6" i="4"/>
  <c r="F5" i="4"/>
  <c r="F4" i="4"/>
  <c r="D11" i="4"/>
  <c r="D9" i="4"/>
  <c r="D8" i="4"/>
  <c r="D7" i="4"/>
  <c r="D6" i="4"/>
  <c r="D5" i="4"/>
  <c r="D4" i="4"/>
  <c r="B11" i="4"/>
  <c r="C11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E3" i="4" s="1"/>
  <c r="F9" i="3"/>
  <c r="F7" i="3"/>
  <c r="F3" i="3"/>
  <c r="F5" i="3" s="1"/>
  <c r="F9" i="2"/>
  <c r="F7" i="2"/>
  <c r="G9" i="1"/>
  <c r="G10" i="1" s="1"/>
  <c r="H11" i="1"/>
  <c r="I11" i="1" s="1"/>
  <c r="G8" i="1"/>
  <c r="G2" i="1"/>
  <c r="G4" i="1" s="1"/>
  <c r="N5" i="1"/>
  <c r="G5" i="1" s="1"/>
  <c r="G6" i="1" s="1"/>
  <c r="B5" i="2"/>
  <c r="C5" i="2" s="1"/>
  <c r="B4" i="2"/>
  <c r="C4" i="2" s="1"/>
  <c r="B3" i="2"/>
  <c r="C3" i="2" s="1"/>
  <c r="B2" i="2"/>
  <c r="C2" i="2" s="1"/>
  <c r="F5" i="2"/>
  <c r="F4" i="2"/>
  <c r="F3" i="2"/>
  <c r="AG5" i="5" l="1"/>
  <c r="AG47" i="5"/>
  <c r="AF32" i="5"/>
  <c r="AG26" i="5"/>
  <c r="C15" i="5"/>
  <c r="AG27" i="5"/>
  <c r="AG8" i="5"/>
  <c r="AG9" i="5"/>
  <c r="AH9" i="5" s="1"/>
  <c r="AG29" i="5"/>
  <c r="AF11" i="5"/>
  <c r="AG14" i="5"/>
  <c r="AG37" i="5"/>
  <c r="AG6" i="5"/>
  <c r="AG28" i="5"/>
  <c r="AG38" i="5"/>
  <c r="AF24" i="5"/>
  <c r="AG17" i="5"/>
  <c r="AG40" i="5"/>
  <c r="AF16" i="5"/>
  <c r="AG15" i="5"/>
  <c r="AG18" i="5"/>
  <c r="AG41" i="5"/>
  <c r="AG10" i="5"/>
  <c r="AG30" i="5"/>
  <c r="AF48" i="5"/>
  <c r="AG11" i="5"/>
  <c r="AG20" i="5"/>
  <c r="AG31" i="5"/>
  <c r="AG44" i="5"/>
  <c r="AF47" i="5"/>
  <c r="AG3" i="5"/>
  <c r="AG12" i="5"/>
  <c r="AG21" i="5"/>
  <c r="AG32" i="5"/>
  <c r="AI32" i="5" s="1"/>
  <c r="AJ32" i="5" s="1"/>
  <c r="AG45" i="5"/>
  <c r="AF40" i="5"/>
  <c r="AG19" i="5"/>
  <c r="AG42" i="5"/>
  <c r="AF9" i="5"/>
  <c r="AG4" i="5"/>
  <c r="AG13" i="5"/>
  <c r="AG25" i="5"/>
  <c r="AG33" i="5"/>
  <c r="AF10" i="5"/>
  <c r="AF17" i="5"/>
  <c r="AI17" i="5" s="1"/>
  <c r="AJ17" i="5" s="1"/>
  <c r="AF25" i="5"/>
  <c r="AF33" i="5"/>
  <c r="AF41" i="5"/>
  <c r="AF26" i="5"/>
  <c r="AI26" i="5" s="1"/>
  <c r="AJ26" i="5" s="1"/>
  <c r="AF3" i="5"/>
  <c r="AF12" i="5"/>
  <c r="AF19" i="5"/>
  <c r="AF27" i="5"/>
  <c r="AI27" i="5" s="1"/>
  <c r="AJ27" i="5" s="1"/>
  <c r="AF35" i="5"/>
  <c r="AF43" i="5"/>
  <c r="AF4" i="5"/>
  <c r="AF13" i="5"/>
  <c r="AF20" i="5"/>
  <c r="AF28" i="5"/>
  <c r="AI28" i="5" s="1"/>
  <c r="AJ28" i="5" s="1"/>
  <c r="AF36" i="5"/>
  <c r="AF44" i="5"/>
  <c r="AF5" i="5"/>
  <c r="AF14" i="5"/>
  <c r="AF21" i="5"/>
  <c r="AI21" i="5" s="1"/>
  <c r="AJ21" i="5" s="1"/>
  <c r="AF29" i="5"/>
  <c r="AF37" i="5"/>
  <c r="AF45" i="5"/>
  <c r="AH27" i="5"/>
  <c r="AF18" i="5"/>
  <c r="AI18" i="5" s="1"/>
  <c r="AJ18" i="5" s="1"/>
  <c r="AF42" i="5"/>
  <c r="AF6" i="5"/>
  <c r="AF15" i="5"/>
  <c r="AI15" i="5" s="1"/>
  <c r="AJ15" i="5" s="1"/>
  <c r="AF22" i="5"/>
  <c r="AF30" i="5"/>
  <c r="AF38" i="5"/>
  <c r="AF46" i="5"/>
  <c r="AF34" i="5"/>
  <c r="AF8" i="5"/>
  <c r="AF7" i="5"/>
  <c r="AF23" i="5"/>
  <c r="AF31" i="5"/>
  <c r="AI31" i="5" s="1"/>
  <c r="AJ31" i="5" s="1"/>
  <c r="AF39" i="5"/>
  <c r="G10" i="4"/>
  <c r="E10" i="4"/>
  <c r="E8" i="4"/>
  <c r="E9" i="4"/>
  <c r="E4" i="4"/>
  <c r="E5" i="4"/>
  <c r="G5" i="4"/>
  <c r="G6" i="4"/>
  <c r="G4" i="4"/>
  <c r="E7" i="4"/>
  <c r="E6" i="4"/>
  <c r="G7" i="4"/>
  <c r="G9" i="4"/>
  <c r="G8" i="4"/>
  <c r="G11" i="4"/>
  <c r="G3" i="4"/>
  <c r="E11" i="4"/>
  <c r="B3" i="3"/>
  <c r="C3" i="3" s="1"/>
  <c r="B5" i="3"/>
  <c r="C5" i="3" s="1"/>
  <c r="B2" i="3"/>
  <c r="C2" i="3" s="1"/>
  <c r="B4" i="3"/>
  <c r="C4" i="3" s="1"/>
  <c r="F4" i="3"/>
  <c r="F10" i="1"/>
  <c r="H10" i="1" s="1"/>
  <c r="I10" i="1" s="1"/>
  <c r="F9" i="1"/>
  <c r="H9" i="1" s="1"/>
  <c r="I9" i="1" s="1"/>
  <c r="F6" i="1"/>
  <c r="H6" i="1" s="1"/>
  <c r="I6" i="1" s="1"/>
  <c r="G7" i="1"/>
  <c r="H8" i="1"/>
  <c r="I8" i="1" s="1"/>
  <c r="F5" i="1"/>
  <c r="H5" i="1" s="1"/>
  <c r="I5" i="1" s="1"/>
  <c r="F4" i="1"/>
  <c r="H4" i="1" s="1"/>
  <c r="I4" i="1" s="1"/>
  <c r="F2" i="1"/>
  <c r="H2" i="1" s="1"/>
  <c r="I2" i="1" s="1"/>
  <c r="G3" i="1"/>
  <c r="AI47" i="5" l="1"/>
  <c r="AJ47" i="5" s="1"/>
  <c r="AI38" i="5"/>
  <c r="AJ38" i="5" s="1"/>
  <c r="AH44" i="5"/>
  <c r="AI9" i="5"/>
  <c r="AJ9" i="5" s="1"/>
  <c r="AI12" i="5"/>
  <c r="AJ12" i="5" s="1"/>
  <c r="AI30" i="5"/>
  <c r="AJ30" i="5" s="1"/>
  <c r="AH11" i="5"/>
  <c r="AH47" i="5"/>
  <c r="AI20" i="5"/>
  <c r="AJ20" i="5" s="1"/>
  <c r="AI14" i="5"/>
  <c r="AJ14" i="5" s="1"/>
  <c r="AI11" i="5"/>
  <c r="AJ11" i="5" s="1"/>
  <c r="AI40" i="5"/>
  <c r="AJ40" i="5" s="1"/>
  <c r="AH12" i="5"/>
  <c r="AH26" i="5"/>
  <c r="AH32" i="5"/>
  <c r="AH17" i="5"/>
  <c r="AH40" i="5"/>
  <c r="AI45" i="5"/>
  <c r="AJ45" i="5" s="1"/>
  <c r="AI44" i="5"/>
  <c r="AJ44" i="5" s="1"/>
  <c r="AI19" i="5"/>
  <c r="AJ19" i="5" s="1"/>
  <c r="AH30" i="5"/>
  <c r="AI46" i="5"/>
  <c r="AJ46" i="5" s="1"/>
  <c r="AH46" i="5"/>
  <c r="AH21" i="5"/>
  <c r="AH31" i="5"/>
  <c r="AH4" i="5"/>
  <c r="AI4" i="5"/>
  <c r="AJ4" i="5" s="1"/>
  <c r="AH3" i="5"/>
  <c r="AI3" i="5"/>
  <c r="AJ3" i="5" s="1"/>
  <c r="AI25" i="5"/>
  <c r="AJ25" i="5" s="1"/>
  <c r="AH25" i="5"/>
  <c r="AH5" i="5"/>
  <c r="AI5" i="5"/>
  <c r="AJ5" i="5" s="1"/>
  <c r="AH33" i="5"/>
  <c r="AI33" i="5"/>
  <c r="AJ33" i="5" s="1"/>
  <c r="AH15" i="5"/>
  <c r="AH45" i="5"/>
  <c r="AI6" i="5"/>
  <c r="AJ6" i="5" s="1"/>
  <c r="AH6" i="5"/>
  <c r="AH37" i="5"/>
  <c r="AI37" i="5"/>
  <c r="AJ37" i="5" s="1"/>
  <c r="AH14" i="5"/>
  <c r="AH10" i="5"/>
  <c r="AI10" i="5"/>
  <c r="AJ10" i="5" s="1"/>
  <c r="AH18" i="5"/>
  <c r="AI8" i="5"/>
  <c r="AJ8" i="5" s="1"/>
  <c r="AH8" i="5"/>
  <c r="AH13" i="5"/>
  <c r="AI13" i="5"/>
  <c r="AJ13" i="5" s="1"/>
  <c r="AH19" i="5"/>
  <c r="AH20" i="5"/>
  <c r="AH28" i="5"/>
  <c r="AI42" i="5"/>
  <c r="AJ42" i="5" s="1"/>
  <c r="AH42" i="5"/>
  <c r="AI29" i="5"/>
  <c r="AJ29" i="5" s="1"/>
  <c r="AH29" i="5"/>
  <c r="AH38" i="5"/>
  <c r="F7" i="1"/>
  <c r="H7" i="1" s="1"/>
  <c r="I7" i="1" s="1"/>
  <c r="F3" i="1"/>
  <c r="H3" i="1" s="1"/>
  <c r="I3" i="1" s="1"/>
</calcChain>
</file>

<file path=xl/sharedStrings.xml><?xml version="1.0" encoding="utf-8"?>
<sst xmlns="http://schemas.openxmlformats.org/spreadsheetml/2006/main" count="143" uniqueCount="97">
  <si>
    <t>Name</t>
  </si>
  <si>
    <t>VA</t>
  </si>
  <si>
    <t>VB</t>
  </si>
  <si>
    <t>VC</t>
  </si>
  <si>
    <t>IA</t>
  </si>
  <si>
    <t>IB</t>
  </si>
  <si>
    <t>IC</t>
  </si>
  <si>
    <t>Vrms</t>
  </si>
  <si>
    <t>P</t>
  </si>
  <si>
    <t>Q</t>
  </si>
  <si>
    <t>F</t>
  </si>
  <si>
    <t>kV</t>
  </si>
  <si>
    <t>kA</t>
  </si>
  <si>
    <t>Location</t>
  </si>
  <si>
    <t>POC</t>
  </si>
  <si>
    <t>Plant</t>
  </si>
  <si>
    <t>MW</t>
  </si>
  <si>
    <t>Hz</t>
  </si>
  <si>
    <t>A</t>
  </si>
  <si>
    <t>Zs</t>
  </si>
  <si>
    <t>Rs</t>
  </si>
  <si>
    <t>Xs</t>
  </si>
  <si>
    <t>Deg</t>
  </si>
  <si>
    <t>Rad</t>
  </si>
  <si>
    <t>Data Min</t>
  </si>
  <si>
    <t>Data Max</t>
  </si>
  <si>
    <t>S plant</t>
  </si>
  <si>
    <t>V POC</t>
  </si>
  <si>
    <t>Ibase</t>
  </si>
  <si>
    <t>Vscale</t>
  </si>
  <si>
    <t>Iscale</t>
  </si>
  <si>
    <t>Sscale</t>
  </si>
  <si>
    <t>VpuMax</t>
  </si>
  <si>
    <t>IpuMax</t>
  </si>
  <si>
    <t>SpuMax</t>
  </si>
  <si>
    <r>
      <t>Xf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</si>
  <si>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Lf [H]</t>
  </si>
  <si>
    <t>Vf [pu]</t>
  </si>
  <si>
    <t>V</t>
  </si>
  <si>
    <t>W</t>
  </si>
  <si>
    <t>var</t>
  </si>
  <si>
    <t>PSCAD
Units</t>
  </si>
  <si>
    <t>EMTP
Units</t>
  </si>
  <si>
    <t>PSCAD
Index</t>
  </si>
  <si>
    <t>EMTP
Min</t>
  </si>
  <si>
    <t>EMTP
Max</t>
  </si>
  <si>
    <t>EMTP
A</t>
  </si>
  <si>
    <t>EMTP
B</t>
  </si>
  <si>
    <t>EMTP
Primary</t>
  </si>
  <si>
    <t>EMTP
Secondary</t>
  </si>
  <si>
    <t>Mvar</t>
  </si>
  <si>
    <t>SC MVA</t>
  </si>
  <si>
    <t>IBR MVA</t>
  </si>
  <si>
    <t>SCR</t>
  </si>
  <si>
    <t>kVs</t>
  </si>
  <si>
    <r>
      <t>X1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</si>
  <si>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SCMVA</t>
  </si>
  <si>
    <r>
      <t>Xs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</si>
  <si>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Xplant</t>
  </si>
  <si>
    <t>Wind</t>
  </si>
  <si>
    <t>Solar</t>
  </si>
  <si>
    <t>SCR Xplant</t>
  </si>
  <si>
    <t>Gen</t>
  </si>
  <si>
    <t>Bus</t>
  </si>
  <si>
    <t>Pg</t>
  </si>
  <si>
    <t>Qg</t>
  </si>
  <si>
    <t>Vg</t>
  </si>
  <si>
    <t>Pmax</t>
  </si>
  <si>
    <t>S</t>
  </si>
  <si>
    <t>PSCAD</t>
  </si>
  <si>
    <t>EMTP</t>
  </si>
  <si>
    <t>inf bus</t>
  </si>
  <si>
    <t>Pd</t>
  </si>
  <si>
    <t>Qd</t>
  </si>
  <si>
    <t>Matpower Buses</t>
  </si>
  <si>
    <t>Matpower Branches</t>
  </si>
  <si>
    <t>Vm</t>
  </si>
  <si>
    <t>Va</t>
  </si>
  <si>
    <t>kVbase</t>
  </si>
  <si>
    <t>Index</t>
  </si>
  <si>
    <t>From</t>
  </si>
  <si>
    <t>To</t>
  </si>
  <si>
    <t>r</t>
  </si>
  <si>
    <t>x</t>
  </si>
  <si>
    <t>b</t>
  </si>
  <si>
    <t>t</t>
  </si>
  <si>
    <t>S (normal)</t>
  </si>
  <si>
    <t>Total</t>
  </si>
  <si>
    <t>L</t>
  </si>
  <si>
    <t>C</t>
  </si>
  <si>
    <t>Zsurge</t>
  </si>
  <si>
    <t>V [us]</t>
  </si>
  <si>
    <t>Len [mi]</t>
  </si>
  <si>
    <t>Loads</t>
  </si>
  <si>
    <t>Total Gen</t>
  </si>
  <si>
    <t>Losses</t>
  </si>
  <si>
    <t>Matpower 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</si>
</sst>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E+00"/>
    <numFmt numFmtId="167" formatCode="0.000"/>
    <numFmt numFmtId="168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0"/>
      <color rgb="FF000080"/>
      <name val="Arial Unicode MS"/>
    </font>
    <font>
      <sz val="10"/>
      <color rgb="FF303080"/>
      <name val="Arial Unicode MS"/>
    </font>
    <font>
      <sz val="10"/>
      <color rgb="FFFF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11" fontId="0" fillId="2" borderId="0" xfId="0" applyNumberFormat="1" applyFill="1"/>
    <xf numFmtId="1" fontId="0" fillId="2" borderId="0" xfId="0" applyNumberFormat="1" applyFill="1"/>
    <xf numFmtId="166" fontId="0" fillId="0" borderId="0" xfId="0" applyNumberFormat="1"/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7" fontId="0" fillId="0" borderId="0" xfId="0" applyNumberFormat="1"/>
    <xf numFmtId="2" fontId="0" fillId="0" borderId="0" xfId="0" applyNumberFormat="1"/>
    <xf numFmtId="167" fontId="0" fillId="2" borderId="0" xfId="0" applyNumberForma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65" fontId="6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1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FB84-5509-400E-9C84-8F084E94ECFC}">
  <dimension ref="A1:N11"/>
  <sheetViews>
    <sheetView workbookViewId="0">
      <selection activeCell="K27" sqref="K27"/>
    </sheetView>
  </sheetViews>
  <sheetFormatPr defaultRowHeight="14.5"/>
  <cols>
    <col min="4" max="4" width="8.7265625" customWidth="1"/>
    <col min="5" max="5" width="7.6328125" customWidth="1"/>
    <col min="6" max="6" width="8.54296875" customWidth="1"/>
    <col min="7" max="7" width="8.6328125" customWidth="1"/>
    <col min="8" max="8" width="13" customWidth="1"/>
    <col min="11" max="11" width="10.453125" customWidth="1"/>
    <col min="12" max="12" width="5.81640625" customWidth="1"/>
    <col min="13" max="13" width="9.6328125" customWidth="1"/>
  </cols>
  <sheetData>
    <row r="1" spans="1:14" ht="29">
      <c r="A1" s="14" t="s">
        <v>43</v>
      </c>
      <c r="B1" s="2" t="s">
        <v>0</v>
      </c>
      <c r="C1" s="2" t="s">
        <v>13</v>
      </c>
      <c r="D1" s="14" t="s">
        <v>41</v>
      </c>
      <c r="E1" s="14" t="s">
        <v>42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M1" t="s">
        <v>24</v>
      </c>
      <c r="N1" s="9">
        <v>-32767</v>
      </c>
    </row>
    <row r="2" spans="1:14">
      <c r="A2" s="3">
        <v>1</v>
      </c>
      <c r="B2" s="3" t="s">
        <v>1</v>
      </c>
      <c r="C2" s="3" t="s">
        <v>14</v>
      </c>
      <c r="D2" s="3" t="s">
        <v>11</v>
      </c>
      <c r="E2" s="3" t="s">
        <v>38</v>
      </c>
      <c r="F2" s="16">
        <f>-G2</f>
        <v>-375588.42722675402</v>
      </c>
      <c r="G2" s="17">
        <f>SQRT(2)*Vpoc*Vscale*VpuMax/SQRT(3)</f>
        <v>375588.42722675402</v>
      </c>
      <c r="H2" s="5">
        <f t="shared" ref="H2:H11" si="0">(G2-F2)/(Dmax-Dmin)</f>
        <v>11.462398975394574</v>
      </c>
      <c r="I2" s="5">
        <f t="shared" ref="I2:I11" si="1">G2-H2*Dmax</f>
        <v>0</v>
      </c>
      <c r="J2" s="12">
        <v>1000</v>
      </c>
      <c r="K2">
        <v>1</v>
      </c>
      <c r="M2" t="s">
        <v>25</v>
      </c>
      <c r="N2" s="9">
        <v>32767</v>
      </c>
    </row>
    <row r="3" spans="1:14">
      <c r="A3" s="3">
        <v>2</v>
      </c>
      <c r="B3" s="3" t="s">
        <v>2</v>
      </c>
      <c r="C3" s="3" t="s">
        <v>14</v>
      </c>
      <c r="D3" s="3" t="s">
        <v>11</v>
      </c>
      <c r="E3" s="3" t="s">
        <v>38</v>
      </c>
      <c r="F3" s="16">
        <f t="shared" ref="F3:F7" si="2">-G3</f>
        <v>-375588.42722675402</v>
      </c>
      <c r="G3" s="16">
        <f>G$2</f>
        <v>375588.42722675402</v>
      </c>
      <c r="H3" s="5">
        <f t="shared" si="0"/>
        <v>11.462398975394574</v>
      </c>
      <c r="I3" s="5">
        <f t="shared" si="1"/>
        <v>0</v>
      </c>
      <c r="J3" s="12">
        <v>1000</v>
      </c>
      <c r="K3">
        <v>1</v>
      </c>
      <c r="M3" t="s">
        <v>26</v>
      </c>
      <c r="N3" s="10">
        <v>100000000</v>
      </c>
    </row>
    <row r="4" spans="1:14">
      <c r="A4" s="3">
        <v>3</v>
      </c>
      <c r="B4" s="3" t="s">
        <v>3</v>
      </c>
      <c r="C4" s="3" t="s">
        <v>14</v>
      </c>
      <c r="D4" s="3" t="s">
        <v>11</v>
      </c>
      <c r="E4" s="3" t="s">
        <v>38</v>
      </c>
      <c r="F4" s="16">
        <f t="shared" si="2"/>
        <v>-375588.42722675402</v>
      </c>
      <c r="G4" s="16">
        <f>G$2</f>
        <v>375588.42722675402</v>
      </c>
      <c r="H4" s="5">
        <f t="shared" si="0"/>
        <v>11.462398975394574</v>
      </c>
      <c r="I4" s="5">
        <f t="shared" si="1"/>
        <v>0</v>
      </c>
      <c r="J4" s="12">
        <v>1000</v>
      </c>
      <c r="K4">
        <v>1</v>
      </c>
      <c r="M4" t="s">
        <v>27</v>
      </c>
      <c r="N4" s="10">
        <v>230000</v>
      </c>
    </row>
    <row r="5" spans="1:14">
      <c r="A5" s="3">
        <v>4</v>
      </c>
      <c r="B5" s="3" t="s">
        <v>4</v>
      </c>
      <c r="C5" s="3" t="s">
        <v>15</v>
      </c>
      <c r="D5" s="3" t="s">
        <v>12</v>
      </c>
      <c r="E5" s="3" t="s">
        <v>18</v>
      </c>
      <c r="F5" s="16">
        <f t="shared" si="2"/>
        <v>-2129.9910806810249</v>
      </c>
      <c r="G5" s="17">
        <f>SQRT(2)*Ibase*Iscale*IpuMax</f>
        <v>2129.9910806810249</v>
      </c>
      <c r="H5" s="5">
        <f t="shared" si="0"/>
        <v>6.5004152979553351E-2</v>
      </c>
      <c r="I5" s="5">
        <f t="shared" si="1"/>
        <v>0</v>
      </c>
      <c r="J5" s="12">
        <v>1000</v>
      </c>
      <c r="K5">
        <v>1</v>
      </c>
      <c r="M5" t="s">
        <v>28</v>
      </c>
      <c r="N5">
        <f>Splant/SQRT(3)/Vpoc</f>
        <v>251.02185616940253</v>
      </c>
    </row>
    <row r="6" spans="1:14">
      <c r="A6" s="3">
        <v>5</v>
      </c>
      <c r="B6" s="3" t="s">
        <v>5</v>
      </c>
      <c r="C6" s="3" t="s">
        <v>15</v>
      </c>
      <c r="D6" s="3" t="s">
        <v>12</v>
      </c>
      <c r="E6" s="3" t="s">
        <v>18</v>
      </c>
      <c r="F6" s="16">
        <f t="shared" si="2"/>
        <v>-2129.9910806810249</v>
      </c>
      <c r="G6" s="16">
        <f>G$5</f>
        <v>2129.9910806810249</v>
      </c>
      <c r="H6" s="5">
        <f t="shared" si="0"/>
        <v>6.5004152979553351E-2</v>
      </c>
      <c r="I6" s="5">
        <f t="shared" si="1"/>
        <v>0</v>
      </c>
      <c r="J6" s="12">
        <v>1000</v>
      </c>
      <c r="K6">
        <v>1</v>
      </c>
      <c r="M6" t="s">
        <v>29</v>
      </c>
      <c r="N6" s="9">
        <v>1</v>
      </c>
    </row>
    <row r="7" spans="1:14">
      <c r="A7" s="3">
        <v>6</v>
      </c>
      <c r="B7" s="3" t="s">
        <v>6</v>
      </c>
      <c r="C7" s="3" t="s">
        <v>15</v>
      </c>
      <c r="D7" s="3" t="s">
        <v>12</v>
      </c>
      <c r="E7" s="3" t="s">
        <v>18</v>
      </c>
      <c r="F7" s="16">
        <f t="shared" si="2"/>
        <v>-2129.9910806810249</v>
      </c>
      <c r="G7" s="16">
        <f>G$5</f>
        <v>2129.9910806810249</v>
      </c>
      <c r="H7" s="5">
        <f t="shared" si="0"/>
        <v>6.5004152979553351E-2</v>
      </c>
      <c r="I7" s="5">
        <f t="shared" si="1"/>
        <v>0</v>
      </c>
      <c r="J7" s="12">
        <v>1000</v>
      </c>
      <c r="K7">
        <v>1</v>
      </c>
      <c r="M7" t="s">
        <v>30</v>
      </c>
      <c r="N7" s="9">
        <v>1</v>
      </c>
    </row>
    <row r="8" spans="1:14">
      <c r="A8" s="3">
        <v>7</v>
      </c>
      <c r="B8" s="3" t="s">
        <v>7</v>
      </c>
      <c r="C8" s="3" t="s">
        <v>14</v>
      </c>
      <c r="D8" s="3" t="s">
        <v>11</v>
      </c>
      <c r="E8" s="3" t="s">
        <v>38</v>
      </c>
      <c r="F8" s="16">
        <v>0</v>
      </c>
      <c r="G8" s="17">
        <f>Vpoc*Vscale*VpuMax/SQRT(3)</f>
        <v>265581.12382722786</v>
      </c>
      <c r="H8" s="5">
        <f t="shared" si="0"/>
        <v>4.0525700220836187</v>
      </c>
      <c r="I8" s="5">
        <f t="shared" si="1"/>
        <v>132790.56191361393</v>
      </c>
      <c r="J8" s="12">
        <v>1000</v>
      </c>
      <c r="K8">
        <v>1</v>
      </c>
      <c r="M8" t="s">
        <v>31</v>
      </c>
      <c r="N8" s="11">
        <v>1</v>
      </c>
    </row>
    <row r="9" spans="1:14">
      <c r="A9" s="3">
        <v>8</v>
      </c>
      <c r="B9" s="3" t="s">
        <v>8</v>
      </c>
      <c r="C9" s="3" t="s">
        <v>15</v>
      </c>
      <c r="D9" s="3" t="s">
        <v>16</v>
      </c>
      <c r="E9" s="3" t="s">
        <v>39</v>
      </c>
      <c r="F9" s="19">
        <f>-G9</f>
        <v>-300000000</v>
      </c>
      <c r="G9" s="18">
        <f>Splant*Sscale*SpuMax</f>
        <v>300000000</v>
      </c>
      <c r="H9" s="5">
        <f t="shared" si="0"/>
        <v>9155.5528427991576</v>
      </c>
      <c r="I9" s="5">
        <f t="shared" si="1"/>
        <v>0</v>
      </c>
      <c r="J9" s="12">
        <v>1000000</v>
      </c>
      <c r="K9">
        <v>1</v>
      </c>
      <c r="M9" t="s">
        <v>32</v>
      </c>
      <c r="N9" s="9">
        <v>2</v>
      </c>
    </row>
    <row r="10" spans="1:14">
      <c r="A10" s="3">
        <v>9</v>
      </c>
      <c r="B10" s="3" t="s">
        <v>9</v>
      </c>
      <c r="C10" s="3" t="s">
        <v>15</v>
      </c>
      <c r="D10" s="3" t="s">
        <v>50</v>
      </c>
      <c r="E10" s="3" t="s">
        <v>40</v>
      </c>
      <c r="F10" s="19">
        <f>-G10</f>
        <v>-300000000</v>
      </c>
      <c r="G10" s="19">
        <f>G$9</f>
        <v>300000000</v>
      </c>
      <c r="H10" s="5">
        <f t="shared" si="0"/>
        <v>9155.5528427991576</v>
      </c>
      <c r="I10" s="5">
        <f t="shared" si="1"/>
        <v>0</v>
      </c>
      <c r="J10" s="12">
        <v>1000000</v>
      </c>
      <c r="K10">
        <v>1</v>
      </c>
      <c r="M10" t="s">
        <v>33</v>
      </c>
      <c r="N10" s="9">
        <v>6</v>
      </c>
    </row>
    <row r="11" spans="1:14">
      <c r="A11" s="3">
        <v>10</v>
      </c>
      <c r="B11" s="3" t="s">
        <v>10</v>
      </c>
      <c r="C11" s="3" t="s">
        <v>14</v>
      </c>
      <c r="D11" s="3" t="s">
        <v>17</v>
      </c>
      <c r="E11" s="3" t="s">
        <v>17</v>
      </c>
      <c r="F11" s="13">
        <v>55</v>
      </c>
      <c r="G11" s="13">
        <v>65</v>
      </c>
      <c r="H11" s="5">
        <f t="shared" si="0"/>
        <v>1.5259254737998596E-4</v>
      </c>
      <c r="I11" s="5">
        <f t="shared" si="1"/>
        <v>60</v>
      </c>
      <c r="J11" s="12">
        <v>1</v>
      </c>
      <c r="K11">
        <v>1</v>
      </c>
      <c r="M11" t="s">
        <v>34</v>
      </c>
      <c r="N11" s="9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3908-12DE-459A-B5BB-96ECEF0A7C1B}">
  <dimension ref="A1:F9"/>
  <sheetViews>
    <sheetView workbookViewId="0">
      <selection activeCell="F9" sqref="F9"/>
    </sheetView>
  </sheetViews>
  <sheetFormatPr defaultRowHeight="14.5"/>
  <cols>
    <col min="3" max="3" width="9.36328125" bestFit="1" customWidth="1"/>
    <col min="4" max="4" width="4.6328125" customWidth="1"/>
  </cols>
  <sheetData>
    <row r="1" spans="1:6">
      <c r="A1" s="4" t="s">
        <v>37</v>
      </c>
      <c r="B1" s="4" t="s">
        <v>35</v>
      </c>
      <c r="C1" s="4" t="s">
        <v>36</v>
      </c>
      <c r="E1" s="1" t="s">
        <v>19</v>
      </c>
      <c r="F1">
        <v>10</v>
      </c>
    </row>
    <row r="2" spans="1:6">
      <c r="A2" s="6">
        <v>0.01</v>
      </c>
      <c r="B2" s="7">
        <f>XS*A2/(1-A2)</f>
        <v>0.10062572707997429</v>
      </c>
      <c r="C2" s="8">
        <f>B2/120/PI()</f>
        <v>2.6691803111656499E-4</v>
      </c>
      <c r="E2" s="1" t="s">
        <v>22</v>
      </c>
      <c r="F2">
        <v>85</v>
      </c>
    </row>
    <row r="3" spans="1:6">
      <c r="A3" s="6">
        <v>0.25</v>
      </c>
      <c r="B3" s="7">
        <f>XS*A3/(1-A3)</f>
        <v>3.3206489936391517</v>
      </c>
      <c r="C3" s="8">
        <f t="shared" ref="C3:C5" si="0">B3/120/PI()</f>
        <v>8.8082950268466454E-3</v>
      </c>
      <c r="E3" s="1" t="s">
        <v>23</v>
      </c>
      <c r="F3">
        <f>$F$2*PI()/180</f>
        <v>1.4835298641951802</v>
      </c>
    </row>
    <row r="4" spans="1:6">
      <c r="A4" s="6">
        <v>0.5</v>
      </c>
      <c r="B4" s="7">
        <f>XS*A4/(1-A4)</f>
        <v>9.961946980917455</v>
      </c>
      <c r="C4" s="8">
        <f t="shared" si="0"/>
        <v>2.6424885080539934E-2</v>
      </c>
      <c r="E4" s="1" t="s">
        <v>20</v>
      </c>
      <c r="F4">
        <f>$F$1*COS($F$3)</f>
        <v>0.87155742747658138</v>
      </c>
    </row>
    <row r="5" spans="1:6">
      <c r="A5" s="6">
        <v>0.8</v>
      </c>
      <c r="B5" s="7">
        <f>XS*A5/(1-A5)</f>
        <v>39.847787923669827</v>
      </c>
      <c r="C5" s="8">
        <f t="shared" si="0"/>
        <v>0.10569954032215975</v>
      </c>
      <c r="E5" s="1" t="s">
        <v>21</v>
      </c>
      <c r="F5">
        <f>$F$1*SIN($F$3)</f>
        <v>9.961946980917455</v>
      </c>
    </row>
    <row r="6" spans="1:6">
      <c r="E6" s="1" t="s">
        <v>54</v>
      </c>
      <c r="F6">
        <v>230</v>
      </c>
    </row>
    <row r="7" spans="1:6">
      <c r="E7" s="1" t="s">
        <v>51</v>
      </c>
      <c r="F7">
        <f>F6*F6/F1</f>
        <v>5290</v>
      </c>
    </row>
    <row r="8" spans="1:6">
      <c r="E8" s="1" t="s">
        <v>52</v>
      </c>
      <c r="F8">
        <v>100</v>
      </c>
    </row>
    <row r="9" spans="1:6">
      <c r="E9" s="1" t="s">
        <v>53</v>
      </c>
      <c r="F9">
        <f>F7/F8</f>
        <v>52.9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DAB3-5235-4A87-8D47-F5FCC0EB49C6}">
  <dimension ref="A1:F9"/>
  <sheetViews>
    <sheetView workbookViewId="0">
      <selection activeCell="F5" sqref="F5"/>
    </sheetView>
  </sheetViews>
  <sheetFormatPr defaultRowHeight="14.5"/>
  <cols>
    <col min="3" max="3" width="9.36328125" bestFit="1" customWidth="1"/>
    <col min="4" max="4" width="4.6328125" customWidth="1"/>
  </cols>
  <sheetData>
    <row r="1" spans="1:6">
      <c r="A1" s="4" t="s">
        <v>37</v>
      </c>
      <c r="B1" s="4" t="s">
        <v>35</v>
      </c>
      <c r="C1" s="4" t="s">
        <v>36</v>
      </c>
      <c r="E1" s="1" t="s">
        <v>19</v>
      </c>
      <c r="F1">
        <v>211.6</v>
      </c>
    </row>
    <row r="2" spans="1:6">
      <c r="A2" s="6">
        <v>0.01</v>
      </c>
      <c r="B2" s="7">
        <f>XS*A2/(1-A2)</f>
        <v>2.1292403850122561</v>
      </c>
      <c r="C2" s="8">
        <f>B2/120/PI()</f>
        <v>5.6479855384265155E-3</v>
      </c>
      <c r="E2" s="1" t="s">
        <v>22</v>
      </c>
      <c r="F2">
        <v>85</v>
      </c>
    </row>
    <row r="3" spans="1:6">
      <c r="A3" s="6">
        <v>0.25</v>
      </c>
      <c r="B3" s="7">
        <f>XS*A3/(1-A3)</f>
        <v>70.264932705404448</v>
      </c>
      <c r="C3" s="8">
        <f t="shared" ref="C3:C5" si="0">B3/120/PI()</f>
        <v>0.18638352276807502</v>
      </c>
      <c r="E3" s="1" t="s">
        <v>23</v>
      </c>
      <c r="F3">
        <f>$F$2*PI()/180</f>
        <v>1.4835298641951802</v>
      </c>
    </row>
    <row r="4" spans="1:6">
      <c r="A4" s="6">
        <v>0.5</v>
      </c>
      <c r="B4" s="7">
        <f>XS*A4/(1-A4)</f>
        <v>210.79479811621334</v>
      </c>
      <c r="C4" s="8">
        <f t="shared" si="0"/>
        <v>0.55915056830422505</v>
      </c>
      <c r="E4" s="1" t="s">
        <v>20</v>
      </c>
      <c r="F4">
        <f>$F$1*COS($F$3)</f>
        <v>18.442155165404461</v>
      </c>
    </row>
    <row r="5" spans="1:6">
      <c r="A5" s="6">
        <v>0.8</v>
      </c>
      <c r="B5" s="7">
        <f>XS*A5/(1-A5)</f>
        <v>843.1791924648536</v>
      </c>
      <c r="C5" s="8">
        <f t="shared" si="0"/>
        <v>2.2366022732169006</v>
      </c>
      <c r="E5" s="1" t="s">
        <v>21</v>
      </c>
      <c r="F5">
        <f>$F$1*SIN($F$3)</f>
        <v>210.79479811621334</v>
      </c>
    </row>
    <row r="6" spans="1:6">
      <c r="E6" s="1" t="s">
        <v>54</v>
      </c>
      <c r="F6">
        <v>230</v>
      </c>
    </row>
    <row r="7" spans="1:6">
      <c r="E7" s="1" t="s">
        <v>51</v>
      </c>
      <c r="F7">
        <f>F6*F6/F1</f>
        <v>250</v>
      </c>
    </row>
    <row r="8" spans="1:6">
      <c r="E8" s="1" t="s">
        <v>52</v>
      </c>
      <c r="F8">
        <v>100</v>
      </c>
    </row>
    <row r="9" spans="1:6">
      <c r="E9" s="1" t="s">
        <v>53</v>
      </c>
      <c r="F9">
        <f>F7/F8</f>
        <v>2.5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1ED4-A577-4B06-8042-A04C86E2D43B}">
  <dimension ref="A1:J12"/>
  <sheetViews>
    <sheetView workbookViewId="0">
      <selection activeCell="A10" sqref="A10"/>
    </sheetView>
  </sheetViews>
  <sheetFormatPr defaultRowHeight="14.5"/>
  <cols>
    <col min="2" max="3" width="9.36328125" bestFit="1" customWidth="1"/>
    <col min="4" max="4" width="9.36328125" customWidth="1"/>
    <col min="5" max="8" width="9.54296875" customWidth="1"/>
  </cols>
  <sheetData>
    <row r="1" spans="1:10">
      <c r="D1" s="1" t="s">
        <v>60</v>
      </c>
      <c r="F1" s="1" t="s">
        <v>59</v>
      </c>
    </row>
    <row r="2" spans="1:10">
      <c r="A2" s="4" t="s">
        <v>53</v>
      </c>
      <c r="B2" s="4" t="s">
        <v>56</v>
      </c>
      <c r="C2" s="4" t="s">
        <v>55</v>
      </c>
      <c r="D2" s="4" t="s">
        <v>58</v>
      </c>
      <c r="E2" s="4" t="s">
        <v>57</v>
      </c>
      <c r="F2" s="4" t="s">
        <v>58</v>
      </c>
      <c r="G2" s="4" t="s">
        <v>57</v>
      </c>
      <c r="H2" s="4"/>
      <c r="I2" s="1" t="s">
        <v>54</v>
      </c>
      <c r="J2">
        <v>230</v>
      </c>
    </row>
    <row r="3" spans="1:10">
      <c r="A3" s="6">
        <v>20</v>
      </c>
      <c r="B3" s="21">
        <f t="shared" ref="B3:B11" si="0">A3*J$3</f>
        <v>2000</v>
      </c>
      <c r="C3" s="20">
        <f t="shared" ref="C3:C11" si="1">J$2*J$2/B3</f>
        <v>26.45</v>
      </c>
      <c r="D3" s="24">
        <v>74.06</v>
      </c>
      <c r="E3" s="22">
        <f>C3-D3</f>
        <v>-47.61</v>
      </c>
      <c r="F3" s="24">
        <v>100.13</v>
      </c>
      <c r="G3" s="22">
        <f>C3-F3</f>
        <v>-73.679999999999993</v>
      </c>
      <c r="H3" s="22"/>
      <c r="I3" s="1" t="s">
        <v>52</v>
      </c>
      <c r="J3">
        <v>100</v>
      </c>
    </row>
    <row r="4" spans="1:10">
      <c r="A4" s="6">
        <v>10</v>
      </c>
      <c r="B4" s="21">
        <f t="shared" si="0"/>
        <v>1000</v>
      </c>
      <c r="C4" s="20">
        <f t="shared" si="1"/>
        <v>52.9</v>
      </c>
      <c r="D4" s="20">
        <f>D$3</f>
        <v>74.06</v>
      </c>
      <c r="E4" s="22">
        <f t="shared" ref="E4:E11" si="2">C4-D4</f>
        <v>-21.160000000000004</v>
      </c>
      <c r="F4" s="20">
        <f>F$3</f>
        <v>100.13</v>
      </c>
      <c r="G4" s="22">
        <f t="shared" ref="G4:G11" si="3">C4-F4</f>
        <v>-47.23</v>
      </c>
      <c r="H4" s="22"/>
      <c r="I4" s="1"/>
    </row>
    <row r="5" spans="1:10">
      <c r="A5" s="6">
        <v>5</v>
      </c>
      <c r="B5" s="21">
        <f t="shared" si="0"/>
        <v>500</v>
      </c>
      <c r="C5" s="20">
        <f t="shared" si="1"/>
        <v>105.8</v>
      </c>
      <c r="D5" s="20">
        <f t="shared" ref="D5:F11" si="4">D$3</f>
        <v>74.06</v>
      </c>
      <c r="E5" s="22">
        <f t="shared" si="2"/>
        <v>31.739999999999995</v>
      </c>
      <c r="F5" s="20">
        <f t="shared" si="4"/>
        <v>100.13</v>
      </c>
      <c r="G5" s="22">
        <f t="shared" si="3"/>
        <v>5.6700000000000017</v>
      </c>
      <c r="H5" s="22"/>
      <c r="I5" s="1"/>
    </row>
    <row r="6" spans="1:10">
      <c r="A6" s="6">
        <v>4</v>
      </c>
      <c r="B6" s="21">
        <f t="shared" si="0"/>
        <v>400</v>
      </c>
      <c r="C6" s="20">
        <f t="shared" si="1"/>
        <v>132.25</v>
      </c>
      <c r="D6" s="20">
        <f t="shared" si="4"/>
        <v>74.06</v>
      </c>
      <c r="E6" s="22">
        <f t="shared" si="2"/>
        <v>58.19</v>
      </c>
      <c r="F6" s="20">
        <f t="shared" si="4"/>
        <v>100.13</v>
      </c>
      <c r="G6" s="22">
        <f t="shared" si="3"/>
        <v>32.120000000000005</v>
      </c>
      <c r="H6" s="22"/>
      <c r="I6" s="1"/>
      <c r="J6" s="23"/>
    </row>
    <row r="7" spans="1:10">
      <c r="A7" s="6">
        <v>3</v>
      </c>
      <c r="B7" s="21">
        <f t="shared" si="0"/>
        <v>300</v>
      </c>
      <c r="C7" s="20">
        <f t="shared" si="1"/>
        <v>176.33333333333334</v>
      </c>
      <c r="D7" s="20">
        <f t="shared" si="4"/>
        <v>74.06</v>
      </c>
      <c r="E7" s="22">
        <f t="shared" si="2"/>
        <v>102.27333333333334</v>
      </c>
      <c r="F7" s="20">
        <f t="shared" si="4"/>
        <v>100.13</v>
      </c>
      <c r="G7" s="22">
        <f t="shared" si="3"/>
        <v>76.203333333333347</v>
      </c>
      <c r="H7" s="22"/>
      <c r="I7" s="1"/>
    </row>
    <row r="8" spans="1:10">
      <c r="A8" s="6">
        <v>2.5</v>
      </c>
      <c r="B8" s="21">
        <f t="shared" si="0"/>
        <v>250</v>
      </c>
      <c r="C8" s="20">
        <f t="shared" si="1"/>
        <v>211.6</v>
      </c>
      <c r="D8" s="20">
        <f t="shared" si="4"/>
        <v>74.06</v>
      </c>
      <c r="E8" s="22">
        <f t="shared" si="2"/>
        <v>137.54</v>
      </c>
      <c r="F8" s="20">
        <f t="shared" si="4"/>
        <v>100.13</v>
      </c>
      <c r="G8" s="22">
        <f t="shared" si="3"/>
        <v>111.47</v>
      </c>
      <c r="H8" s="22"/>
      <c r="I8" s="1"/>
    </row>
    <row r="9" spans="1:10">
      <c r="A9" s="6">
        <v>2</v>
      </c>
      <c r="B9" s="21">
        <f t="shared" si="0"/>
        <v>200</v>
      </c>
      <c r="C9" s="20">
        <f t="shared" si="1"/>
        <v>264.5</v>
      </c>
      <c r="D9" s="20">
        <f t="shared" si="4"/>
        <v>74.06</v>
      </c>
      <c r="E9" s="22">
        <f t="shared" si="2"/>
        <v>190.44</v>
      </c>
      <c r="F9" s="20">
        <f t="shared" si="4"/>
        <v>100.13</v>
      </c>
      <c r="G9" s="22">
        <f t="shared" si="3"/>
        <v>164.37</v>
      </c>
      <c r="H9" s="22"/>
      <c r="I9" s="1"/>
    </row>
    <row r="10" spans="1:10">
      <c r="A10" s="6">
        <v>1.5</v>
      </c>
      <c r="B10" s="21">
        <f t="shared" si="0"/>
        <v>150</v>
      </c>
      <c r="C10" s="20">
        <f t="shared" si="1"/>
        <v>352.66666666666669</v>
      </c>
      <c r="D10" s="20">
        <f t="shared" si="4"/>
        <v>74.06</v>
      </c>
      <c r="E10" s="22">
        <f t="shared" ref="E10" si="5">C10-D10</f>
        <v>278.60666666666668</v>
      </c>
      <c r="F10" s="20">
        <f t="shared" si="4"/>
        <v>100.13</v>
      </c>
      <c r="G10" s="22">
        <f t="shared" ref="G10" si="6">C10-F10</f>
        <v>252.53666666666669</v>
      </c>
      <c r="H10" s="22"/>
      <c r="I10" s="1"/>
    </row>
    <row r="11" spans="1:10">
      <c r="A11" s="6">
        <v>1</v>
      </c>
      <c r="B11" s="21">
        <f t="shared" si="0"/>
        <v>100</v>
      </c>
      <c r="C11" s="20">
        <f t="shared" si="1"/>
        <v>529</v>
      </c>
      <c r="D11" s="20">
        <f t="shared" si="4"/>
        <v>74.06</v>
      </c>
      <c r="E11" s="22">
        <f t="shared" si="2"/>
        <v>454.94</v>
      </c>
      <c r="F11" s="20">
        <f t="shared" si="4"/>
        <v>100.13</v>
      </c>
      <c r="G11" s="22">
        <f t="shared" si="3"/>
        <v>428.87</v>
      </c>
      <c r="H11" s="22"/>
      <c r="I11" s="1"/>
    </row>
    <row r="12" spans="1:10">
      <c r="D12" s="1" t="s">
        <v>61</v>
      </c>
      <c r="E12" s="22">
        <f>$J$2*$J$2/$D$3/100</f>
        <v>7.1428571428571423</v>
      </c>
      <c r="F12" s="1" t="s">
        <v>61</v>
      </c>
      <c r="G12" s="22">
        <f>$J$2*$J$2/$F$3/100</f>
        <v>5.283131928492959</v>
      </c>
      <c r="H12" s="2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F1C0-18B6-49C9-8A8E-53F5401F1E81}">
  <dimension ref="A1:AJ48"/>
  <sheetViews>
    <sheetView tabSelected="1" workbookViewId="0">
      <pane ySplit="2" topLeftCell="A3" activePane="bottomLeft" state="frozen"/>
      <selection pane="bottomLeft" activeCell="N19" sqref="N19"/>
    </sheetView>
  </sheetViews>
  <sheetFormatPr defaultRowHeight="14.5"/>
  <cols>
    <col min="1" max="6" width="8.7265625" style="5"/>
    <col min="7" max="7" width="3.7265625" style="5" customWidth="1"/>
    <col min="11" max="11" width="3.54296875" customWidth="1"/>
    <col min="15" max="15" width="4.7265625" customWidth="1"/>
    <col min="19" max="19" width="8.81640625" bestFit="1" customWidth="1"/>
    <col min="20" max="20" width="9" bestFit="1" customWidth="1"/>
    <col min="22" max="22" width="4.08984375" customWidth="1"/>
    <col min="23" max="23" width="6.81640625" customWidth="1"/>
    <col min="24" max="24" width="7.36328125" customWidth="1"/>
    <col min="25" max="25" width="6.6328125" customWidth="1"/>
    <col min="26" max="26" width="11.1796875" customWidth="1"/>
    <col min="31" max="31" width="4.08984375" customWidth="1"/>
    <col min="33" max="33" width="11.81640625" bestFit="1" customWidth="1"/>
  </cols>
  <sheetData>
    <row r="1" spans="1:36">
      <c r="A1" s="35" t="s">
        <v>96</v>
      </c>
      <c r="B1" s="35"/>
      <c r="C1" s="35"/>
      <c r="D1" s="35"/>
      <c r="E1" s="35"/>
      <c r="F1" s="35"/>
      <c r="G1" s="2"/>
      <c r="H1" s="35" t="s">
        <v>69</v>
      </c>
      <c r="I1" s="35"/>
      <c r="J1" s="35"/>
      <c r="K1" s="36"/>
      <c r="L1" s="35" t="s">
        <v>70</v>
      </c>
      <c r="M1" s="35"/>
      <c r="N1" s="35"/>
      <c r="P1" s="35" t="s">
        <v>74</v>
      </c>
      <c r="Q1" s="35"/>
      <c r="R1" s="35"/>
      <c r="S1" s="35"/>
      <c r="T1" s="35"/>
      <c r="U1" s="35"/>
      <c r="W1" s="35" t="s">
        <v>75</v>
      </c>
      <c r="X1" s="35"/>
      <c r="Y1" s="35"/>
      <c r="Z1" s="35"/>
      <c r="AA1" s="35"/>
      <c r="AB1" s="35"/>
      <c r="AC1" s="35"/>
      <c r="AD1" s="35"/>
      <c r="AE1" s="2"/>
      <c r="AF1" s="36">
        <v>345</v>
      </c>
      <c r="AG1" s="1">
        <v>100</v>
      </c>
      <c r="AH1" s="1">
        <f>60*2*PI()</f>
        <v>376.99111843077515</v>
      </c>
      <c r="AI1" s="1">
        <f>kvb*kvb/sb</f>
        <v>1190.25</v>
      </c>
      <c r="AJ1" s="39">
        <v>180000</v>
      </c>
    </row>
    <row r="2" spans="1:36">
      <c r="A2" s="4" t="s">
        <v>62</v>
      </c>
      <c r="B2" s="4" t="s">
        <v>63</v>
      </c>
      <c r="C2" s="4" t="s">
        <v>64</v>
      </c>
      <c r="D2" s="4" t="s">
        <v>65</v>
      </c>
      <c r="E2" s="4" t="s">
        <v>66</v>
      </c>
      <c r="F2" s="4" t="s">
        <v>67</v>
      </c>
      <c r="G2" s="4"/>
      <c r="H2" s="4" t="s">
        <v>64</v>
      </c>
      <c r="I2" s="4" t="s">
        <v>66</v>
      </c>
      <c r="J2" s="4" t="s">
        <v>68</v>
      </c>
      <c r="K2" s="4"/>
      <c r="L2" s="4" t="s">
        <v>64</v>
      </c>
      <c r="M2" s="4" t="s">
        <v>66</v>
      </c>
      <c r="N2" s="4" t="s">
        <v>68</v>
      </c>
      <c r="P2" s="4" t="s">
        <v>63</v>
      </c>
      <c r="Q2" s="4" t="s">
        <v>72</v>
      </c>
      <c r="R2" s="4" t="s">
        <v>73</v>
      </c>
      <c r="S2" s="4" t="s">
        <v>76</v>
      </c>
      <c r="T2" s="4" t="s">
        <v>77</v>
      </c>
      <c r="U2" s="4" t="s">
        <v>78</v>
      </c>
      <c r="W2" s="4" t="s">
        <v>79</v>
      </c>
      <c r="X2" s="4" t="s">
        <v>80</v>
      </c>
      <c r="Y2" s="4" t="s">
        <v>81</v>
      </c>
      <c r="Z2" s="4" t="s">
        <v>86</v>
      </c>
      <c r="AA2" s="4" t="s">
        <v>82</v>
      </c>
      <c r="AB2" s="4" t="s">
        <v>83</v>
      </c>
      <c r="AC2" s="4" t="s">
        <v>84</v>
      </c>
      <c r="AD2" s="4" t="s">
        <v>85</v>
      </c>
      <c r="AE2" s="4"/>
      <c r="AF2" s="4" t="s">
        <v>88</v>
      </c>
      <c r="AG2" s="4" t="s">
        <v>89</v>
      </c>
      <c r="AH2" s="4" t="s">
        <v>90</v>
      </c>
      <c r="AI2" s="4" t="s">
        <v>91</v>
      </c>
      <c r="AJ2" s="4" t="s">
        <v>92</v>
      </c>
    </row>
    <row r="3" spans="1:36">
      <c r="A3" s="5">
        <v>1</v>
      </c>
      <c r="B3" s="28">
        <v>30</v>
      </c>
      <c r="C3" s="28">
        <v>250</v>
      </c>
      <c r="D3" s="29">
        <v>161.762</v>
      </c>
      <c r="E3" s="30">
        <v>1.0499000000000001</v>
      </c>
      <c r="F3" s="28">
        <v>1040</v>
      </c>
      <c r="G3" s="28"/>
      <c r="H3" s="28">
        <v>250</v>
      </c>
      <c r="I3" s="28">
        <v>1.048</v>
      </c>
      <c r="J3">
        <v>800</v>
      </c>
      <c r="L3">
        <v>250</v>
      </c>
      <c r="M3">
        <f>20.9/20</f>
        <v>1.0449999999999999</v>
      </c>
      <c r="N3">
        <v>1000</v>
      </c>
      <c r="P3" s="25">
        <v>1</v>
      </c>
      <c r="Q3" s="27">
        <v>97.6</v>
      </c>
      <c r="R3" s="27">
        <v>44.2</v>
      </c>
      <c r="S3" s="37">
        <v>1.0393836000000001</v>
      </c>
      <c r="T3" s="38">
        <v>-13.536602</v>
      </c>
      <c r="U3" s="25">
        <v>345</v>
      </c>
      <c r="W3">
        <v>1</v>
      </c>
      <c r="X3" s="25">
        <v>1</v>
      </c>
      <c r="Y3" s="25">
        <v>2</v>
      </c>
      <c r="Z3" s="27">
        <v>600</v>
      </c>
      <c r="AA3" s="26">
        <v>3.5000000000000001E-3</v>
      </c>
      <c r="AB3" s="26">
        <v>4.1099999999999998E-2</v>
      </c>
      <c r="AC3" s="26">
        <v>0.69869999999999999</v>
      </c>
      <c r="AD3" s="27">
        <v>0</v>
      </c>
      <c r="AE3" s="27"/>
      <c r="AF3">
        <f>AB3*zb/wb</f>
        <v>0.129762407145363</v>
      </c>
      <c r="AG3">
        <f>AC3*sb/wb/kvb/kvb</f>
        <v>1.557117674694494E-6</v>
      </c>
      <c r="AH3">
        <f>SQRT(AF3/AG3)</f>
        <v>288.67802769949532</v>
      </c>
      <c r="AI3" s="23">
        <f>1000000*SQRT(AF3*AG3)</f>
        <v>449.50565922683091</v>
      </c>
      <c r="AJ3" s="23">
        <f>0.000001*AI3*mips</f>
        <v>80.911018660829555</v>
      </c>
    </row>
    <row r="4" spans="1:36">
      <c r="A4" s="31">
        <v>2</v>
      </c>
      <c r="B4" s="32">
        <v>31</v>
      </c>
      <c r="C4" s="33">
        <v>677.87099999999998</v>
      </c>
      <c r="D4" s="34">
        <v>221.57400000000001</v>
      </c>
      <c r="E4" s="33">
        <v>0.98199999999999998</v>
      </c>
      <c r="F4" s="34">
        <v>646</v>
      </c>
      <c r="G4" s="42"/>
      <c r="H4" s="43">
        <v>547.32600000000002</v>
      </c>
      <c r="I4" s="42">
        <v>0.98199999999999998</v>
      </c>
      <c r="J4">
        <v>800</v>
      </c>
      <c r="L4" s="40">
        <v>572.16</v>
      </c>
      <c r="M4">
        <f>19.6/20</f>
        <v>0.98000000000000009</v>
      </c>
      <c r="N4">
        <v>1000</v>
      </c>
      <c r="P4" s="25">
        <v>2</v>
      </c>
      <c r="Q4" s="27">
        <v>0</v>
      </c>
      <c r="R4" s="27">
        <v>0</v>
      </c>
      <c r="S4" s="37">
        <v>1.0484941000000001</v>
      </c>
      <c r="T4" s="38">
        <v>-9.7852665999999999</v>
      </c>
      <c r="U4" s="25">
        <v>345</v>
      </c>
      <c r="W4">
        <v>2</v>
      </c>
      <c r="X4" s="25">
        <v>1</v>
      </c>
      <c r="Y4" s="25">
        <v>39</v>
      </c>
      <c r="Z4" s="25">
        <v>1000</v>
      </c>
      <c r="AA4" s="26">
        <v>1E-3</v>
      </c>
      <c r="AB4" s="26">
        <v>2.5000000000000001E-2</v>
      </c>
      <c r="AC4" s="26">
        <v>0.75</v>
      </c>
      <c r="AD4" s="27">
        <v>0</v>
      </c>
      <c r="AE4" s="27"/>
      <c r="AF4">
        <f>AB4*zb/wb</f>
        <v>7.8930904589636849E-2</v>
      </c>
      <c r="AG4">
        <f>AC4*sb/wb/kvb/kvb</f>
        <v>1.6714444769155149E-6</v>
      </c>
      <c r="AH4">
        <f t="shared" ref="AH4:AH6" si="0">SQRT(AF4/AG4)</f>
        <v>217.30892469017468</v>
      </c>
      <c r="AI4" s="23">
        <f t="shared" ref="AI4:AI6" si="1">1000000*SQRT(AF4*AG4)</f>
        <v>363.21980195784198</v>
      </c>
      <c r="AJ4" s="23">
        <f>0.000001*AI4*mips</f>
        <v>65.379564352411549</v>
      </c>
    </row>
    <row r="5" spans="1:36">
      <c r="A5" s="5">
        <v>3</v>
      </c>
      <c r="B5" s="28">
        <v>32</v>
      </c>
      <c r="C5" s="28">
        <v>650</v>
      </c>
      <c r="D5" s="29">
        <v>206.965</v>
      </c>
      <c r="E5" s="30">
        <v>0.98409999999999997</v>
      </c>
      <c r="F5" s="29">
        <v>725</v>
      </c>
      <c r="G5" s="29"/>
      <c r="H5" s="29">
        <v>650</v>
      </c>
      <c r="I5" s="29">
        <v>0.98299999999999998</v>
      </c>
      <c r="J5">
        <v>800</v>
      </c>
      <c r="L5">
        <v>650</v>
      </c>
      <c r="M5">
        <f>19.662/20</f>
        <v>0.98309999999999997</v>
      </c>
      <c r="N5">
        <v>1000</v>
      </c>
      <c r="P5" s="25">
        <v>3</v>
      </c>
      <c r="Q5" s="27">
        <v>322</v>
      </c>
      <c r="R5" s="27">
        <v>2.4</v>
      </c>
      <c r="S5" s="37">
        <v>1.0307077</v>
      </c>
      <c r="T5" s="38">
        <v>-12.276384</v>
      </c>
      <c r="U5" s="25">
        <v>345</v>
      </c>
      <c r="W5">
        <v>3</v>
      </c>
      <c r="X5" s="25">
        <v>2</v>
      </c>
      <c r="Y5" s="25">
        <v>3</v>
      </c>
      <c r="Z5" s="27">
        <v>500</v>
      </c>
      <c r="AA5" s="26">
        <v>1.2999999999999999E-3</v>
      </c>
      <c r="AB5" s="26">
        <v>1.5100000000000001E-2</v>
      </c>
      <c r="AC5" s="26">
        <v>0.25719999999999998</v>
      </c>
      <c r="AD5" s="27">
        <v>0</v>
      </c>
      <c r="AE5" s="27"/>
      <c r="AF5">
        <f>AB5*zb/wb</f>
        <v>4.7674266372140665E-2</v>
      </c>
      <c r="AG5">
        <f>AC5*sb/wb/kvb/kvb</f>
        <v>5.7319402595022729E-7</v>
      </c>
      <c r="AH5">
        <f t="shared" si="0"/>
        <v>288.39729435710058</v>
      </c>
      <c r="AI5" s="23">
        <f t="shared" si="1"/>
        <v>165.30760622569926</v>
      </c>
      <c r="AJ5" s="23">
        <f>0.000001*AI5*mips</f>
        <v>29.755369120625868</v>
      </c>
    </row>
    <row r="6" spans="1:36">
      <c r="A6" s="5">
        <v>4</v>
      </c>
      <c r="B6" s="28">
        <v>33</v>
      </c>
      <c r="C6" s="28">
        <v>632</v>
      </c>
      <c r="D6" s="29">
        <v>108.29300000000001</v>
      </c>
      <c r="E6" s="30">
        <v>0.99719999999999998</v>
      </c>
      <c r="F6" s="29">
        <v>652</v>
      </c>
      <c r="G6" s="29"/>
      <c r="H6" s="29">
        <v>632</v>
      </c>
      <c r="I6" s="29">
        <v>0.997</v>
      </c>
      <c r="J6">
        <v>800</v>
      </c>
      <c r="L6">
        <v>632</v>
      </c>
      <c r="M6">
        <f>19.944/20</f>
        <v>0.99719999999999998</v>
      </c>
      <c r="N6">
        <v>1000</v>
      </c>
      <c r="P6" s="25">
        <v>4</v>
      </c>
      <c r="Q6" s="27">
        <v>500</v>
      </c>
      <c r="R6" s="27">
        <v>184</v>
      </c>
      <c r="S6" s="37">
        <v>1.0044599999999999</v>
      </c>
      <c r="T6" s="38">
        <v>-12.626734000000001</v>
      </c>
      <c r="U6" s="25">
        <v>345</v>
      </c>
      <c r="W6">
        <v>4</v>
      </c>
      <c r="X6" s="25">
        <v>2</v>
      </c>
      <c r="Y6" s="25">
        <v>25</v>
      </c>
      <c r="Z6" s="27">
        <v>500</v>
      </c>
      <c r="AA6" s="26">
        <v>7.0000000000000001E-3</v>
      </c>
      <c r="AB6" s="26">
        <v>8.6E-3</v>
      </c>
      <c r="AC6" s="26">
        <v>0.14599999999999999</v>
      </c>
      <c r="AD6" s="27">
        <v>0</v>
      </c>
      <c r="AE6" s="27"/>
      <c r="AF6">
        <f>AB6*zb/wb</f>
        <v>2.7152231178835078E-2</v>
      </c>
      <c r="AG6">
        <f>AC6*sb/wb/kvb/kvb</f>
        <v>3.253745248395536E-7</v>
      </c>
      <c r="AH6">
        <f t="shared" si="0"/>
        <v>288.87568470841126</v>
      </c>
      <c r="AI6" s="23">
        <f t="shared" si="1"/>
        <v>93.992788649700017</v>
      </c>
      <c r="AJ6" s="23">
        <f>0.000001*AI6*mips</f>
        <v>16.918701956946002</v>
      </c>
    </row>
    <row r="7" spans="1:36">
      <c r="A7" s="5">
        <v>5</v>
      </c>
      <c r="B7" s="28">
        <v>34</v>
      </c>
      <c r="C7" s="28">
        <v>508</v>
      </c>
      <c r="D7" s="29">
        <v>166.68799999999999</v>
      </c>
      <c r="E7" s="30">
        <v>1.0123</v>
      </c>
      <c r="F7" s="29">
        <v>508</v>
      </c>
      <c r="G7" s="29"/>
      <c r="H7" s="29">
        <v>508</v>
      </c>
      <c r="I7" s="29">
        <v>1.012</v>
      </c>
      <c r="J7">
        <v>800</v>
      </c>
      <c r="L7">
        <v>508</v>
      </c>
      <c r="M7" s="40">
        <f>20.15/20</f>
        <v>1.0074999999999998</v>
      </c>
      <c r="N7">
        <v>600</v>
      </c>
      <c r="P7" s="25">
        <v>5</v>
      </c>
      <c r="Q7" s="27">
        <v>0</v>
      </c>
      <c r="R7" s="27">
        <v>0</v>
      </c>
      <c r="S7" s="37">
        <v>1.0060062999999999</v>
      </c>
      <c r="T7" s="38">
        <v>-11.192339</v>
      </c>
      <c r="U7" s="25">
        <v>345</v>
      </c>
      <c r="W7">
        <v>5</v>
      </c>
      <c r="X7" s="25">
        <v>2</v>
      </c>
      <c r="Y7" s="25">
        <v>30</v>
      </c>
      <c r="Z7" s="27">
        <v>900</v>
      </c>
      <c r="AA7" s="25">
        <v>0</v>
      </c>
      <c r="AB7" s="26">
        <v>1.8100000000000002E-2</v>
      </c>
      <c r="AC7" s="25">
        <v>0</v>
      </c>
      <c r="AD7" s="26">
        <v>1.0249999999999999</v>
      </c>
      <c r="AE7" s="26"/>
      <c r="AF7">
        <f>AB7*zb/wb</f>
        <v>5.7145974922897087E-2</v>
      </c>
      <c r="AG7" s="26">
        <v>0</v>
      </c>
    </row>
    <row r="8" spans="1:36">
      <c r="A8" s="5">
        <v>6</v>
      </c>
      <c r="B8" s="28">
        <v>35</v>
      </c>
      <c r="C8" s="28">
        <v>650</v>
      </c>
      <c r="D8" s="29">
        <v>210.661</v>
      </c>
      <c r="E8" s="30">
        <v>1.0494000000000001</v>
      </c>
      <c r="F8" s="29">
        <v>687</v>
      </c>
      <c r="G8" s="29"/>
      <c r="H8" s="29">
        <v>650</v>
      </c>
      <c r="I8" s="29">
        <v>1.0489999999999999</v>
      </c>
      <c r="J8">
        <v>1000</v>
      </c>
      <c r="L8">
        <v>650</v>
      </c>
      <c r="M8">
        <f>20.986/20</f>
        <v>1.0493000000000001</v>
      </c>
      <c r="N8">
        <v>1000</v>
      </c>
      <c r="P8" s="25">
        <v>6</v>
      </c>
      <c r="Q8" s="27">
        <v>0</v>
      </c>
      <c r="R8" s="27">
        <v>0</v>
      </c>
      <c r="S8" s="37">
        <v>1.0082256000000001</v>
      </c>
      <c r="T8" s="38">
        <v>-10.408329999999999</v>
      </c>
      <c r="U8" s="25">
        <v>345</v>
      </c>
      <c r="W8">
        <v>6</v>
      </c>
      <c r="X8" s="25">
        <v>3</v>
      </c>
      <c r="Y8" s="25">
        <v>4</v>
      </c>
      <c r="Z8" s="27">
        <v>500</v>
      </c>
      <c r="AA8" s="26">
        <v>1.2999999999999999E-3</v>
      </c>
      <c r="AB8" s="26">
        <v>2.1299999999999999E-2</v>
      </c>
      <c r="AC8" s="26">
        <v>0.22140000000000001</v>
      </c>
      <c r="AD8" s="27">
        <v>0</v>
      </c>
      <c r="AE8" s="27"/>
      <c r="AF8">
        <f>AB8*zb/wb</f>
        <v>6.72491307103706E-2</v>
      </c>
      <c r="AG8">
        <f>AC8*sb/wb/kvb/kvb</f>
        <v>4.9341040958546004E-7</v>
      </c>
      <c r="AH8">
        <f t="shared" ref="AH8:AH15" si="2">SQRT(AF8/AG8)</f>
        <v>369.18086547507693</v>
      </c>
      <c r="AI8" s="23">
        <f t="shared" ref="AI8:AI15" si="3">1000000*SQRT(AF8*AG8)</f>
        <v>182.15768204517232</v>
      </c>
      <c r="AJ8" s="23">
        <f>0.000001*AI8*mips</f>
        <v>32.788382768131015</v>
      </c>
    </row>
    <row r="9" spans="1:36">
      <c r="A9" s="5">
        <v>7</v>
      </c>
      <c r="B9" s="28">
        <v>36</v>
      </c>
      <c r="C9" s="28">
        <v>560</v>
      </c>
      <c r="D9" s="29">
        <v>100.16500000000001</v>
      </c>
      <c r="E9" s="30">
        <v>1.0636000000000001</v>
      </c>
      <c r="F9" s="29">
        <v>580</v>
      </c>
      <c r="G9" s="29"/>
      <c r="H9" s="29">
        <v>560</v>
      </c>
      <c r="I9" s="29">
        <v>1.0640000000000001</v>
      </c>
      <c r="J9">
        <v>800</v>
      </c>
      <c r="L9">
        <v>560</v>
      </c>
      <c r="M9">
        <f>21.27/20</f>
        <v>1.0634999999999999</v>
      </c>
      <c r="N9">
        <v>1000</v>
      </c>
      <c r="P9" s="25">
        <v>7</v>
      </c>
      <c r="Q9" s="26">
        <v>233.8</v>
      </c>
      <c r="R9" s="27">
        <v>84</v>
      </c>
      <c r="S9" s="37">
        <v>0.99839728000000005</v>
      </c>
      <c r="T9" s="38">
        <v>-12.755625999999999</v>
      </c>
      <c r="U9" s="25">
        <v>345</v>
      </c>
      <c r="W9">
        <v>7</v>
      </c>
      <c r="X9" s="25">
        <v>3</v>
      </c>
      <c r="Y9" s="25">
        <v>18</v>
      </c>
      <c r="Z9" s="27">
        <v>500</v>
      </c>
      <c r="AA9" s="26">
        <v>1.1000000000000001E-3</v>
      </c>
      <c r="AB9" s="26">
        <v>1.3299999999999999E-2</v>
      </c>
      <c r="AC9" s="26">
        <v>0.21379999999999999</v>
      </c>
      <c r="AD9" s="27">
        <v>0</v>
      </c>
      <c r="AE9" s="27"/>
      <c r="AF9">
        <f>AB9*zb/wb</f>
        <v>4.1991241241686801E-2</v>
      </c>
      <c r="AG9">
        <f>AC9*sb/wb/kvb/kvb</f>
        <v>4.7647310555271623E-7</v>
      </c>
      <c r="AH9">
        <f t="shared" si="2"/>
        <v>296.86579452519265</v>
      </c>
      <c r="AI9" s="23">
        <f t="shared" si="3"/>
        <v>141.44856704979307</v>
      </c>
      <c r="AJ9" s="23">
        <f>0.000001*AI9*mips</f>
        <v>25.460742068962752</v>
      </c>
    </row>
    <row r="10" spans="1:36">
      <c r="A10" s="5">
        <v>8</v>
      </c>
      <c r="B10" s="28">
        <v>37</v>
      </c>
      <c r="C10" s="28">
        <v>540</v>
      </c>
      <c r="D10" s="29">
        <v>-1.3694500000000001</v>
      </c>
      <c r="E10" s="30">
        <v>1.0275000000000001</v>
      </c>
      <c r="F10" s="29">
        <v>564</v>
      </c>
      <c r="G10" s="29"/>
      <c r="H10">
        <v>540</v>
      </c>
      <c r="I10">
        <v>1.028</v>
      </c>
      <c r="J10">
        <v>800</v>
      </c>
      <c r="L10">
        <v>540</v>
      </c>
      <c r="M10">
        <f>20.556/20</f>
        <v>1.0278</v>
      </c>
      <c r="N10">
        <v>1000</v>
      </c>
      <c r="P10" s="25">
        <v>8</v>
      </c>
      <c r="Q10" s="27">
        <v>522</v>
      </c>
      <c r="R10" s="26">
        <v>176.6</v>
      </c>
      <c r="S10" s="37">
        <v>0.99787232000000003</v>
      </c>
      <c r="T10" s="38">
        <v>-13.335844</v>
      </c>
      <c r="U10" s="25">
        <v>345</v>
      </c>
      <c r="W10">
        <v>8</v>
      </c>
      <c r="X10" s="25">
        <v>4</v>
      </c>
      <c r="Y10" s="25">
        <v>5</v>
      </c>
      <c r="Z10" s="27">
        <v>600</v>
      </c>
      <c r="AA10" s="26">
        <v>8.0000000000000004E-4</v>
      </c>
      <c r="AB10" s="26">
        <v>1.2800000000000001E-2</v>
      </c>
      <c r="AC10" s="26">
        <v>0.13420000000000001</v>
      </c>
      <c r="AD10" s="27">
        <v>0</v>
      </c>
      <c r="AE10" s="27"/>
      <c r="AF10">
        <f>AB10*zb/wb</f>
        <v>4.0412623149894071E-2</v>
      </c>
      <c r="AG10">
        <f>AC10*sb/wb/kvb/kvb</f>
        <v>2.9907713173608288E-7</v>
      </c>
      <c r="AH10">
        <f t="shared" si="2"/>
        <v>367.5927329091673</v>
      </c>
      <c r="AI10" s="23">
        <f t="shared" si="3"/>
        <v>109.93858020550175</v>
      </c>
      <c r="AJ10" s="23">
        <f>0.000001*AI10*mips</f>
        <v>19.788944436990313</v>
      </c>
    </row>
    <row r="11" spans="1:36">
      <c r="A11" s="5">
        <v>9</v>
      </c>
      <c r="B11" s="28">
        <v>38</v>
      </c>
      <c r="C11" s="28">
        <v>830</v>
      </c>
      <c r="D11" s="29">
        <v>21.732700000000001</v>
      </c>
      <c r="E11" s="30">
        <v>1.0265</v>
      </c>
      <c r="F11" s="29">
        <v>865</v>
      </c>
      <c r="G11" s="29"/>
      <c r="H11" s="29">
        <v>830</v>
      </c>
      <c r="I11" s="29">
        <v>1.0269999999999999</v>
      </c>
      <c r="J11">
        <v>1000</v>
      </c>
      <c r="L11">
        <v>830</v>
      </c>
      <c r="M11">
        <f>20.53/20</f>
        <v>1.0265</v>
      </c>
      <c r="N11">
        <v>1000</v>
      </c>
      <c r="P11" s="25">
        <v>9</v>
      </c>
      <c r="Q11" s="27">
        <v>6.5</v>
      </c>
      <c r="R11" s="27">
        <v>-66.599999999999994</v>
      </c>
      <c r="S11" s="37">
        <v>1.038332</v>
      </c>
      <c r="T11" s="38">
        <v>-14.178442</v>
      </c>
      <c r="U11" s="25">
        <v>345</v>
      </c>
      <c r="W11">
        <v>9</v>
      </c>
      <c r="X11" s="25">
        <v>4</v>
      </c>
      <c r="Y11" s="25">
        <v>14</v>
      </c>
      <c r="Z11" s="27">
        <v>500</v>
      </c>
      <c r="AA11" s="26">
        <v>8.0000000000000004E-4</v>
      </c>
      <c r="AB11" s="26">
        <v>1.29E-2</v>
      </c>
      <c r="AC11" s="26">
        <v>0.13819999999999999</v>
      </c>
      <c r="AD11" s="27">
        <v>0</v>
      </c>
      <c r="AE11" s="27"/>
      <c r="AF11">
        <f>AB11*zb/wb</f>
        <v>4.0728346768252613E-2</v>
      </c>
      <c r="AG11">
        <f>AC11*sb/wb/kvb/kvb</f>
        <v>3.0799150227963219E-7</v>
      </c>
      <c r="AH11">
        <f t="shared" si="2"/>
        <v>363.64617496435795</v>
      </c>
      <c r="AI11" s="23">
        <f t="shared" si="3"/>
        <v>111.99993172551457</v>
      </c>
      <c r="AJ11" s="23">
        <f>0.000001*AI11*mips</f>
        <v>20.159987710592624</v>
      </c>
    </row>
    <row r="12" spans="1:36">
      <c r="A12" s="5">
        <v>10</v>
      </c>
      <c r="B12" s="28">
        <v>39</v>
      </c>
      <c r="C12" s="28">
        <v>1000</v>
      </c>
      <c r="D12" s="29">
        <v>78.467399999999998</v>
      </c>
      <c r="E12" s="30">
        <v>1.03</v>
      </c>
      <c r="F12" s="28">
        <v>1100</v>
      </c>
      <c r="G12" s="28"/>
      <c r="H12" s="29">
        <v>1003</v>
      </c>
      <c r="I12">
        <v>1.03</v>
      </c>
      <c r="J12" t="s">
        <v>71</v>
      </c>
      <c r="L12">
        <v>1000</v>
      </c>
      <c r="M12">
        <f>355.35/345</f>
        <v>1.03</v>
      </c>
      <c r="N12">
        <v>10000</v>
      </c>
      <c r="P12" s="25">
        <v>10</v>
      </c>
      <c r="Q12" s="27">
        <v>0</v>
      </c>
      <c r="R12" s="27">
        <v>0</v>
      </c>
      <c r="S12" s="37">
        <v>1.0178430999999999</v>
      </c>
      <c r="T12" s="38">
        <v>-8.1708750000000006</v>
      </c>
      <c r="U12" s="25">
        <v>345</v>
      </c>
      <c r="W12">
        <v>10</v>
      </c>
      <c r="X12" s="25">
        <v>5</v>
      </c>
      <c r="Y12" s="25">
        <v>6</v>
      </c>
      <c r="Z12" s="25">
        <v>1200</v>
      </c>
      <c r="AA12" s="26">
        <v>2.0000000000000001E-4</v>
      </c>
      <c r="AB12" s="26">
        <v>2.5999999999999999E-3</v>
      </c>
      <c r="AC12" s="26">
        <v>4.3400000000000001E-2</v>
      </c>
      <c r="AD12" s="27">
        <v>0</v>
      </c>
      <c r="AE12" s="27"/>
      <c r="AF12">
        <f>AB12*zb/wb</f>
        <v>8.208814077322232E-3</v>
      </c>
      <c r="AG12">
        <f>AC12*sb/wb/kvb/kvb</f>
        <v>9.672092039751113E-8</v>
      </c>
      <c r="AH12">
        <f t="shared" si="2"/>
        <v>291.32650544792125</v>
      </c>
      <c r="AI12" s="23">
        <f t="shared" si="3"/>
        <v>28.177367743113486</v>
      </c>
      <c r="AJ12" s="23">
        <f>0.000001*AI12*mips</f>
        <v>5.0719261937604276</v>
      </c>
    </row>
    <row r="13" spans="1:36">
      <c r="B13" s="5" t="s">
        <v>94</v>
      </c>
      <c r="C13">
        <f>SUM(C3:C12)</f>
        <v>6297.8710000000001</v>
      </c>
      <c r="F13">
        <f>SUM(F3:F12)</f>
        <v>7367</v>
      </c>
      <c r="G13"/>
      <c r="H13">
        <f>SUM(H3:H12)</f>
        <v>6170.326</v>
      </c>
      <c r="J13" t="s">
        <v>94</v>
      </c>
      <c r="L13" s="40">
        <f>SUM(L3:L12)</f>
        <v>6192.16</v>
      </c>
      <c r="P13" s="25">
        <v>11</v>
      </c>
      <c r="Q13" s="27">
        <v>0</v>
      </c>
      <c r="R13" s="27">
        <v>0</v>
      </c>
      <c r="S13" s="37">
        <v>1.0133858</v>
      </c>
      <c r="T13" s="38">
        <v>-8.9369662999999999</v>
      </c>
      <c r="U13" s="25">
        <v>345</v>
      </c>
      <c r="W13">
        <v>11</v>
      </c>
      <c r="X13" s="25">
        <v>5</v>
      </c>
      <c r="Y13" s="25">
        <v>8</v>
      </c>
      <c r="Z13" s="27">
        <v>900</v>
      </c>
      <c r="AA13" s="26">
        <v>8.0000000000000004E-4</v>
      </c>
      <c r="AB13" s="26">
        <v>1.12E-2</v>
      </c>
      <c r="AC13" s="26">
        <v>0.14760000000000001</v>
      </c>
      <c r="AD13" s="27">
        <v>0</v>
      </c>
      <c r="AE13" s="27"/>
      <c r="AF13">
        <f>AB13*zb/wb</f>
        <v>3.5361045256157311E-2</v>
      </c>
      <c r="AG13">
        <f>AC13*sb/wb/kvb/kvb</f>
        <v>3.2894027305697341E-7</v>
      </c>
      <c r="AH13">
        <f t="shared" si="2"/>
        <v>327.87176813727558</v>
      </c>
      <c r="AI13" s="23">
        <f t="shared" si="3"/>
        <v>107.8502289387481</v>
      </c>
      <c r="AJ13" s="23">
        <f>0.000001*AI13*mips</f>
        <v>19.413041208974658</v>
      </c>
    </row>
    <row r="14" spans="1:36">
      <c r="B14" s="5" t="s">
        <v>93</v>
      </c>
      <c r="C14" s="5">
        <f>Q42</f>
        <v>6254.2300000000005</v>
      </c>
      <c r="J14" t="s">
        <v>93</v>
      </c>
      <c r="L14" s="41">
        <v>6097</v>
      </c>
      <c r="P14" s="25">
        <v>12</v>
      </c>
      <c r="Q14" s="27">
        <v>8.5299999999999994</v>
      </c>
      <c r="R14" s="27">
        <v>88</v>
      </c>
      <c r="S14" s="37">
        <v>1.000815</v>
      </c>
      <c r="T14" s="38">
        <v>-8.9988235999999997</v>
      </c>
      <c r="U14" s="25">
        <v>345</v>
      </c>
      <c r="W14">
        <v>12</v>
      </c>
      <c r="X14" s="25">
        <v>6</v>
      </c>
      <c r="Y14" s="25">
        <v>7</v>
      </c>
      <c r="Z14" s="27">
        <v>900</v>
      </c>
      <c r="AA14" s="26">
        <v>5.9999999999999995E-4</v>
      </c>
      <c r="AB14" s="26">
        <v>9.1999999999999998E-3</v>
      </c>
      <c r="AC14" s="26">
        <v>0.113</v>
      </c>
      <c r="AD14" s="27">
        <v>0</v>
      </c>
      <c r="AE14" s="27"/>
      <c r="AF14">
        <f>AB14*zb/wb</f>
        <v>2.9046572888986363E-2</v>
      </c>
      <c r="AG14">
        <f>AC14*sb/wb/kvb/kvb</f>
        <v>2.5183096785527099E-7</v>
      </c>
      <c r="AH14">
        <f t="shared" si="2"/>
        <v>339.61970630619243</v>
      </c>
      <c r="AI14" s="23">
        <f t="shared" si="3"/>
        <v>85.526759341811314</v>
      </c>
      <c r="AJ14" s="23">
        <f>0.000001*AI14*mips</f>
        <v>15.394816681526034</v>
      </c>
    </row>
    <row r="15" spans="1:36">
      <c r="B15" t="s">
        <v>95</v>
      </c>
      <c r="C15" s="23">
        <f>C13-C14</f>
        <v>43.640999999999622</v>
      </c>
      <c r="J15" t="s">
        <v>95</v>
      </c>
      <c r="L15" s="41">
        <f>L13-L14</f>
        <v>95.159999999999854</v>
      </c>
      <c r="P15" s="25">
        <v>13</v>
      </c>
      <c r="Q15" s="27">
        <v>0</v>
      </c>
      <c r="R15" s="27">
        <v>0</v>
      </c>
      <c r="S15" s="37">
        <v>1.014923</v>
      </c>
      <c r="T15" s="38">
        <v>-8.9299271999999998</v>
      </c>
      <c r="U15" s="25">
        <v>345</v>
      </c>
      <c r="W15">
        <v>13</v>
      </c>
      <c r="X15" s="25">
        <v>6</v>
      </c>
      <c r="Y15" s="25">
        <v>11</v>
      </c>
      <c r="Z15" s="27">
        <v>480</v>
      </c>
      <c r="AA15" s="26">
        <v>6.9999999999999999E-4</v>
      </c>
      <c r="AB15" s="26">
        <v>8.2000000000000007E-3</v>
      </c>
      <c r="AC15" s="26">
        <v>0.1389</v>
      </c>
      <c r="AD15" s="27">
        <v>0</v>
      </c>
      <c r="AE15" s="27"/>
      <c r="AF15">
        <f>AB15*zb/wb</f>
        <v>2.5889336705400893E-2</v>
      </c>
      <c r="AG15">
        <f>AC15*sb/wb/kvb/kvb</f>
        <v>3.0955151712475335E-7</v>
      </c>
      <c r="AH15">
        <f t="shared" si="2"/>
        <v>289.19713983914977</v>
      </c>
      <c r="AI15" s="23">
        <f t="shared" si="3"/>
        <v>89.521413385348254</v>
      </c>
      <c r="AJ15" s="23">
        <f>0.000001*AI15*mips</f>
        <v>16.113854409362684</v>
      </c>
    </row>
    <row r="16" spans="1:36">
      <c r="P16" s="25">
        <v>14</v>
      </c>
      <c r="Q16" s="27">
        <v>0</v>
      </c>
      <c r="R16" s="27">
        <v>0</v>
      </c>
      <c r="S16" s="37">
        <v>1.012319</v>
      </c>
      <c r="T16" s="38">
        <v>-10.715294999999999</v>
      </c>
      <c r="U16" s="25">
        <v>345</v>
      </c>
      <c r="W16">
        <v>14</v>
      </c>
      <c r="X16" s="25">
        <v>6</v>
      </c>
      <c r="Y16" s="25">
        <v>31</v>
      </c>
      <c r="Z16" s="25">
        <v>1800</v>
      </c>
      <c r="AA16" s="25">
        <v>0</v>
      </c>
      <c r="AB16" s="26">
        <v>2.5000000000000001E-2</v>
      </c>
      <c r="AC16" s="25">
        <v>0</v>
      </c>
      <c r="AD16" s="27">
        <v>1.07</v>
      </c>
      <c r="AE16" s="27"/>
      <c r="AF16">
        <f>AB16*zb/wb</f>
        <v>7.8930904589636849E-2</v>
      </c>
      <c r="AG16">
        <v>0</v>
      </c>
    </row>
    <row r="17" spans="16:36">
      <c r="P17" s="25">
        <v>15</v>
      </c>
      <c r="Q17" s="27">
        <v>320</v>
      </c>
      <c r="R17" s="27">
        <v>153</v>
      </c>
      <c r="S17" s="37">
        <v>1.0161853999999999</v>
      </c>
      <c r="T17" s="38">
        <v>-11.345399</v>
      </c>
      <c r="U17" s="25">
        <v>345</v>
      </c>
      <c r="W17">
        <v>15</v>
      </c>
      <c r="X17" s="25">
        <v>7</v>
      </c>
      <c r="Y17" s="25">
        <v>8</v>
      </c>
      <c r="Z17" s="27">
        <v>900</v>
      </c>
      <c r="AA17" s="26">
        <v>4.0000000000000002E-4</v>
      </c>
      <c r="AB17" s="26">
        <v>4.5999999999999999E-3</v>
      </c>
      <c r="AC17" s="26">
        <v>7.8E-2</v>
      </c>
      <c r="AD17" s="27">
        <v>0</v>
      </c>
      <c r="AE17" s="27"/>
      <c r="AF17">
        <f>AB17*zb/wb</f>
        <v>1.4523286444493182E-2</v>
      </c>
      <c r="AG17">
        <f>AC17*sb/wb/kvb/kvb</f>
        <v>1.7383022559921359E-7</v>
      </c>
      <c r="AH17">
        <f t="shared" ref="AH17:AH21" si="4">SQRT(AF17/AG17)</f>
        <v>289.04789079506691</v>
      </c>
      <c r="AI17" s="23">
        <f t="shared" ref="AI17:AI21" si="5">1000000*SQRT(AF17*AG17)</f>
        <v>50.245260065883329</v>
      </c>
      <c r="AJ17" s="23">
        <f>0.000001*AI17*mips</f>
        <v>9.0441468118589992</v>
      </c>
    </row>
    <row r="18" spans="16:36">
      <c r="P18" s="25">
        <v>16</v>
      </c>
      <c r="Q18" s="27">
        <v>329</v>
      </c>
      <c r="R18" s="27">
        <v>32.299999999999997</v>
      </c>
      <c r="S18" s="37">
        <v>1.0325203000000001</v>
      </c>
      <c r="T18" s="38">
        <v>-10.033348</v>
      </c>
      <c r="U18" s="25">
        <v>345</v>
      </c>
      <c r="W18">
        <v>16</v>
      </c>
      <c r="X18" s="25">
        <v>8</v>
      </c>
      <c r="Y18" s="25">
        <v>9</v>
      </c>
      <c r="Z18" s="27">
        <v>900</v>
      </c>
      <c r="AA18" s="26">
        <v>2.3E-3</v>
      </c>
      <c r="AB18" s="26">
        <v>3.6299999999999999E-2</v>
      </c>
      <c r="AC18" s="26">
        <v>0.38040000000000002</v>
      </c>
      <c r="AD18" s="27">
        <v>0</v>
      </c>
      <c r="AE18" s="27"/>
      <c r="AF18">
        <f>AB18*zb/wb</f>
        <v>0.11460767346415271</v>
      </c>
      <c r="AG18">
        <f>AC18*sb/wb/kvb/kvb</f>
        <v>8.4775663869154935E-7</v>
      </c>
      <c r="AH18">
        <f t="shared" si="4"/>
        <v>367.68105109347408</v>
      </c>
      <c r="AI18" s="23">
        <f t="shared" si="5"/>
        <v>311.70405198557938</v>
      </c>
      <c r="AJ18" s="23">
        <f>0.000001*AI18*mips</f>
        <v>56.106729357404284</v>
      </c>
    </row>
    <row r="19" spans="16:36">
      <c r="P19" s="25">
        <v>17</v>
      </c>
      <c r="Q19" s="27">
        <v>0</v>
      </c>
      <c r="R19" s="27">
        <v>0</v>
      </c>
      <c r="S19" s="37">
        <v>1.0342365</v>
      </c>
      <c r="T19" s="38">
        <v>-11.116436</v>
      </c>
      <c r="U19" s="25">
        <v>345</v>
      </c>
      <c r="W19">
        <v>17</v>
      </c>
      <c r="X19" s="25">
        <v>9</v>
      </c>
      <c r="Y19" s="25">
        <v>39</v>
      </c>
      <c r="Z19" s="27">
        <v>900</v>
      </c>
      <c r="AA19" s="26">
        <v>1E-3</v>
      </c>
      <c r="AB19" s="26">
        <v>2.5000000000000001E-2</v>
      </c>
      <c r="AC19" s="26">
        <v>1.2</v>
      </c>
      <c r="AD19" s="27">
        <v>0</v>
      </c>
      <c r="AE19" s="27"/>
      <c r="AF19">
        <f>AB19*zb/wb</f>
        <v>7.8930904589636849E-2</v>
      </c>
      <c r="AG19">
        <f>AC19*sb/wb/kvb/kvb</f>
        <v>2.6743111630648242E-6</v>
      </c>
      <c r="AH19">
        <f t="shared" si="4"/>
        <v>171.79778947573803</v>
      </c>
      <c r="AI19" s="23">
        <f t="shared" si="5"/>
        <v>459.44074618482676</v>
      </c>
      <c r="AJ19" s="23">
        <f>0.000001*AI19*mips</f>
        <v>82.699334313268807</v>
      </c>
    </row>
    <row r="20" spans="16:36">
      <c r="P20" s="25">
        <v>18</v>
      </c>
      <c r="Q20" s="27">
        <v>158</v>
      </c>
      <c r="R20" s="27">
        <v>30</v>
      </c>
      <c r="S20" s="37">
        <v>1.0315726000000001</v>
      </c>
      <c r="T20" s="38">
        <v>-11.986167999999999</v>
      </c>
      <c r="U20" s="25">
        <v>345</v>
      </c>
      <c r="W20">
        <v>18</v>
      </c>
      <c r="X20" s="25">
        <v>10</v>
      </c>
      <c r="Y20" s="25">
        <v>11</v>
      </c>
      <c r="Z20" s="27">
        <v>600</v>
      </c>
      <c r="AA20" s="26">
        <v>4.0000000000000002E-4</v>
      </c>
      <c r="AB20" s="26">
        <v>4.3E-3</v>
      </c>
      <c r="AC20" s="26">
        <v>7.2900000000000006E-2</v>
      </c>
      <c r="AD20" s="27">
        <v>0</v>
      </c>
      <c r="AE20" s="27"/>
      <c r="AF20">
        <f>AB20*zb/wb</f>
        <v>1.3576115589417539E-2</v>
      </c>
      <c r="AG20">
        <f>AC20*sb/wb/kvb/kvb</f>
        <v>1.6246440315618811E-7</v>
      </c>
      <c r="AH20">
        <f t="shared" si="4"/>
        <v>289.07374827964651</v>
      </c>
      <c r="AI20" s="23">
        <f t="shared" si="5"/>
        <v>46.96419398237493</v>
      </c>
      <c r="AJ20" s="23">
        <f>0.000001*AI20*mips</f>
        <v>8.4535549168274873</v>
      </c>
    </row>
    <row r="21" spans="16:36">
      <c r="P21" s="25">
        <v>19</v>
      </c>
      <c r="Q21" s="27">
        <v>0</v>
      </c>
      <c r="R21" s="27">
        <v>0</v>
      </c>
      <c r="S21" s="37">
        <v>1.0501068</v>
      </c>
      <c r="T21" s="38">
        <v>-5.4100729000000003</v>
      </c>
      <c r="U21" s="25">
        <v>345</v>
      </c>
      <c r="W21">
        <v>19</v>
      </c>
      <c r="X21" s="25">
        <v>10</v>
      </c>
      <c r="Y21" s="25">
        <v>13</v>
      </c>
      <c r="Z21" s="27">
        <v>600</v>
      </c>
      <c r="AA21" s="26">
        <v>4.0000000000000002E-4</v>
      </c>
      <c r="AB21" s="26">
        <v>4.3E-3</v>
      </c>
      <c r="AC21" s="26">
        <v>7.2900000000000006E-2</v>
      </c>
      <c r="AD21" s="27">
        <v>0</v>
      </c>
      <c r="AE21" s="27"/>
      <c r="AF21">
        <f>AB21*zb/wb</f>
        <v>1.3576115589417539E-2</v>
      </c>
      <c r="AG21">
        <f>AC21*sb/wb/kvb/kvb</f>
        <v>1.6246440315618811E-7</v>
      </c>
      <c r="AH21">
        <f t="shared" si="4"/>
        <v>289.07374827964651</v>
      </c>
      <c r="AI21" s="23">
        <f t="shared" si="5"/>
        <v>46.96419398237493</v>
      </c>
      <c r="AJ21" s="23">
        <f>0.000001*AI21*mips</f>
        <v>8.4535549168274873</v>
      </c>
    </row>
    <row r="22" spans="16:36">
      <c r="P22" s="25">
        <v>20</v>
      </c>
      <c r="Q22" s="27">
        <v>680</v>
      </c>
      <c r="R22" s="27">
        <v>103</v>
      </c>
      <c r="S22" s="37">
        <v>0.99101054</v>
      </c>
      <c r="T22" s="38">
        <v>-6.8211782999999997</v>
      </c>
      <c r="U22" s="25">
        <v>345</v>
      </c>
      <c r="W22">
        <v>20</v>
      </c>
      <c r="X22" s="25">
        <v>10</v>
      </c>
      <c r="Y22" s="25">
        <v>32</v>
      </c>
      <c r="Z22" s="27">
        <v>900</v>
      </c>
      <c r="AA22" s="25">
        <v>0</v>
      </c>
      <c r="AB22" s="26">
        <v>0.02</v>
      </c>
      <c r="AC22" s="25">
        <v>0</v>
      </c>
      <c r="AD22" s="27">
        <v>1.07</v>
      </c>
      <c r="AE22" s="27"/>
      <c r="AF22">
        <f>AB22*zb/wb</f>
        <v>6.314472367170948E-2</v>
      </c>
      <c r="AG22">
        <v>0</v>
      </c>
    </row>
    <row r="23" spans="16:36">
      <c r="P23" s="25">
        <v>21</v>
      </c>
      <c r="Q23" s="27">
        <v>274</v>
      </c>
      <c r="R23" s="27">
        <v>115</v>
      </c>
      <c r="S23" s="37">
        <v>1.0323192000000001</v>
      </c>
      <c r="T23" s="38">
        <v>-7.6287460999999999</v>
      </c>
      <c r="U23" s="25">
        <v>345</v>
      </c>
      <c r="W23">
        <v>21</v>
      </c>
      <c r="X23" s="25">
        <v>12</v>
      </c>
      <c r="Y23" s="25">
        <v>11</v>
      </c>
      <c r="Z23" s="27">
        <v>500</v>
      </c>
      <c r="AA23" s="26">
        <v>1.6000000000000001E-3</v>
      </c>
      <c r="AB23" s="26">
        <v>4.3499999999999997E-2</v>
      </c>
      <c r="AC23" s="25">
        <v>0</v>
      </c>
      <c r="AD23" s="26">
        <v>1.006</v>
      </c>
      <c r="AE23" s="26"/>
      <c r="AF23">
        <f>AB23*zb/wb</f>
        <v>0.13733977398596811</v>
      </c>
      <c r="AG23" s="26">
        <v>0</v>
      </c>
    </row>
    <row r="24" spans="16:36">
      <c r="P24" s="25">
        <v>22</v>
      </c>
      <c r="Q24" s="27">
        <v>0</v>
      </c>
      <c r="R24" s="27">
        <v>0</v>
      </c>
      <c r="S24" s="37">
        <v>1.0501427000000001</v>
      </c>
      <c r="T24" s="38">
        <v>-3.1831198999999999</v>
      </c>
      <c r="U24" s="25">
        <v>345</v>
      </c>
      <c r="W24">
        <v>22</v>
      </c>
      <c r="X24" s="25">
        <v>12</v>
      </c>
      <c r="Y24" s="25">
        <v>13</v>
      </c>
      <c r="Z24" s="27">
        <v>500</v>
      </c>
      <c r="AA24" s="26">
        <v>1.6000000000000001E-3</v>
      </c>
      <c r="AB24" s="26">
        <v>4.3499999999999997E-2</v>
      </c>
      <c r="AC24" s="25">
        <v>0</v>
      </c>
      <c r="AD24" s="26">
        <v>1.006</v>
      </c>
      <c r="AE24" s="26"/>
      <c r="AF24">
        <f>AB24*zb/wb</f>
        <v>0.13733977398596811</v>
      </c>
      <c r="AG24" s="26">
        <v>0</v>
      </c>
    </row>
    <row r="25" spans="16:36">
      <c r="P25" s="25">
        <v>23</v>
      </c>
      <c r="Q25" s="26">
        <v>247.5</v>
      </c>
      <c r="R25" s="27">
        <v>84.6</v>
      </c>
      <c r="S25" s="37">
        <v>1.0451451</v>
      </c>
      <c r="T25" s="38">
        <v>-3.3812763000000001</v>
      </c>
      <c r="U25" s="25">
        <v>345</v>
      </c>
      <c r="W25">
        <v>23</v>
      </c>
      <c r="X25" s="25">
        <v>13</v>
      </c>
      <c r="Y25" s="25">
        <v>14</v>
      </c>
      <c r="Z25" s="27">
        <v>600</v>
      </c>
      <c r="AA25" s="26">
        <v>8.9999999999999998E-4</v>
      </c>
      <c r="AB25" s="26">
        <v>1.01E-2</v>
      </c>
      <c r="AC25" s="26">
        <v>0.17230000000000001</v>
      </c>
      <c r="AD25" s="27">
        <v>0</v>
      </c>
      <c r="AE25" s="27"/>
      <c r="AF25">
        <f>AB25*zb/wb</f>
        <v>3.1888085454213282E-2</v>
      </c>
      <c r="AG25">
        <f>AC25*sb/wb/kvb/kvb</f>
        <v>3.83986511163391E-7</v>
      </c>
      <c r="AH25">
        <f t="shared" ref="AH25:AH33" si="6">SQRT(AF25/AG25)</f>
        <v>288.17495785274275</v>
      </c>
      <c r="AI25" s="23">
        <f t="shared" ref="AI25:AI33" si="7">1000000*SQRT(AF25*AG25)</f>
        <v>110.65529667053192</v>
      </c>
      <c r="AJ25" s="23">
        <f>0.000001*AI25*mips</f>
        <v>19.917953400695747</v>
      </c>
    </row>
    <row r="26" spans="16:36">
      <c r="P26" s="25">
        <v>24</v>
      </c>
      <c r="Q26" s="26">
        <v>308.60000000000002</v>
      </c>
      <c r="R26" s="27">
        <v>-92.2</v>
      </c>
      <c r="S26" s="37">
        <v>1.038001</v>
      </c>
      <c r="T26" s="38">
        <v>-9.9137585000000001</v>
      </c>
      <c r="U26" s="25">
        <v>345</v>
      </c>
      <c r="W26">
        <v>24</v>
      </c>
      <c r="X26" s="25">
        <v>14</v>
      </c>
      <c r="Y26" s="25">
        <v>15</v>
      </c>
      <c r="Z26" s="27">
        <v>600</v>
      </c>
      <c r="AA26" s="26">
        <v>1.8E-3</v>
      </c>
      <c r="AB26" s="26">
        <v>2.1700000000000001E-2</v>
      </c>
      <c r="AC26" s="26">
        <v>0.36599999999999999</v>
      </c>
      <c r="AD26" s="27">
        <v>0</v>
      </c>
      <c r="AE26" s="27"/>
      <c r="AF26">
        <f>AB26*zb/wb</f>
        <v>6.8512025183804781E-2</v>
      </c>
      <c r="AG26">
        <f>AC26*sb/wb/kvb/kvb</f>
        <v>8.1566490473477148E-7</v>
      </c>
      <c r="AH26">
        <f t="shared" si="6"/>
        <v>289.81944094627232</v>
      </c>
      <c r="AI26" s="23">
        <f t="shared" si="7"/>
        <v>236.39554668972593</v>
      </c>
      <c r="AJ26" s="23">
        <f>0.000001*AI26*mips</f>
        <v>42.551198404150668</v>
      </c>
    </row>
    <row r="27" spans="16:36">
      <c r="P27" s="25">
        <v>25</v>
      </c>
      <c r="Q27" s="27">
        <v>224</v>
      </c>
      <c r="R27" s="27">
        <v>47.2</v>
      </c>
      <c r="S27" s="37">
        <v>1.0576827</v>
      </c>
      <c r="T27" s="38">
        <v>-8.3692354000000009</v>
      </c>
      <c r="U27" s="25">
        <v>345</v>
      </c>
      <c r="W27">
        <v>25</v>
      </c>
      <c r="X27" s="25">
        <v>15</v>
      </c>
      <c r="Y27" s="25">
        <v>16</v>
      </c>
      <c r="Z27" s="27">
        <v>600</v>
      </c>
      <c r="AA27" s="26">
        <v>8.9999999999999998E-4</v>
      </c>
      <c r="AB27" s="26">
        <v>9.4000000000000004E-3</v>
      </c>
      <c r="AC27" s="26">
        <v>0.17100000000000001</v>
      </c>
      <c r="AD27" s="27">
        <v>0</v>
      </c>
      <c r="AE27" s="27"/>
      <c r="AF27">
        <f>AB27*zb/wb</f>
        <v>2.9678020125703457E-2</v>
      </c>
      <c r="AG27">
        <f>AC27*sb/wb/kvb/kvb</f>
        <v>3.8108934073673753E-7</v>
      </c>
      <c r="AH27">
        <f t="shared" si="6"/>
        <v>279.06415858232879</v>
      </c>
      <c r="AI27" s="23">
        <f t="shared" si="7"/>
        <v>106.34837621739204</v>
      </c>
      <c r="AJ27" s="23">
        <f>0.000001*AI27*mips</f>
        <v>19.142707719130566</v>
      </c>
    </row>
    <row r="28" spans="16:36">
      <c r="P28" s="25">
        <v>26</v>
      </c>
      <c r="Q28" s="27">
        <v>139</v>
      </c>
      <c r="R28" s="27">
        <v>17</v>
      </c>
      <c r="S28" s="37">
        <v>1.0525613</v>
      </c>
      <c r="T28" s="38">
        <v>-9.4387696000000005</v>
      </c>
      <c r="U28" s="25">
        <v>345</v>
      </c>
      <c r="W28">
        <v>26</v>
      </c>
      <c r="X28" s="25">
        <v>16</v>
      </c>
      <c r="Y28" s="25">
        <v>17</v>
      </c>
      <c r="Z28" s="27">
        <v>600</v>
      </c>
      <c r="AA28" s="26">
        <v>6.9999999999999999E-4</v>
      </c>
      <c r="AB28" s="26">
        <v>8.8999999999999999E-3</v>
      </c>
      <c r="AC28" s="26">
        <v>0.13420000000000001</v>
      </c>
      <c r="AD28" s="27">
        <v>0</v>
      </c>
      <c r="AE28" s="27"/>
      <c r="AF28">
        <f>AB28*zb/wb</f>
        <v>2.809940203391072E-2</v>
      </c>
      <c r="AG28">
        <f>AC28*sb/wb/kvb/kvb</f>
        <v>2.9907713173608288E-7</v>
      </c>
      <c r="AH28">
        <f t="shared" si="6"/>
        <v>306.51867218051416</v>
      </c>
      <c r="AI28" s="23">
        <f t="shared" si="7"/>
        <v>91.672725299300836</v>
      </c>
      <c r="AJ28" s="23">
        <f>0.000001*AI28*mips</f>
        <v>16.50109055387415</v>
      </c>
    </row>
    <row r="29" spans="16:36">
      <c r="P29" s="25">
        <v>27</v>
      </c>
      <c r="Q29" s="27">
        <v>281</v>
      </c>
      <c r="R29" s="27">
        <v>75.5</v>
      </c>
      <c r="S29" s="37">
        <v>1.0383449</v>
      </c>
      <c r="T29" s="38">
        <v>-11.362152</v>
      </c>
      <c r="U29" s="25">
        <v>345</v>
      </c>
      <c r="W29">
        <v>27</v>
      </c>
      <c r="X29" s="25">
        <v>16</v>
      </c>
      <c r="Y29" s="25">
        <v>19</v>
      </c>
      <c r="Z29" s="27">
        <v>600</v>
      </c>
      <c r="AA29" s="26">
        <v>1.6000000000000001E-3</v>
      </c>
      <c r="AB29" s="26">
        <v>1.95E-2</v>
      </c>
      <c r="AC29" s="26">
        <v>0.30399999999999999</v>
      </c>
      <c r="AD29" s="27">
        <v>0</v>
      </c>
      <c r="AE29" s="27"/>
      <c r="AF29">
        <f>AB29*zb/wb</f>
        <v>6.1566105579916743E-2</v>
      </c>
      <c r="AG29">
        <f>AC29*sb/wb/kvb/kvb</f>
        <v>6.7749216130975552E-7</v>
      </c>
      <c r="AH29">
        <f t="shared" si="6"/>
        <v>301.45237098018049</v>
      </c>
      <c r="AI29" s="23">
        <f t="shared" si="7"/>
        <v>204.23161834731269</v>
      </c>
      <c r="AJ29" s="23">
        <f>0.000001*AI29*mips</f>
        <v>36.761691302516283</v>
      </c>
    </row>
    <row r="30" spans="16:36">
      <c r="P30" s="25">
        <v>28</v>
      </c>
      <c r="Q30" s="27">
        <v>206</v>
      </c>
      <c r="R30" s="27">
        <v>27.6</v>
      </c>
      <c r="S30" s="37">
        <v>1.0503737</v>
      </c>
      <c r="T30" s="38">
        <v>-5.9283592000000001</v>
      </c>
      <c r="U30" s="25">
        <v>345</v>
      </c>
      <c r="W30">
        <v>28</v>
      </c>
      <c r="X30" s="25">
        <v>16</v>
      </c>
      <c r="Y30" s="25">
        <v>21</v>
      </c>
      <c r="Z30" s="27">
        <v>600</v>
      </c>
      <c r="AA30" s="26">
        <v>8.0000000000000004E-4</v>
      </c>
      <c r="AB30" s="26">
        <v>1.35E-2</v>
      </c>
      <c r="AC30" s="26">
        <v>0.25480000000000003</v>
      </c>
      <c r="AD30" s="27">
        <v>0</v>
      </c>
      <c r="AE30" s="27"/>
      <c r="AF30">
        <f>AB30*zb/wb</f>
        <v>4.2622688478403899E-2</v>
      </c>
      <c r="AG30">
        <f>AC30*sb/wb/kvb/kvb</f>
        <v>5.6784540362409773E-7</v>
      </c>
      <c r="AH30">
        <f t="shared" si="6"/>
        <v>273.9714842653184</v>
      </c>
      <c r="AI30" s="23">
        <f t="shared" si="7"/>
        <v>155.57344806413286</v>
      </c>
      <c r="AJ30" s="23">
        <f>0.000001*AI30*mips</f>
        <v>28.003220651543913</v>
      </c>
    </row>
    <row r="31" spans="16:36">
      <c r="P31" s="25">
        <v>29</v>
      </c>
      <c r="Q31" s="26">
        <v>283.5</v>
      </c>
      <c r="R31" s="27">
        <v>26.9</v>
      </c>
      <c r="S31" s="37">
        <v>1.0501149000000001</v>
      </c>
      <c r="T31" s="38">
        <v>-3.1698740999999999</v>
      </c>
      <c r="U31" s="25">
        <v>345</v>
      </c>
      <c r="W31">
        <v>29</v>
      </c>
      <c r="X31" s="25">
        <v>16</v>
      </c>
      <c r="Y31" s="25">
        <v>24</v>
      </c>
      <c r="Z31" s="27">
        <v>600</v>
      </c>
      <c r="AA31" s="26">
        <v>2.9999999999999997E-4</v>
      </c>
      <c r="AB31" s="26">
        <v>5.8999999999999999E-3</v>
      </c>
      <c r="AC31" s="26">
        <v>6.8000000000000005E-2</v>
      </c>
      <c r="AD31" s="27">
        <v>0</v>
      </c>
      <c r="AE31" s="27"/>
      <c r="AF31">
        <f>AB31*zb/wb</f>
        <v>1.8627693483154299E-2</v>
      </c>
      <c r="AG31">
        <f>AC31*sb/wb/kvb/kvb</f>
        <v>1.5154429924034006E-7</v>
      </c>
      <c r="AH31">
        <f t="shared" si="6"/>
        <v>350.59824646280549</v>
      </c>
      <c r="AI31" s="23">
        <f t="shared" si="7"/>
        <v>53.131165575097896</v>
      </c>
      <c r="AJ31" s="23">
        <f>0.000001*AI31*mips</f>
        <v>9.56360980351762</v>
      </c>
    </row>
    <row r="32" spans="16:36">
      <c r="P32" s="25">
        <v>30</v>
      </c>
      <c r="Q32" s="27">
        <v>0</v>
      </c>
      <c r="R32" s="27">
        <v>0</v>
      </c>
      <c r="S32" s="37">
        <v>1.0499000000000001</v>
      </c>
      <c r="T32" s="38">
        <v>-7.3704745999999997</v>
      </c>
      <c r="U32" s="27">
        <v>20</v>
      </c>
      <c r="W32">
        <v>30</v>
      </c>
      <c r="X32" s="25">
        <v>17</v>
      </c>
      <c r="Y32" s="25">
        <v>18</v>
      </c>
      <c r="Z32" s="27">
        <v>600</v>
      </c>
      <c r="AA32" s="26">
        <v>6.9999999999999999E-4</v>
      </c>
      <c r="AB32" s="26">
        <v>8.2000000000000007E-3</v>
      </c>
      <c r="AC32" s="26">
        <v>0.13189999999999999</v>
      </c>
      <c r="AD32" s="27">
        <v>0</v>
      </c>
      <c r="AE32" s="27"/>
      <c r="AF32">
        <f>AB32*zb/wb</f>
        <v>2.5889336705400893E-2</v>
      </c>
      <c r="AG32">
        <f>AC32*sb/wb/kvb/kvb</f>
        <v>2.9395136867354191E-7</v>
      </c>
      <c r="AH32">
        <f t="shared" si="6"/>
        <v>296.77185996156931</v>
      </c>
      <c r="AI32" s="23">
        <f t="shared" si="7"/>
        <v>87.236494419495997</v>
      </c>
      <c r="AJ32" s="23">
        <f>0.000001*AI32*mips</f>
        <v>15.702568995509278</v>
      </c>
    </row>
    <row r="33" spans="16:36">
      <c r="P33" s="25">
        <v>31</v>
      </c>
      <c r="Q33" s="27">
        <v>9.1999999999999993</v>
      </c>
      <c r="R33" s="27">
        <v>4.5999999999999996</v>
      </c>
      <c r="S33" s="37">
        <v>0.98199999999999998</v>
      </c>
      <c r="T33" s="38">
        <v>0</v>
      </c>
      <c r="U33" s="27">
        <v>20</v>
      </c>
      <c r="W33">
        <v>31</v>
      </c>
      <c r="X33" s="25">
        <v>17</v>
      </c>
      <c r="Y33" s="25">
        <v>27</v>
      </c>
      <c r="Z33" s="27">
        <v>600</v>
      </c>
      <c r="AA33" s="26">
        <v>1.2999999999999999E-3</v>
      </c>
      <c r="AB33" s="26">
        <v>1.7299999999999999E-2</v>
      </c>
      <c r="AC33" s="26">
        <v>0.3216</v>
      </c>
      <c r="AD33" s="27">
        <v>0</v>
      </c>
      <c r="AE33" s="27"/>
      <c r="AF33">
        <f>AB33*zb/wb</f>
        <v>5.4620185976028697E-2</v>
      </c>
      <c r="AG33">
        <f>AC33*sb/wb/kvb/kvb</f>
        <v>7.1671539170137281E-7</v>
      </c>
      <c r="AH33">
        <f t="shared" si="6"/>
        <v>276.05983347476626</v>
      </c>
      <c r="AI33" s="23">
        <f t="shared" si="7"/>
        <v>197.85633168188284</v>
      </c>
      <c r="AJ33" s="23">
        <f>0.000001*AI33*mips</f>
        <v>35.61413970273891</v>
      </c>
    </row>
    <row r="34" spans="16:36">
      <c r="P34" s="25">
        <v>32</v>
      </c>
      <c r="Q34" s="27">
        <v>0</v>
      </c>
      <c r="R34" s="27">
        <v>0</v>
      </c>
      <c r="S34" s="37">
        <v>0.98409999999999997</v>
      </c>
      <c r="T34" s="38">
        <v>-0.1884374</v>
      </c>
      <c r="U34" s="27">
        <v>20</v>
      </c>
      <c r="W34">
        <v>32</v>
      </c>
      <c r="X34" s="25">
        <v>19</v>
      </c>
      <c r="Y34" s="25">
        <v>20</v>
      </c>
      <c r="Z34" s="27">
        <v>900</v>
      </c>
      <c r="AA34" s="26">
        <v>6.9999999999999999E-4</v>
      </c>
      <c r="AB34" s="26">
        <v>1.38E-2</v>
      </c>
      <c r="AC34" s="25">
        <v>0</v>
      </c>
      <c r="AD34" s="27">
        <v>1.06</v>
      </c>
      <c r="AE34" s="27"/>
      <c r="AF34">
        <f>AB34*zb/wb</f>
        <v>4.3569859333479545E-2</v>
      </c>
      <c r="AG34">
        <v>0</v>
      </c>
    </row>
    <row r="35" spans="16:36">
      <c r="P35" s="25">
        <v>33</v>
      </c>
      <c r="Q35" s="27">
        <v>0</v>
      </c>
      <c r="R35" s="27">
        <v>0</v>
      </c>
      <c r="S35" s="37">
        <v>0.99719999999999998</v>
      </c>
      <c r="T35" s="38">
        <v>-0.19317445</v>
      </c>
      <c r="U35" s="27">
        <v>20</v>
      </c>
      <c r="W35">
        <v>33</v>
      </c>
      <c r="X35" s="25">
        <v>19</v>
      </c>
      <c r="Y35" s="25">
        <v>33</v>
      </c>
      <c r="Z35" s="27">
        <v>900</v>
      </c>
      <c r="AA35" s="26">
        <v>6.9999999999999999E-4</v>
      </c>
      <c r="AB35" s="26">
        <v>1.4200000000000001E-2</v>
      </c>
      <c r="AC35" s="25">
        <v>0</v>
      </c>
      <c r="AD35" s="27">
        <v>1.07</v>
      </c>
      <c r="AE35" s="27"/>
      <c r="AF35">
        <f>AB35*zb/wb</f>
        <v>4.4832753806913733E-2</v>
      </c>
      <c r="AG35">
        <v>0</v>
      </c>
    </row>
    <row r="36" spans="16:36">
      <c r="P36" s="25">
        <v>34</v>
      </c>
      <c r="Q36" s="27">
        <v>0</v>
      </c>
      <c r="R36" s="27">
        <v>0</v>
      </c>
      <c r="S36" s="37">
        <v>1.0123</v>
      </c>
      <c r="T36" s="38">
        <v>-1.631119</v>
      </c>
      <c r="U36" s="27">
        <v>20</v>
      </c>
      <c r="W36">
        <v>34</v>
      </c>
      <c r="X36" s="25">
        <v>20</v>
      </c>
      <c r="Y36" s="25">
        <v>34</v>
      </c>
      <c r="Z36" s="27">
        <v>900</v>
      </c>
      <c r="AA36" s="26">
        <v>8.9999999999999998E-4</v>
      </c>
      <c r="AB36" s="26">
        <v>1.7999999999999999E-2</v>
      </c>
      <c r="AC36" s="25">
        <v>0</v>
      </c>
      <c r="AD36" s="26">
        <v>1.0089999999999999</v>
      </c>
      <c r="AE36" s="26"/>
      <c r="AF36">
        <f>AB36*zb/wb</f>
        <v>5.6830251304538532E-2</v>
      </c>
      <c r="AG36" s="26">
        <v>0</v>
      </c>
    </row>
    <row r="37" spans="16:36">
      <c r="P37" s="25">
        <v>35</v>
      </c>
      <c r="Q37" s="27">
        <v>0</v>
      </c>
      <c r="R37" s="27">
        <v>0</v>
      </c>
      <c r="S37" s="37">
        <v>1.0494000000000001</v>
      </c>
      <c r="T37" s="38">
        <v>1.7765069</v>
      </c>
      <c r="U37" s="27">
        <v>20</v>
      </c>
      <c r="W37">
        <v>35</v>
      </c>
      <c r="X37" s="25">
        <v>21</v>
      </c>
      <c r="Y37" s="25">
        <v>22</v>
      </c>
      <c r="Z37" s="27">
        <v>900</v>
      </c>
      <c r="AA37" s="26">
        <v>8.0000000000000004E-4</v>
      </c>
      <c r="AB37" s="26">
        <v>1.4E-2</v>
      </c>
      <c r="AC37" s="26">
        <v>0.25650000000000001</v>
      </c>
      <c r="AD37" s="27">
        <v>0</v>
      </c>
      <c r="AE37" s="27"/>
      <c r="AF37">
        <f>AB37*zb/wb</f>
        <v>4.4201306570196636E-2</v>
      </c>
      <c r="AG37">
        <f>AC37*sb/wb/kvb/kvb</f>
        <v>5.7163401110510618E-7</v>
      </c>
      <c r="AH37">
        <f t="shared" ref="AH37:AH38" si="8">SQRT(AF37/AG37)</f>
        <v>278.07280852702098</v>
      </c>
      <c r="AI37" s="23">
        <f t="shared" ref="AI37:AI38" si="9">1000000*SQRT(AF37*AG37)</f>
        <v>158.95587491756316</v>
      </c>
      <c r="AJ37" s="23">
        <f>0.000001*AI37*mips</f>
        <v>28.612057485161369</v>
      </c>
    </row>
    <row r="38" spans="16:36">
      <c r="P38" s="25">
        <v>36</v>
      </c>
      <c r="Q38" s="27">
        <v>0</v>
      </c>
      <c r="R38" s="27">
        <v>0</v>
      </c>
      <c r="S38" s="37">
        <v>1.0636000000000001</v>
      </c>
      <c r="T38" s="38">
        <v>4.4684374</v>
      </c>
      <c r="U38" s="27">
        <v>20</v>
      </c>
      <c r="W38">
        <v>36</v>
      </c>
      <c r="X38" s="25">
        <v>22</v>
      </c>
      <c r="Y38" s="25">
        <v>23</v>
      </c>
      <c r="Z38" s="27">
        <v>600</v>
      </c>
      <c r="AA38" s="26">
        <v>5.9999999999999995E-4</v>
      </c>
      <c r="AB38" s="26">
        <v>9.5999999999999992E-3</v>
      </c>
      <c r="AC38" s="26">
        <v>0.18459999999999999</v>
      </c>
      <c r="AD38" s="27">
        <v>0</v>
      </c>
      <c r="AE38" s="27"/>
      <c r="AF38">
        <f>AB38*zb/wb</f>
        <v>3.0309467362420548E-2</v>
      </c>
      <c r="AG38">
        <f>AC38*sb/wb/kvb/kvb</f>
        <v>4.1139820058480539E-7</v>
      </c>
      <c r="AH38">
        <f t="shared" si="8"/>
        <v>271.43006976671626</v>
      </c>
      <c r="AI38" s="23">
        <f t="shared" si="9"/>
        <v>111.66584228663527</v>
      </c>
      <c r="AJ38" s="23">
        <f>0.000001*AI38*mips</f>
        <v>20.099851611594346</v>
      </c>
    </row>
    <row r="39" spans="16:36">
      <c r="P39" s="25">
        <v>37</v>
      </c>
      <c r="Q39" s="27">
        <v>0</v>
      </c>
      <c r="R39" s="27">
        <v>0</v>
      </c>
      <c r="S39" s="37">
        <v>1.0275000000000001</v>
      </c>
      <c r="T39" s="38">
        <v>-1.5828987999999999</v>
      </c>
      <c r="U39" s="27">
        <v>20</v>
      </c>
      <c r="W39">
        <v>37</v>
      </c>
      <c r="X39" s="25">
        <v>22</v>
      </c>
      <c r="Y39" s="25">
        <v>35</v>
      </c>
      <c r="Z39" s="27">
        <v>900</v>
      </c>
      <c r="AA39" s="25">
        <v>0</v>
      </c>
      <c r="AB39" s="26">
        <v>1.43E-2</v>
      </c>
      <c r="AC39" s="25">
        <v>0</v>
      </c>
      <c r="AD39" s="26">
        <v>1.0249999999999999</v>
      </c>
      <c r="AE39" s="26"/>
      <c r="AF39">
        <f>AB39*zb/wb</f>
        <v>4.5148477425272282E-2</v>
      </c>
      <c r="AG39" s="26">
        <v>0</v>
      </c>
    </row>
    <row r="40" spans="16:36">
      <c r="P40" s="25">
        <v>38</v>
      </c>
      <c r="Q40" s="27">
        <v>0</v>
      </c>
      <c r="R40" s="27">
        <v>0</v>
      </c>
      <c r="S40" s="37">
        <v>1.0265</v>
      </c>
      <c r="T40" s="38">
        <v>3.8928177000000002</v>
      </c>
      <c r="U40" s="27">
        <v>20</v>
      </c>
      <c r="W40">
        <v>38</v>
      </c>
      <c r="X40" s="25">
        <v>23</v>
      </c>
      <c r="Y40" s="25">
        <v>24</v>
      </c>
      <c r="Z40" s="27">
        <v>600</v>
      </c>
      <c r="AA40" s="26">
        <v>2.2000000000000001E-3</v>
      </c>
      <c r="AB40" s="26">
        <v>3.5000000000000003E-2</v>
      </c>
      <c r="AC40" s="26">
        <v>0.36099999999999999</v>
      </c>
      <c r="AD40" s="27">
        <v>0</v>
      </c>
      <c r="AE40" s="27"/>
      <c r="AF40">
        <f>AB40*zb/wb</f>
        <v>0.1105032664254916</v>
      </c>
      <c r="AG40">
        <f>AC40*sb/wb/kvb/kvb</f>
        <v>8.0452194155533466E-7</v>
      </c>
      <c r="AH40">
        <f t="shared" ref="AH40:AH42" si="10">SQRT(AF40/AG40)</f>
        <v>370.61126114917465</v>
      </c>
      <c r="AI40" s="23">
        <f>1000000*SQRT(AF40*AG40)</f>
        <v>298.16489138200518</v>
      </c>
      <c r="AJ40" s="23">
        <f>0.000001*AI40*mips</f>
        <v>53.669680448760928</v>
      </c>
    </row>
    <row r="41" spans="16:36">
      <c r="P41" s="25">
        <v>39</v>
      </c>
      <c r="Q41" s="27">
        <v>1104</v>
      </c>
      <c r="R41" s="27">
        <v>250</v>
      </c>
      <c r="S41" s="37">
        <v>1.03</v>
      </c>
      <c r="T41" s="38">
        <v>-14.535256</v>
      </c>
      <c r="U41" s="25">
        <v>345</v>
      </c>
      <c r="W41">
        <v>39</v>
      </c>
      <c r="X41" s="25">
        <v>23</v>
      </c>
      <c r="Y41" s="25">
        <v>36</v>
      </c>
      <c r="Z41" s="27">
        <v>900</v>
      </c>
      <c r="AA41" s="26">
        <v>5.0000000000000001E-4</v>
      </c>
      <c r="AB41" s="26">
        <v>2.7199999999999998E-2</v>
      </c>
      <c r="AC41" s="25">
        <v>0</v>
      </c>
      <c r="AD41" s="27">
        <v>1</v>
      </c>
      <c r="AE41" s="27"/>
      <c r="AF41">
        <f>AB41*zb/wb</f>
        <v>8.5876824193524895E-2</v>
      </c>
      <c r="AG41">
        <f>AC41*sb/wb/kvb/kvb</f>
        <v>0</v>
      </c>
    </row>
    <row r="42" spans="16:36">
      <c r="P42" s="1" t="s">
        <v>87</v>
      </c>
      <c r="Q42">
        <f>SUM(Q3:Q41)</f>
        <v>6254.2300000000005</v>
      </c>
      <c r="R42">
        <f>SUM(R3:R41)</f>
        <v>1387.1</v>
      </c>
      <c r="W42">
        <v>40</v>
      </c>
      <c r="X42" s="25">
        <v>25</v>
      </c>
      <c r="Y42" s="25">
        <v>26</v>
      </c>
      <c r="Z42" s="27">
        <v>600</v>
      </c>
      <c r="AA42" s="26">
        <v>3.2000000000000002E-3</v>
      </c>
      <c r="AB42" s="26">
        <v>3.2300000000000002E-2</v>
      </c>
      <c r="AC42" s="26">
        <v>0.53100000000000003</v>
      </c>
      <c r="AD42" s="27">
        <v>0</v>
      </c>
      <c r="AE42" s="27"/>
      <c r="AF42">
        <f>AB42*zb/wb</f>
        <v>0.10197872872981081</v>
      </c>
      <c r="AG42">
        <f>AC42*sb/wb/kvb/kvb</f>
        <v>1.1833826896561849E-6</v>
      </c>
      <c r="AH42">
        <f t="shared" si="10"/>
        <v>293.55683100493678</v>
      </c>
      <c r="AI42" s="23">
        <f>1000000*SQRT(AF42*AG42)</f>
        <v>347.39007224156819</v>
      </c>
      <c r="AJ42" s="23">
        <f>0.000001*AI42*mips</f>
        <v>62.530213003482274</v>
      </c>
    </row>
    <row r="43" spans="16:36">
      <c r="W43">
        <v>41</v>
      </c>
      <c r="X43" s="25">
        <v>25</v>
      </c>
      <c r="Y43" s="25">
        <v>37</v>
      </c>
      <c r="Z43" s="27">
        <v>900</v>
      </c>
      <c r="AA43" s="26">
        <v>5.9999999999999995E-4</v>
      </c>
      <c r="AB43" s="26">
        <v>2.3199999999999998E-2</v>
      </c>
      <c r="AC43" s="25">
        <v>0</v>
      </c>
      <c r="AD43" s="26">
        <v>1.0249999999999999</v>
      </c>
      <c r="AE43" s="26"/>
      <c r="AF43">
        <f>AB43*zb/wb</f>
        <v>7.3247879459182999E-2</v>
      </c>
      <c r="AG43" s="26">
        <v>0</v>
      </c>
    </row>
    <row r="44" spans="16:36">
      <c r="W44">
        <v>42</v>
      </c>
      <c r="X44" s="25">
        <v>26</v>
      </c>
      <c r="Y44" s="25">
        <v>27</v>
      </c>
      <c r="Z44" s="27">
        <v>600</v>
      </c>
      <c r="AA44" s="26">
        <v>1.4E-3</v>
      </c>
      <c r="AB44" s="26">
        <v>1.47E-2</v>
      </c>
      <c r="AC44" s="26">
        <v>0.23960000000000001</v>
      </c>
      <c r="AD44" s="27">
        <v>0</v>
      </c>
      <c r="AE44" s="27"/>
      <c r="AF44">
        <f>AB44*zb/wb</f>
        <v>4.641137189870647E-2</v>
      </c>
      <c r="AG44">
        <f>AC44*sb/wb/kvb/kvb</f>
        <v>5.339707955586099E-7</v>
      </c>
      <c r="AH44">
        <f t="shared" ref="AH44:AH47" si="11">SQRT(AF44/AG44)</f>
        <v>294.81763001852727</v>
      </c>
      <c r="AI44" s="23">
        <f t="shared" ref="AI44:AI47" si="12">1000000*SQRT(AF44*AG44)</f>
        <v>157.42400444569694</v>
      </c>
      <c r="AJ44" s="23">
        <f>0.000001*AI44*mips</f>
        <v>28.336320800225447</v>
      </c>
    </row>
    <row r="45" spans="16:36">
      <c r="W45">
        <v>43</v>
      </c>
      <c r="X45" s="25">
        <v>26</v>
      </c>
      <c r="Y45" s="25">
        <v>28</v>
      </c>
      <c r="Z45" s="27">
        <v>600</v>
      </c>
      <c r="AA45" s="26">
        <v>4.3E-3</v>
      </c>
      <c r="AB45" s="26">
        <v>4.7399999999999998E-2</v>
      </c>
      <c r="AC45" s="26">
        <v>0.7802</v>
      </c>
      <c r="AD45" s="27">
        <v>0</v>
      </c>
      <c r="AE45" s="27"/>
      <c r="AF45">
        <f>AB45*zb/wb</f>
        <v>0.14965299510195146</v>
      </c>
      <c r="AG45">
        <f>AC45*sb/wb/kvb/kvb</f>
        <v>1.7387479745193131E-6</v>
      </c>
      <c r="AH45">
        <f t="shared" si="11"/>
        <v>293.37586830845873</v>
      </c>
      <c r="AI45" s="23">
        <f t="shared" si="12"/>
        <v>510.10669679417737</v>
      </c>
      <c r="AJ45" s="23">
        <f>0.000001*AI45*mips</f>
        <v>91.819205422951924</v>
      </c>
    </row>
    <row r="46" spans="16:36">
      <c r="W46">
        <v>44</v>
      </c>
      <c r="X46" s="25">
        <v>26</v>
      </c>
      <c r="Y46" s="25">
        <v>29</v>
      </c>
      <c r="Z46" s="27">
        <v>600</v>
      </c>
      <c r="AA46" s="26">
        <v>5.7000000000000002E-3</v>
      </c>
      <c r="AB46" s="26">
        <v>6.25E-2</v>
      </c>
      <c r="AC46" s="26">
        <v>1.0289999999999999</v>
      </c>
      <c r="AD46" s="27">
        <v>0</v>
      </c>
      <c r="AE46" s="27"/>
      <c r="AF46">
        <f>AB46*zb/wb</f>
        <v>0.19732726147409213</v>
      </c>
      <c r="AG46">
        <f>AC46*sb/wb/kvb/kvb</f>
        <v>2.2932218223280869E-6</v>
      </c>
      <c r="AH46">
        <f t="shared" si="11"/>
        <v>293.33947571687042</v>
      </c>
      <c r="AI46" s="23">
        <f t="shared" si="12"/>
        <v>672.69248706420717</v>
      </c>
      <c r="AJ46" s="23">
        <f>0.000001*AI46*mips</f>
        <v>121.08464767155728</v>
      </c>
    </row>
    <row r="47" spans="16:36">
      <c r="W47">
        <v>45</v>
      </c>
      <c r="X47" s="25">
        <v>28</v>
      </c>
      <c r="Y47" s="25">
        <v>29</v>
      </c>
      <c r="Z47" s="27">
        <v>600</v>
      </c>
      <c r="AA47" s="26">
        <v>1.4E-3</v>
      </c>
      <c r="AB47" s="26">
        <v>1.5100000000000001E-2</v>
      </c>
      <c r="AC47" s="26">
        <v>0.249</v>
      </c>
      <c r="AD47" s="27">
        <v>0</v>
      </c>
      <c r="AE47" s="27"/>
      <c r="AF47">
        <f>AB47*zb/wb</f>
        <v>4.7674266372140665E-2</v>
      </c>
      <c r="AG47">
        <f>AC47*sb/wb/kvb/kvb</f>
        <v>5.5491956633595096E-7</v>
      </c>
      <c r="AH47">
        <f t="shared" si="11"/>
        <v>293.10753981188941</v>
      </c>
      <c r="AI47" s="23">
        <f t="shared" si="12"/>
        <v>162.65110888221116</v>
      </c>
      <c r="AJ47" s="23">
        <f>0.000001*AI47*mips</f>
        <v>29.277199598798006</v>
      </c>
    </row>
    <row r="48" spans="16:36">
      <c r="W48">
        <v>46</v>
      </c>
      <c r="X48" s="25">
        <v>29</v>
      </c>
      <c r="Y48" s="25">
        <v>38</v>
      </c>
      <c r="Z48" s="25">
        <v>1200</v>
      </c>
      <c r="AA48" s="26">
        <v>8.0000000000000004E-4</v>
      </c>
      <c r="AB48" s="26">
        <v>1.5599999999999999E-2</v>
      </c>
      <c r="AC48" s="25">
        <v>0</v>
      </c>
      <c r="AD48" s="26">
        <v>1.0249999999999999</v>
      </c>
      <c r="AE48" s="26"/>
      <c r="AF48">
        <f>AB48*zb/wb</f>
        <v>4.9252884463933388E-2</v>
      </c>
      <c r="AG48" s="26">
        <v>0</v>
      </c>
    </row>
  </sheetData>
  <mergeCells count="5">
    <mergeCell ref="L1:N1"/>
    <mergeCell ref="A1:F1"/>
    <mergeCell ref="P1:U1"/>
    <mergeCell ref="W1:AD1"/>
    <mergeCell ref="H1:J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COMTRADE</vt:lpstr>
      <vt:lpstr>Source</vt:lpstr>
      <vt:lpstr>Weak</vt:lpstr>
      <vt:lpstr>StepSCR</vt:lpstr>
      <vt:lpstr>IEEE39m</vt:lpstr>
      <vt:lpstr>Dmax</vt:lpstr>
      <vt:lpstr>Dmin</vt:lpstr>
      <vt:lpstr>Ibase</vt:lpstr>
      <vt:lpstr>IpuMax</vt:lpstr>
      <vt:lpstr>Iscale</vt:lpstr>
      <vt:lpstr>kvb</vt:lpstr>
      <vt:lpstr>mips</vt:lpstr>
      <vt:lpstr>sb</vt:lpstr>
      <vt:lpstr>Splant</vt:lpstr>
      <vt:lpstr>SpuMax</vt:lpstr>
      <vt:lpstr>Sscale</vt:lpstr>
      <vt:lpstr>Vpoc</vt:lpstr>
      <vt:lpstr>VpuMax</vt:lpstr>
      <vt:lpstr>Vscale</vt:lpstr>
      <vt:lpstr>wb</vt:lpstr>
      <vt:lpstr>StepSCR!XS</vt:lpstr>
      <vt:lpstr>Weak!XS</vt:lpstr>
      <vt:lpstr>XS</vt:lpstr>
      <vt:lpstr>zb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2023-08-16T12:43:58Z</dcterms:created>
  <dcterms:modified xsi:type="dcterms:W3CDTF">2023-09-13T19:40:12Z</dcterms:modified>
</cp:coreProperties>
</file>