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biere\Desktop\"/>
    </mc:Choice>
  </mc:AlternateContent>
  <xr:revisionPtr revIDLastSave="0" documentId="13_ncr:1_{3336B1FC-9D00-4B40-9688-931A67AD54B6}" xr6:coauthVersionLast="47" xr6:coauthVersionMax="47" xr10:uidLastSave="{00000000-0000-0000-0000-000000000000}"/>
  <bookViews>
    <workbookView xWindow="-120" yWindow="-120" windowWidth="29040" windowHeight="16440" xr2:uid="{86B51E35-C38D-45C4-9508-BE81FE012A8A}"/>
  </bookViews>
  <sheets>
    <sheet name="GENERAL" sheetId="1" r:id="rId1"/>
    <sheet name="Base de données" sheetId="2" r:id="rId2"/>
    <sheet name="Ressour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3" i="1" l="1"/>
  <c r="D62" i="1"/>
  <c r="D61" i="1"/>
  <c r="D60" i="1"/>
  <c r="J11" i="1"/>
  <c r="J10" i="1"/>
  <c r="J8" i="1"/>
  <c r="AG6" i="1"/>
  <c r="AG7" i="1"/>
  <c r="AG8" i="1"/>
  <c r="AG9" i="1"/>
  <c r="AG5" i="1"/>
  <c r="AF6" i="1"/>
  <c r="AF7" i="1"/>
  <c r="AF8" i="1"/>
  <c r="AF9" i="1"/>
  <c r="AF5" i="1"/>
  <c r="AE6" i="1"/>
  <c r="AE7" i="1"/>
  <c r="AE8" i="1"/>
  <c r="AE9" i="1"/>
  <c r="AE5" i="1"/>
  <c r="AD6" i="1"/>
  <c r="AD7" i="1"/>
  <c r="AD8" i="1"/>
  <c r="AD9" i="1"/>
  <c r="AD5" i="1"/>
  <c r="AC6" i="1"/>
  <c r="AC7" i="1"/>
  <c r="AC8" i="1"/>
  <c r="AC9" i="1"/>
  <c r="AC5" i="1"/>
  <c r="AB6" i="1"/>
  <c r="AB7" i="1"/>
  <c r="AB8" i="1"/>
  <c r="AB9" i="1"/>
  <c r="AB5" i="1"/>
  <c r="Y6" i="1"/>
  <c r="Y7" i="1"/>
  <c r="Y8" i="1"/>
  <c r="Y9" i="1"/>
  <c r="Y5" i="1"/>
  <c r="X6" i="1"/>
  <c r="X7" i="1"/>
  <c r="X8" i="1"/>
  <c r="X9" i="1"/>
  <c r="X5" i="1"/>
  <c r="W6" i="1"/>
  <c r="W7" i="1"/>
  <c r="W8" i="1"/>
  <c r="W9" i="1"/>
  <c r="W5" i="1"/>
  <c r="V6" i="1"/>
  <c r="V7" i="1"/>
  <c r="V8" i="1"/>
  <c r="V9" i="1"/>
  <c r="V5" i="1"/>
  <c r="U6" i="1"/>
  <c r="U7" i="1"/>
  <c r="U8" i="1"/>
  <c r="U9" i="1"/>
  <c r="U5" i="1"/>
  <c r="T6" i="1"/>
  <c r="T7" i="1"/>
  <c r="T8" i="1"/>
  <c r="T9" i="1"/>
  <c r="T5" i="1"/>
  <c r="AA6" i="1"/>
  <c r="AA7" i="1"/>
  <c r="AA8" i="1"/>
  <c r="AA9" i="1"/>
  <c r="AA5" i="1"/>
  <c r="S6" i="1"/>
  <c r="S7" i="1"/>
  <c r="S8" i="1"/>
  <c r="S9" i="1"/>
  <c r="S5" i="1"/>
  <c r="N7" i="1"/>
  <c r="N6" i="1"/>
  <c r="N5" i="1"/>
  <c r="E14" i="1"/>
  <c r="E27" i="1" l="1"/>
  <c r="E33" i="1" s="1"/>
  <c r="E48" i="1" s="1"/>
  <c r="E26" i="1"/>
  <c r="E32" i="1" s="1"/>
  <c r="E47" i="1" s="1"/>
  <c r="O7" i="1"/>
  <c r="O6" i="1"/>
  <c r="O5" i="1"/>
  <c r="E16" i="1" l="1"/>
  <c r="E20" i="1" s="1"/>
  <c r="E45" i="1" s="1"/>
  <c r="J21" i="1"/>
  <c r="J9" i="1"/>
  <c r="E53" i="1" l="1"/>
  <c r="E55" i="1" s="1"/>
  <c r="J22" i="1" s="1"/>
  <c r="J24" i="1" s="1"/>
  <c r="J28" i="1" l="1"/>
  <c r="J25" i="1"/>
  <c r="J31" i="1"/>
  <c r="J39" i="1" l="1"/>
  <c r="I46" i="1" s="1"/>
  <c r="J30" i="1"/>
  <c r="J27" i="1"/>
</calcChain>
</file>

<file path=xl/sharedStrings.xml><?xml version="1.0" encoding="utf-8"?>
<sst xmlns="http://schemas.openxmlformats.org/spreadsheetml/2006/main" count="172" uniqueCount="108">
  <si>
    <t>Matériau</t>
  </si>
  <si>
    <t>Limite d'élasticité matériau (Re)</t>
  </si>
  <si>
    <t>Module de Young matériau (E)</t>
  </si>
  <si>
    <t>MPa</t>
  </si>
  <si>
    <t>https://www.researchgate.net/figure/PLA-and-PLA-CF-Poisson-coefficients_tbl3_316897831</t>
  </si>
  <si>
    <t>https://fr.wikipedia.org/wiki/Acide_polylactique</t>
  </si>
  <si>
    <t>GPa</t>
  </si>
  <si>
    <t>https://www.researchgate.net/figure/Measured-density-and-values-of-Youngs-modulus-calculated-with-the-use-of-the-compared_tbl1_357343831</t>
  </si>
  <si>
    <t>PLA</t>
  </si>
  <si>
    <t>Données d'entrées</t>
  </si>
  <si>
    <t>Contrainte de Von Mises (σ)</t>
  </si>
  <si>
    <t>Tailles rondelles plates</t>
  </si>
  <si>
    <t>Rondelle large - Grade A</t>
  </si>
  <si>
    <t>Rondelle large - Grade C</t>
  </si>
  <si>
    <t>Rondelle normale - Grade C</t>
  </si>
  <si>
    <t>Rondelle normale - Grade A</t>
  </si>
  <si>
    <t>Rondelle étroite</t>
  </si>
  <si>
    <t>Rondelle très large</t>
  </si>
  <si>
    <t>ISO-7092-2000</t>
  </si>
  <si>
    <t>ISO-7093-1-2000</t>
  </si>
  <si>
    <t>ISO-7093-2-2000</t>
  </si>
  <si>
    <t>ISO-7089-2000</t>
  </si>
  <si>
    <t>ISO-7091-2000</t>
  </si>
  <si>
    <t>ISO-7094-2000</t>
  </si>
  <si>
    <t>Tailles de vis
métriques</t>
  </si>
  <si>
    <t>Normale</t>
  </si>
  <si>
    <t>Ajustée</t>
  </si>
  <si>
    <t>Avec jeu</t>
  </si>
  <si>
    <t>DI max.</t>
  </si>
  <si>
    <t>DE min.</t>
  </si>
  <si>
    <t>-</t>
  </si>
  <si>
    <t>N</t>
  </si>
  <si>
    <t>Définition de l'assemblage vissé</t>
  </si>
  <si>
    <t>Surface d'appui rondelle plate  (S)</t>
  </si>
  <si>
    <t>mm²</t>
  </si>
  <si>
    <t>Effort rondelle conique (F)</t>
  </si>
  <si>
    <t>Taille de vis (M)</t>
  </si>
  <si>
    <t>M3</t>
  </si>
  <si>
    <t>M4</t>
  </si>
  <si>
    <t>M5</t>
  </si>
  <si>
    <t>M6</t>
  </si>
  <si>
    <t>M8</t>
  </si>
  <si>
    <t>mm</t>
  </si>
  <si>
    <t>https://www.researchgate.net/figure/A-comparison-of-statistical-differences-between-Youngs-modulus-values-calculated_fig4_357343831</t>
  </si>
  <si>
    <t>Effort de compression (Fz)</t>
  </si>
  <si>
    <t>https://fr.wikipedia.org/wiki/Crit%C3%A8re_de_plasticit%C3%A9</t>
  </si>
  <si>
    <t>Vérification de la condition de non "matage" (critère de plasticité de Von Mises en compression)</t>
  </si>
  <si>
    <r>
      <t>Ajustement passage de vis (Ø</t>
    </r>
    <r>
      <rPr>
        <b/>
        <sz val="11"/>
        <color theme="1"/>
        <rFont val="Calibri"/>
        <family val="2"/>
      </rPr>
      <t>p)</t>
    </r>
  </si>
  <si>
    <t>Taille passage de vis (Øp)</t>
  </si>
  <si>
    <t>TAILLES STANDARDS PASSAGES DE VIS ET RONDELLES</t>
  </si>
  <si>
    <t>OU</t>
  </si>
  <si>
    <t>Rondelle ressort/conique (Belleville)</t>
  </si>
  <si>
    <t>Vis</t>
  </si>
  <si>
    <t>Assemblage vis - rondelle plate</t>
  </si>
  <si>
    <t>Rondelle plate</t>
  </si>
  <si>
    <t>Taille de rondelle (M)</t>
  </si>
  <si>
    <t>Passage de vis</t>
  </si>
  <si>
    <t>Tailles passages de vis</t>
  </si>
  <si>
    <t>Ajustements</t>
  </si>
  <si>
    <t>Tailles</t>
  </si>
  <si>
    <t>https://fr.wikipedia.org/wiki/Matage_(m%C3%A9canique)</t>
  </si>
  <si>
    <t>https://fr.wikipedia.org/wiki/Limite_d%27%C3%A9lasticit%C3%A9</t>
  </si>
  <si>
    <t>https://fr.wikipedia.org/wiki/Coefficient_de_Poisson</t>
  </si>
  <si>
    <t>Tailles de vis métriques</t>
  </si>
  <si>
    <t>Etroite</t>
  </si>
  <si>
    <t>Normale - Grade A</t>
  </si>
  <si>
    <t>Normale - Grade C</t>
  </si>
  <si>
    <t>Large - Grade A</t>
  </si>
  <si>
    <t>Large - Grade C</t>
  </si>
  <si>
    <t>Très large</t>
  </si>
  <si>
    <t>Tailles rondelles plates - DI max.</t>
  </si>
  <si>
    <t>Tailles rondelles plates - DE min.</t>
  </si>
  <si>
    <t>Liste dimensions rondelles</t>
  </si>
  <si>
    <t>Type de rondelle (M)</t>
  </si>
  <si>
    <t>Liste tailles passages de
vis choisie</t>
  </si>
  <si>
    <t>Diamètre intérieur max. rondelle (DI)</t>
  </si>
  <si>
    <t>Calcul air surface d'appuie surfaces en contact</t>
  </si>
  <si>
    <t>Calcul des contraintes et déformations en X, Y et Z</t>
  </si>
  <si>
    <t>Diamètre intérieur max. rondelle personnalisé (DI)</t>
  </si>
  <si>
    <t>Diamètre extérieur min. rondelle personnalisé (DE)</t>
  </si>
  <si>
    <t>Diamètre extérieur min. rondelle (DE)</t>
  </si>
  <si>
    <t>Diamètre intérieur max. rondelle choisi (DI)</t>
  </si>
  <si>
    <t>Diamètre extérieur min. rondelle choisi (DE)</t>
  </si>
  <si>
    <t>Résultat</t>
  </si>
  <si>
    <t>Diamètre passage de vis personnalisée (Øp)</t>
  </si>
  <si>
    <t>Diamètre passage de vis choisi (Øp)</t>
  </si>
  <si>
    <t>Diamètre passage de vis (Øp)</t>
  </si>
  <si>
    <t>Diamètre intérieur d'appui max. (DImax)</t>
  </si>
  <si>
    <t>Aire surface d'appui (S)</t>
  </si>
  <si>
    <t>https://fr.wikipedia.org/wiki/Loi_de_Hooke</t>
  </si>
  <si>
    <t>RESULTAT</t>
  </si>
  <si>
    <t>RESSOURCES MATERIAUX</t>
  </si>
  <si>
    <t>Nom</t>
  </si>
  <si>
    <t>Module de Young (E) en GPa</t>
  </si>
  <si>
    <t>Limite d'élasticité (Re) en MPa</t>
  </si>
  <si>
    <r>
      <t>Coefficient de poisson (</t>
    </r>
    <r>
      <rPr>
        <b/>
        <sz val="11"/>
        <color theme="1"/>
        <rFont val="Calibri"/>
        <family val="2"/>
      </rPr>
      <t>ν</t>
    </r>
    <r>
      <rPr>
        <b/>
        <sz val="11"/>
        <color theme="1"/>
        <rFont val="Calibri"/>
        <family val="2"/>
        <scheme val="minor"/>
      </rPr>
      <t>)</t>
    </r>
  </si>
  <si>
    <t>PROPRIETES MATERIAUX</t>
  </si>
  <si>
    <r>
      <t>Coefficient de Poisson matériau (</t>
    </r>
    <r>
      <rPr>
        <b/>
        <sz val="11"/>
        <color theme="0" tint="-0.499984740745262"/>
        <rFont val="Calibri"/>
        <family val="2"/>
      </rPr>
      <t>ν)</t>
    </r>
  </si>
  <si>
    <t>A AJOUTER :</t>
  </si>
  <si>
    <t>DIMENSIONNEMENT SYSTÈME PREVENTION DESSERRAGE VIS PAR "TASSEMENT DES PLASTIQUES"</t>
  </si>
  <si>
    <t>Pression max. admissible</t>
  </si>
  <si>
    <t>Contrainte max.axe Z (σ₁)</t>
  </si>
  <si>
    <t>Déformation max. axe Z (Ꜫ₁)</t>
  </si>
  <si>
    <t>Déformation max. axe X (Ꜫ₂)</t>
  </si>
  <si>
    <t>Contrainte max. axe X (σ₂)</t>
  </si>
  <si>
    <t>Déformation max. axe X (Ꜫ₃)</t>
  </si>
  <si>
    <t>Contrainte max. axe Y (σ₃)</t>
  </si>
  <si>
    <t xml:space="preserve">   Source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</si>
</sst>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_-;\-* #,##0.0_-;_-* &quot;-&quot;??_-;_-@_-"/>
    <numFmt numFmtId="165" formatCode="_-* #,##0_-;\-* #,##0_-;_-* &quot;-&quot;??_-;_-@_-"/>
    <numFmt numFmtId="166" formatCode="0.0"/>
    <numFmt numFmtId="167" formatCode="0.00000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1"/>
      <color theme="0" tint="-0.499984740745262"/>
      <name val="Calibri"/>
      <family val="2"/>
      <scheme val="minor"/>
    </font>
    <font>
      <b/>
      <i/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499984740745262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7" fillId="0" borderId="0" applyFont="0" applyFill="0" applyBorder="0" applyAlignment="0" applyProtection="0"/>
  </cellStyleXfs>
  <cellXfs count="77">
    <xf numFmtId="0" fontId="0" fillId="0" borderId="0" xfId="0"/>
    <xf numFmtId="0" fontId="0" fillId="2" borderId="0" xfId="0" applyFill="1"/>
    <xf numFmtId="0" fontId="2" fillId="2" borderId="0" xfId="0" applyFont="1" applyFill="1"/>
    <xf numFmtId="0" fontId="0" fillId="5" borderId="3" xfId="0" applyFill="1" applyBorder="1" applyAlignment="1">
      <alignment horizontal="left"/>
    </xf>
    <xf numFmtId="0" fontId="3" fillId="4" borderId="2" xfId="0" applyFont="1" applyFill="1" applyBorder="1" applyAlignment="1">
      <alignment horizontal="right"/>
    </xf>
    <xf numFmtId="0" fontId="3" fillId="4" borderId="3" xfId="0" applyFont="1" applyFill="1" applyBorder="1" applyAlignment="1">
      <alignment horizontal="left"/>
    </xf>
    <xf numFmtId="0" fontId="1" fillId="2" borderId="0" xfId="1" applyFill="1"/>
    <xf numFmtId="0" fontId="0" fillId="2" borderId="1" xfId="0" applyFill="1" applyBorder="1" applyAlignment="1">
      <alignment horizontal="center"/>
    </xf>
    <xf numFmtId="0" fontId="2" fillId="2" borderId="0" xfId="1" applyFont="1" applyFill="1" applyAlignment="1">
      <alignment horizontal="left"/>
    </xf>
    <xf numFmtId="0" fontId="3" fillId="6" borderId="3" xfId="0" applyFont="1" applyFill="1" applyBorder="1" applyAlignment="1">
      <alignment horizontal="left"/>
    </xf>
    <xf numFmtId="0" fontId="2" fillId="2" borderId="0" xfId="1" applyFont="1" applyFill="1" applyAlignment="1"/>
    <xf numFmtId="0" fontId="6" fillId="7" borderId="2" xfId="0" applyFont="1" applyFill="1" applyBorder="1" applyAlignment="1">
      <alignment horizontal="right"/>
    </xf>
    <xf numFmtId="0" fontId="6" fillId="7" borderId="3" xfId="0" applyFont="1" applyFill="1" applyBorder="1" applyAlignment="1">
      <alignment horizontal="left"/>
    </xf>
    <xf numFmtId="0" fontId="3" fillId="9" borderId="1" xfId="0" applyFont="1" applyFill="1" applyBorder="1" applyAlignment="1">
      <alignment horizontal="center"/>
    </xf>
    <xf numFmtId="0" fontId="6" fillId="7" borderId="2" xfId="0" applyFont="1" applyFill="1" applyBorder="1"/>
    <xf numFmtId="0" fontId="6" fillId="7" borderId="3" xfId="0" applyFont="1" applyFill="1" applyBorder="1"/>
    <xf numFmtId="0" fontId="0" fillId="2" borderId="3" xfId="0" applyFill="1" applyBorder="1" applyAlignment="1">
      <alignment horizontal="left"/>
    </xf>
    <xf numFmtId="0" fontId="5" fillId="9" borderId="1" xfId="0" applyFont="1" applyFill="1" applyBorder="1" applyAlignment="1">
      <alignment horizontal="left"/>
    </xf>
    <xf numFmtId="0" fontId="3" fillId="8" borderId="1" xfId="0" applyFont="1" applyFill="1" applyBorder="1" applyAlignment="1">
      <alignment horizontal="left"/>
    </xf>
    <xf numFmtId="0" fontId="3" fillId="10" borderId="1" xfId="0" applyFont="1" applyFill="1" applyBorder="1" applyAlignment="1">
      <alignment horizontal="left"/>
    </xf>
    <xf numFmtId="0" fontId="4" fillId="10" borderId="1" xfId="0" applyFont="1" applyFill="1" applyBorder="1" applyAlignment="1">
      <alignment horizontal="left"/>
    </xf>
    <xf numFmtId="0" fontId="4" fillId="11" borderId="1" xfId="0" applyFont="1" applyFill="1" applyBorder="1" applyAlignment="1">
      <alignment horizontal="left"/>
    </xf>
    <xf numFmtId="0" fontId="6" fillId="7" borderId="1" xfId="0" applyFont="1" applyFill="1" applyBorder="1" applyAlignment="1">
      <alignment horizontal="center"/>
    </xf>
    <xf numFmtId="164" fontId="3" fillId="4" borderId="2" xfId="2" applyNumberFormat="1" applyFont="1" applyFill="1" applyBorder="1" applyAlignment="1">
      <alignment horizontal="right"/>
    </xf>
    <xf numFmtId="165" fontId="6" fillId="7" borderId="2" xfId="2" applyNumberFormat="1" applyFont="1" applyFill="1" applyBorder="1" applyAlignment="1">
      <alignment horizontal="right"/>
    </xf>
    <xf numFmtId="166" fontId="6" fillId="7" borderId="2" xfId="0" applyNumberFormat="1" applyFont="1" applyFill="1" applyBorder="1" applyAlignment="1">
      <alignment horizontal="right"/>
    </xf>
    <xf numFmtId="166" fontId="3" fillId="6" borderId="2" xfId="0" applyNumberFormat="1" applyFont="1" applyFill="1" applyBorder="1" applyAlignment="1">
      <alignment horizontal="right"/>
    </xf>
    <xf numFmtId="0" fontId="0" fillId="2" borderId="2" xfId="0" applyFill="1" applyBorder="1" applyAlignment="1" applyProtection="1">
      <alignment horizontal="right"/>
      <protection locked="0"/>
    </xf>
    <xf numFmtId="165" fontId="0" fillId="5" borderId="2" xfId="2" applyNumberFormat="1" applyFont="1" applyFill="1" applyBorder="1" applyAlignment="1" applyProtection="1">
      <alignment horizontal="right"/>
      <protection locked="0"/>
    </xf>
    <xf numFmtId="0" fontId="2" fillId="2" borderId="1" xfId="1" applyFont="1" applyFill="1" applyBorder="1" applyAlignment="1"/>
    <xf numFmtId="0" fontId="3" fillId="9" borderId="1" xfId="0" applyFont="1" applyFill="1" applyBorder="1" applyAlignment="1">
      <alignment horizontal="left"/>
    </xf>
    <xf numFmtId="0" fontId="3" fillId="7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3" fillId="13" borderId="5" xfId="0" applyFont="1" applyFill="1" applyBorder="1"/>
    <xf numFmtId="0" fontId="3" fillId="13" borderId="6" xfId="0" applyFont="1" applyFill="1" applyBorder="1"/>
    <xf numFmtId="0" fontId="3" fillId="13" borderId="7" xfId="0" applyFont="1" applyFill="1" applyBorder="1"/>
    <xf numFmtId="0" fontId="3" fillId="13" borderId="8" xfId="0" applyFont="1" applyFill="1" applyBorder="1"/>
    <xf numFmtId="0" fontId="3" fillId="13" borderId="9" xfId="0" applyFont="1" applyFill="1" applyBorder="1"/>
    <xf numFmtId="0" fontId="3" fillId="13" borderId="10" xfId="0" applyFont="1" applyFill="1" applyBorder="1"/>
    <xf numFmtId="0" fontId="0" fillId="13" borderId="11" xfId="0" applyFill="1" applyBorder="1"/>
    <xf numFmtId="0" fontId="0" fillId="13" borderId="12" xfId="0" applyFill="1" applyBorder="1"/>
    <xf numFmtId="165" fontId="0" fillId="2" borderId="2" xfId="2" applyNumberFormat="1" applyFont="1" applyFill="1" applyBorder="1" applyAlignment="1" applyProtection="1">
      <alignment horizontal="right"/>
      <protection locked="0"/>
    </xf>
    <xf numFmtId="167" fontId="3" fillId="4" borderId="2" xfId="0" applyNumberFormat="1" applyFont="1" applyFill="1" applyBorder="1" applyAlignment="1">
      <alignment horizontal="right"/>
    </xf>
    <xf numFmtId="167" fontId="3" fillId="6" borderId="2" xfId="0" applyNumberFormat="1" applyFont="1" applyFill="1" applyBorder="1" applyAlignment="1">
      <alignment horizontal="right"/>
    </xf>
    <xf numFmtId="2" fontId="3" fillId="6" borderId="2" xfId="2" applyNumberFormat="1" applyFont="1" applyFill="1" applyBorder="1" applyAlignment="1">
      <alignment horizontal="right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8" fillId="12" borderId="2" xfId="0" applyFont="1" applyFill="1" applyBorder="1" applyAlignment="1">
      <alignment horizontal="center"/>
    </xf>
    <xf numFmtId="0" fontId="8" fillId="12" borderId="4" xfId="0" applyFont="1" applyFill="1" applyBorder="1" applyAlignment="1">
      <alignment horizontal="center"/>
    </xf>
    <xf numFmtId="0" fontId="8" fillId="12" borderId="3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0" fillId="5" borderId="2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5" borderId="1" xfId="0" applyFill="1" applyBorder="1" applyAlignment="1" applyProtection="1">
      <alignment horizontal="center"/>
      <protection locked="0"/>
    </xf>
    <xf numFmtId="0" fontId="6" fillId="7" borderId="2" xfId="0" applyFont="1" applyFill="1" applyBorder="1" applyAlignment="1">
      <alignment horizontal="center"/>
    </xf>
    <xf numFmtId="0" fontId="6" fillId="7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 wrapText="1"/>
    </xf>
    <xf numFmtId="0" fontId="3" fillId="8" borderId="1" xfId="0" applyFont="1" applyFill="1" applyBorder="1" applyAlignment="1">
      <alignment horizontal="center" wrapText="1"/>
    </xf>
    <xf numFmtId="0" fontId="3" fillId="8" borderId="2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8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/>
    </xf>
    <xf numFmtId="0" fontId="3" fillId="9" borderId="2" xfId="0" applyFont="1" applyFill="1" applyBorder="1" applyAlignment="1">
      <alignment horizontal="center"/>
    </xf>
    <xf numFmtId="0" fontId="3" fillId="9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3" fillId="9" borderId="1" xfId="0" applyFont="1" applyFill="1" applyBorder="1" applyAlignment="1">
      <alignment horizontal="center" vertical="center"/>
    </xf>
    <xf numFmtId="0" fontId="3" fillId="13" borderId="0" xfId="0" applyFont="1" applyFill="1" applyBorder="1"/>
    <xf numFmtId="0" fontId="0" fillId="13" borderId="0" xfId="0" applyFill="1" applyBorder="1"/>
    <xf numFmtId="0" fontId="0" fillId="13" borderId="9" xfId="0" applyFill="1" applyBorder="1"/>
  </cellXfs>
  <cellStyles count="3">
    <cellStyle name="Lien hypertexte" xfId="1" builtinId="8"/>
    <cellStyle name="Milliers" xfId="2" builtinId="3"/>
    <cellStyle name="Normal" xfId="0" builtinId="0"/>
  </cellStyles>
  <dxfs count="7">
    <dxf>
      <font>
        <strike val="0"/>
      </font>
      <fill>
        <patternFill>
          <bgColor rgb="FF92D050"/>
        </patternFill>
      </fill>
    </dxf>
    <dxf>
      <font>
        <b/>
        <i val="0"/>
        <strike val="0"/>
        <color rgb="FF00B050"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 val="0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39698</xdr:colOff>
      <xdr:row>8</xdr:row>
      <xdr:rowOff>99450</xdr:rowOff>
    </xdr:from>
    <xdr:to>
      <xdr:col>2</xdr:col>
      <xdr:colOff>179852</xdr:colOff>
      <xdr:row>32</xdr:row>
      <xdr:rowOff>100263</xdr:rowOff>
    </xdr:to>
    <xdr:sp macro="" textlink="">
      <xdr:nvSpPr>
        <xdr:cNvPr id="2" name="Parenthèse ouvrante 1">
          <a:extLst>
            <a:ext uri="{FF2B5EF4-FFF2-40B4-BE49-F238E27FC236}">
              <a16:creationId xmlns:a16="http://schemas.microsoft.com/office/drawing/2014/main" id="{6CACA6A4-F450-8526-B8B7-4CB8C825E73E}"/>
            </a:ext>
          </a:extLst>
        </xdr:cNvPr>
        <xdr:cNvSpPr/>
      </xdr:nvSpPr>
      <xdr:spPr>
        <a:xfrm>
          <a:off x="420698" y="1623450"/>
          <a:ext cx="140154" cy="4572813"/>
        </a:xfrm>
        <a:prstGeom prst="leftBracket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39697</xdr:colOff>
      <xdr:row>6</xdr:row>
      <xdr:rowOff>99451</xdr:rowOff>
    </xdr:from>
    <xdr:to>
      <xdr:col>1</xdr:col>
      <xdr:colOff>179851</xdr:colOff>
      <xdr:row>37</xdr:row>
      <xdr:rowOff>95251</xdr:rowOff>
    </xdr:to>
    <xdr:sp macro="" textlink="">
      <xdr:nvSpPr>
        <xdr:cNvPr id="3" name="Parenthèse ouvrante 2">
          <a:extLst>
            <a:ext uri="{FF2B5EF4-FFF2-40B4-BE49-F238E27FC236}">
              <a16:creationId xmlns:a16="http://schemas.microsoft.com/office/drawing/2014/main" id="{E105C8A6-ADFF-8626-7921-4CA334B48D9D}"/>
            </a:ext>
          </a:extLst>
        </xdr:cNvPr>
        <xdr:cNvSpPr/>
      </xdr:nvSpPr>
      <xdr:spPr>
        <a:xfrm>
          <a:off x="230197" y="1242451"/>
          <a:ext cx="140154" cy="5901300"/>
        </a:xfrm>
        <a:prstGeom prst="leftBracket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</xdr:col>
      <xdr:colOff>43011</xdr:colOff>
      <xdr:row>42</xdr:row>
      <xdr:rowOff>94481</xdr:rowOff>
    </xdr:from>
    <xdr:to>
      <xdr:col>1</xdr:col>
      <xdr:colOff>183165</xdr:colOff>
      <xdr:row>54</xdr:row>
      <xdr:rowOff>103415</xdr:rowOff>
    </xdr:to>
    <xdr:sp macro="" textlink="">
      <xdr:nvSpPr>
        <xdr:cNvPr id="4" name="Parenthèse ouvrante 3">
          <a:extLst>
            <a:ext uri="{FF2B5EF4-FFF2-40B4-BE49-F238E27FC236}">
              <a16:creationId xmlns:a16="http://schemas.microsoft.com/office/drawing/2014/main" id="{6C41187D-6D32-48F7-A322-A3F6E7C2F568}"/>
            </a:ext>
          </a:extLst>
        </xdr:cNvPr>
        <xdr:cNvSpPr/>
      </xdr:nvSpPr>
      <xdr:spPr>
        <a:xfrm>
          <a:off x="233511" y="8095481"/>
          <a:ext cx="140154" cy="2294934"/>
        </a:xfrm>
        <a:prstGeom prst="leftBracket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7</xdr:col>
      <xdr:colOff>43010</xdr:colOff>
      <xdr:row>5</xdr:row>
      <xdr:rowOff>119327</xdr:rowOff>
    </xdr:from>
    <xdr:to>
      <xdr:col>7</xdr:col>
      <xdr:colOff>183164</xdr:colOff>
      <xdr:row>45</xdr:row>
      <xdr:rowOff>110289</xdr:rowOff>
    </xdr:to>
    <xdr:sp macro="" textlink="">
      <xdr:nvSpPr>
        <xdr:cNvPr id="5" name="Parenthèse ouvrante 4">
          <a:extLst>
            <a:ext uri="{FF2B5EF4-FFF2-40B4-BE49-F238E27FC236}">
              <a16:creationId xmlns:a16="http://schemas.microsoft.com/office/drawing/2014/main" id="{3C0142E7-6DD1-45F1-8CDA-5BB1BFB61531}"/>
            </a:ext>
          </a:extLst>
        </xdr:cNvPr>
        <xdr:cNvSpPr/>
      </xdr:nvSpPr>
      <xdr:spPr>
        <a:xfrm>
          <a:off x="5161444" y="1071827"/>
          <a:ext cx="140154" cy="7229962"/>
        </a:xfrm>
        <a:prstGeom prst="leftBracket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36234</xdr:colOff>
      <xdr:row>4</xdr:row>
      <xdr:rowOff>95986</xdr:rowOff>
    </xdr:from>
    <xdr:to>
      <xdr:col>0</xdr:col>
      <xdr:colOff>176388</xdr:colOff>
      <xdr:row>54</xdr:row>
      <xdr:rowOff>97573</xdr:rowOff>
    </xdr:to>
    <xdr:sp macro="" textlink="">
      <xdr:nvSpPr>
        <xdr:cNvPr id="6" name="Parenthèse ouvrante 5">
          <a:extLst>
            <a:ext uri="{FF2B5EF4-FFF2-40B4-BE49-F238E27FC236}">
              <a16:creationId xmlns:a16="http://schemas.microsoft.com/office/drawing/2014/main" id="{C6287347-FF40-4439-BCA3-A2BDBA4F17C9}"/>
            </a:ext>
          </a:extLst>
        </xdr:cNvPr>
        <xdr:cNvSpPr/>
      </xdr:nvSpPr>
      <xdr:spPr>
        <a:xfrm>
          <a:off x="36234" y="857986"/>
          <a:ext cx="140154" cy="9526587"/>
        </a:xfrm>
        <a:prstGeom prst="leftBracket">
          <a:avLst/>
        </a:prstGeom>
        <a:ln w="12700"/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13</xdr:col>
      <xdr:colOff>531668</xdr:colOff>
      <xdr:row>12</xdr:row>
      <xdr:rowOff>45895</xdr:rowOff>
    </xdr:from>
    <xdr:to>
      <xdr:col>23</xdr:col>
      <xdr:colOff>598343</xdr:colOff>
      <xdr:row>36</xdr:row>
      <xdr:rowOff>160195</xdr:rowOff>
    </xdr:to>
    <xdr:grpSp>
      <xdr:nvGrpSpPr>
        <xdr:cNvPr id="39" name="Groupe 38">
          <a:extLst>
            <a:ext uri="{FF2B5EF4-FFF2-40B4-BE49-F238E27FC236}">
              <a16:creationId xmlns:a16="http://schemas.microsoft.com/office/drawing/2014/main" id="{AA53C56E-DD7D-7F1B-DD25-55B4AC337493}"/>
            </a:ext>
          </a:extLst>
        </xdr:cNvPr>
        <xdr:cNvGrpSpPr/>
      </xdr:nvGrpSpPr>
      <xdr:grpSpPr>
        <a:xfrm>
          <a:off x="9571759" y="2331895"/>
          <a:ext cx="7574107" cy="4686300"/>
          <a:chOff x="9934575" y="2505076"/>
          <a:chExt cx="7572375" cy="4686300"/>
        </a:xfrm>
      </xdr:grpSpPr>
      <xdr:sp macro="" textlink="">
        <xdr:nvSpPr>
          <xdr:cNvPr id="18" name="ZoneTexte 17">
            <a:extLst>
              <a:ext uri="{FF2B5EF4-FFF2-40B4-BE49-F238E27FC236}">
                <a16:creationId xmlns:a16="http://schemas.microsoft.com/office/drawing/2014/main" id="{C9A0A9A8-E398-40A2-AA63-EB1C5F281ED0}"/>
              </a:ext>
            </a:extLst>
          </xdr:cNvPr>
          <xdr:cNvSpPr txBox="1"/>
        </xdr:nvSpPr>
        <xdr:spPr>
          <a:xfrm>
            <a:off x="15582900" y="3838574"/>
            <a:ext cx="1924050" cy="3524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fr-FR" sz="1400" b="1"/>
              <a:t>RONDELLE BELLEVILLE</a:t>
            </a:r>
          </a:p>
        </xdr:txBody>
      </xdr:sp>
      <xdr:grpSp>
        <xdr:nvGrpSpPr>
          <xdr:cNvPr id="38" name="Groupe 37">
            <a:extLst>
              <a:ext uri="{FF2B5EF4-FFF2-40B4-BE49-F238E27FC236}">
                <a16:creationId xmlns:a16="http://schemas.microsoft.com/office/drawing/2014/main" id="{E00AA1E0-25F6-6746-AE63-1551F64FA337}"/>
              </a:ext>
            </a:extLst>
          </xdr:cNvPr>
          <xdr:cNvGrpSpPr/>
        </xdr:nvGrpSpPr>
        <xdr:grpSpPr>
          <a:xfrm>
            <a:off x="9934575" y="2505076"/>
            <a:ext cx="7534275" cy="4686300"/>
            <a:chOff x="9934575" y="2505076"/>
            <a:chExt cx="7534275" cy="4686300"/>
          </a:xfrm>
        </xdr:grpSpPr>
        <xdr:sp macro="" textlink="">
          <xdr:nvSpPr>
            <xdr:cNvPr id="24" name="ZoneTexte 23">
              <a:extLst>
                <a:ext uri="{FF2B5EF4-FFF2-40B4-BE49-F238E27FC236}">
                  <a16:creationId xmlns:a16="http://schemas.microsoft.com/office/drawing/2014/main" id="{B578F71B-09AB-4573-A141-A9830D0E7DFA}"/>
                </a:ext>
              </a:extLst>
            </xdr:cNvPr>
            <xdr:cNvSpPr txBox="1"/>
          </xdr:nvSpPr>
          <xdr:spPr>
            <a:xfrm>
              <a:off x="15582900" y="4305299"/>
              <a:ext cx="1885950" cy="3524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fr-FR" sz="1400" b="1"/>
                <a:t>RONDELLE PLATE</a:t>
              </a:r>
            </a:p>
          </xdr:txBody>
        </xdr:sp>
        <xdr:grpSp>
          <xdr:nvGrpSpPr>
            <xdr:cNvPr id="37" name="Groupe 36">
              <a:extLst>
                <a:ext uri="{FF2B5EF4-FFF2-40B4-BE49-F238E27FC236}">
                  <a16:creationId xmlns:a16="http://schemas.microsoft.com/office/drawing/2014/main" id="{583BA62A-B91C-770F-25A7-4516775EFCDA}"/>
                </a:ext>
              </a:extLst>
            </xdr:cNvPr>
            <xdr:cNvGrpSpPr/>
          </xdr:nvGrpSpPr>
          <xdr:grpSpPr>
            <a:xfrm>
              <a:off x="9934575" y="2505076"/>
              <a:ext cx="7534275" cy="4686300"/>
              <a:chOff x="9934575" y="2505076"/>
              <a:chExt cx="7534275" cy="4686300"/>
            </a:xfrm>
          </xdr:grpSpPr>
          <xdr:sp macro="" textlink="">
            <xdr:nvSpPr>
              <xdr:cNvPr id="28" name="ZoneTexte 27">
                <a:extLst>
                  <a:ext uri="{FF2B5EF4-FFF2-40B4-BE49-F238E27FC236}">
                    <a16:creationId xmlns:a16="http://schemas.microsoft.com/office/drawing/2014/main" id="{E324D409-7B17-41EF-847F-71620E6C79CA}"/>
                  </a:ext>
                </a:extLst>
              </xdr:cNvPr>
              <xdr:cNvSpPr txBox="1"/>
            </xdr:nvSpPr>
            <xdr:spPr>
              <a:xfrm>
                <a:off x="15582900" y="4981574"/>
                <a:ext cx="1885950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fr-FR" sz="1400" b="1"/>
                  <a:t>PASSAGE DE VIS</a:t>
                </a:r>
              </a:p>
            </xdr:txBody>
          </xdr:sp>
          <xdr:grpSp>
            <xdr:nvGrpSpPr>
              <xdr:cNvPr id="36" name="Groupe 35">
                <a:extLst>
                  <a:ext uri="{FF2B5EF4-FFF2-40B4-BE49-F238E27FC236}">
                    <a16:creationId xmlns:a16="http://schemas.microsoft.com/office/drawing/2014/main" id="{ABCBD265-B8B3-5E8E-80C2-5CB0CE9F1479}"/>
                  </a:ext>
                </a:extLst>
              </xdr:cNvPr>
              <xdr:cNvGrpSpPr/>
            </xdr:nvGrpSpPr>
            <xdr:grpSpPr>
              <a:xfrm>
                <a:off x="9934575" y="2505076"/>
                <a:ext cx="7524750" cy="4686300"/>
                <a:chOff x="9934575" y="2505076"/>
                <a:chExt cx="7524750" cy="4686300"/>
              </a:xfrm>
            </xdr:grpSpPr>
            <xdr:sp macro="" textlink="">
              <xdr:nvSpPr>
                <xdr:cNvPr id="31" name="ZoneTexte 30">
                  <a:extLst>
                    <a:ext uri="{FF2B5EF4-FFF2-40B4-BE49-F238E27FC236}">
                      <a16:creationId xmlns:a16="http://schemas.microsoft.com/office/drawing/2014/main" id="{2A45DB84-AB08-4E76-8D85-155C059FA40C}"/>
                    </a:ext>
                  </a:extLst>
                </xdr:cNvPr>
                <xdr:cNvSpPr txBox="1"/>
              </xdr:nvSpPr>
              <xdr:spPr>
                <a:xfrm>
                  <a:off x="15573375" y="5705474"/>
                  <a:ext cx="1885950" cy="352425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vertOverflow="clip" horzOverflow="clip" wrap="square" rtlCol="0" anchor="t"/>
                <a:lstStyle/>
                <a:p>
                  <a:r>
                    <a:rPr lang="fr-FR" sz="1400" b="1"/>
                    <a:t>TADAURAGE</a:t>
                  </a:r>
                </a:p>
              </xdr:txBody>
            </xdr:sp>
            <xdr:grpSp>
              <xdr:nvGrpSpPr>
                <xdr:cNvPr id="35" name="Groupe 34">
                  <a:extLst>
                    <a:ext uri="{FF2B5EF4-FFF2-40B4-BE49-F238E27FC236}">
                      <a16:creationId xmlns:a16="http://schemas.microsoft.com/office/drawing/2014/main" id="{82E049A4-E7D7-E031-31EB-6D3928404840}"/>
                    </a:ext>
                  </a:extLst>
                </xdr:cNvPr>
                <xdr:cNvGrpSpPr/>
              </xdr:nvGrpSpPr>
              <xdr:grpSpPr>
                <a:xfrm>
                  <a:off x="9934575" y="2505076"/>
                  <a:ext cx="6991350" cy="4686300"/>
                  <a:chOff x="9934575" y="2505076"/>
                  <a:chExt cx="6991350" cy="4686300"/>
                </a:xfrm>
              </xdr:grpSpPr>
              <xdr:sp macro="" textlink="">
                <xdr:nvSpPr>
                  <xdr:cNvPr id="13" name="ZoneTexte 12">
                    <a:extLst>
                      <a:ext uri="{FF2B5EF4-FFF2-40B4-BE49-F238E27FC236}">
                        <a16:creationId xmlns:a16="http://schemas.microsoft.com/office/drawing/2014/main" id="{96566399-6CD5-767B-8003-C595D0EF4A68}"/>
                      </a:ext>
                    </a:extLst>
                  </xdr:cNvPr>
                  <xdr:cNvSpPr txBox="1"/>
                </xdr:nvSpPr>
                <xdr:spPr>
                  <a:xfrm>
                    <a:off x="15582900" y="3238499"/>
                    <a:ext cx="1343025" cy="352425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wrap="square" rtlCol="0" anchor="t"/>
                  <a:lstStyle/>
                  <a:p>
                    <a:r>
                      <a:rPr lang="fr-FR" sz="1400" b="1"/>
                      <a:t>VIS</a:t>
                    </a:r>
                  </a:p>
                </xdr:txBody>
              </xdr:sp>
              <xdr:grpSp>
                <xdr:nvGrpSpPr>
                  <xdr:cNvPr id="34" name="Groupe 33">
                    <a:extLst>
                      <a:ext uri="{FF2B5EF4-FFF2-40B4-BE49-F238E27FC236}">
                        <a16:creationId xmlns:a16="http://schemas.microsoft.com/office/drawing/2014/main" id="{8657F6F9-DCE0-AB8B-9C93-7B0A2AE29E7F}"/>
                      </a:ext>
                    </a:extLst>
                  </xdr:cNvPr>
                  <xdr:cNvGrpSpPr/>
                </xdr:nvGrpSpPr>
                <xdr:grpSpPr>
                  <a:xfrm>
                    <a:off x="9934575" y="2505076"/>
                    <a:ext cx="5648325" cy="4686300"/>
                    <a:chOff x="9934575" y="2505076"/>
                    <a:chExt cx="5648325" cy="4686300"/>
                  </a:xfrm>
                </xdr:grpSpPr>
                <xdr:pic>
                  <xdr:nvPicPr>
                    <xdr:cNvPr id="8" name="Image 7">
                      <a:extLst>
                        <a:ext uri="{FF2B5EF4-FFF2-40B4-BE49-F238E27FC236}">
                          <a16:creationId xmlns:a16="http://schemas.microsoft.com/office/drawing/2014/main" id="{C541AFF3-1C70-5EA0-F56A-D57C9F67A6E5}"/>
                        </a:ext>
                      </a:extLst>
                    </xdr:cNvPr>
                    <xdr:cNvPicPr>
                      <a:picLocks noChangeAspect="1" noChangeArrowheads="1"/>
                    </xdr:cNvPicPr>
                  </xdr:nvPicPr>
                  <xdr:blipFill>
                    <a:blip xmlns:r="http://schemas.openxmlformats.org/officeDocument/2006/relationships" r:embed="rId1">
                      <a:extLst>
                        <a:ext uri="{28A0092B-C50C-407E-A947-70E740481C1C}">
                          <a14:useLocalDpi xmlns:a14="http://schemas.microsoft.com/office/drawing/2010/main" val="0"/>
                        </a:ext>
                      </a:extLst>
                    </a:blip>
                    <a:srcRect/>
                    <a:stretch>
                      <a:fillRect/>
                    </a:stretch>
                  </xdr:blipFill>
                  <xdr:spPr bwMode="auto">
                    <a:xfrm>
                      <a:off x="9934575" y="2505076"/>
                      <a:ext cx="5376477" cy="4686300"/>
                    </a:xfrm>
                    <a:prstGeom prst="rect">
                      <a:avLst/>
                    </a:prstGeom>
                    <a:noFill/>
                    <a:extLst>
                      <a:ext uri="{909E8E84-426E-40DD-AFC4-6F175D3DCCD1}">
                        <a14:hiddenFill xmlns:a14="http://schemas.microsoft.com/office/drawing/2010/main">
                          <a:solidFill>
                            <a:srgbClr val="FFFFFF"/>
                          </a:solidFill>
                        </a14:hiddenFill>
                      </a:ext>
                    </a:extLst>
                  </xdr:spPr>
                </xdr:pic>
                <xdr:cxnSp macro="">
                  <xdr:nvCxnSpPr>
                    <xdr:cNvPr id="15" name="Connecteur droit avec flèche 14">
                      <a:extLst>
                        <a:ext uri="{FF2B5EF4-FFF2-40B4-BE49-F238E27FC236}">
                          <a16:creationId xmlns:a16="http://schemas.microsoft.com/office/drawing/2014/main" id="{26854D25-9344-FB15-17F5-2286FCD10AE6}"/>
                        </a:ext>
                      </a:extLst>
                    </xdr:cNvPr>
                    <xdr:cNvCxnSpPr>
                      <a:stCxn id="13" idx="1"/>
                    </xdr:cNvCxnSpPr>
                  </xdr:nvCxnSpPr>
                  <xdr:spPr>
                    <a:xfrm flipH="1">
                      <a:off x="12963525" y="3414712"/>
                      <a:ext cx="2619375" cy="452438"/>
                    </a:xfrm>
                    <a:prstGeom prst="straightConnector1">
                      <a:avLst/>
                    </a:prstGeom>
                    <a:ln w="19050"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19" name="Connecteur droit avec flèche 18">
                      <a:extLst>
                        <a:ext uri="{FF2B5EF4-FFF2-40B4-BE49-F238E27FC236}">
                          <a16:creationId xmlns:a16="http://schemas.microsoft.com/office/drawing/2014/main" id="{603154E5-7ECF-42C5-BB2D-79D077BD4372}"/>
                        </a:ext>
                      </a:extLst>
                    </xdr:cNvPr>
                    <xdr:cNvCxnSpPr>
                      <a:stCxn id="18" idx="1"/>
                    </xdr:cNvCxnSpPr>
                  </xdr:nvCxnSpPr>
                  <xdr:spPr>
                    <a:xfrm flipH="1">
                      <a:off x="13306425" y="4014787"/>
                      <a:ext cx="2276475" cy="271463"/>
                    </a:xfrm>
                    <a:prstGeom prst="straightConnector1">
                      <a:avLst/>
                    </a:prstGeom>
                    <a:ln w="19050"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5" name="Connecteur droit avec flèche 24">
                      <a:extLst>
                        <a:ext uri="{FF2B5EF4-FFF2-40B4-BE49-F238E27FC236}">
                          <a16:creationId xmlns:a16="http://schemas.microsoft.com/office/drawing/2014/main" id="{685CB24E-4316-4CF5-877B-EEA6025ABBA0}"/>
                        </a:ext>
                      </a:extLst>
                    </xdr:cNvPr>
                    <xdr:cNvCxnSpPr>
                      <a:stCxn id="24" idx="1"/>
                    </xdr:cNvCxnSpPr>
                  </xdr:nvCxnSpPr>
                  <xdr:spPr>
                    <a:xfrm flipH="1">
                      <a:off x="13792200" y="4481512"/>
                      <a:ext cx="1790700" cy="42863"/>
                    </a:xfrm>
                    <a:prstGeom prst="straightConnector1">
                      <a:avLst/>
                    </a:prstGeom>
                    <a:ln w="19050"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29" name="Connecteur droit avec flèche 28">
                      <a:extLst>
                        <a:ext uri="{FF2B5EF4-FFF2-40B4-BE49-F238E27FC236}">
                          <a16:creationId xmlns:a16="http://schemas.microsoft.com/office/drawing/2014/main" id="{6BF11E03-ED59-4D53-A337-6DC98E1D5050}"/>
                        </a:ext>
                      </a:extLst>
                    </xdr:cNvPr>
                    <xdr:cNvCxnSpPr>
                      <a:stCxn id="28" idx="1"/>
                    </xdr:cNvCxnSpPr>
                  </xdr:nvCxnSpPr>
                  <xdr:spPr>
                    <a:xfrm flipH="1">
                      <a:off x="12944475" y="5157787"/>
                      <a:ext cx="2638425" cy="14288"/>
                    </a:xfrm>
                    <a:prstGeom prst="straightConnector1">
                      <a:avLst/>
                    </a:prstGeom>
                    <a:ln w="19050"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  <xdr:cxnSp macro="">
                  <xdr:nvCxnSpPr>
                    <xdr:cNvPr id="32" name="Connecteur droit avec flèche 31">
                      <a:extLst>
                        <a:ext uri="{FF2B5EF4-FFF2-40B4-BE49-F238E27FC236}">
                          <a16:creationId xmlns:a16="http://schemas.microsoft.com/office/drawing/2014/main" id="{A3BE3366-3C91-4AC6-8F13-7015BE509D48}"/>
                        </a:ext>
                      </a:extLst>
                    </xdr:cNvPr>
                    <xdr:cNvCxnSpPr>
                      <a:stCxn id="31" idx="1"/>
                    </xdr:cNvCxnSpPr>
                  </xdr:nvCxnSpPr>
                  <xdr:spPr>
                    <a:xfrm flipH="1">
                      <a:off x="12925425" y="5881687"/>
                      <a:ext cx="2647950" cy="357188"/>
                    </a:xfrm>
                    <a:prstGeom prst="straightConnector1">
                      <a:avLst/>
                    </a:prstGeom>
                    <a:ln w="19050">
                      <a:tailEnd type="triangle"/>
                    </a:ln>
                  </xdr:spPr>
                  <xdr:style>
                    <a:lnRef idx="1">
                      <a:schemeClr val="dk1"/>
                    </a:lnRef>
                    <a:fillRef idx="0">
                      <a:schemeClr val="dk1"/>
                    </a:fillRef>
                    <a:effectRef idx="0">
                      <a:schemeClr val="dk1"/>
                    </a:effectRef>
                    <a:fontRef idx="minor">
                      <a:schemeClr val="tx1"/>
                    </a:fontRef>
                  </xdr:style>
                </xdr:cxnSp>
              </xdr:grpSp>
            </xdr:grpSp>
          </xdr:grpSp>
        </xdr:grpSp>
      </xdr:grpSp>
    </xdr:grpSp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.wikipedia.org/wiki/Matage_(m%C3%A9canique)" TargetMode="External"/><Relationship Id="rId2" Type="http://schemas.openxmlformats.org/officeDocument/2006/relationships/hyperlink" Target="https://fr.wikipedia.org/wiki/Loi_de_Hooke" TargetMode="External"/><Relationship Id="rId1" Type="http://schemas.openxmlformats.org/officeDocument/2006/relationships/hyperlink" Target="https://fr.wikipedia.org/wiki/Crit%C3%A8re_de_plasticit%C3%A9" TargetMode="External"/><Relationship Id="rId6" Type="http://schemas.openxmlformats.org/officeDocument/2006/relationships/drawing" Target="../drawings/drawing1.xml"/><Relationship Id="rId5" Type="http://schemas.openxmlformats.org/officeDocument/2006/relationships/hyperlink" Target="https://fr.wikipedia.org/wiki/Coefficient_de_Poisson" TargetMode="External"/><Relationship Id="rId4" Type="http://schemas.openxmlformats.org/officeDocument/2006/relationships/hyperlink" Target="https://fr.wikipedia.org/wiki/Limite_d%27%C3%A9lasticit%C3%A9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researchgate.net/figure/Measured-density-and-values-of-Youngs-modulus-calculated-with-the-use-of-the-compared_tbl1_357343831" TargetMode="External"/><Relationship Id="rId2" Type="http://schemas.openxmlformats.org/officeDocument/2006/relationships/hyperlink" Target="https://fr.wikipedia.org/wiki/Acide_polylactique" TargetMode="External"/><Relationship Id="rId1" Type="http://schemas.openxmlformats.org/officeDocument/2006/relationships/hyperlink" Target="https://www.researchgate.net/figure/PLA-and-PLA-CF-Poisson-coefficients_tbl3_316897831" TargetMode="External"/><Relationship Id="rId4" Type="http://schemas.openxmlformats.org/officeDocument/2006/relationships/hyperlink" Target="https://www.researchgate.net/figure/A-comparison-of-statistical-differences-between-Youngs-modulus-values-calculated_fig4_3573438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12C6F-5F1E-4EF6-B429-8027EB31D5B4}">
  <dimension ref="A1:AG63"/>
  <sheetViews>
    <sheetView tabSelected="1" topLeftCell="A37" zoomScale="110" zoomScaleNormal="110" workbookViewId="0">
      <selection activeCell="D64" sqref="D64"/>
    </sheetView>
  </sheetViews>
  <sheetFormatPr baseColWidth="10" defaultRowHeight="15" x14ac:dyDescent="0.25"/>
  <cols>
    <col min="1" max="3" width="2.85546875" style="1" customWidth="1"/>
    <col min="4" max="4" width="47.42578125" style="1" bestFit="1" customWidth="1"/>
    <col min="5" max="5" width="12.140625" style="1" customWidth="1"/>
    <col min="6" max="6" width="5.7109375" style="1" customWidth="1"/>
    <col min="7" max="8" width="2.85546875" style="1" customWidth="1"/>
    <col min="9" max="9" width="32.7109375" style="1" bestFit="1" customWidth="1"/>
    <col min="10" max="10" width="11.42578125" style="1"/>
    <col min="11" max="11" width="6.140625" style="1" bestFit="1" customWidth="1"/>
    <col min="12" max="13" width="2.85546875" style="1" customWidth="1"/>
    <col min="14" max="14" width="12.85546875" style="1" customWidth="1"/>
    <col min="15" max="15" width="7.140625" style="1" customWidth="1"/>
    <col min="16" max="16" width="5" style="1" customWidth="1"/>
    <col min="17" max="18" width="2.85546875" style="1" customWidth="1"/>
    <col min="19" max="19" width="11.42578125" style="1"/>
    <col min="20" max="20" width="20.5703125" style="1" bestFit="1" customWidth="1"/>
    <col min="21" max="21" width="18" style="1" bestFit="1" customWidth="1"/>
    <col min="22" max="22" width="17.42578125" style="1" bestFit="1" customWidth="1"/>
    <col min="23" max="23" width="14.42578125" style="1" bestFit="1" customWidth="1"/>
    <col min="24" max="24" width="14.28515625" style="1" bestFit="1" customWidth="1"/>
    <col min="25" max="25" width="9.5703125" style="1" bestFit="1" customWidth="1"/>
    <col min="26" max="26" width="2.85546875" style="1" customWidth="1"/>
    <col min="27" max="27" width="11.42578125" style="1"/>
    <col min="28" max="28" width="7" style="1" bestFit="1" customWidth="1"/>
    <col min="29" max="29" width="17.5703125" style="1" bestFit="1" customWidth="1"/>
    <col min="30" max="30" width="17.42578125" style="1" bestFit="1" customWidth="1"/>
    <col min="31" max="31" width="14.42578125" style="1" bestFit="1" customWidth="1"/>
    <col min="32" max="32" width="14.28515625" style="1" bestFit="1" customWidth="1"/>
    <col min="33" max="33" width="9.5703125" style="1" bestFit="1" customWidth="1"/>
    <col min="34" max="16384" width="11.42578125" style="1"/>
  </cols>
  <sheetData>
    <row r="1" spans="1:33" x14ac:dyDescent="0.25">
      <c r="A1" s="57" t="s">
        <v>99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33" ht="15" customHeight="1" x14ac:dyDescent="0.25">
      <c r="N2" s="64" t="s">
        <v>74</v>
      </c>
      <c r="O2" s="64"/>
      <c r="P2" s="64"/>
      <c r="S2" s="69" t="s">
        <v>72</v>
      </c>
      <c r="T2" s="69"/>
      <c r="U2" s="69"/>
      <c r="V2" s="69"/>
      <c r="W2" s="69"/>
      <c r="X2" s="69"/>
      <c r="Y2" s="69"/>
      <c r="AA2" s="65" t="s">
        <v>72</v>
      </c>
      <c r="AB2" s="66"/>
      <c r="AC2" s="66"/>
      <c r="AD2" s="66"/>
      <c r="AE2" s="66"/>
      <c r="AF2" s="66"/>
      <c r="AG2" s="67"/>
    </row>
    <row r="3" spans="1:33" ht="15" customHeight="1" x14ac:dyDescent="0.25">
      <c r="A3" s="57" t="s">
        <v>32</v>
      </c>
      <c r="B3" s="57"/>
      <c r="C3" s="57"/>
      <c r="D3" s="57"/>
      <c r="E3" s="57"/>
      <c r="F3" s="57"/>
      <c r="H3" s="63" t="s">
        <v>46</v>
      </c>
      <c r="I3" s="63"/>
      <c r="J3" s="63"/>
      <c r="K3" s="63"/>
      <c r="N3" s="64"/>
      <c r="O3" s="64"/>
      <c r="P3" s="64"/>
      <c r="S3" s="68" t="s">
        <v>63</v>
      </c>
      <c r="T3" s="61" t="s">
        <v>70</v>
      </c>
      <c r="U3" s="61"/>
      <c r="V3" s="61"/>
      <c r="W3" s="61"/>
      <c r="X3" s="61"/>
      <c r="Y3" s="61"/>
      <c r="AA3" s="68" t="s">
        <v>63</v>
      </c>
      <c r="AB3" s="61" t="s">
        <v>71</v>
      </c>
      <c r="AC3" s="61"/>
      <c r="AD3" s="61"/>
      <c r="AE3" s="61"/>
      <c r="AF3" s="61"/>
      <c r="AG3" s="61"/>
    </row>
    <row r="4" spans="1:33" x14ac:dyDescent="0.25">
      <c r="H4" s="63"/>
      <c r="I4" s="63"/>
      <c r="J4" s="63"/>
      <c r="K4" s="63"/>
      <c r="N4" s="13" t="s">
        <v>58</v>
      </c>
      <c r="O4" s="61" t="s">
        <v>59</v>
      </c>
      <c r="P4" s="61"/>
      <c r="S4" s="68"/>
      <c r="T4" s="13" t="s">
        <v>64</v>
      </c>
      <c r="U4" s="13" t="s">
        <v>65</v>
      </c>
      <c r="V4" s="13" t="s">
        <v>66</v>
      </c>
      <c r="W4" s="13" t="s">
        <v>67</v>
      </c>
      <c r="X4" s="13" t="s">
        <v>68</v>
      </c>
      <c r="Y4" s="13" t="s">
        <v>69</v>
      </c>
      <c r="AA4" s="68"/>
      <c r="AB4" s="13" t="s">
        <v>64</v>
      </c>
      <c r="AC4" s="13" t="s">
        <v>65</v>
      </c>
      <c r="AD4" s="13" t="s">
        <v>66</v>
      </c>
      <c r="AE4" s="13" t="s">
        <v>67</v>
      </c>
      <c r="AF4" s="13" t="s">
        <v>68</v>
      </c>
      <c r="AG4" s="13" t="s">
        <v>69</v>
      </c>
    </row>
    <row r="5" spans="1:33" x14ac:dyDescent="0.25">
      <c r="B5" s="45" t="s">
        <v>9</v>
      </c>
      <c r="C5" s="46"/>
      <c r="D5" s="46"/>
      <c r="E5" s="46"/>
      <c r="F5" s="47"/>
      <c r="N5" s="22" t="str">
        <f>'Base de données'!B4</f>
        <v>Ajustée</v>
      </c>
      <c r="O5" s="14">
        <f>VLOOKUP($E$10,'Base de données'!$A$6:$D$10,2,FALSE)</f>
        <v>6.4</v>
      </c>
      <c r="P5" s="15" t="s">
        <v>42</v>
      </c>
      <c r="S5" s="22" t="str">
        <f>'Base de données'!A6</f>
        <v>M3</v>
      </c>
      <c r="T5" s="22">
        <f>'Base de données'!E6</f>
        <v>3.38</v>
      </c>
      <c r="U5" s="22">
        <f>'Base de données'!G6</f>
        <v>3.38</v>
      </c>
      <c r="V5" s="22">
        <f>'Base de données'!I6</f>
        <v>3.7</v>
      </c>
      <c r="W5" s="22">
        <f>'Base de données'!K6</f>
        <v>3.38</v>
      </c>
      <c r="X5" s="22">
        <f>'Base de données'!M6</f>
        <v>3.7</v>
      </c>
      <c r="Y5" s="22" t="str">
        <f>'Base de données'!O6</f>
        <v>-</v>
      </c>
      <c r="AA5" s="22" t="str">
        <f>'Base de données'!A6</f>
        <v>M3</v>
      </c>
      <c r="AB5" s="22">
        <f>'Base de données'!F6</f>
        <v>5.7</v>
      </c>
      <c r="AC5" s="22">
        <f>'Base de données'!H6</f>
        <v>6.64</v>
      </c>
      <c r="AD5" s="22">
        <f>'Base de données'!J6</f>
        <v>6.1</v>
      </c>
      <c r="AE5" s="22">
        <f>'Base de données'!L6</f>
        <v>8.64</v>
      </c>
      <c r="AF5" s="22">
        <f>'Base de données'!N6</f>
        <v>8.1</v>
      </c>
      <c r="AG5" s="22" t="str">
        <f>'Base de données'!P6</f>
        <v>-</v>
      </c>
    </row>
    <row r="6" spans="1:33" x14ac:dyDescent="0.25">
      <c r="I6" s="45" t="s">
        <v>9</v>
      </c>
      <c r="J6" s="46"/>
      <c r="K6" s="47"/>
      <c r="N6" s="22" t="str">
        <f>'Base de données'!C4</f>
        <v>Normale</v>
      </c>
      <c r="O6" s="14">
        <f>VLOOKUP($E$10,'Base de données'!$A$6:$D$10,3,FALSE)</f>
        <v>6.6</v>
      </c>
      <c r="P6" s="15" t="s">
        <v>42</v>
      </c>
      <c r="S6" s="22" t="str">
        <f>'Base de données'!A7</f>
        <v>M4</v>
      </c>
      <c r="T6" s="22">
        <f>'Base de données'!E7</f>
        <v>4.4800000000000004</v>
      </c>
      <c r="U6" s="22">
        <f>'Base de données'!G7</f>
        <v>4.4800000000000004</v>
      </c>
      <c r="V6" s="22">
        <f>'Base de données'!I7</f>
        <v>4.8</v>
      </c>
      <c r="W6" s="22">
        <f>'Base de données'!K7</f>
        <v>4.4800000000000004</v>
      </c>
      <c r="X6" s="22">
        <f>'Base de données'!M7</f>
        <v>4.8</v>
      </c>
      <c r="Y6" s="22" t="str">
        <f>'Base de données'!O7</f>
        <v>-</v>
      </c>
      <c r="AA6" s="22" t="str">
        <f>'Base de données'!A7</f>
        <v>M4</v>
      </c>
      <c r="AB6" s="22">
        <f>'Base de données'!F7</f>
        <v>7.64</v>
      </c>
      <c r="AC6" s="22">
        <f>'Base de données'!H7</f>
        <v>8.64</v>
      </c>
      <c r="AD6" s="22">
        <f>'Base de données'!J7</f>
        <v>8.1</v>
      </c>
      <c r="AE6" s="22">
        <f>'Base de données'!L7</f>
        <v>11.57</v>
      </c>
      <c r="AF6" s="22">
        <f>'Base de données'!N7</f>
        <v>10.9</v>
      </c>
      <c r="AG6" s="22" t="str">
        <f>'Base de données'!P7</f>
        <v>-</v>
      </c>
    </row>
    <row r="7" spans="1:33" x14ac:dyDescent="0.25">
      <c r="C7" s="57" t="s">
        <v>53</v>
      </c>
      <c r="D7" s="57"/>
      <c r="E7" s="57"/>
      <c r="F7" s="57"/>
      <c r="I7" s="18" t="s">
        <v>0</v>
      </c>
      <c r="J7" s="52" t="s">
        <v>8</v>
      </c>
      <c r="K7" s="53"/>
      <c r="N7" s="22" t="str">
        <f>'Base de données'!D4</f>
        <v>Avec jeu</v>
      </c>
      <c r="O7" s="14">
        <f>VLOOKUP($E$10,'Base de données'!$A$6:$D$10,4,FALSE)</f>
        <v>7</v>
      </c>
      <c r="P7" s="15" t="s">
        <v>42</v>
      </c>
      <c r="S7" s="22" t="str">
        <f>'Base de données'!A8</f>
        <v>M5</v>
      </c>
      <c r="T7" s="22">
        <f>'Base de données'!E8</f>
        <v>5.48</v>
      </c>
      <c r="U7" s="22">
        <f>'Base de données'!G8</f>
        <v>5.48</v>
      </c>
      <c r="V7" s="22">
        <f>'Base de données'!I8</f>
        <v>5.8</v>
      </c>
      <c r="W7" s="22">
        <f>'Base de données'!K8</f>
        <v>5.48</v>
      </c>
      <c r="X7" s="22">
        <f>'Base de données'!M8</f>
        <v>5.8</v>
      </c>
      <c r="Y7" s="22">
        <f>'Base de données'!O8</f>
        <v>5.8</v>
      </c>
      <c r="AA7" s="22" t="str">
        <f>'Base de données'!A8</f>
        <v>M5</v>
      </c>
      <c r="AB7" s="22">
        <f>'Base de données'!F8</f>
        <v>8.64</v>
      </c>
      <c r="AC7" s="22">
        <f>'Base de données'!H8</f>
        <v>9.64</v>
      </c>
      <c r="AD7" s="22">
        <f>'Base de données'!J8</f>
        <v>9.1</v>
      </c>
      <c r="AE7" s="22">
        <f>'Base de données'!L8</f>
        <v>14.57</v>
      </c>
      <c r="AF7" s="22">
        <f>'Base de données'!N8</f>
        <v>13.9</v>
      </c>
      <c r="AG7" s="22">
        <f>'Base de données'!P8</f>
        <v>16.899999999999999</v>
      </c>
    </row>
    <row r="8" spans="1:33" x14ac:dyDescent="0.25">
      <c r="I8" s="17" t="s">
        <v>2</v>
      </c>
      <c r="J8" s="11">
        <f>HLOOKUP(J7,'Base de données'!B14:C17,2,FALSE)</f>
        <v>2.0299999999999998</v>
      </c>
      <c r="K8" s="12" t="s">
        <v>6</v>
      </c>
      <c r="S8" s="22" t="str">
        <f>'Base de données'!A9</f>
        <v>M6</v>
      </c>
      <c r="T8" s="22">
        <f>'Base de données'!E9</f>
        <v>6.62</v>
      </c>
      <c r="U8" s="22">
        <f>'Base de données'!G9</f>
        <v>6.62</v>
      </c>
      <c r="V8" s="22">
        <f>'Base de données'!I9</f>
        <v>6.96</v>
      </c>
      <c r="W8" s="22">
        <f>'Base de données'!K9</f>
        <v>6.62</v>
      </c>
      <c r="X8" s="22">
        <f>'Base de données'!M9</f>
        <v>6.96</v>
      </c>
      <c r="Y8" s="22">
        <f>'Base de données'!O9</f>
        <v>6.96</v>
      </c>
      <c r="AA8" s="22" t="str">
        <f>'Base de données'!A9</f>
        <v>M6</v>
      </c>
      <c r="AB8" s="22">
        <f>'Base de données'!F9</f>
        <v>10.57</v>
      </c>
      <c r="AC8" s="22">
        <f>'Base de données'!H9</f>
        <v>11.57</v>
      </c>
      <c r="AD8" s="22">
        <f>'Base de données'!J9</f>
        <v>10.9</v>
      </c>
      <c r="AE8" s="22">
        <f>'Base de données'!L9</f>
        <v>17.57</v>
      </c>
      <c r="AF8" s="22">
        <f>'Base de données'!N9</f>
        <v>16.899999999999999</v>
      </c>
      <c r="AG8" s="22">
        <f>'Base de données'!P9</f>
        <v>20.7</v>
      </c>
    </row>
    <row r="9" spans="1:33" x14ac:dyDescent="0.25">
      <c r="D9" s="45" t="s">
        <v>52</v>
      </c>
      <c r="E9" s="46"/>
      <c r="F9" s="47"/>
      <c r="I9" s="19" t="s">
        <v>2</v>
      </c>
      <c r="J9" s="23">
        <f>J8*1000</f>
        <v>2029.9999999999998</v>
      </c>
      <c r="K9" s="5" t="s">
        <v>3</v>
      </c>
      <c r="S9" s="22" t="str">
        <f>'Base de données'!A10</f>
        <v>M8</v>
      </c>
      <c r="T9" s="22">
        <f>'Base de données'!E10</f>
        <v>8.6199999999999992</v>
      </c>
      <c r="U9" s="22">
        <f>'Base de données'!G10</f>
        <v>8.6199999999999992</v>
      </c>
      <c r="V9" s="22">
        <f>'Base de données'!I10</f>
        <v>9.36</v>
      </c>
      <c r="W9" s="22">
        <f>'Base de données'!K10</f>
        <v>8.6199999999999992</v>
      </c>
      <c r="X9" s="22">
        <f>'Base de données'!M10</f>
        <v>9.36</v>
      </c>
      <c r="Y9" s="22">
        <f>'Base de données'!O10</f>
        <v>9.36</v>
      </c>
      <c r="AA9" s="22" t="str">
        <f>'Base de données'!A10</f>
        <v>M8</v>
      </c>
      <c r="AB9" s="22">
        <f>'Base de données'!F10</f>
        <v>14.57</v>
      </c>
      <c r="AC9" s="22">
        <f>'Base de données'!H10</f>
        <v>15.57</v>
      </c>
      <c r="AD9" s="22">
        <f>'Base de données'!J10</f>
        <v>14.9</v>
      </c>
      <c r="AE9" s="22">
        <f>'Base de données'!L10</f>
        <v>23.48</v>
      </c>
      <c r="AF9" s="22">
        <f>'Base de données'!N10</f>
        <v>22.7</v>
      </c>
      <c r="AG9" s="22">
        <f>'Base de données'!P10</f>
        <v>26.7</v>
      </c>
    </row>
    <row r="10" spans="1:33" x14ac:dyDescent="0.25">
      <c r="D10" s="18" t="s">
        <v>36</v>
      </c>
      <c r="E10" s="58" t="s">
        <v>40</v>
      </c>
      <c r="F10" s="58"/>
      <c r="I10" s="17" t="s">
        <v>97</v>
      </c>
      <c r="J10" s="62">
        <f>HLOOKUP(J7,'Base de données'!B14:C17,3,FALSE)</f>
        <v>0.32800000000000001</v>
      </c>
      <c r="K10" s="62"/>
    </row>
    <row r="11" spans="1:33" x14ac:dyDescent="0.25">
      <c r="I11" s="17" t="s">
        <v>1</v>
      </c>
      <c r="J11" s="11">
        <f>HLOOKUP(J7,'Base de données'!B14:C17,4,FALSE)</f>
        <v>50</v>
      </c>
      <c r="K11" s="12" t="s">
        <v>3</v>
      </c>
    </row>
    <row r="12" spans="1:33" x14ac:dyDescent="0.25">
      <c r="I12" s="54" t="s">
        <v>50</v>
      </c>
      <c r="J12" s="55"/>
      <c r="K12" s="56"/>
    </row>
    <row r="13" spans="1:33" x14ac:dyDescent="0.25">
      <c r="D13" s="45" t="s">
        <v>56</v>
      </c>
      <c r="E13" s="46"/>
      <c r="F13" s="47"/>
      <c r="I13" s="18" t="s">
        <v>100</v>
      </c>
      <c r="J13" s="41"/>
      <c r="K13" s="16" t="s">
        <v>3</v>
      </c>
    </row>
    <row r="14" spans="1:33" x14ac:dyDescent="0.25">
      <c r="D14" s="17" t="s">
        <v>36</v>
      </c>
      <c r="E14" s="59" t="str">
        <f>E10</f>
        <v>M6</v>
      </c>
      <c r="F14" s="60"/>
    </row>
    <row r="15" spans="1:33" x14ac:dyDescent="0.25">
      <c r="D15" s="18" t="s">
        <v>47</v>
      </c>
      <c r="E15" s="52" t="s">
        <v>27</v>
      </c>
      <c r="F15" s="53"/>
      <c r="H15" s="2" t="s">
        <v>107</v>
      </c>
    </row>
    <row r="16" spans="1:33" x14ac:dyDescent="0.25">
      <c r="D16" s="17" t="s">
        <v>48</v>
      </c>
      <c r="E16" s="11">
        <f>VLOOKUP(E15,N5:O7,2,FALSE)</f>
        <v>7</v>
      </c>
      <c r="F16" s="12" t="s">
        <v>42</v>
      </c>
      <c r="H16" s="2"/>
      <c r="I16" s="8" t="s">
        <v>60</v>
      </c>
    </row>
    <row r="17" spans="4:16" x14ac:dyDescent="0.25">
      <c r="D17" s="54" t="s">
        <v>50</v>
      </c>
      <c r="E17" s="55"/>
      <c r="F17" s="56"/>
      <c r="I17" s="8" t="s">
        <v>61</v>
      </c>
    </row>
    <row r="18" spans="4:16" x14ac:dyDescent="0.25">
      <c r="D18" s="18" t="s">
        <v>84</v>
      </c>
      <c r="E18" s="27"/>
      <c r="F18" s="16" t="s">
        <v>42</v>
      </c>
      <c r="I18" s="6"/>
    </row>
    <row r="19" spans="4:16" x14ac:dyDescent="0.25">
      <c r="J19" s="10"/>
      <c r="K19" s="10"/>
      <c r="L19" s="10"/>
      <c r="M19" s="10"/>
      <c r="N19" s="10"/>
      <c r="O19" s="10"/>
      <c r="P19" s="10"/>
    </row>
    <row r="20" spans="4:16" x14ac:dyDescent="0.25">
      <c r="D20" s="20" t="s">
        <v>85</v>
      </c>
      <c r="E20" s="4">
        <f>IF(E18&lt;&gt;"",E18,E16)</f>
        <v>7</v>
      </c>
      <c r="F20" s="5" t="s">
        <v>42</v>
      </c>
      <c r="I20" s="45" t="s">
        <v>77</v>
      </c>
      <c r="J20" s="46"/>
      <c r="K20" s="47"/>
    </row>
    <row r="21" spans="4:16" x14ac:dyDescent="0.25">
      <c r="I21" s="17" t="s">
        <v>44</v>
      </c>
      <c r="J21" s="24">
        <f>E38</f>
        <v>10740</v>
      </c>
      <c r="K21" s="12" t="s">
        <v>31</v>
      </c>
      <c r="L21" s="10"/>
      <c r="M21" s="10"/>
      <c r="N21" s="10"/>
      <c r="O21" s="10"/>
      <c r="P21" s="10"/>
    </row>
    <row r="22" spans="4:16" x14ac:dyDescent="0.25">
      <c r="I22" s="17" t="s">
        <v>33</v>
      </c>
      <c r="J22" s="25">
        <f>E55</f>
        <v>203.97175148531795</v>
      </c>
      <c r="K22" s="12" t="s">
        <v>34</v>
      </c>
      <c r="L22" s="10"/>
      <c r="M22" s="10"/>
      <c r="N22" s="10"/>
      <c r="O22" s="10"/>
      <c r="P22" s="10"/>
    </row>
    <row r="23" spans="4:16" x14ac:dyDescent="0.25">
      <c r="D23" s="45" t="s">
        <v>54</v>
      </c>
      <c r="E23" s="46"/>
      <c r="F23" s="47"/>
      <c r="L23" s="10"/>
      <c r="M23" s="10"/>
      <c r="N23" s="10"/>
      <c r="O23" s="10"/>
      <c r="P23" s="10"/>
    </row>
    <row r="24" spans="4:16" x14ac:dyDescent="0.25">
      <c r="D24" s="18" t="s">
        <v>55</v>
      </c>
      <c r="E24" s="52" t="s">
        <v>40</v>
      </c>
      <c r="F24" s="53"/>
      <c r="I24" s="20" t="s">
        <v>101</v>
      </c>
      <c r="J24" s="23">
        <f>J21/J22</f>
        <v>52.654350035196288</v>
      </c>
      <c r="K24" s="5" t="s">
        <v>3</v>
      </c>
      <c r="L24" s="10"/>
      <c r="M24" s="10"/>
      <c r="N24" s="10"/>
      <c r="O24" s="10"/>
      <c r="P24" s="10"/>
    </row>
    <row r="25" spans="4:16" x14ac:dyDescent="0.25">
      <c r="D25" s="18" t="s">
        <v>73</v>
      </c>
      <c r="E25" s="52" t="s">
        <v>67</v>
      </c>
      <c r="F25" s="53"/>
      <c r="I25" s="21" t="s">
        <v>102</v>
      </c>
      <c r="J25" s="43">
        <f>IF(J13="",J24/J9,"")</f>
        <v>2.5938103465613937E-2</v>
      </c>
      <c r="K25" s="9" t="s">
        <v>42</v>
      </c>
      <c r="L25" s="10"/>
      <c r="M25" s="10"/>
      <c r="N25" s="10"/>
      <c r="O25" s="10"/>
      <c r="P25" s="10"/>
    </row>
    <row r="26" spans="4:16" x14ac:dyDescent="0.25">
      <c r="D26" s="17" t="s">
        <v>75</v>
      </c>
      <c r="E26" s="11">
        <f>INDEX(T5:Y9, MATCH(E24, S5:S9, 0), MATCH(E25,T4:Y4, 0))</f>
        <v>6.62</v>
      </c>
      <c r="F26" s="12" t="s">
        <v>42</v>
      </c>
      <c r="L26" s="10"/>
      <c r="M26" s="10"/>
      <c r="N26" s="10"/>
      <c r="O26" s="10"/>
      <c r="P26" s="10"/>
    </row>
    <row r="27" spans="4:16" x14ac:dyDescent="0.25">
      <c r="D27" s="17" t="s">
        <v>80</v>
      </c>
      <c r="E27" s="11">
        <f>INDEX(AB5:AG9, MATCH(E24, AA5:AA9, 0), MATCH(E25,AB4:AG4, 0))</f>
        <v>17.57</v>
      </c>
      <c r="F27" s="12" t="s">
        <v>42</v>
      </c>
      <c r="I27" s="20" t="s">
        <v>103</v>
      </c>
      <c r="J27" s="42">
        <f>IF(J13="",J10*J25,"")</f>
        <v>8.5076979367213722E-3</v>
      </c>
      <c r="K27" s="5" t="s">
        <v>42</v>
      </c>
      <c r="L27" s="10"/>
      <c r="M27" s="10"/>
      <c r="N27" s="10"/>
      <c r="O27" s="10"/>
      <c r="P27" s="10"/>
    </row>
    <row r="28" spans="4:16" x14ac:dyDescent="0.25">
      <c r="D28" s="54" t="s">
        <v>50</v>
      </c>
      <c r="E28" s="55"/>
      <c r="F28" s="56"/>
      <c r="I28" s="21" t="s">
        <v>104</v>
      </c>
      <c r="J28" s="44">
        <f>IF(J13="",J10*J24,"")</f>
        <v>17.270626811544382</v>
      </c>
      <c r="K28" s="9" t="s">
        <v>3</v>
      </c>
      <c r="L28" s="10"/>
      <c r="M28" s="10"/>
      <c r="N28" s="10"/>
      <c r="O28" s="10"/>
      <c r="P28" s="10"/>
    </row>
    <row r="29" spans="4:16" x14ac:dyDescent="0.25">
      <c r="D29" s="18" t="s">
        <v>78</v>
      </c>
      <c r="E29" s="27"/>
      <c r="F29" s="16" t="s">
        <v>42</v>
      </c>
    </row>
    <row r="30" spans="4:16" x14ac:dyDescent="0.25">
      <c r="D30" s="18" t="s">
        <v>79</v>
      </c>
      <c r="E30" s="27"/>
      <c r="F30" s="16" t="s">
        <v>42</v>
      </c>
      <c r="I30" s="20" t="s">
        <v>105</v>
      </c>
      <c r="J30" s="42">
        <f>IF(J13="",J10*J25,"")</f>
        <v>8.5076979367213722E-3</v>
      </c>
      <c r="K30" s="5" t="s">
        <v>42</v>
      </c>
    </row>
    <row r="31" spans="4:16" x14ac:dyDescent="0.25">
      <c r="I31" s="21" t="s">
        <v>106</v>
      </c>
      <c r="J31" s="44">
        <f>IF(J13="",J10*J24,"")</f>
        <v>17.270626811544382</v>
      </c>
      <c r="K31" s="9" t="s">
        <v>3</v>
      </c>
    </row>
    <row r="32" spans="4:16" x14ac:dyDescent="0.25">
      <c r="D32" s="20" t="s">
        <v>81</v>
      </c>
      <c r="E32" s="4">
        <f>IF(E29&lt;&gt;"",E29,E26)</f>
        <v>6.62</v>
      </c>
      <c r="F32" s="5" t="s">
        <v>42</v>
      </c>
    </row>
    <row r="33" spans="2:11" x14ac:dyDescent="0.25">
      <c r="D33" s="20" t="s">
        <v>82</v>
      </c>
      <c r="E33" s="4">
        <f>IF(E30&lt;&gt;"",E30,E27)</f>
        <v>17.57</v>
      </c>
      <c r="F33" s="5" t="s">
        <v>42</v>
      </c>
      <c r="H33" s="2" t="s">
        <v>107</v>
      </c>
    </row>
    <row r="34" spans="2:11" x14ac:dyDescent="0.25">
      <c r="I34" s="8" t="s">
        <v>89</v>
      </c>
      <c r="J34" s="8"/>
      <c r="K34" s="8"/>
    </row>
    <row r="35" spans="2:11" x14ac:dyDescent="0.25">
      <c r="I35" s="8" t="s">
        <v>62</v>
      </c>
      <c r="J35" s="8"/>
      <c r="K35" s="8"/>
    </row>
    <row r="36" spans="2:11" x14ac:dyDescent="0.25">
      <c r="C36" s="45" t="s">
        <v>51</v>
      </c>
      <c r="D36" s="46"/>
      <c r="E36" s="46"/>
      <c r="F36" s="47"/>
    </row>
    <row r="38" spans="2:11" x14ac:dyDescent="0.25">
      <c r="D38" s="18" t="s">
        <v>35</v>
      </c>
      <c r="E38" s="28">
        <v>10740</v>
      </c>
      <c r="F38" s="3" t="s">
        <v>31</v>
      </c>
      <c r="I38" s="45" t="s">
        <v>10</v>
      </c>
      <c r="J38" s="46"/>
      <c r="K38" s="47"/>
    </row>
    <row r="39" spans="2:11" x14ac:dyDescent="0.25">
      <c r="I39" s="21" t="s">
        <v>10</v>
      </c>
      <c r="J39" s="44">
        <f>IF(J13="",SQRT((1/2)*(POWER(J24-J28,2)+POWER(J28-J31,2)+POWER(J24-J31,2))),"")</f>
        <v>35.383723223651906</v>
      </c>
      <c r="K39" s="9" t="s">
        <v>3</v>
      </c>
    </row>
    <row r="41" spans="2:11" x14ac:dyDescent="0.25">
      <c r="B41" s="45" t="s">
        <v>76</v>
      </c>
      <c r="C41" s="46"/>
      <c r="D41" s="46"/>
      <c r="E41" s="46"/>
      <c r="F41" s="47"/>
      <c r="H41" s="2" t="s">
        <v>107</v>
      </c>
    </row>
    <row r="42" spans="2:11" x14ac:dyDescent="0.25">
      <c r="I42" s="8" t="s">
        <v>45</v>
      </c>
    </row>
    <row r="43" spans="2:11" x14ac:dyDescent="0.25">
      <c r="C43" s="45" t="s">
        <v>9</v>
      </c>
      <c r="D43" s="46"/>
      <c r="E43" s="46"/>
      <c r="F43" s="47"/>
    </row>
    <row r="45" spans="2:11" x14ac:dyDescent="0.25">
      <c r="D45" s="17" t="s">
        <v>86</v>
      </c>
      <c r="E45" s="11">
        <f>E20</f>
        <v>7</v>
      </c>
      <c r="F45" s="12" t="s">
        <v>42</v>
      </c>
      <c r="I45" s="48" t="s">
        <v>90</v>
      </c>
      <c r="J45" s="49"/>
      <c r="K45" s="50"/>
    </row>
    <row r="46" spans="2:11" x14ac:dyDescent="0.25">
      <c r="I46" s="51" t="str">
        <f>IF(J13="",IF(J39&lt;J11,"σ Von Mises &lt; Re = Non matage","σ Von Mises &gt; Re = Matage"),IF(J24&lt;J13,"σ Von Mises &lt; Re = Non matage","σ Von Mises &gt; Re = Matage"))</f>
        <v>σ Von Mises &lt; Re = Non matage</v>
      </c>
      <c r="J46" s="51"/>
      <c r="K46" s="51"/>
    </row>
    <row r="47" spans="2:11" x14ac:dyDescent="0.25">
      <c r="D47" s="17" t="s">
        <v>81</v>
      </c>
      <c r="E47" s="11">
        <f>E32</f>
        <v>6.62</v>
      </c>
      <c r="F47" s="12" t="s">
        <v>42</v>
      </c>
    </row>
    <row r="48" spans="2:11" x14ac:dyDescent="0.25">
      <c r="D48" s="17" t="s">
        <v>82</v>
      </c>
      <c r="E48" s="11">
        <f>E33</f>
        <v>17.57</v>
      </c>
      <c r="F48" s="12" t="s">
        <v>42</v>
      </c>
    </row>
    <row r="51" spans="3:16" x14ac:dyDescent="0.25">
      <c r="C51" s="45" t="s">
        <v>83</v>
      </c>
      <c r="D51" s="46"/>
      <c r="E51" s="46"/>
      <c r="F51" s="47"/>
    </row>
    <row r="53" spans="3:16" x14ac:dyDescent="0.25">
      <c r="D53" s="20" t="s">
        <v>87</v>
      </c>
      <c r="E53" s="4">
        <f>MAX(E45,E47)</f>
        <v>7</v>
      </c>
      <c r="F53" s="5" t="s">
        <v>42</v>
      </c>
      <c r="L53" s="10"/>
      <c r="M53" s="10"/>
      <c r="N53" s="10"/>
      <c r="O53" s="10"/>
      <c r="P53" s="10"/>
    </row>
    <row r="54" spans="3:16" x14ac:dyDescent="0.25">
      <c r="L54" s="10"/>
      <c r="M54" s="10"/>
      <c r="N54" s="10"/>
      <c r="O54" s="10"/>
      <c r="P54" s="10"/>
    </row>
    <row r="55" spans="3:16" x14ac:dyDescent="0.25">
      <c r="D55" s="21" t="s">
        <v>88</v>
      </c>
      <c r="E55" s="26">
        <f>IF(E45&gt;=E48,"Erreur",(PI()*POWER(E48/2,2))-(PI()*POWER(E53/2,2)))</f>
        <v>203.97175148531795</v>
      </c>
      <c r="F55" s="9" t="s">
        <v>34</v>
      </c>
      <c r="L55" s="10"/>
      <c r="M55" s="10"/>
      <c r="N55" s="10"/>
      <c r="O55" s="10"/>
      <c r="P55" s="10"/>
    </row>
    <row r="56" spans="3:16" x14ac:dyDescent="0.25">
      <c r="L56" s="10"/>
      <c r="M56" s="10"/>
      <c r="N56" s="10"/>
      <c r="O56" s="10"/>
      <c r="P56" s="10"/>
    </row>
    <row r="59" spans="3:16" x14ac:dyDescent="0.25">
      <c r="D59" s="33" t="s">
        <v>98</v>
      </c>
      <c r="E59" s="34"/>
      <c r="F59" s="34"/>
      <c r="G59" s="35"/>
    </row>
    <row r="60" spans="3:16" x14ac:dyDescent="0.25">
      <c r="D60" s="36" t="str">
        <f>"- Ajout des dimensions rondelles Belleville"</f>
        <v>- Ajout des dimensions rondelles Belleville</v>
      </c>
      <c r="E60" s="74"/>
      <c r="F60" s="74"/>
      <c r="G60" s="37"/>
      <c r="O60" s="6"/>
    </row>
    <row r="61" spans="3:16" x14ac:dyDescent="0.25">
      <c r="D61" s="36" t="str">
        <f>"- Ajout vérifications compatibilité dimensions rondelle Belleville"</f>
        <v>- Ajout vérifications compatibilité dimensions rondelle Belleville</v>
      </c>
      <c r="E61" s="74"/>
      <c r="F61" s="74"/>
      <c r="G61" s="37"/>
    </row>
    <row r="62" spans="3:16" x14ac:dyDescent="0.25">
      <c r="D62" s="36" t="str">
        <f>"- Ajout du calcul de couple de serrage vis pour ne pas mater la surface"</f>
        <v>- Ajout du calcul de couple de serrage vis pour ne pas mater la surface</v>
      </c>
      <c r="E62" s="75"/>
      <c r="F62" s="75"/>
      <c r="G62" s="76"/>
    </row>
    <row r="63" spans="3:16" x14ac:dyDescent="0.25">
      <c r="D63" s="38" t="str">
        <f>"- Ajout coefficient de sécurité équivalent"</f>
        <v>- Ajout coefficient de sécurité équivalent</v>
      </c>
      <c r="E63" s="39"/>
      <c r="F63" s="39"/>
      <c r="G63" s="40"/>
    </row>
  </sheetData>
  <mergeCells count="35">
    <mergeCell ref="AA2:AG2"/>
    <mergeCell ref="AA3:AA4"/>
    <mergeCell ref="AB3:AG3"/>
    <mergeCell ref="S2:Y2"/>
    <mergeCell ref="S3:S4"/>
    <mergeCell ref="T3:Y3"/>
    <mergeCell ref="O4:P4"/>
    <mergeCell ref="J7:K7"/>
    <mergeCell ref="J10:K10"/>
    <mergeCell ref="A3:F3"/>
    <mergeCell ref="H3:K4"/>
    <mergeCell ref="B5:F5"/>
    <mergeCell ref="N2:P3"/>
    <mergeCell ref="I12:K12"/>
    <mergeCell ref="E14:F14"/>
    <mergeCell ref="E15:F15"/>
    <mergeCell ref="D17:F17"/>
    <mergeCell ref="D13:F13"/>
    <mergeCell ref="D9:F9"/>
    <mergeCell ref="A1:K1"/>
    <mergeCell ref="I6:K6"/>
    <mergeCell ref="C7:F7"/>
    <mergeCell ref="E10:F10"/>
    <mergeCell ref="B41:F41"/>
    <mergeCell ref="C43:F43"/>
    <mergeCell ref="C51:F51"/>
    <mergeCell ref="I20:K20"/>
    <mergeCell ref="I38:K38"/>
    <mergeCell ref="I45:K45"/>
    <mergeCell ref="I46:K46"/>
    <mergeCell ref="D23:F23"/>
    <mergeCell ref="E24:F24"/>
    <mergeCell ref="E25:F25"/>
    <mergeCell ref="D28:F28"/>
    <mergeCell ref="C36:F36"/>
  </mergeCells>
  <conditionalFormatting sqref="I24">
    <cfRule type="expression" dxfId="6" priority="1">
      <formula>$J$13&lt;&gt;""</formula>
    </cfRule>
  </conditionalFormatting>
  <conditionalFormatting sqref="I25:K25">
    <cfRule type="expression" dxfId="5" priority="3">
      <formula>$J$13&lt;&gt;""</formula>
    </cfRule>
  </conditionalFormatting>
  <conditionalFormatting sqref="I27:K28">
    <cfRule type="expression" dxfId="4" priority="5">
      <formula>$J$13&lt;&gt;""</formula>
    </cfRule>
  </conditionalFormatting>
  <conditionalFormatting sqref="I30:K31">
    <cfRule type="expression" dxfId="3" priority="7">
      <formula>$J$13&lt;&gt;""</formula>
    </cfRule>
  </conditionalFormatting>
  <conditionalFormatting sqref="I38:K39">
    <cfRule type="expression" dxfId="2" priority="4">
      <formula>$J$13&lt;&gt;""</formula>
    </cfRule>
  </conditionalFormatting>
  <conditionalFormatting sqref="I46:K46">
    <cfRule type="containsText" dxfId="1" priority="8" operator="containsText" text="σ Von Mises &lt; Re = Non matage">
      <formula>NOT(ISERROR(SEARCH("σ Von Mises &lt; Re = Non matage",I46)))</formula>
    </cfRule>
  </conditionalFormatting>
  <conditionalFormatting sqref="J24:K24">
    <cfRule type="expression" dxfId="0" priority="2">
      <formula>$J$13&lt;&gt;""</formula>
    </cfRule>
  </conditionalFormatting>
  <dataValidations count="2">
    <dataValidation type="list" allowBlank="1" showInputMessage="1" showErrorMessage="1" sqref="E25" xr:uid="{70ED6ACA-CF0F-413E-A983-073EF1E15363}">
      <formula1>$T$4:$Y$4</formula1>
    </dataValidation>
    <dataValidation type="list" allowBlank="1" showInputMessage="1" showErrorMessage="1" sqref="E15" xr:uid="{834A279D-C9A6-46A4-8248-544741404E58}">
      <formula1>$N$5:$N$7</formula1>
    </dataValidation>
  </dataValidations>
  <hyperlinks>
    <hyperlink ref="I42" r:id="rId1" xr:uid="{2C1E1438-8155-41DE-B2C1-415ADFFEA131}"/>
    <hyperlink ref="I34" r:id="rId2" xr:uid="{362393C4-D99C-4FA0-AC19-2DBEBC3BE823}"/>
    <hyperlink ref="I16" r:id="rId3" xr:uid="{1D2957FF-DEF9-45C9-9A13-2CE76C3183CC}"/>
    <hyperlink ref="I17" r:id="rId4" xr:uid="{4509BA73-E84D-4A26-915F-F696AAA19314}"/>
    <hyperlink ref="I35" r:id="rId5" xr:uid="{C3380362-D056-4501-9DA8-439673C23255}"/>
  </hyperlinks>
  <pageMargins left="0.7" right="0.7" top="0.75" bottom="0.75" header="0.3" footer="0.3"/>
  <drawing r:id="rId6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75631996-3B6A-4D35-A8E6-CF417AE93D91}">
          <x14:formula1>
            <xm:f>'Base de données'!$A$6:$A$10</xm:f>
          </x14:formula1>
          <xm:sqref>E10 E24</xm:sqref>
        </x14:dataValidation>
        <x14:dataValidation type="list" allowBlank="1" showInputMessage="1" showErrorMessage="1" xr:uid="{A129EC89-6A09-4C73-B68B-F9AB8049A22E}">
          <x14:formula1>
            <xm:f>'Base de données'!$B$14:$C$14</xm:f>
          </x14:formula1>
          <xm:sqref>J7:K7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A0BC6-737D-4963-8A02-8755B3BB8732}">
  <dimension ref="A1:P17"/>
  <sheetViews>
    <sheetView workbookViewId="0">
      <selection activeCell="L14" sqref="L14"/>
    </sheetView>
  </sheetViews>
  <sheetFormatPr baseColWidth="10" defaultRowHeight="15" x14ac:dyDescent="0.25"/>
  <cols>
    <col min="1" max="1" width="28.5703125" style="1" bestFit="1" customWidth="1"/>
    <col min="2" max="2" width="7.85546875" style="1" bestFit="1" customWidth="1"/>
    <col min="3" max="3" width="8.7109375" style="1" bestFit="1" customWidth="1"/>
    <col min="4" max="4" width="8.5703125" style="1" bestFit="1" customWidth="1"/>
    <col min="5" max="16" width="12.85546875" style="1" customWidth="1"/>
    <col min="17" max="16384" width="11.42578125" style="1"/>
  </cols>
  <sheetData>
    <row r="1" spans="1:16" x14ac:dyDescent="0.25">
      <c r="A1" s="57" t="s">
        <v>49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</row>
    <row r="2" spans="1:16" ht="15" customHeight="1" x14ac:dyDescent="0.25">
      <c r="A2" s="68" t="s">
        <v>24</v>
      </c>
      <c r="B2" s="73" t="s">
        <v>57</v>
      </c>
      <c r="C2" s="73"/>
      <c r="D2" s="73"/>
      <c r="E2" s="70" t="s">
        <v>11</v>
      </c>
      <c r="F2" s="71"/>
      <c r="G2" s="71"/>
      <c r="H2" s="71"/>
      <c r="I2" s="71"/>
      <c r="J2" s="71"/>
      <c r="K2" s="71"/>
      <c r="L2" s="71"/>
      <c r="M2" s="71"/>
      <c r="N2" s="71"/>
      <c r="O2" s="71"/>
      <c r="P2" s="72"/>
    </row>
    <row r="3" spans="1:16" x14ac:dyDescent="0.25">
      <c r="A3" s="68"/>
      <c r="B3" s="73"/>
      <c r="C3" s="73"/>
      <c r="D3" s="73"/>
      <c r="E3" s="61" t="s">
        <v>16</v>
      </c>
      <c r="F3" s="61"/>
      <c r="G3" s="61" t="s">
        <v>15</v>
      </c>
      <c r="H3" s="61"/>
      <c r="I3" s="61" t="s">
        <v>14</v>
      </c>
      <c r="J3" s="61"/>
      <c r="K3" s="61" t="s">
        <v>12</v>
      </c>
      <c r="L3" s="61"/>
      <c r="M3" s="61" t="s">
        <v>13</v>
      </c>
      <c r="N3" s="61"/>
      <c r="O3" s="61" t="s">
        <v>17</v>
      </c>
      <c r="P3" s="61"/>
    </row>
    <row r="4" spans="1:16" x14ac:dyDescent="0.25">
      <c r="A4" s="68"/>
      <c r="B4" s="73" t="s">
        <v>26</v>
      </c>
      <c r="C4" s="73" t="s">
        <v>25</v>
      </c>
      <c r="D4" s="73" t="s">
        <v>27</v>
      </c>
      <c r="E4" s="61" t="s">
        <v>18</v>
      </c>
      <c r="F4" s="61"/>
      <c r="G4" s="61" t="s">
        <v>21</v>
      </c>
      <c r="H4" s="61"/>
      <c r="I4" s="61" t="s">
        <v>22</v>
      </c>
      <c r="J4" s="61"/>
      <c r="K4" s="61" t="s">
        <v>19</v>
      </c>
      <c r="L4" s="61"/>
      <c r="M4" s="61" t="s">
        <v>20</v>
      </c>
      <c r="N4" s="61"/>
      <c r="O4" s="61" t="s">
        <v>23</v>
      </c>
      <c r="P4" s="61"/>
    </row>
    <row r="5" spans="1:16" x14ac:dyDescent="0.25">
      <c r="A5" s="68"/>
      <c r="B5" s="73"/>
      <c r="C5" s="73"/>
      <c r="D5" s="73"/>
      <c r="E5" s="13" t="s">
        <v>28</v>
      </c>
      <c r="F5" s="13" t="s">
        <v>29</v>
      </c>
      <c r="G5" s="13" t="s">
        <v>28</v>
      </c>
      <c r="H5" s="13" t="s">
        <v>29</v>
      </c>
      <c r="I5" s="13" t="s">
        <v>28</v>
      </c>
      <c r="J5" s="13" t="s">
        <v>29</v>
      </c>
      <c r="K5" s="13" t="s">
        <v>28</v>
      </c>
      <c r="L5" s="13" t="s">
        <v>29</v>
      </c>
      <c r="M5" s="13" t="s">
        <v>28</v>
      </c>
      <c r="N5" s="13" t="s">
        <v>29</v>
      </c>
      <c r="O5" s="13" t="s">
        <v>28</v>
      </c>
      <c r="P5" s="13" t="s">
        <v>29</v>
      </c>
    </row>
    <row r="6" spans="1:16" x14ac:dyDescent="0.25">
      <c r="A6" s="7" t="s">
        <v>37</v>
      </c>
      <c r="B6" s="7">
        <v>3.2</v>
      </c>
      <c r="C6" s="7">
        <v>3.4</v>
      </c>
      <c r="D6" s="7">
        <v>3.6</v>
      </c>
      <c r="E6" s="7">
        <v>3.38</v>
      </c>
      <c r="F6" s="7">
        <v>5.7</v>
      </c>
      <c r="G6" s="7">
        <v>3.38</v>
      </c>
      <c r="H6" s="7">
        <v>6.64</v>
      </c>
      <c r="I6" s="7">
        <v>3.7</v>
      </c>
      <c r="J6" s="7">
        <v>6.1</v>
      </c>
      <c r="K6" s="7">
        <v>3.38</v>
      </c>
      <c r="L6" s="7">
        <v>8.64</v>
      </c>
      <c r="M6" s="7">
        <v>3.7</v>
      </c>
      <c r="N6" s="7">
        <v>8.1</v>
      </c>
      <c r="O6" s="7" t="s">
        <v>30</v>
      </c>
      <c r="P6" s="7" t="s">
        <v>30</v>
      </c>
    </row>
    <row r="7" spans="1:16" x14ac:dyDescent="0.25">
      <c r="A7" s="7" t="s">
        <v>38</v>
      </c>
      <c r="B7" s="7">
        <v>4.3</v>
      </c>
      <c r="C7" s="7">
        <v>4.5</v>
      </c>
      <c r="D7" s="7">
        <v>4.8</v>
      </c>
      <c r="E7" s="7">
        <v>4.4800000000000004</v>
      </c>
      <c r="F7" s="7">
        <v>7.64</v>
      </c>
      <c r="G7" s="7">
        <v>4.4800000000000004</v>
      </c>
      <c r="H7" s="7">
        <v>8.64</v>
      </c>
      <c r="I7" s="7">
        <v>4.8</v>
      </c>
      <c r="J7" s="7">
        <v>8.1</v>
      </c>
      <c r="K7" s="7">
        <v>4.4800000000000004</v>
      </c>
      <c r="L7" s="7">
        <v>11.57</v>
      </c>
      <c r="M7" s="7">
        <v>4.8</v>
      </c>
      <c r="N7" s="7">
        <v>10.9</v>
      </c>
      <c r="O7" s="7" t="s">
        <v>30</v>
      </c>
      <c r="P7" s="7" t="s">
        <v>30</v>
      </c>
    </row>
    <row r="8" spans="1:16" x14ac:dyDescent="0.25">
      <c r="A8" s="7" t="s">
        <v>39</v>
      </c>
      <c r="B8" s="7">
        <v>5.3</v>
      </c>
      <c r="C8" s="7">
        <v>5.5</v>
      </c>
      <c r="D8" s="7">
        <v>5.8</v>
      </c>
      <c r="E8" s="7">
        <v>5.48</v>
      </c>
      <c r="F8" s="7">
        <v>8.64</v>
      </c>
      <c r="G8" s="7">
        <v>5.48</v>
      </c>
      <c r="H8" s="7">
        <v>9.64</v>
      </c>
      <c r="I8" s="7">
        <v>5.8</v>
      </c>
      <c r="J8" s="7">
        <v>9.1</v>
      </c>
      <c r="K8" s="7">
        <v>5.48</v>
      </c>
      <c r="L8" s="7">
        <v>14.57</v>
      </c>
      <c r="M8" s="7">
        <v>5.8</v>
      </c>
      <c r="N8" s="7">
        <v>13.9</v>
      </c>
      <c r="O8" s="7">
        <v>5.8</v>
      </c>
      <c r="P8" s="7">
        <v>16.899999999999999</v>
      </c>
    </row>
    <row r="9" spans="1:16" x14ac:dyDescent="0.25">
      <c r="A9" s="7" t="s">
        <v>40</v>
      </c>
      <c r="B9" s="7">
        <v>6.4</v>
      </c>
      <c r="C9" s="7">
        <v>6.6</v>
      </c>
      <c r="D9" s="7">
        <v>7</v>
      </c>
      <c r="E9" s="7">
        <v>6.62</v>
      </c>
      <c r="F9" s="7">
        <v>10.57</v>
      </c>
      <c r="G9" s="7">
        <v>6.62</v>
      </c>
      <c r="H9" s="7">
        <v>11.57</v>
      </c>
      <c r="I9" s="7">
        <v>6.96</v>
      </c>
      <c r="J9" s="7">
        <v>10.9</v>
      </c>
      <c r="K9" s="7">
        <v>6.62</v>
      </c>
      <c r="L9" s="7">
        <v>17.57</v>
      </c>
      <c r="M9" s="7">
        <v>6.96</v>
      </c>
      <c r="N9" s="7">
        <v>16.899999999999999</v>
      </c>
      <c r="O9" s="7">
        <v>6.96</v>
      </c>
      <c r="P9" s="7">
        <v>20.7</v>
      </c>
    </row>
    <row r="10" spans="1:16" x14ac:dyDescent="0.25">
      <c r="A10" s="7" t="s">
        <v>41</v>
      </c>
      <c r="B10" s="7">
        <v>8.4</v>
      </c>
      <c r="C10" s="7">
        <v>9</v>
      </c>
      <c r="D10" s="7">
        <v>10</v>
      </c>
      <c r="E10" s="7">
        <v>8.6199999999999992</v>
      </c>
      <c r="F10" s="7">
        <v>14.57</v>
      </c>
      <c r="G10" s="7">
        <v>8.6199999999999992</v>
      </c>
      <c r="H10" s="7">
        <v>15.57</v>
      </c>
      <c r="I10" s="7">
        <v>9.36</v>
      </c>
      <c r="J10" s="7">
        <v>14.9</v>
      </c>
      <c r="K10" s="7">
        <v>8.6199999999999992</v>
      </c>
      <c r="L10" s="7">
        <v>23.48</v>
      </c>
      <c r="M10" s="7">
        <v>9.36</v>
      </c>
      <c r="N10" s="7">
        <v>22.7</v>
      </c>
      <c r="O10" s="7">
        <v>9.36</v>
      </c>
      <c r="P10" s="7">
        <v>26.7</v>
      </c>
    </row>
    <row r="13" spans="1:16" x14ac:dyDescent="0.25">
      <c r="A13" s="57" t="s">
        <v>96</v>
      </c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</row>
    <row r="14" spans="1:16" x14ac:dyDescent="0.25">
      <c r="A14" s="30" t="s">
        <v>92</v>
      </c>
      <c r="B14" s="32" t="s">
        <v>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6" x14ac:dyDescent="0.25">
      <c r="A15" s="30" t="s">
        <v>93</v>
      </c>
      <c r="B15" s="7">
        <v>2.0299999999999998</v>
      </c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6" x14ac:dyDescent="0.25">
      <c r="A16" s="30" t="s">
        <v>95</v>
      </c>
      <c r="B16" s="7">
        <v>0.32800000000000001</v>
      </c>
      <c r="C16" s="7"/>
      <c r="D16" s="7"/>
      <c r="E16" s="7"/>
      <c r="F16" s="7"/>
      <c r="G16" s="7"/>
      <c r="H16" s="7"/>
      <c r="I16" s="7"/>
      <c r="J16" s="7"/>
      <c r="K16" s="7"/>
      <c r="L16" s="7"/>
    </row>
    <row r="17" spans="1:12" x14ac:dyDescent="0.25">
      <c r="A17" s="30" t="s">
        <v>94</v>
      </c>
      <c r="B17" s="7">
        <v>50</v>
      </c>
      <c r="C17" s="7"/>
      <c r="D17" s="7"/>
      <c r="E17" s="7"/>
      <c r="F17" s="7"/>
      <c r="G17" s="7"/>
      <c r="H17" s="7"/>
      <c r="I17" s="7"/>
      <c r="J17" s="7"/>
      <c r="K17" s="7"/>
      <c r="L17" s="7"/>
    </row>
  </sheetData>
  <sheetProtection sheet="1" objects="1" scenarios="1"/>
  <mergeCells count="20">
    <mergeCell ref="A1:P1"/>
    <mergeCell ref="A2:A5"/>
    <mergeCell ref="B4:B5"/>
    <mergeCell ref="C4:C5"/>
    <mergeCell ref="D4:D5"/>
    <mergeCell ref="K3:L3"/>
    <mergeCell ref="K4:L4"/>
    <mergeCell ref="B2:D3"/>
    <mergeCell ref="M3:N3"/>
    <mergeCell ref="M4:N4"/>
    <mergeCell ref="O3:P3"/>
    <mergeCell ref="O4:P4"/>
    <mergeCell ref="E3:F3"/>
    <mergeCell ref="E4:F4"/>
    <mergeCell ref="G3:H3"/>
    <mergeCell ref="G4:H4"/>
    <mergeCell ref="I3:J3"/>
    <mergeCell ref="I4:J4"/>
    <mergeCell ref="A13:L13"/>
    <mergeCell ref="E2:P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92895-92BE-4128-8D8F-A15CF25C658E}">
  <dimension ref="A1:K6"/>
  <sheetViews>
    <sheetView workbookViewId="0">
      <selection activeCell="B2" sqref="B2"/>
    </sheetView>
  </sheetViews>
  <sheetFormatPr baseColWidth="10" defaultRowHeight="15" x14ac:dyDescent="0.25"/>
  <cols>
    <col min="1" max="1" width="134.42578125" style="1" bestFit="1" customWidth="1"/>
    <col min="2" max="16384" width="11.42578125" style="1"/>
  </cols>
  <sheetData>
    <row r="1" spans="1:11" x14ac:dyDescent="0.25">
      <c r="A1" s="57" t="s">
        <v>91</v>
      </c>
      <c r="B1" s="57"/>
      <c r="C1" s="57"/>
      <c r="D1" s="57"/>
      <c r="E1" s="57"/>
      <c r="F1" s="57"/>
      <c r="G1" s="57"/>
      <c r="H1" s="57"/>
      <c r="I1" s="57"/>
      <c r="J1" s="57"/>
      <c r="K1" s="57"/>
    </row>
    <row r="2" spans="1:11" x14ac:dyDescent="0.25">
      <c r="A2" s="13" t="s">
        <v>8</v>
      </c>
      <c r="B2" s="13"/>
      <c r="C2" s="13"/>
      <c r="D2" s="13"/>
      <c r="E2" s="13"/>
      <c r="F2" s="13"/>
      <c r="G2" s="13"/>
      <c r="H2" s="13"/>
      <c r="I2" s="13"/>
      <c r="J2" s="13"/>
      <c r="K2" s="13"/>
    </row>
    <row r="3" spans="1:11" x14ac:dyDescent="0.25">
      <c r="A3" s="29" t="s">
        <v>4</v>
      </c>
      <c r="B3" s="29"/>
      <c r="C3" s="29"/>
      <c r="D3" s="29"/>
      <c r="E3" s="29"/>
      <c r="F3" s="29"/>
      <c r="G3" s="29"/>
      <c r="H3" s="29"/>
      <c r="I3" s="29"/>
      <c r="J3" s="29"/>
      <c r="K3" s="29"/>
    </row>
    <row r="4" spans="1:11" x14ac:dyDescent="0.25">
      <c r="A4" s="29" t="s">
        <v>5</v>
      </c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1:11" x14ac:dyDescent="0.25">
      <c r="A5" s="29" t="s">
        <v>7</v>
      </c>
      <c r="B5" s="29"/>
      <c r="C5" s="29"/>
      <c r="D5" s="29"/>
      <c r="E5" s="29"/>
      <c r="F5" s="29"/>
      <c r="G5" s="29"/>
      <c r="H5" s="29"/>
      <c r="I5" s="29"/>
      <c r="J5" s="29"/>
      <c r="K5" s="29"/>
    </row>
    <row r="6" spans="1:11" x14ac:dyDescent="0.25">
      <c r="A6" s="29" t="s">
        <v>43</v>
      </c>
      <c r="B6" s="29"/>
      <c r="C6" s="29"/>
      <c r="D6" s="29"/>
      <c r="E6" s="29"/>
      <c r="F6" s="29"/>
      <c r="G6" s="29"/>
      <c r="H6" s="29"/>
      <c r="I6" s="29"/>
      <c r="J6" s="29"/>
      <c r="K6" s="29"/>
    </row>
  </sheetData>
  <mergeCells count="1">
    <mergeCell ref="A1:K1"/>
  </mergeCells>
  <hyperlinks>
    <hyperlink ref="A3" r:id="rId1" xr:uid="{025186CC-E7E6-4B0C-BE24-E5A1FB2E84C1}"/>
    <hyperlink ref="A4" r:id="rId2" xr:uid="{9AD94823-E210-4004-8835-90EB0DEFCA1C}"/>
    <hyperlink ref="A5" r:id="rId3" xr:uid="{6F0F7342-3114-4EF4-9E84-63D1DAC29694}"/>
    <hyperlink ref="A6" r:id="rId4" xr:uid="{AF7A88DD-59AA-4270-9F06-5F771C41178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GENERAL</vt:lpstr>
      <vt:lpstr>Base de données</vt:lpstr>
      <vt:lpstr>Ressources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REBIERE Simon</dc:creator>
  <cp:lastModifiedBy>REBIERE Simon</cp:lastModifiedBy>
  <dcterms:created xsi:type="dcterms:W3CDTF">2024-03-21T14:30:27Z</dcterms:created>
  <dcterms:modified xsi:type="dcterms:W3CDTF">2024-10-10T09:39:21Z</dcterms:modified>
</cp:coreProperties>
</file>