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1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jeMitic\Desktop\RedCrusaderJr-sparql-playground\test_folder\results\"/>
    </mc:Choice>
  </mc:AlternateContent>
  <xr:revisionPtr revIDLastSave="0" documentId="13_ncr:1_{7958E0C3-0EBD-4BC5-B623-8D3A87388F7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1cimxml" sheetId="1" r:id="rId1"/>
    <sheet name="10cimxml" sheetId="2" r:id="rId2"/>
    <sheet name="100cimxml" sheetId="3" r:id="rId3"/>
    <sheet name="1000cimxl" sheetId="4" r:id="rId4"/>
    <sheet name="chartData" sheetId="5" r:id="rId5"/>
    <sheet name="charts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6" l="1"/>
  <c r="D86" i="6"/>
  <c r="E86" i="6"/>
  <c r="B86" i="6"/>
  <c r="C83" i="6"/>
  <c r="D83" i="6"/>
  <c r="E83" i="6"/>
  <c r="B83" i="6"/>
  <c r="L30" i="5"/>
  <c r="L29" i="5"/>
  <c r="L28" i="5"/>
  <c r="L27" i="5"/>
  <c r="L26" i="5"/>
  <c r="L22" i="5"/>
  <c r="L21" i="5"/>
  <c r="L20" i="5"/>
  <c r="L19" i="5"/>
  <c r="L18" i="5"/>
  <c r="L14" i="5"/>
  <c r="L13" i="5"/>
  <c r="L12" i="5"/>
  <c r="L11" i="5"/>
  <c r="L10" i="5"/>
  <c r="L6" i="5"/>
  <c r="L5" i="5"/>
  <c r="L4" i="5"/>
  <c r="L3" i="5"/>
  <c r="L2" i="5"/>
  <c r="C14" i="5"/>
  <c r="D14" i="5"/>
  <c r="E14" i="5"/>
  <c r="F14" i="5"/>
  <c r="G14" i="5"/>
  <c r="H14" i="5"/>
  <c r="I14" i="5"/>
  <c r="J14" i="5"/>
  <c r="K14" i="5"/>
  <c r="C13" i="5"/>
  <c r="D13" i="5"/>
  <c r="E13" i="5"/>
  <c r="F13" i="5"/>
  <c r="G13" i="5"/>
  <c r="H13" i="5"/>
  <c r="I13" i="5"/>
  <c r="J13" i="5"/>
  <c r="K13" i="5"/>
  <c r="C12" i="5"/>
  <c r="D12" i="5"/>
  <c r="E12" i="5"/>
  <c r="F12" i="5"/>
  <c r="G12" i="5"/>
  <c r="H12" i="5"/>
  <c r="I12" i="5"/>
  <c r="J12" i="5"/>
  <c r="K12" i="5"/>
  <c r="C11" i="5"/>
  <c r="D11" i="5"/>
  <c r="E11" i="5"/>
  <c r="F11" i="5"/>
  <c r="G11" i="5"/>
  <c r="H11" i="5"/>
  <c r="I11" i="5"/>
  <c r="J11" i="5"/>
  <c r="K11" i="5"/>
  <c r="C10" i="5"/>
  <c r="D10" i="5"/>
  <c r="E10" i="5"/>
  <c r="F10" i="5"/>
  <c r="G10" i="5"/>
  <c r="H10" i="5"/>
  <c r="I10" i="5"/>
  <c r="J10" i="5"/>
  <c r="K10" i="5"/>
  <c r="C22" i="5"/>
  <c r="D22" i="5"/>
  <c r="E22" i="5"/>
  <c r="F22" i="5"/>
  <c r="G22" i="5"/>
  <c r="H22" i="5"/>
  <c r="I22" i="5"/>
  <c r="J22" i="5"/>
  <c r="K22" i="5"/>
  <c r="C21" i="5"/>
  <c r="D21" i="5"/>
  <c r="E21" i="5"/>
  <c r="F21" i="5"/>
  <c r="G21" i="5"/>
  <c r="H21" i="5"/>
  <c r="I21" i="5"/>
  <c r="J21" i="5"/>
  <c r="K21" i="5"/>
  <c r="C20" i="5"/>
  <c r="D20" i="5"/>
  <c r="E20" i="5"/>
  <c r="F20" i="5"/>
  <c r="G20" i="5"/>
  <c r="H20" i="5"/>
  <c r="I20" i="5"/>
  <c r="J20" i="5"/>
  <c r="K20" i="5"/>
  <c r="C19" i="5"/>
  <c r="D19" i="5"/>
  <c r="E19" i="5"/>
  <c r="F19" i="5"/>
  <c r="G19" i="5"/>
  <c r="H19" i="5"/>
  <c r="I19" i="5"/>
  <c r="J19" i="5"/>
  <c r="K19" i="5"/>
  <c r="C18" i="5"/>
  <c r="D18" i="5"/>
  <c r="E18" i="5"/>
  <c r="F18" i="5"/>
  <c r="G18" i="5"/>
  <c r="H18" i="5"/>
  <c r="I18" i="5"/>
  <c r="J18" i="5"/>
  <c r="K18" i="5"/>
  <c r="C30" i="5"/>
  <c r="D30" i="5"/>
  <c r="E30" i="5"/>
  <c r="F30" i="5"/>
  <c r="G30" i="5"/>
  <c r="H30" i="5"/>
  <c r="I30" i="5"/>
  <c r="J30" i="5"/>
  <c r="K30" i="5"/>
  <c r="C29" i="5"/>
  <c r="D29" i="5"/>
  <c r="E29" i="5"/>
  <c r="F29" i="5"/>
  <c r="G29" i="5"/>
  <c r="H29" i="5"/>
  <c r="I29" i="5"/>
  <c r="J29" i="5"/>
  <c r="K29" i="5"/>
  <c r="C28" i="5"/>
  <c r="D28" i="5"/>
  <c r="E28" i="5"/>
  <c r="F28" i="5"/>
  <c r="G28" i="5"/>
  <c r="H28" i="5"/>
  <c r="I28" i="5"/>
  <c r="J28" i="5"/>
  <c r="K28" i="5"/>
  <c r="C27" i="5"/>
  <c r="D27" i="5"/>
  <c r="E27" i="5"/>
  <c r="F27" i="5"/>
  <c r="G27" i="5"/>
  <c r="H27" i="5"/>
  <c r="I27" i="5"/>
  <c r="J27" i="5"/>
  <c r="K27" i="5"/>
  <c r="C26" i="5"/>
  <c r="D26" i="5"/>
  <c r="E26" i="5"/>
  <c r="F26" i="5"/>
  <c r="G26" i="5"/>
  <c r="H26" i="5"/>
  <c r="I26" i="5"/>
  <c r="J26" i="5"/>
  <c r="K26" i="5"/>
  <c r="B30" i="5"/>
  <c r="B29" i="5"/>
  <c r="B28" i="5"/>
  <c r="B27" i="5"/>
  <c r="B26" i="5"/>
  <c r="B22" i="5"/>
  <c r="B21" i="5"/>
  <c r="B20" i="5"/>
  <c r="B19" i="5"/>
  <c r="B18" i="5"/>
  <c r="B14" i="5"/>
  <c r="B13" i="5"/>
  <c r="B12" i="5"/>
  <c r="B11" i="5"/>
  <c r="B10" i="5"/>
  <c r="C6" i="5"/>
  <c r="D6" i="5"/>
  <c r="E6" i="5"/>
  <c r="F6" i="5"/>
  <c r="G6" i="5"/>
  <c r="H6" i="5"/>
  <c r="I6" i="5"/>
  <c r="J6" i="5"/>
  <c r="K6" i="5"/>
  <c r="C5" i="5"/>
  <c r="D5" i="5"/>
  <c r="E5" i="5"/>
  <c r="F5" i="5"/>
  <c r="G5" i="5"/>
  <c r="H5" i="5"/>
  <c r="I5" i="5"/>
  <c r="J5" i="5"/>
  <c r="K5" i="5"/>
  <c r="C4" i="5"/>
  <c r="D4" i="5"/>
  <c r="E4" i="5"/>
  <c r="F4" i="5"/>
  <c r="G4" i="5"/>
  <c r="H4" i="5"/>
  <c r="I4" i="5"/>
  <c r="J4" i="5"/>
  <c r="K4" i="5"/>
  <c r="C3" i="5"/>
  <c r="D3" i="5"/>
  <c r="E3" i="5"/>
  <c r="F3" i="5"/>
  <c r="G3" i="5"/>
  <c r="H3" i="5"/>
  <c r="I3" i="5"/>
  <c r="J3" i="5"/>
  <c r="K3" i="5"/>
  <c r="C2" i="5"/>
  <c r="D2" i="5"/>
  <c r="E2" i="5"/>
  <c r="F2" i="5"/>
  <c r="G2" i="5"/>
  <c r="H2" i="5"/>
  <c r="I2" i="5"/>
  <c r="J2" i="5"/>
  <c r="K2" i="5"/>
  <c r="B6" i="5"/>
  <c r="B5" i="5"/>
  <c r="B4" i="5"/>
  <c r="B3" i="5"/>
  <c r="B2" i="5"/>
  <c r="A72" i="5" l="1" a="1"/>
  <c r="A59" i="5" a="1"/>
  <c r="A46" i="5" a="1"/>
  <c r="A33" i="5" a="1"/>
  <c r="N75" i="5" l="1"/>
  <c r="B22" i="6" s="1"/>
  <c r="N83" i="5"/>
  <c r="R83" i="5"/>
  <c r="M77" i="5"/>
  <c r="M81" i="5"/>
  <c r="O83" i="5"/>
  <c r="M74" i="5"/>
  <c r="M78" i="5"/>
  <c r="M82" i="5"/>
  <c r="P83" i="5"/>
  <c r="M75" i="5"/>
  <c r="M79" i="5"/>
  <c r="M83" i="5"/>
  <c r="Q83" i="5"/>
  <c r="M76" i="5"/>
  <c r="M80" i="5"/>
  <c r="M73" i="5"/>
  <c r="N62" i="5"/>
  <c r="B21" i="6" s="1"/>
  <c r="O70" i="5"/>
  <c r="C85" i="6" s="1"/>
  <c r="M61" i="5"/>
  <c r="M65" i="5"/>
  <c r="M69" i="5"/>
  <c r="P70" i="5"/>
  <c r="D85" i="6" s="1"/>
  <c r="M62" i="5"/>
  <c r="M66" i="5"/>
  <c r="M70" i="5"/>
  <c r="Q70" i="5"/>
  <c r="E85" i="6" s="1"/>
  <c r="M63" i="5"/>
  <c r="M67" i="5"/>
  <c r="M60" i="5"/>
  <c r="N70" i="5"/>
  <c r="B85" i="6" s="1"/>
  <c r="R70" i="5"/>
  <c r="M64" i="5"/>
  <c r="M68" i="5"/>
  <c r="P54" i="5"/>
  <c r="D60" i="6" s="1"/>
  <c r="P57" i="5"/>
  <c r="D84" i="6" s="1"/>
  <c r="M49" i="5"/>
  <c r="M53" i="5"/>
  <c r="M57" i="5"/>
  <c r="Q57" i="5"/>
  <c r="E84" i="6" s="1"/>
  <c r="M50" i="5"/>
  <c r="M54" i="5"/>
  <c r="M47" i="5"/>
  <c r="N57" i="5"/>
  <c r="B84" i="6" s="1"/>
  <c r="R57" i="5"/>
  <c r="M51" i="5"/>
  <c r="M55" i="5"/>
  <c r="O57" i="5"/>
  <c r="C84" i="6" s="1"/>
  <c r="M48" i="5"/>
  <c r="M52" i="5"/>
  <c r="M56" i="5"/>
  <c r="R43" i="5"/>
  <c r="Q44" i="5"/>
  <c r="M37" i="5"/>
  <c r="M41" i="5"/>
  <c r="M34" i="5"/>
  <c r="N44" i="5"/>
  <c r="R44" i="5"/>
  <c r="M38" i="5"/>
  <c r="M42" i="5"/>
  <c r="O44" i="5"/>
  <c r="M35" i="5"/>
  <c r="M39" i="5"/>
  <c r="M43" i="5"/>
  <c r="P44" i="5"/>
  <c r="M36" i="5"/>
  <c r="M40" i="5"/>
  <c r="M44" i="5"/>
  <c r="R75" i="5"/>
  <c r="E22" i="6" s="1"/>
  <c r="O82" i="5"/>
  <c r="C78" i="6" s="1"/>
  <c r="P78" i="5"/>
  <c r="O76" i="5"/>
  <c r="C30" i="6" s="1"/>
  <c r="P79" i="5"/>
  <c r="D54" i="6" s="1"/>
  <c r="Q82" i="5"/>
  <c r="E78" i="6" s="1"/>
  <c r="O79" i="5"/>
  <c r="C54" i="6" s="1"/>
  <c r="N78" i="5"/>
  <c r="B46" i="6" s="1"/>
  <c r="O78" i="5"/>
  <c r="N80" i="5"/>
  <c r="B62" i="6" s="1"/>
  <c r="N77" i="5"/>
  <c r="B38" i="6" s="1"/>
  <c r="P77" i="5"/>
  <c r="D38" i="6" s="1"/>
  <c r="P82" i="5"/>
  <c r="D78" i="6" s="1"/>
  <c r="Q75" i="5"/>
  <c r="R78" i="5"/>
  <c r="Q76" i="5"/>
  <c r="N79" i="5"/>
  <c r="B54" i="6" s="1"/>
  <c r="N76" i="5"/>
  <c r="B30" i="6" s="1"/>
  <c r="R80" i="5"/>
  <c r="Q74" i="5"/>
  <c r="R77" i="5"/>
  <c r="N81" i="5"/>
  <c r="B70" i="6" s="1"/>
  <c r="R79" i="5"/>
  <c r="O75" i="5"/>
  <c r="C22" i="6" s="1"/>
  <c r="O73" i="5"/>
  <c r="C6" i="6" s="1"/>
  <c r="P76" i="5"/>
  <c r="D30" i="6" s="1"/>
  <c r="Q79" i="5"/>
  <c r="E54" i="6" s="1"/>
  <c r="R82" i="5"/>
  <c r="O74" i="5"/>
  <c r="C14" i="6" s="1"/>
  <c r="N73" i="5"/>
  <c r="B6" i="6" s="1"/>
  <c r="A72" i="5"/>
  <c r="R74" i="5"/>
  <c r="E14" i="6" s="1"/>
  <c r="O81" i="5"/>
  <c r="C70" i="6" s="1"/>
  <c r="P74" i="5"/>
  <c r="D14" i="6" s="1"/>
  <c r="R73" i="5"/>
  <c r="E6" i="6" s="1"/>
  <c r="O80" i="5"/>
  <c r="Q73" i="5"/>
  <c r="N82" i="5"/>
  <c r="B78" i="6" s="1"/>
  <c r="P73" i="5"/>
  <c r="D6" i="6" s="1"/>
  <c r="Q80" i="5"/>
  <c r="Q77" i="5"/>
  <c r="E38" i="6" s="1"/>
  <c r="Q81" i="5"/>
  <c r="E70" i="6" s="1"/>
  <c r="P75" i="5"/>
  <c r="D22" i="6" s="1"/>
  <c r="Q78" i="5"/>
  <c r="R81" i="5"/>
  <c r="P81" i="5"/>
  <c r="D70" i="6" s="1"/>
  <c r="R76" i="5"/>
  <c r="E30" i="6" s="1"/>
  <c r="N74" i="5"/>
  <c r="B14" i="6" s="1"/>
  <c r="O77" i="5"/>
  <c r="C38" i="6" s="1"/>
  <c r="P80" i="5"/>
  <c r="A59" i="5"/>
  <c r="N60" i="5"/>
  <c r="B5" i="6" s="1"/>
  <c r="P66" i="5"/>
  <c r="D53" i="6" s="1"/>
  <c r="Q69" i="5"/>
  <c r="E77" i="6" s="1"/>
  <c r="R61" i="5"/>
  <c r="E13" i="6" s="1"/>
  <c r="O68" i="5"/>
  <c r="C69" i="6" s="1"/>
  <c r="P64" i="5"/>
  <c r="D37" i="6" s="1"/>
  <c r="O69" i="5"/>
  <c r="C77" i="6" s="1"/>
  <c r="N67" i="5"/>
  <c r="B61" i="6" s="1"/>
  <c r="R60" i="5"/>
  <c r="E5" i="6" s="1"/>
  <c r="N64" i="5"/>
  <c r="B37" i="6" s="1"/>
  <c r="Q60" i="5"/>
  <c r="R67" i="5"/>
  <c r="R65" i="5"/>
  <c r="N69" i="5"/>
  <c r="B77" i="6" s="1"/>
  <c r="O61" i="5"/>
  <c r="C13" i="6" s="1"/>
  <c r="R66" i="5"/>
  <c r="N66" i="5"/>
  <c r="B53" i="6" s="1"/>
  <c r="N63" i="5"/>
  <c r="B29" i="6" s="1"/>
  <c r="Q68" i="5"/>
  <c r="E69" i="6" s="1"/>
  <c r="Q61" i="5"/>
  <c r="R64" i="5"/>
  <c r="N68" i="5"/>
  <c r="B69" i="6" s="1"/>
  <c r="O62" i="5"/>
  <c r="C21" i="6" s="1"/>
  <c r="O60" i="5"/>
  <c r="C5" i="6" s="1"/>
  <c r="P63" i="5"/>
  <c r="D29" i="6" s="1"/>
  <c r="Q66" i="5"/>
  <c r="E53" i="6" s="1"/>
  <c r="R69" i="5"/>
  <c r="P68" i="5"/>
  <c r="D69" i="6" s="1"/>
  <c r="Q67" i="5"/>
  <c r="E61" i="6" s="1"/>
  <c r="P60" i="5"/>
  <c r="D5" i="6" s="1"/>
  <c r="O66" i="5"/>
  <c r="C53" i="6" s="1"/>
  <c r="O63" i="5"/>
  <c r="C29" i="6" s="1"/>
  <c r="P65" i="5"/>
  <c r="D45" i="6" s="1"/>
  <c r="N65" i="5"/>
  <c r="B45" i="6" s="1"/>
  <c r="P61" i="5"/>
  <c r="D13" i="6" s="1"/>
  <c r="O67" i="5"/>
  <c r="C61" i="6" s="1"/>
  <c r="Q62" i="5"/>
  <c r="O65" i="5"/>
  <c r="C45" i="6" s="1"/>
  <c r="Q63" i="5"/>
  <c r="R62" i="5"/>
  <c r="E21" i="6" s="1"/>
  <c r="Q64" i="5"/>
  <c r="E37" i="6" s="1"/>
  <c r="P69" i="5"/>
  <c r="D77" i="6" s="1"/>
  <c r="P62" i="5"/>
  <c r="D21" i="6" s="1"/>
  <c r="Q65" i="5"/>
  <c r="E45" i="6" s="1"/>
  <c r="R68" i="5"/>
  <c r="R63" i="5"/>
  <c r="E29" i="6" s="1"/>
  <c r="N61" i="5"/>
  <c r="B13" i="6" s="1"/>
  <c r="O64" i="5"/>
  <c r="C37" i="6" s="1"/>
  <c r="P67" i="5"/>
  <c r="D61" i="6" s="1"/>
  <c r="Q50" i="5"/>
  <c r="Q54" i="5"/>
  <c r="E60" i="6" s="1"/>
  <c r="R47" i="5"/>
  <c r="E4" i="6" s="1"/>
  <c r="A46" i="5"/>
  <c r="R48" i="5"/>
  <c r="E12" i="6" s="1"/>
  <c r="O55" i="5"/>
  <c r="C68" i="6" s="1"/>
  <c r="P47" i="5"/>
  <c r="D4" i="6" s="1"/>
  <c r="O56" i="5"/>
  <c r="C76" i="6" s="1"/>
  <c r="N54" i="5"/>
  <c r="B60" i="6" s="1"/>
  <c r="R51" i="5"/>
  <c r="N55" i="5"/>
  <c r="B68" i="6" s="1"/>
  <c r="P56" i="5"/>
  <c r="D76" i="6" s="1"/>
  <c r="R52" i="5"/>
  <c r="N49" i="5"/>
  <c r="B20" i="6" s="1"/>
  <c r="O48" i="5"/>
  <c r="C12" i="6" s="1"/>
  <c r="N53" i="5"/>
  <c r="B52" i="6" s="1"/>
  <c r="R50" i="5"/>
  <c r="E28" i="6" s="1"/>
  <c r="Q55" i="5"/>
  <c r="E68" i="6" s="1"/>
  <c r="P49" i="5"/>
  <c r="D20" i="6" s="1"/>
  <c r="Q52" i="5"/>
  <c r="E44" i="6" s="1"/>
  <c r="R55" i="5"/>
  <c r="N50" i="5"/>
  <c r="B28" i="6" s="1"/>
  <c r="O47" i="5"/>
  <c r="C4" i="6" s="1"/>
  <c r="P50" i="5"/>
  <c r="D28" i="6" s="1"/>
  <c r="Q53" i="5"/>
  <c r="E52" i="6" s="1"/>
  <c r="R56" i="5"/>
  <c r="P55" i="5"/>
  <c r="D68" i="6" s="1"/>
  <c r="Q47" i="5"/>
  <c r="O53" i="5"/>
  <c r="C52" i="6" s="1"/>
  <c r="N51" i="5"/>
  <c r="B36" i="6" s="1"/>
  <c r="O54" i="5"/>
  <c r="C60" i="6" s="1"/>
  <c r="R54" i="5"/>
  <c r="N52" i="5"/>
  <c r="B44" i="6" s="1"/>
  <c r="O52" i="5"/>
  <c r="C44" i="6" s="1"/>
  <c r="P51" i="5"/>
  <c r="D36" i="6" s="1"/>
  <c r="O49" i="5"/>
  <c r="C20" i="6" s="1"/>
  <c r="Q48" i="5"/>
  <c r="P48" i="5"/>
  <c r="D12" i="6" s="1"/>
  <c r="Q49" i="5"/>
  <c r="N56" i="5"/>
  <c r="B76" i="6" s="1"/>
  <c r="R53" i="5"/>
  <c r="R49" i="5"/>
  <c r="E20" i="6" s="1"/>
  <c r="Q51" i="5"/>
  <c r="E36" i="6" s="1"/>
  <c r="N47" i="5"/>
  <c r="B4" i="6" s="1"/>
  <c r="O50" i="5"/>
  <c r="C28" i="6" s="1"/>
  <c r="P53" i="5"/>
  <c r="D52" i="6" s="1"/>
  <c r="Q56" i="5"/>
  <c r="E76" i="6" s="1"/>
  <c r="P52" i="5"/>
  <c r="D44" i="6" s="1"/>
  <c r="N48" i="5"/>
  <c r="B12" i="6" s="1"/>
  <c r="O51" i="5"/>
  <c r="C36" i="6" s="1"/>
  <c r="N36" i="5"/>
  <c r="B19" i="6" s="1"/>
  <c r="O43" i="5"/>
  <c r="C75" i="6" s="1"/>
  <c r="Q38" i="5"/>
  <c r="E35" i="6" s="1"/>
  <c r="O37" i="5"/>
  <c r="C27" i="6" s="1"/>
  <c r="Q43" i="5"/>
  <c r="E75" i="6" s="1"/>
  <c r="P39" i="5"/>
  <c r="D43" i="6" s="1"/>
  <c r="N35" i="5"/>
  <c r="B11" i="6" s="1"/>
  <c r="P41" i="5"/>
  <c r="D59" i="6" s="1"/>
  <c r="P34" i="5"/>
  <c r="D3" i="6" s="1"/>
  <c r="Q41" i="5"/>
  <c r="E59" i="6" s="1"/>
  <c r="Q34" i="5"/>
  <c r="R34" i="5"/>
  <c r="E3" i="6" s="1"/>
  <c r="O41" i="5"/>
  <c r="C59" i="6" s="1"/>
  <c r="A33" i="5"/>
  <c r="N41" i="5"/>
  <c r="B59" i="6" s="1"/>
  <c r="R35" i="5"/>
  <c r="E11" i="6" s="1"/>
  <c r="O42" i="5"/>
  <c r="C67" i="6" s="1"/>
  <c r="Q37" i="5"/>
  <c r="P42" i="5"/>
  <c r="D67" i="6" s="1"/>
  <c r="R36" i="5"/>
  <c r="E19" i="6" s="1"/>
  <c r="O36" i="5"/>
  <c r="C19" i="6" s="1"/>
  <c r="R41" i="5"/>
  <c r="Q35" i="5"/>
  <c r="R38" i="5"/>
  <c r="N42" i="5"/>
  <c r="B67" i="6" s="1"/>
  <c r="P35" i="5"/>
  <c r="D11" i="6" s="1"/>
  <c r="Q42" i="5"/>
  <c r="E67" i="6" s="1"/>
  <c r="Q36" i="5"/>
  <c r="R39" i="5"/>
  <c r="N43" i="5"/>
  <c r="B75" i="6" s="1"/>
  <c r="P38" i="5"/>
  <c r="D35" i="6" s="1"/>
  <c r="N34" i="5"/>
  <c r="B3" i="6" s="1"/>
  <c r="P40" i="5"/>
  <c r="D51" i="6" s="1"/>
  <c r="O38" i="5"/>
  <c r="C35" i="6" s="1"/>
  <c r="O39" i="5"/>
  <c r="C43" i="6" s="1"/>
  <c r="O40" i="5"/>
  <c r="C51" i="6" s="1"/>
  <c r="N38" i="5"/>
  <c r="B35" i="6" s="1"/>
  <c r="N39" i="5"/>
  <c r="B43" i="6" s="1"/>
  <c r="R40" i="5"/>
  <c r="O35" i="5"/>
  <c r="C11" i="6" s="1"/>
  <c r="N40" i="5"/>
  <c r="B51" i="6" s="1"/>
  <c r="N37" i="5"/>
  <c r="B27" i="6" s="1"/>
  <c r="P43" i="5"/>
  <c r="D75" i="6" s="1"/>
  <c r="P36" i="5"/>
  <c r="D19" i="6" s="1"/>
  <c r="Q39" i="5"/>
  <c r="E43" i="6" s="1"/>
  <c r="R42" i="5"/>
  <c r="R37" i="5"/>
  <c r="E27" i="6" s="1"/>
  <c r="O34" i="5"/>
  <c r="C3" i="6" s="1"/>
  <c r="P37" i="5"/>
  <c r="D27" i="6" s="1"/>
  <c r="Q40" i="5"/>
  <c r="E51" i="6" s="1"/>
  <c r="E46" i="6" l="1"/>
  <c r="D46" i="6"/>
  <c r="C62" i="6"/>
  <c r="E62" i="6"/>
  <c r="D62" i="6"/>
  <c r="C4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<sst xmlns="http://schemas.openxmlformats.org/spreadsheetml/2006/main" count="462" uniqueCount="28">
  <si>
    <t>defaultRepository</t>
  </si>
  <si>
    <t>Iterations</t>
  </si>
  <si>
    <t>basic</t>
  </si>
  <si>
    <t>drawFeeder</t>
  </si>
  <si>
    <t>drawFeederOpt</t>
  </si>
  <si>
    <t>drawHazard</t>
  </si>
  <si>
    <t>drawBuffer</t>
  </si>
  <si>
    <t>drawBufferOpt</t>
  </si>
  <si>
    <t>drawHealthy</t>
  </si>
  <si>
    <t>drawHealthyOpt</t>
  </si>
  <si>
    <t>drawAffected</t>
  </si>
  <si>
    <t>drawAffectedOpt</t>
  </si>
  <si>
    <t>nativeRepository</t>
  </si>
  <si>
    <t>marklogic_rdf4j</t>
  </si>
  <si>
    <t>approach1</t>
  </si>
  <si>
    <t>approach2</t>
  </si>
  <si>
    <t>Repositories</t>
  </si>
  <si>
    <t>data</t>
  </si>
  <si>
    <t>1cimxml</t>
  </si>
  <si>
    <t>10cimxml</t>
  </si>
  <si>
    <t>100cimxml</t>
  </si>
  <si>
    <t>1000cimxml</t>
  </si>
  <si>
    <t>drwFeederOpt</t>
  </si>
  <si>
    <t>default_repo</t>
  </si>
  <si>
    <t>native_repo</t>
  </si>
  <si>
    <t>approach_2</t>
  </si>
  <si>
    <t>approach_1</t>
  </si>
  <si>
    <t>drawHealthyUpdate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</si>
</sst>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/>
    <xf numFmtId="4" fontId="3" fillId="0" borderId="8" xfId="0" applyNumberFormat="1" applyFon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2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" fontId="0" fillId="0" borderId="24" xfId="0" applyNumberFormat="1" applyBorder="1"/>
    <xf numFmtId="4" fontId="0" fillId="0" borderId="6" xfId="0" applyNumberFormat="1" applyBorder="1"/>
    <xf numFmtId="4" fontId="0" fillId="0" borderId="23" xfId="0" applyNumberFormat="1" applyBorder="1"/>
    <xf numFmtId="4" fontId="0" fillId="0" borderId="14" xfId="0" applyNumberFormat="1" applyBorder="1"/>
    <xf numFmtId="4" fontId="0" fillId="0" borderId="26" xfId="0" applyNumberFormat="1" applyBorder="1"/>
    <xf numFmtId="4" fontId="0" fillId="0" borderId="18" xfId="0" applyNumberFormat="1" applyBorder="1"/>
    <xf numFmtId="4" fontId="0" fillId="0" borderId="0" xfId="0" applyNumberFormat="1"/>
    <xf numFmtId="4" fontId="0" fillId="0" borderId="25" xfId="0" applyNumberFormat="1" applyBorder="1"/>
    <xf numFmtId="4" fontId="4" fillId="0" borderId="0" xfId="0" applyNumberFormat="1" applyFont="1"/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</cellXfs>
  <cellStyles count="1">
    <cellStyle name="Normal" xfId="0" builtinId="0" customBuiltin="1"/>
  </cellStyles>
  <dxfs count="521"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font>
        <b/>
        <family val="2"/>
      </font>
      <numFmt numFmtId="2" formatCode="0.00"/>
      <alignment horizontal="left" textRotation="0" indent="0" justifyLastLine="0" shrinkToFit="0" readingOrder="0"/>
    </dxf>
    <dxf>
      <numFmt numFmtId="2" formatCode="0.0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font>
        <b/>
        <family val="2"/>
      </font>
      <numFmt numFmtId="2" formatCode="0.00"/>
      <alignment horizontal="left" textRotation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shrinkToFit="0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feeder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514635398836019"/>
          <c:w val="0.93555946104276511"/>
          <c:h val="0.307772737646924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charts!$B$10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charts!$B$11:$B$13</c:f>
              <c:numCache>
                <c:formatCode>#,##0.00</c:formatCode>
                <c:ptCount val="3"/>
                <c:pt idx="0">
                  <c:v>1.8</c:v>
                </c:pt>
                <c:pt idx="1">
                  <c:v>1.7</c:v>
                </c:pt>
                <c:pt idx="2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4-4FD7-8036-22A8979127E6}"/>
            </c:ext>
          </c:extLst>
        </c:ser>
        <c:ser>
          <c:idx val="1"/>
          <c:order val="1"/>
          <c:tx>
            <c:strRef>
              <c:f>charts!$C$10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charts!$C$11:$C$13</c:f>
              <c:numCache>
                <c:formatCode>#,##0.00</c:formatCode>
                <c:ptCount val="3"/>
                <c:pt idx="0">
                  <c:v>1.9</c:v>
                </c:pt>
                <c:pt idx="1">
                  <c:v>1.8</c:v>
                </c:pt>
                <c:pt idx="2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4-4FD7-8036-22A8979127E6}"/>
            </c:ext>
          </c:extLst>
        </c:ser>
        <c:ser>
          <c:idx val="2"/>
          <c:order val="2"/>
          <c:tx>
            <c:strRef>
              <c:f>charts!$D$10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charts!$D$11:$D$13</c:f>
              <c:numCache>
                <c:formatCode>#,##0.00</c:formatCode>
                <c:ptCount val="3"/>
                <c:pt idx="0">
                  <c:v>12.9</c:v>
                </c:pt>
                <c:pt idx="1">
                  <c:v>142.6</c:v>
                </c:pt>
                <c:pt idx="2">
                  <c:v>142.6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4-4FD7-8036-22A8979127E6}"/>
            </c:ext>
          </c:extLst>
        </c:ser>
        <c:ser>
          <c:idx val="3"/>
          <c:order val="3"/>
          <c:tx>
            <c:strRef>
              <c:f>charts!$E$10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charts!$E$11:$E$13</c:f>
              <c:numCache>
                <c:formatCode>#,##0.00</c:formatCode>
                <c:ptCount val="3"/>
                <c:pt idx="0">
                  <c:v>14.3</c:v>
                </c:pt>
                <c:pt idx="1">
                  <c:v>72.599999999999994</c:v>
                </c:pt>
                <c:pt idx="2">
                  <c:v>580.4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4-4FD7-8036-22A8979127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90272"/>
        <c:axId val="538091912"/>
      </c:barChart>
      <c:catAx>
        <c:axId val="538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38091912"/>
        <c:crosses val="autoZero"/>
        <c:auto val="1"/>
        <c:lblAlgn val="ctr"/>
        <c:lblOffset val="100"/>
        <c:noMultiLvlLbl val="0"/>
      </c:catAx>
      <c:valAx>
        <c:axId val="53809191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38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4437448394521853E-2"/>
          <c:y val="0.1558427479173799"/>
          <c:w val="0.8184216849654355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Basic (?s</a:t>
            </a:r>
            <a:r>
              <a:rPr lang="en-US" sz="1000" baseline="0"/>
              <a:t> ?p ?o</a:t>
            </a:r>
            <a:r>
              <a:rPr lang="en-US" sz="10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448377581120944E-2"/>
          <c:y val="0.53954481717182612"/>
          <c:w val="0.93510324483775809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charts!$B$2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charts!$B$3:$B$5</c:f>
              <c:numCache>
                <c:formatCode>#,##0.00</c:formatCode>
                <c:ptCount val="3"/>
                <c:pt idx="0">
                  <c:v>1.2</c:v>
                </c:pt>
                <c:pt idx="1">
                  <c:v>0.6</c:v>
                </c:pt>
                <c:pt idx="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E-4663-912A-B9FC4442900F}"/>
            </c:ext>
          </c:extLst>
        </c:ser>
        <c:ser>
          <c:idx val="1"/>
          <c:order val="1"/>
          <c:tx>
            <c:strRef>
              <c:f>charts!$C$2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charts!$C$3:$C$5</c:f>
              <c:numCache>
                <c:formatCode>#,##0.00</c:formatCode>
                <c:ptCount val="3"/>
                <c:pt idx="0">
                  <c:v>1.3</c:v>
                </c:pt>
                <c:pt idx="1">
                  <c:v>0.6</c:v>
                </c:pt>
                <c:pt idx="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7E-4663-912A-B9FC4442900F}"/>
            </c:ext>
          </c:extLst>
        </c:ser>
        <c:ser>
          <c:idx val="2"/>
          <c:order val="2"/>
          <c:tx>
            <c:strRef>
              <c:f>charts!$D$2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charts!$D$3:$D$5</c:f>
              <c:numCache>
                <c:formatCode>#,##0.00</c:formatCode>
                <c:ptCount val="3"/>
                <c:pt idx="0">
                  <c:v>81</c:v>
                </c:pt>
                <c:pt idx="1">
                  <c:v>276.89999999999998</c:v>
                </c:pt>
                <c:pt idx="2">
                  <c:v>276.89999999999998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7E-4663-912A-B9FC4442900F}"/>
            </c:ext>
          </c:extLst>
        </c:ser>
        <c:ser>
          <c:idx val="3"/>
          <c:order val="3"/>
          <c:tx>
            <c:strRef>
              <c:f>charts!$E$2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charts!$E$3:$E$5</c:f>
              <c:numCache>
                <c:formatCode>#,##0.00</c:formatCode>
                <c:ptCount val="3"/>
                <c:pt idx="0">
                  <c:v>74.3</c:v>
                </c:pt>
                <c:pt idx="1">
                  <c:v>363.9</c:v>
                </c:pt>
                <c:pt idx="2">
                  <c:v>3490.9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7E-4663-912A-B9FC444290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78159952"/>
        <c:axId val="678158640"/>
      </c:barChart>
      <c:catAx>
        <c:axId val="67815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78158640"/>
        <c:crosses val="autoZero"/>
        <c:auto val="1"/>
        <c:lblAlgn val="ctr"/>
        <c:lblOffset val="100"/>
        <c:noMultiLvlLbl val="0"/>
      </c:catAx>
      <c:valAx>
        <c:axId val="678158640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67815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616356583745629E-2"/>
          <c:y val="0.16009132420091324"/>
          <c:w val="0.82276728683250866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feeder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514635398836019"/>
          <c:w val="0.93555946104276511"/>
          <c:h val="0.307772737646924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charts!$B$18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charts!$B$19:$B$21</c:f>
              <c:numCache>
                <c:formatCode>#,##0.00</c:formatCode>
                <c:ptCount val="3"/>
                <c:pt idx="0">
                  <c:v>5.2</c:v>
                </c:pt>
                <c:pt idx="1">
                  <c:v>2.1</c:v>
                </c:pt>
                <c:pt idx="2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6-4ADB-A6A4-E8D4C380B350}"/>
            </c:ext>
          </c:extLst>
        </c:ser>
        <c:ser>
          <c:idx val="1"/>
          <c:order val="1"/>
          <c:tx>
            <c:strRef>
              <c:f>charts!$C$18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charts!$C$19:$C$21</c:f>
              <c:numCache>
                <c:formatCode>#,##0.00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6-4ADB-A6A4-E8D4C380B350}"/>
            </c:ext>
          </c:extLst>
        </c:ser>
        <c:ser>
          <c:idx val="2"/>
          <c:order val="2"/>
          <c:tx>
            <c:strRef>
              <c:f>charts!$D$18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charts!$D$19:$D$21</c:f>
              <c:numCache>
                <c:formatCode>#,##0.00</c:formatCode>
                <c:ptCount val="3"/>
                <c:pt idx="0">
                  <c:v>15.7</c:v>
                </c:pt>
                <c:pt idx="1">
                  <c:v>169.8</c:v>
                </c:pt>
                <c:pt idx="2">
                  <c:v>169.8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6-4ADB-A6A4-E8D4C380B350}"/>
            </c:ext>
          </c:extLst>
        </c:ser>
        <c:ser>
          <c:idx val="3"/>
          <c:order val="3"/>
          <c:tx>
            <c:strRef>
              <c:f>charts!$E$18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charts!$E$19:$E$21</c:f>
              <c:numCache>
                <c:formatCode>#,##0.00</c:formatCode>
                <c:ptCount val="3"/>
                <c:pt idx="0">
                  <c:v>17.7</c:v>
                </c:pt>
                <c:pt idx="1">
                  <c:v>94.3</c:v>
                </c:pt>
                <c:pt idx="2">
                  <c:v>550.9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6-4ADB-A6A4-E8D4C380B3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90272"/>
        <c:axId val="538091912"/>
      </c:barChart>
      <c:catAx>
        <c:axId val="538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38091912"/>
        <c:crosses val="autoZero"/>
        <c:auto val="1"/>
        <c:lblAlgn val="ctr"/>
        <c:lblOffset val="100"/>
        <c:noMultiLvlLbl val="0"/>
      </c:catAx>
      <c:valAx>
        <c:axId val="53809191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38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579217580227784E-2"/>
          <c:y val="0.17395868994636543"/>
          <c:w val="0.81698333402525025"/>
          <c:h val="0.15285433070866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Hazard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514635398836019"/>
          <c:w val="0.93555946104276511"/>
          <c:h val="0.307772737646924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charts!$B$27:$B$29</c:f>
              <c:numCache>
                <c:formatCode>#,##0.00</c:formatCode>
                <c:ptCount val="3"/>
                <c:pt idx="0">
                  <c:v>1.1000000000000001</c:v>
                </c:pt>
                <c:pt idx="1">
                  <c:v>6.4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D-48B6-B8DD-21B4C94F6803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charts!$C$27:$C$29</c:f>
              <c:numCache>
                <c:formatCode>#,##0.00</c:formatCode>
                <c:ptCount val="3"/>
                <c:pt idx="0">
                  <c:v>1.2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D-48B6-B8DD-21B4C94F6803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charts!$D$27:$D$29</c:f>
              <c:numCache>
                <c:formatCode>#,##0.00</c:formatCode>
                <c:ptCount val="3"/>
                <c:pt idx="0">
                  <c:v>6</c:v>
                </c:pt>
                <c:pt idx="1">
                  <c:v>59.8</c:v>
                </c:pt>
                <c:pt idx="2">
                  <c:v>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4D-48B6-B8DD-21B4C94F6803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charts!$E$27:$E$29</c:f>
              <c:numCache>
                <c:formatCode>#,##0.00</c:formatCode>
                <c:ptCount val="3"/>
                <c:pt idx="0">
                  <c:v>6.1</c:v>
                </c:pt>
                <c:pt idx="1">
                  <c:v>94.8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4D-48B6-B8DD-21B4C94F68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90272"/>
        <c:axId val="538091912"/>
      </c:barChart>
      <c:catAx>
        <c:axId val="538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38091912"/>
        <c:crosses val="autoZero"/>
        <c:auto val="1"/>
        <c:lblAlgn val="ctr"/>
        <c:lblOffset val="100"/>
        <c:noMultiLvlLbl val="0"/>
      </c:catAx>
      <c:valAx>
        <c:axId val="53809191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38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579217580227784E-2"/>
          <c:y val="0.17395868994636543"/>
          <c:w val="0.81698333402525025"/>
          <c:h val="0.15285433070866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BUFFER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3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charts!$B$34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charts!$B$35:$B$37</c:f>
              <c:numCache>
                <c:formatCode>#,##0.00</c:formatCode>
                <c:ptCount val="3"/>
                <c:pt idx="0">
                  <c:v>2.2999999999999998</c:v>
                </c:pt>
                <c:pt idx="1">
                  <c:v>1.5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9-4229-8AFB-6ABD2E1CB40E}"/>
            </c:ext>
          </c:extLst>
        </c:ser>
        <c:ser>
          <c:idx val="1"/>
          <c:order val="1"/>
          <c:tx>
            <c:strRef>
              <c:f>charts!$C$34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charts!$C$35:$C$37</c:f>
              <c:numCache>
                <c:formatCode>#,##0.00</c:formatCode>
                <c:ptCount val="3"/>
                <c:pt idx="0">
                  <c:v>5</c:v>
                </c:pt>
                <c:pt idx="1">
                  <c:v>5.5</c:v>
                </c:pt>
                <c:pt idx="2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9-4229-8AFB-6ABD2E1CB40E}"/>
            </c:ext>
          </c:extLst>
        </c:ser>
        <c:ser>
          <c:idx val="2"/>
          <c:order val="2"/>
          <c:tx>
            <c:strRef>
              <c:f>charts!$D$34</c:f>
              <c:strCache>
                <c:ptCount val="1"/>
                <c:pt idx="0">
                  <c:v>approach_1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charts!$D$35:$D$37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9-4229-8AFB-6ABD2E1CB40E}"/>
            </c:ext>
          </c:extLst>
        </c:ser>
        <c:ser>
          <c:idx val="3"/>
          <c:order val="3"/>
          <c:tx>
            <c:strRef>
              <c:f>charts!$E$34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charts!$E$35:$E$37</c:f>
              <c:numCache>
                <c:formatCode>#,##0.00</c:formatCode>
                <c:ptCount val="3"/>
                <c:pt idx="0">
                  <c:v>158.9</c:v>
                </c:pt>
                <c:pt idx="1">
                  <c:v>2320.4</c:v>
                </c:pt>
                <c:pt idx="2">
                  <c:v>30567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39-4229-8AFB-6ABD2E1CB4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596367896895138"/>
          <c:y val="0.16625606730665515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buffer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3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charts!$B$42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charts!$B$43:$B$45</c:f>
              <c:numCache>
                <c:formatCode>#,##0.00</c:formatCode>
                <c:ptCount val="3"/>
                <c:pt idx="0">
                  <c:v>2</c:v>
                </c:pt>
                <c:pt idx="1">
                  <c:v>2.9</c:v>
                </c:pt>
                <c:pt idx="2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8-4ED2-903E-8B54DB56E118}"/>
            </c:ext>
          </c:extLst>
        </c:ser>
        <c:ser>
          <c:idx val="1"/>
          <c:order val="1"/>
          <c:tx>
            <c:strRef>
              <c:f>charts!$C$42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charts!$C$43:$C$45</c:f>
              <c:numCache>
                <c:formatCode>#,##0.00</c:formatCode>
                <c:ptCount val="3"/>
                <c:pt idx="0">
                  <c:v>5.4</c:v>
                </c:pt>
                <c:pt idx="1">
                  <c:v>2.2000000000000002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8-4ED2-903E-8B54DB56E118}"/>
            </c:ext>
          </c:extLst>
        </c:ser>
        <c:ser>
          <c:idx val="2"/>
          <c:order val="2"/>
          <c:tx>
            <c:strRef>
              <c:f>charts!$D$42</c:f>
              <c:strCache>
                <c:ptCount val="1"/>
                <c:pt idx="0">
                  <c:v>approach_1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charts!$D$43:$D$45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E8-4ED2-903E-8B54DB56E118}"/>
            </c:ext>
          </c:extLst>
        </c:ser>
        <c:ser>
          <c:idx val="3"/>
          <c:order val="3"/>
          <c:tx>
            <c:strRef>
              <c:f>charts!$E$42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charts!$E$43:$E$45</c:f>
              <c:numCache>
                <c:formatCode>#,##0.00</c:formatCode>
                <c:ptCount val="3"/>
                <c:pt idx="0">
                  <c:v>184.8</c:v>
                </c:pt>
                <c:pt idx="1">
                  <c:v>3508.5</c:v>
                </c:pt>
                <c:pt idx="2">
                  <c:v>268804.3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E8-4ED2-903E-8B54DB56E1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HEALTHY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3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charts!$B$50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charts!$B$51:$B$53</c:f>
              <c:numCache>
                <c:formatCode>#,##0.00</c:formatCode>
                <c:ptCount val="3"/>
                <c:pt idx="0">
                  <c:v>2.9</c:v>
                </c:pt>
                <c:pt idx="1">
                  <c:v>3.7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5-44BE-90AB-6FABCCD61DD3}"/>
            </c:ext>
          </c:extLst>
        </c:ser>
        <c:ser>
          <c:idx val="1"/>
          <c:order val="1"/>
          <c:tx>
            <c:strRef>
              <c:f>charts!$C$50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charts!$C$51:$C$53</c:f>
              <c:numCache>
                <c:formatCode>#,##0.00</c:formatCode>
                <c:ptCount val="3"/>
                <c:pt idx="0">
                  <c:v>5.0999999999999996</c:v>
                </c:pt>
                <c:pt idx="1">
                  <c:v>3.2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5-44BE-90AB-6FABCCD61DD3}"/>
            </c:ext>
          </c:extLst>
        </c:ser>
        <c:ser>
          <c:idx val="2"/>
          <c:order val="2"/>
          <c:tx>
            <c:strRef>
              <c:f>charts!$D$50</c:f>
              <c:strCache>
                <c:ptCount val="1"/>
                <c:pt idx="0">
                  <c:v>approach_1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charts!$D$51:$D$53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B5-44BE-90AB-6FABCCD61DD3}"/>
            </c:ext>
          </c:extLst>
        </c:ser>
        <c:ser>
          <c:idx val="3"/>
          <c:order val="3"/>
          <c:tx>
            <c:strRef>
              <c:f>charts!$E$50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charts!$E$51:$E$53</c:f>
              <c:numCache>
                <c:formatCode>#,##0.00</c:formatCode>
                <c:ptCount val="3"/>
                <c:pt idx="0">
                  <c:v>814.3</c:v>
                </c:pt>
                <c:pt idx="1">
                  <c:v>6155.8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B5-44BE-90AB-6FABCCD61D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HEALTHY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21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charts!$B$58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charts!$B$59:$B$61</c:f>
              <c:numCache>
                <c:formatCode>#,##0.00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6-423C-8059-4F1142F39EFB}"/>
            </c:ext>
          </c:extLst>
        </c:ser>
        <c:ser>
          <c:idx val="1"/>
          <c:order val="1"/>
          <c:tx>
            <c:strRef>
              <c:f>charts!$C$58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charts!$C$59:$C$61</c:f>
              <c:numCache>
                <c:formatCode>#,##0.00</c:formatCode>
                <c:ptCount val="3"/>
                <c:pt idx="0">
                  <c:v>3.1</c:v>
                </c:pt>
                <c:pt idx="1">
                  <c:v>3.2</c:v>
                </c:pt>
                <c:pt idx="2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6-423C-8059-4F1142F39EFB}"/>
            </c:ext>
          </c:extLst>
        </c:ser>
        <c:ser>
          <c:idx val="2"/>
          <c:order val="2"/>
          <c:tx>
            <c:strRef>
              <c:f>charts!$D$58</c:f>
              <c:strCache>
                <c:ptCount val="1"/>
                <c:pt idx="0">
                  <c:v>approach_1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charts!$D$59:$D$61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16-423C-8059-4F1142F39EFB}"/>
            </c:ext>
          </c:extLst>
        </c:ser>
        <c:ser>
          <c:idx val="3"/>
          <c:order val="3"/>
          <c:tx>
            <c:strRef>
              <c:f>charts!$E$58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charts!$E$59:$E$61</c:f>
              <c:numCache>
                <c:formatCode>#,##0.00</c:formatCode>
                <c:ptCount val="3"/>
                <c:pt idx="0">
                  <c:v>744.9</c:v>
                </c:pt>
                <c:pt idx="1">
                  <c:v>6053.7</c:v>
                </c:pt>
                <c:pt idx="2">
                  <c:v>605839.9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16-423C-8059-4F1142F39E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AFFECTED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95448171718261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charts!$B$66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charts!$B$67:$B$69</c:f>
              <c:numCache>
                <c:formatCode>#,##0.00</c:formatCode>
                <c:ptCount val="3"/>
                <c:pt idx="0">
                  <c:v>2.6</c:v>
                </c:pt>
                <c:pt idx="1">
                  <c:v>19.399999999999999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E-474E-BA85-D37EF4691556}"/>
            </c:ext>
          </c:extLst>
        </c:ser>
        <c:ser>
          <c:idx val="1"/>
          <c:order val="1"/>
          <c:tx>
            <c:strRef>
              <c:f>charts!$C$66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charts!$C$67:$C$69</c:f>
              <c:numCache>
                <c:formatCode>#,##0.00</c:formatCode>
                <c:ptCount val="3"/>
                <c:pt idx="0">
                  <c:v>4.4000000000000004</c:v>
                </c:pt>
                <c:pt idx="1">
                  <c:v>14.6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7E-474E-BA85-D37EF4691556}"/>
            </c:ext>
          </c:extLst>
        </c:ser>
        <c:ser>
          <c:idx val="2"/>
          <c:order val="2"/>
          <c:tx>
            <c:strRef>
              <c:f>charts!$D$66</c:f>
              <c:strCache>
                <c:ptCount val="1"/>
                <c:pt idx="0">
                  <c:v>approach_1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charts!$D$67:$D$69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7E-474E-BA85-D37EF4691556}"/>
            </c:ext>
          </c:extLst>
        </c:ser>
        <c:ser>
          <c:idx val="3"/>
          <c:order val="3"/>
          <c:tx>
            <c:strRef>
              <c:f>charts!$E$66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charts!$E$67:$E$69</c:f>
              <c:numCache>
                <c:formatCode>#,##0.00</c:formatCode>
                <c:ptCount val="3"/>
                <c:pt idx="0">
                  <c:v>699</c:v>
                </c:pt>
                <c:pt idx="1">
                  <c:v>7918.9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7E-474E-BA85-D37EF46915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889279437609843"/>
          <c:y val="0.14799122712400675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AFFECTED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95448171718261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charts!$B$74</c:f>
              <c:strCache>
                <c:ptCount val="1"/>
                <c:pt idx="0">
                  <c:v>default_repo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charts!$B$75:$B$77</c:f>
              <c:numCache>
                <c:formatCode>#,##0.00</c:formatCode>
                <c:ptCount val="3"/>
                <c:pt idx="0">
                  <c:v>3.8</c:v>
                </c:pt>
                <c:pt idx="1">
                  <c:v>21.4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C-448B-9333-1EBF810571FE}"/>
            </c:ext>
          </c:extLst>
        </c:ser>
        <c:ser>
          <c:idx val="1"/>
          <c:order val="1"/>
          <c:tx>
            <c:strRef>
              <c:f>charts!$C$74</c:f>
              <c:strCache>
                <c:ptCount val="1"/>
                <c:pt idx="0">
                  <c:v>native_repo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charts!$C$75:$C$77</c:f>
              <c:numCache>
                <c:formatCode>#,##0.00</c:formatCode>
                <c:ptCount val="3"/>
                <c:pt idx="0">
                  <c:v>3.3</c:v>
                </c:pt>
                <c:pt idx="1">
                  <c:v>16.3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CC-448B-9333-1EBF810571FE}"/>
            </c:ext>
          </c:extLst>
        </c:ser>
        <c:ser>
          <c:idx val="2"/>
          <c:order val="2"/>
          <c:tx>
            <c:strRef>
              <c:f>charts!$D$74</c:f>
              <c:strCache>
                <c:ptCount val="1"/>
                <c:pt idx="0">
                  <c:v>approach_1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charts!$D$75:$D$77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CC-448B-9333-1EBF810571FE}"/>
            </c:ext>
          </c:extLst>
        </c:ser>
        <c:ser>
          <c:idx val="3"/>
          <c:order val="3"/>
          <c:tx>
            <c:strRef>
              <c:f>charts!$E$74</c:f>
              <c:strCache>
                <c:ptCount val="1"/>
                <c:pt idx="0">
                  <c:v>approach_2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charts!$E$75:$E$77</c:f>
              <c:numCache>
                <c:formatCode>#,##0.00</c:formatCode>
                <c:ptCount val="3"/>
                <c:pt idx="0">
                  <c:v>533.20000000000005</c:v>
                </c:pt>
                <c:pt idx="1">
                  <c:v>10428.9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CC-448B-9333-1EBF810571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83820</xdr:rowOff>
    </xdr:from>
    <xdr:to>
      <xdr:col>13</xdr:col>
      <xdr:colOff>60960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89BA52-11E7-47CD-B3C0-92A0E777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72390</xdr:rowOff>
    </xdr:from>
    <xdr:to>
      <xdr:col>13</xdr:col>
      <xdr:colOff>38100</xdr:colOff>
      <xdr:row>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9A2D6D-8C71-4A88-921A-EA8622EEB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16</xdr:row>
      <xdr:rowOff>53340</xdr:rowOff>
    </xdr:from>
    <xdr:to>
      <xdr:col>13</xdr:col>
      <xdr:colOff>68580</xdr:colOff>
      <xdr:row>23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9F7D3-E7BA-4F36-943E-466D4EFD7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24</xdr:row>
      <xdr:rowOff>53340</xdr:rowOff>
    </xdr:from>
    <xdr:to>
      <xdr:col>13</xdr:col>
      <xdr:colOff>68580</xdr:colOff>
      <xdr:row>31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0DD3AF-E10E-4EAF-859A-A0C663A6A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</xdr:colOff>
      <xdr:row>32</xdr:row>
      <xdr:rowOff>87630</xdr:rowOff>
    </xdr:from>
    <xdr:to>
      <xdr:col>13</xdr:col>
      <xdr:colOff>76200</xdr:colOff>
      <xdr:row>40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0EC81E-C7B6-47BF-8110-16732ACCD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40</xdr:row>
      <xdr:rowOff>83820</xdr:rowOff>
    </xdr:from>
    <xdr:to>
      <xdr:col>13</xdr:col>
      <xdr:colOff>68580</xdr:colOff>
      <xdr:row>48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C71779-EBE8-4A25-8C36-2AED40217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594360</xdr:colOff>
      <xdr:row>48</xdr:row>
      <xdr:rowOff>83820</xdr:rowOff>
    </xdr:from>
    <xdr:to>
      <xdr:col>13</xdr:col>
      <xdr:colOff>53340</xdr:colOff>
      <xdr:row>56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9BDAAC-0201-452E-9A18-55182767B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56</xdr:row>
      <xdr:rowOff>68580</xdr:rowOff>
    </xdr:from>
    <xdr:to>
      <xdr:col>13</xdr:col>
      <xdr:colOff>68580</xdr:colOff>
      <xdr:row>63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726ACA-E7CC-4DA5-B6DD-E3CB8EB17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64</xdr:row>
      <xdr:rowOff>68580</xdr:rowOff>
    </xdr:from>
    <xdr:to>
      <xdr:col>13</xdr:col>
      <xdr:colOff>68580</xdr:colOff>
      <xdr:row>71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E30EBB-4D58-4576-A535-363CF72A6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72</xdr:row>
      <xdr:rowOff>68580</xdr:rowOff>
    </xdr:from>
    <xdr:to>
      <xdr:col>13</xdr:col>
      <xdr:colOff>68580</xdr:colOff>
      <xdr:row>79</xdr:row>
      <xdr:rowOff>179070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A30467D-5D4A-493F-BB97-E610D60A5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E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30d4005862d5335/Documents/CASE_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cimxml"/>
      <sheetName val="10cimxml"/>
      <sheetName val="100cimxml"/>
      <sheetName val="1000cimxl"/>
      <sheetName val="chartData"/>
      <sheetName val="charts"/>
    </sheetNames>
    <sheetDataSet>
      <sheetData sheetId="0"/>
      <sheetData sheetId="1"/>
      <sheetData sheetId="2"/>
      <sheetData sheetId="3"/>
      <sheetData sheetId="4">
        <row r="78">
          <cell r="O78">
            <v>0</v>
          </cell>
          <cell r="Q78">
            <v>0</v>
          </cell>
          <cell r="R78">
            <v>0</v>
          </cell>
        </row>
        <row r="80">
          <cell r="O80">
            <v>0</v>
          </cell>
          <cell r="Q80">
            <v>0</v>
          </cell>
          <cell r="R80">
            <v>0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cimxml"/>
      <sheetName val="10cimxml"/>
      <sheetName val="100cimxml"/>
      <sheetName val="1000cimxl"/>
      <sheetName val="chartData"/>
      <sheetName val="charts"/>
      <sheetName val="CASE_1 (1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DC6D2B2-676D-432E-AC35-1B0FDEC114E7}" name="defaultRepository_1cimxml" displayName="defaultRepository_1cimxml" ref="A2:L12" totalsRowShown="0" headerRowDxfId="520" dataDxfId="518" headerRowBorderDxfId="519" tableBorderDxfId="517">
  <autoFilter ref="A2:L12" xr:uid="{00000000-0009-0000-0100-000037000000}"/>
  <tableColumns count="12">
    <tableColumn id="1" xr3:uid="{75C39968-3D1D-4C30-BC20-E7923E304DE7}" name="Iterations" dataDxfId="516"/>
    <tableColumn id="2" xr3:uid="{6CCD0C4C-DB8E-487A-BBA6-F1ED47CEBA01}" name="basic" dataDxfId="515"/>
    <tableColumn id="3" xr3:uid="{1CC322C2-A824-4A5A-8846-1696C69A01CE}" name="drawFeeder" dataDxfId="514"/>
    <tableColumn id="4" xr3:uid="{54D05145-A9D9-4AE8-8F96-4DB0BC60725D}" name="drawFeederOpt" dataDxfId="513"/>
    <tableColumn id="5" xr3:uid="{0FF48692-1198-40A4-B743-B48C2C537024}" name="drawHazard" dataDxfId="512"/>
    <tableColumn id="6" xr3:uid="{D04CFAE3-9701-4ACB-B85B-329638DFAB98}" name="drawBuffer" dataDxfId="511"/>
    <tableColumn id="7" xr3:uid="{6518C6D3-41AC-4A0C-9294-BD549DA75A30}" name="drawBufferOpt" dataDxfId="510"/>
    <tableColumn id="8" xr3:uid="{68FC459D-012E-465B-929D-19F7101F317B}" name="drawHealthy" dataDxfId="509"/>
    <tableColumn id="9" xr3:uid="{2E2FEDCA-4DED-4010-BDFF-68063FE38C7B}" name="drawHealthyOpt" dataDxfId="508"/>
    <tableColumn id="10" xr3:uid="{00BD6EC6-5C84-4CB5-ACF1-BB8DBAB9D80B}" name="drawAffected" dataDxfId="507"/>
    <tableColumn id="11" xr3:uid="{AEF5582E-4652-47C9-91ED-3CB75DFE63B1}" name="drawAffectedOpt" dataDxfId="506"/>
    <tableColumn id="12" xr3:uid="{25E70383-4D84-4E7E-9E28-EBEEE23EE217}" name="drawHealthyUpdate" dataDxfId="50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0931A75-8861-4E9B-8003-BE47D6B37F5D}" name="nativeRepository_1cimxml" displayName="nativeRepository_1cimxml" ref="A16:L26" totalsRowShown="0" headerRowDxfId="504" dataDxfId="502" headerRowBorderDxfId="503" tableBorderDxfId="501">
  <autoFilter ref="A16:L26" xr:uid="{00000000-0009-0000-0100-000038000000}"/>
  <tableColumns count="12">
    <tableColumn id="1" xr3:uid="{C97AE76F-092A-4E37-9AA5-088F9D18C63B}" name="Iterations" dataDxfId="500"/>
    <tableColumn id="2" xr3:uid="{A3D2A637-1B0C-4E29-8E9E-94812856BFF5}" name="basic" dataDxfId="499"/>
    <tableColumn id="3" xr3:uid="{2488FC13-9996-44E9-A2F8-B143DBE17C70}" name="drawFeeder" dataDxfId="498"/>
    <tableColumn id="4" xr3:uid="{0422DFC8-F153-49D3-AA37-0B7360B5475E}" name="drawFeederOpt" dataDxfId="497"/>
    <tableColumn id="5" xr3:uid="{FDA3F39F-EB2F-4F82-997D-D1D46B4F229D}" name="drawHazard" dataDxfId="496"/>
    <tableColumn id="6" xr3:uid="{92287163-30EF-4E3A-90C9-C984F33CA5E5}" name="drawBuffer" dataDxfId="495"/>
    <tableColumn id="7" xr3:uid="{2628818A-BEF6-4EED-9C66-27F9ACEA5F8A}" name="drawBufferOpt" dataDxfId="494"/>
    <tableColumn id="8" xr3:uid="{D7496AEF-54DB-4687-BC14-5A8073BF17FE}" name="drawHealthy" dataDxfId="493"/>
    <tableColumn id="9" xr3:uid="{E0FF752A-A800-4575-8F5B-454412BCB08C}" name="drawHealthyOpt" dataDxfId="492"/>
    <tableColumn id="10" xr3:uid="{19F92075-5FCC-4DBE-806B-01FE5C13F26E}" name="drawAffected" dataDxfId="491"/>
    <tableColumn id="11" xr3:uid="{87E27C93-1AD7-4630-A697-22A1F7EA6CEC}" name="drawAffectedOpt" dataDxfId="490"/>
    <tableColumn id="12" xr3:uid="{C7CFA590-C17E-48D5-9563-53606F239C7C}" name="drawHealthyUpdate" dataDxfId="48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2A9D35-5D16-414E-814C-4CA80254BD48}" name="marklogic_rdf4j_1cimxml" displayName="marklogic_rdf4j_1cimxml" ref="A30:L40" totalsRowShown="0" headerRowDxfId="488" dataDxfId="486" headerRowBorderDxfId="487" tableBorderDxfId="485">
  <autoFilter ref="A30:L40" xr:uid="{00000000-0009-0000-0100-000039000000}"/>
  <tableColumns count="12">
    <tableColumn id="1" xr3:uid="{9E5F863E-E678-4F21-B450-799D9E52492F}" name="Iterations" dataDxfId="484"/>
    <tableColumn id="2" xr3:uid="{17418246-25F9-4BB3-9C08-4181361BF895}" name="basic" dataDxfId="483"/>
    <tableColumn id="3" xr3:uid="{675F2822-B999-4A59-87F4-EFDA0591E84A}" name="drawFeeder" dataDxfId="482"/>
    <tableColumn id="4" xr3:uid="{9BEC01DB-4CD9-4C34-9EB1-FC1F08F87B76}" name="drawFeederOpt" dataDxfId="481"/>
    <tableColumn id="5" xr3:uid="{BDFFF252-B6CE-4017-9C63-322ADEE109B0}" name="drawHazard" dataDxfId="480"/>
    <tableColumn id="6" xr3:uid="{F01C83F9-C145-49B2-83B5-E4D320B9C8CD}" name="drawBuffer" dataDxfId="479"/>
    <tableColumn id="7" xr3:uid="{5B728FB6-B839-4755-A015-5851A04103A8}" name="drawBufferOpt" dataDxfId="478"/>
    <tableColumn id="8" xr3:uid="{2E320D4E-2762-4E86-AA45-294C6E24581E}" name="drawHealthy" dataDxfId="477"/>
    <tableColumn id="9" xr3:uid="{5D87B9CD-0493-4608-B341-8D8E4E028D59}" name="drawHealthyOpt" dataDxfId="476"/>
    <tableColumn id="10" xr3:uid="{7EC71A51-77A2-4B29-BAF8-9A2C8EEDE671}" name="drawAffected" dataDxfId="475"/>
    <tableColumn id="11" xr3:uid="{86492A6C-916D-4F3F-BE68-9FCED2671963}" name="drawAffectedOpt" dataDxfId="474"/>
    <tableColumn id="12" xr3:uid="{DFB509C4-8684-4F7B-A536-4E55BDBCEE50}" name="drawHealthyUpdate" dataDxfId="47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C4E970F-BF70-400C-9200-F6F68E7C5965}" name="approach1_1cimxml" displayName="approach1_1cimxml" ref="A44:L54" totalsRowShown="0" headerRowDxfId="472" dataDxfId="470" headerRowBorderDxfId="471" tableBorderDxfId="469">
  <autoFilter ref="A44:L54" xr:uid="{00000000-0009-0000-0100-00003A000000}"/>
  <tableColumns count="12">
    <tableColumn id="1" xr3:uid="{49CA9C99-345C-44C3-8754-341C183D65FF}" name="Iterations" dataDxfId="468"/>
    <tableColumn id="2" xr3:uid="{3B6BCDB7-04B1-4268-A7B3-6E189D097F63}" name="basic" dataDxfId="467"/>
    <tableColumn id="3" xr3:uid="{31BF9857-E6A1-456B-89BD-D383CD02398C}" name="drawFeeder" dataDxfId="466"/>
    <tableColumn id="4" xr3:uid="{10FE7048-48EE-46F9-A6CA-3052801D184D}" name="drawFeederOpt" dataDxfId="465"/>
    <tableColumn id="5" xr3:uid="{792D6E78-E1BE-47F0-925C-F0C94FFA08F7}" name="drawHazard" dataDxfId="464"/>
    <tableColumn id="6" xr3:uid="{2EABE93E-27DA-498B-BE0B-3B7ED6A3121F}" name="drawBuffer" dataDxfId="463"/>
    <tableColumn id="7" xr3:uid="{F55DD7D0-BE0D-4DB3-832D-E2982B635602}" name="drawBufferOpt" dataDxfId="462"/>
    <tableColumn id="8" xr3:uid="{64363201-94D9-4A7C-A042-64F80ACD20D4}" name="drawHealthy" dataDxfId="461"/>
    <tableColumn id="9" xr3:uid="{B82B14F2-EECB-4092-A2D4-3B9EC0199426}" name="drawHealthyOpt" dataDxfId="460"/>
    <tableColumn id="10" xr3:uid="{99DA506D-60DF-4081-BBEE-D86B313DCFCD}" name="drawAffected" dataDxfId="459"/>
    <tableColumn id="11" xr3:uid="{EBD5F7EF-04EE-48C6-B5A0-22788966EF7E}" name="drawAffectedOpt" dataDxfId="458"/>
    <tableColumn id="12" xr3:uid="{36FCFBAD-5AEB-4BC5-948A-7C6EFDF5F7E8}" name="drawHealthyUpdate" dataDxfId="45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032ADDA-47C0-4044-864C-87640F83AB51}" name="approach2_1cimxml" displayName="approach2_1cimxml" ref="A58:L68" totalsRowShown="0" headerRowDxfId="456" dataDxfId="454" headerRowBorderDxfId="455" tableBorderDxfId="453">
  <autoFilter ref="A58:L68" xr:uid="{00000000-0009-0000-0100-00003B000000}"/>
  <tableColumns count="12">
    <tableColumn id="1" xr3:uid="{1A46BA1D-E25F-477E-9203-071589544BDC}" name="Iterations" dataDxfId="452"/>
    <tableColumn id="2" xr3:uid="{7F83B9C0-3E0E-4C0E-B0D8-59BA5C80FF4C}" name="basic" dataDxfId="451"/>
    <tableColumn id="3" xr3:uid="{8D76C5D7-48C0-477E-9994-99CFFAFCFDD9}" name="drawFeeder" dataDxfId="450"/>
    <tableColumn id="4" xr3:uid="{045F33CB-7DC3-4466-8B28-CFD68122E65D}" name="drawFeederOpt" dataDxfId="449"/>
    <tableColumn id="5" xr3:uid="{2F3EB7F5-185A-4109-88E2-60250B7D0B83}" name="drawHazard" dataDxfId="448"/>
    <tableColumn id="6" xr3:uid="{43800142-96B5-4CD7-B5FB-79A974661529}" name="drawBuffer" dataDxfId="447"/>
    <tableColumn id="7" xr3:uid="{61B09A60-EFFC-403A-97B7-C8629CE4EBF1}" name="drawBufferOpt" dataDxfId="446"/>
    <tableColumn id="8" xr3:uid="{4C27297F-AC58-4473-8EBC-8768F1818F37}" name="drawHealthy" dataDxfId="445"/>
    <tableColumn id="9" xr3:uid="{E45A0CCA-D4AD-42BC-AC54-4D195F8B3C71}" name="drawHealthyOpt" dataDxfId="444"/>
    <tableColumn id="10" xr3:uid="{503B887D-96D8-4DF7-9C23-8F21BEFD6228}" name="drawAffected" dataDxfId="443"/>
    <tableColumn id="11" xr3:uid="{03F7BB15-0D7E-403F-8F04-FB05C3E67CDD}" name="drawAffectedOpt" dataDxfId="442"/>
    <tableColumn id="12" xr3:uid="{01F19DF3-718A-4231-B0B5-B72EF565AB0A}" name="drawHealthyUpdate" dataDxfId="44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E063FD09-6FA6-4C4C-983A-693C0B516E88}" name="approach2_10cimxml" displayName="approach2_10cimxml" ref="A58:L68" totalsRowShown="0" headerRowDxfId="440" dataDxfId="438" headerRowBorderDxfId="439" tableBorderDxfId="437">
  <autoFilter ref="A58:L68" xr:uid="{00000000-0009-0000-0100-000032000000}"/>
  <tableColumns count="12">
    <tableColumn id="1" xr3:uid="{8CF6C721-C3FA-4A5C-ADEC-4BC92F26103F}" name="Iterations" dataDxfId="436"/>
    <tableColumn id="2" xr3:uid="{9A5A5A4C-D473-4EA5-B697-B41C02AD19CC}" name="basic" dataDxfId="435"/>
    <tableColumn id="3" xr3:uid="{66C7E594-0459-4D82-BC88-720555FF0069}" name="drawFeeder" dataDxfId="434"/>
    <tableColumn id="4" xr3:uid="{5083D219-6B66-489D-A15A-F5931576E1AA}" name="drawFeederOpt" dataDxfId="433"/>
    <tableColumn id="5" xr3:uid="{996A77BC-98FA-45FD-A53F-CFC6251F8D55}" name="drawHazard" dataDxfId="432"/>
    <tableColumn id="6" xr3:uid="{8223CBD6-3F91-4003-AF91-89044DB0EDF9}" name="drawBuffer" dataDxfId="431"/>
    <tableColumn id="7" xr3:uid="{0095354D-8791-470C-B4DB-927A737B715D}" name="drawBufferOpt" dataDxfId="430"/>
    <tableColumn id="8" xr3:uid="{9E1FE28A-4689-4994-8153-AC5D27F889A7}" name="drawHealthy" dataDxfId="429"/>
    <tableColumn id="9" xr3:uid="{5C6A1F4B-5A89-44D2-974D-E98698838600}" name="drawHealthyOpt" dataDxfId="428"/>
    <tableColumn id="10" xr3:uid="{753AE908-B8F7-4755-A14E-2E1E59469E8A}" name="drawAffected" dataDxfId="427"/>
    <tableColumn id="11" xr3:uid="{D03036E5-8D06-4E7F-BB85-96DBC77A1AB8}" name="drawAffectedOpt" dataDxfId="426"/>
    <tableColumn id="12" xr3:uid="{0B119876-E4A1-4259-A0EB-11CA638D4E19}" name="drawHealthyUpdate" dataDxfId="42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14459BC-CFAD-44F3-8B4D-B66405C5FF17}" name="approach1_10cimxml" displayName="approach1_10cimxml" ref="A44:L54" totalsRowShown="0" headerRowDxfId="424" dataDxfId="422" headerRowBorderDxfId="423" tableBorderDxfId="421">
  <autoFilter ref="A44:L54" xr:uid="{00000000-0009-0000-0100-000033000000}"/>
  <tableColumns count="12">
    <tableColumn id="1" xr3:uid="{7568BE0F-6CA8-4992-B6BA-9778148ADD58}" name="Iterations" dataDxfId="420"/>
    <tableColumn id="2" xr3:uid="{C3F72CC6-3625-4E70-8976-7001F60252EC}" name="basic" dataDxfId="419"/>
    <tableColumn id="3" xr3:uid="{9607EDBE-C295-43CF-860A-9F19AD0D0E99}" name="drawFeeder" dataDxfId="418"/>
    <tableColumn id="4" xr3:uid="{67C495CB-4703-4C0C-B6ED-54F2A5224777}" name="drawFeederOpt" dataDxfId="417"/>
    <tableColumn id="5" xr3:uid="{95346BFB-F1DA-43EF-8A5C-693ADC2CA9A2}" name="drawHazard" dataDxfId="416"/>
    <tableColumn id="6" xr3:uid="{23314EBE-BE78-48E0-B5FE-1C49762C9A53}" name="drawBuffer" dataDxfId="415"/>
    <tableColumn id="7" xr3:uid="{82801F7E-E60C-46A7-AE3A-B63ED6697E66}" name="drawBufferOpt" dataDxfId="414"/>
    <tableColumn id="8" xr3:uid="{ED38EF67-2FC6-4DE5-A39A-DE3D99964FC9}" name="drawHealthy" dataDxfId="413"/>
    <tableColumn id="9" xr3:uid="{3890EE44-6023-4BAA-AFFC-EA3946E51B86}" name="drawHealthyOpt" dataDxfId="412"/>
    <tableColumn id="10" xr3:uid="{6D383B22-DC61-47DC-B4F6-95D29E3BCE74}" name="drawAffected" dataDxfId="411"/>
    <tableColumn id="11" xr3:uid="{D48DA88C-8905-46A7-8E36-B63381EBA608}" name="drawAffectedOpt" dataDxfId="410"/>
    <tableColumn id="12" xr3:uid="{4F2DE58C-41FE-40F9-A148-C06409BF04C1}" name="drawHealthyUpdate" dataDxfId="409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D37B6ED-0C32-4A3A-A090-55C08306B8EA}" name="marklogic_rdf4j_10cimxml" displayName="marklogic_rdf4j_10cimxml" ref="A30:L40" totalsRowShown="0" headerRowDxfId="408" dataDxfId="406" headerRowBorderDxfId="407" tableBorderDxfId="405">
  <autoFilter ref="A30:L40" xr:uid="{00000000-0009-0000-0100-000034000000}"/>
  <tableColumns count="12">
    <tableColumn id="1" xr3:uid="{0B855054-3964-4371-9B05-B344861FEC6A}" name="Iterations" dataDxfId="404"/>
    <tableColumn id="2" xr3:uid="{9DAFB40F-A052-4263-A795-6D98C0F7E1F1}" name="basic" dataDxfId="403"/>
    <tableColumn id="3" xr3:uid="{D5630B08-A78B-4466-9261-102F58C4EE2E}" name="drawFeeder" dataDxfId="402"/>
    <tableColumn id="4" xr3:uid="{1DB77421-C90B-48ED-8F58-B580CFB4FBFE}" name="drawFeederOpt" dataDxfId="401"/>
    <tableColumn id="5" xr3:uid="{4B07E99E-C0FD-4A1C-9033-75279996EF6B}" name="drawHazard" dataDxfId="400"/>
    <tableColumn id="6" xr3:uid="{A30B1B7C-A1D6-42EC-BF6B-2DCCFFEA3077}" name="drawBuffer" dataDxfId="399"/>
    <tableColumn id="7" xr3:uid="{257C5CAB-7D70-4083-AD13-EB2487507706}" name="drawBufferOpt" dataDxfId="398"/>
    <tableColumn id="8" xr3:uid="{6CEAE185-5836-4E5D-94B2-4465202DE412}" name="drawHealthy" dataDxfId="397"/>
    <tableColumn id="9" xr3:uid="{D8B9BE95-666D-42C6-923D-0BD90020831B}" name="drawHealthyOpt" dataDxfId="396"/>
    <tableColumn id="10" xr3:uid="{14F18EFB-3DBC-4909-9EFA-A8E7CF31F0D9}" name="drawAffected" dataDxfId="395"/>
    <tableColumn id="11" xr3:uid="{D7BEAF43-50F6-40E5-86B2-2C95EE4101C8}" name="drawAffectedOpt" dataDxfId="394"/>
    <tableColumn id="12" xr3:uid="{B947E369-7DDD-461A-8818-C394B59367A4}" name="drawHealthyUpdate" dataDxfId="39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9B84653-05CD-47E3-BF60-2877C36C73AB}" name="nativeRepository_10cimxml" displayName="nativeRepository_10cimxml" ref="A16:L26" totalsRowShown="0" headerRowDxfId="392" dataDxfId="390" headerRowBorderDxfId="391" tableBorderDxfId="389">
  <autoFilter ref="A16:L26" xr:uid="{00000000-0009-0000-0100-000035000000}"/>
  <tableColumns count="12">
    <tableColumn id="1" xr3:uid="{C7D3429A-01A5-4B26-A43F-8B5DCCA2D0F1}" name="Iterations" dataDxfId="388"/>
    <tableColumn id="2" xr3:uid="{C98E7126-4560-4CFC-9982-E8CB02357133}" name="basic" dataDxfId="387"/>
    <tableColumn id="3" xr3:uid="{EC238969-8F20-416F-9167-36186F537D0E}" name="drawFeeder" dataDxfId="386"/>
    <tableColumn id="4" xr3:uid="{0595B2EF-A0F8-4458-ADAB-1867D6307F1B}" name="drawFeederOpt" dataDxfId="385"/>
    <tableColumn id="5" xr3:uid="{68C5C2B5-ADAD-4C77-828D-07167AB99044}" name="drawHazard" dataDxfId="384"/>
    <tableColumn id="6" xr3:uid="{64361282-7A57-449A-AB8A-1D63A85231CD}" name="drawBuffer" dataDxfId="383"/>
    <tableColumn id="7" xr3:uid="{330A5A52-4DD7-439C-9883-881524247DB2}" name="drawBufferOpt" dataDxfId="382"/>
    <tableColumn id="8" xr3:uid="{8948B4D7-6FD2-4482-A546-064A2A162692}" name="drawHealthy" dataDxfId="381"/>
    <tableColumn id="9" xr3:uid="{B60C505C-3F4A-45A8-B647-FA40E172A323}" name="drawHealthyOpt" dataDxfId="380"/>
    <tableColumn id="10" xr3:uid="{DEE71F96-8549-4F50-B989-2094013A6DFB}" name="drawAffected" dataDxfId="379"/>
    <tableColumn id="11" xr3:uid="{B4A7F594-CF2B-4950-A57A-F1CDE0BD47C1}" name="drawAffectedOpt" dataDxfId="378"/>
    <tableColumn id="12" xr3:uid="{D40165C0-5EAE-457A-BBE3-16D73ED1607F}" name="drawHealthyUpdate" dataDxfId="377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4446A3C-3437-4B2F-B905-A97453C4ED67}" name="defaultRepository_10cimxml" displayName="defaultRepository_10cimxml" ref="A2:L12" totalsRowShown="0" headerRowDxfId="376" dataDxfId="374" headerRowBorderDxfId="375" tableBorderDxfId="373">
  <autoFilter ref="A2:L12" xr:uid="{00000000-0009-0000-0100-000036000000}"/>
  <tableColumns count="12">
    <tableColumn id="1" xr3:uid="{2A5BBB56-C05D-4318-B4C4-1B33929905FC}" name="Iterations" dataDxfId="372"/>
    <tableColumn id="2" xr3:uid="{CAAD297F-7AFA-4389-A885-B20F04C667D4}" name="basic" dataDxfId="371"/>
    <tableColumn id="3" xr3:uid="{7AD26D32-742A-48EC-926A-566BBD766FDF}" name="drawFeeder" dataDxfId="370"/>
    <tableColumn id="4" xr3:uid="{4CDFCDC9-2B1C-42FF-A62E-19705508301A}" name="drawFeederOpt" dataDxfId="369"/>
    <tableColumn id="5" xr3:uid="{5BF9386F-0494-483C-B902-D24793C50959}" name="drawHazard" dataDxfId="368"/>
    <tableColumn id="6" xr3:uid="{BDAEFFFB-9A17-45B1-8A84-D7EF48DCA1C5}" name="drawBuffer" dataDxfId="367"/>
    <tableColumn id="7" xr3:uid="{E6A3D879-321F-47E2-9B45-B69D060D5E52}" name="drawBufferOpt" dataDxfId="366"/>
    <tableColumn id="8" xr3:uid="{44F7FFE9-D7F9-410C-989F-208310B3AF53}" name="drawHealthy" dataDxfId="365"/>
    <tableColumn id="9" xr3:uid="{BE6AE810-FCCB-4829-8362-4D2C0EA43037}" name="drawHealthyOpt" dataDxfId="364"/>
    <tableColumn id="10" xr3:uid="{C430BCA4-F088-4F38-BABF-260887553693}" name="drawAffected" dataDxfId="363"/>
    <tableColumn id="11" xr3:uid="{05E68965-7402-4E11-83DB-3E6AD482C0AA}" name="drawAffectedOpt" dataDxfId="362"/>
    <tableColumn id="12" xr3:uid="{86D462BC-8D1E-41E7-9FFF-4C27AD4018A2}" name="drawHealthyUpdate" dataDxfId="361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5DFAED1-850B-4DC8-8CD7-73D8C5D95835}" name="defaultRepository_100cimxml" displayName="defaultRepository_100cimxml" ref="A2:L12" totalsRowShown="0" headerRowDxfId="360" dataDxfId="358" headerRowBorderDxfId="359" tableBorderDxfId="357">
  <autoFilter ref="A2:L12" xr:uid="{00000000-0009-0000-0100-00002D000000}"/>
  <tableColumns count="12">
    <tableColumn id="1" xr3:uid="{08E86960-D394-45CB-8C7E-8FF81E66A2A2}" name="Iterations" dataDxfId="356"/>
    <tableColumn id="2" xr3:uid="{D2B2BFF2-97D8-41A6-B7A6-A350449ECC52}" name="basic" dataDxfId="355"/>
    <tableColumn id="3" xr3:uid="{BEF3DB28-222A-4198-8E67-C3EC1D608DCD}" name="drawFeeder" dataDxfId="354"/>
    <tableColumn id="4" xr3:uid="{85BAFD24-36BD-4A02-B5C0-379F7BA60880}" name="drawFeederOpt" dataDxfId="353"/>
    <tableColumn id="5" xr3:uid="{D6223BDD-4246-4D9A-BBA4-ED7763E63A89}" name="drawHazard" dataDxfId="352"/>
    <tableColumn id="6" xr3:uid="{E23F1BDC-682B-4873-A28E-ADBE30ECC0B9}" name="drawBuffer" dataDxfId="351"/>
    <tableColumn id="7" xr3:uid="{546A0530-EC58-441A-AAD6-877761E88C7D}" name="drawBufferOpt" dataDxfId="350"/>
    <tableColumn id="8" xr3:uid="{B7C48636-1E49-441B-B606-3B5B3C0BBE2E}" name="drawHealthy" dataDxfId="349"/>
    <tableColumn id="9" xr3:uid="{9ED573B8-C7EF-4BA2-8859-096FC373A6E1}" name="drawHealthyOpt" dataDxfId="348"/>
    <tableColumn id="10" xr3:uid="{966BFF21-ECDF-455F-A099-04F466F8124D}" name="drawAffected" dataDxfId="347"/>
    <tableColumn id="11" xr3:uid="{75D3EA83-FE61-4E89-8E3A-4BD59FAF3BB0}" name="drawAffectedOpt" dataDxfId="346"/>
    <tableColumn id="12" xr3:uid="{65E0E907-C088-43A4-952A-5FA9D6FCA9BE}" name="drawHealthyUpdate" dataDxfId="34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B77248B-B52C-4452-A218-3E300077DAD5}" name="nativeRepository_100cimxml" displayName="nativeRepository_100cimxml" ref="A16:L26" totalsRowShown="0" headerRowDxfId="344" dataDxfId="342" headerRowBorderDxfId="343" tableBorderDxfId="341">
  <autoFilter ref="A16:L26" xr:uid="{00000000-0009-0000-0100-00002E000000}"/>
  <tableColumns count="12">
    <tableColumn id="1" xr3:uid="{3728E045-5395-47B7-97E9-BE22FA10C2B2}" name="Iterations" dataDxfId="340"/>
    <tableColumn id="2" xr3:uid="{DBBF2B2B-B5DE-498E-8DAC-A09BADD1789C}" name="basic" dataDxfId="339"/>
    <tableColumn id="3" xr3:uid="{17C7A77D-C6BE-4495-B097-FD65B837F48D}" name="drawFeeder" dataDxfId="338"/>
    <tableColumn id="4" xr3:uid="{5A20B74B-61CC-4785-95BE-9080C70CF000}" name="drawFeederOpt" dataDxfId="337"/>
    <tableColumn id="5" xr3:uid="{E7D411DE-4F5D-4871-9B54-6270C9618D72}" name="drawHazard" dataDxfId="336"/>
    <tableColumn id="6" xr3:uid="{18D3CD9D-9157-4E53-AA21-266730468236}" name="drawBuffer" dataDxfId="335"/>
    <tableColumn id="7" xr3:uid="{052164CB-25CD-454D-AB7F-DCD361BD0832}" name="drawBufferOpt" dataDxfId="334"/>
    <tableColumn id="8" xr3:uid="{60E6A814-718A-44E8-98E1-501F18B2F278}" name="drawHealthy" dataDxfId="333"/>
    <tableColumn id="9" xr3:uid="{7F5E52BF-5435-4930-9E08-A25D8FA3F2FA}" name="drawHealthyOpt" dataDxfId="332"/>
    <tableColumn id="10" xr3:uid="{1A5191C2-82A4-4969-B268-FABAD7EBC25C}" name="drawAffected" dataDxfId="331"/>
    <tableColumn id="11" xr3:uid="{FF5C5F52-0D5F-453F-8F24-E05D6717F11A}" name="drawAffectedOpt" dataDxfId="330"/>
    <tableColumn id="12" xr3:uid="{D38FC7AC-4E86-4D69-9CCA-48D03E073E1D}" name="drawHealthyUpdate" dataDxfId="329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EF26DED-17E4-410A-8D6A-25E6121771A9}" name="marklogic_rdf4j_100cimxml" displayName="marklogic_rdf4j_100cimxml" ref="A30:L40" totalsRowShown="0" headerRowDxfId="328" dataDxfId="326" headerRowBorderDxfId="327" tableBorderDxfId="325">
  <autoFilter ref="A30:L40" xr:uid="{00000000-0009-0000-0100-00002F000000}"/>
  <tableColumns count="12">
    <tableColumn id="1" xr3:uid="{40FFA906-CE22-4AC3-85B8-DF553DD70FDC}" name="Iterations" dataDxfId="324"/>
    <tableColumn id="2" xr3:uid="{281B2D5A-504A-472D-9C58-51F2E5EE27C8}" name="basic" dataDxfId="323"/>
    <tableColumn id="3" xr3:uid="{10CC4683-B1A0-4F4D-B974-BB3A6C42B333}" name="drawFeeder" dataDxfId="322"/>
    <tableColumn id="4" xr3:uid="{1B537C1D-5CC0-4234-9AC7-CF7F619460C1}" name="drawFeederOpt" dataDxfId="321"/>
    <tableColumn id="5" xr3:uid="{FC44E05B-BCAF-4B1E-BB51-854911DC9F45}" name="drawHazard" dataDxfId="320"/>
    <tableColumn id="6" xr3:uid="{D243C4BC-32B3-4763-B7CF-76C16EC77A43}" name="drawBuffer" dataDxfId="319"/>
    <tableColumn id="7" xr3:uid="{7785D7F7-3B04-4050-98B4-566C2C959449}" name="drawBufferOpt" dataDxfId="318"/>
    <tableColumn id="8" xr3:uid="{D627AB04-B9C8-4FEB-80C3-B2507389FC95}" name="drawHealthy" dataDxfId="317"/>
    <tableColumn id="9" xr3:uid="{0A1C341B-104C-47DE-B5C1-29B4776F19D8}" name="drawHealthyOpt" dataDxfId="316"/>
    <tableColumn id="10" xr3:uid="{F4B64E2F-6B0E-4339-8FC3-C2A23C8AC746}" name="drawAffected" dataDxfId="315"/>
    <tableColumn id="11" xr3:uid="{0B4ADE9D-E38B-44BB-B3AE-A3D1F3E27D84}" name="drawAffectedOpt" dataDxfId="314"/>
    <tableColumn id="12" xr3:uid="{14F66905-2CB5-40DB-B964-DE1482749288}" name="drawHealthyUpdate" dataDxfId="313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D269C46-E769-4730-B7FF-E2B02CF31597}" name="approach1_100cimxml" displayName="approach1_100cimxml" ref="A44:L54" totalsRowShown="0" headerRowDxfId="312" dataDxfId="310" headerRowBorderDxfId="311" tableBorderDxfId="309">
  <autoFilter ref="A44:L54" xr:uid="{00000000-0009-0000-0100-000030000000}"/>
  <tableColumns count="12">
    <tableColumn id="1" xr3:uid="{BBF86E00-9992-48F9-A31A-C1DA701F13BA}" name="Iterations" dataDxfId="308"/>
    <tableColumn id="2" xr3:uid="{0706FC6C-BC29-44EC-B4ED-7B4CF581071C}" name="basic" dataDxfId="307"/>
    <tableColumn id="3" xr3:uid="{215AB9B6-78B0-4155-B673-EAA871DA8B6E}" name="drawFeeder" dataDxfId="306"/>
    <tableColumn id="4" xr3:uid="{D1768DCE-709E-4C5C-971B-72E560EEF1FA}" name="drawFeederOpt" dataDxfId="305"/>
    <tableColumn id="5" xr3:uid="{1CF69C02-2832-4793-B8A3-C6DDCA003DEE}" name="drawHazard" dataDxfId="304"/>
    <tableColumn id="6" xr3:uid="{76C82B46-BF12-46C1-ACC6-EDC089C7F837}" name="drawBuffer" dataDxfId="303"/>
    <tableColumn id="7" xr3:uid="{53FC5881-4CBE-4ECE-90E7-147B94606FB3}" name="drawBufferOpt" dataDxfId="302"/>
    <tableColumn id="8" xr3:uid="{1B8A4295-41FC-4C0D-841C-BC9CC7188B33}" name="drawHealthy" dataDxfId="301"/>
    <tableColumn id="9" xr3:uid="{29BBDA87-B0DF-441C-A307-C616066BBE61}" name="drawHealthyOpt" dataDxfId="300"/>
    <tableColumn id="10" xr3:uid="{8ED05341-A140-4BF4-81CB-A480A4CBA988}" name="drawAffected" dataDxfId="299"/>
    <tableColumn id="11" xr3:uid="{8E8D936B-F832-401B-82F7-246BBF789C60}" name="drawAffectedOpt" dataDxfId="298"/>
    <tableColumn id="12" xr3:uid="{5A670124-2E02-4B40-A695-87397F447CB5}" name="drawHealthyUpdate" dataDxfId="297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7FD4F0D-62F8-4283-9550-7AE971D1E222}" name="approach2_100cimxml" displayName="approach2_100cimxml" ref="A58:L68" totalsRowShown="0" headerRowDxfId="296" dataDxfId="294" headerRowBorderDxfId="295" tableBorderDxfId="293">
  <autoFilter ref="A58:L68" xr:uid="{00000000-0009-0000-0100-000031000000}"/>
  <tableColumns count="12">
    <tableColumn id="1" xr3:uid="{4E765E0E-9158-4866-BA9A-55A817854FC2}" name="Iterations" dataDxfId="292"/>
    <tableColumn id="2" xr3:uid="{9F0A0FE0-DD49-4348-A596-DCD3DA833F2E}" name="basic" dataDxfId="291"/>
    <tableColumn id="3" xr3:uid="{74B2A579-9AB9-47FE-8B6A-AD486C616402}" name="drawFeeder" dataDxfId="290"/>
    <tableColumn id="4" xr3:uid="{3FC46E75-15EE-4BFA-BC5D-13B0AAE552F4}" name="drawFeederOpt" dataDxfId="289"/>
    <tableColumn id="5" xr3:uid="{3C461BBA-36B3-402E-9ED8-147181017816}" name="drawHazard" dataDxfId="288"/>
    <tableColumn id="6" xr3:uid="{E30F4B1E-1DB0-4FFF-8548-E689F1915E2F}" name="drawBuffer" dataDxfId="287"/>
    <tableColumn id="7" xr3:uid="{4CBB4ECD-1FC9-4035-A452-D66340F0B11A}" name="drawBufferOpt" dataDxfId="286"/>
    <tableColumn id="8" xr3:uid="{54AAAA85-C0B8-47DE-9CE5-E96443831818}" name="drawHealthy" dataDxfId="285"/>
    <tableColumn id="9" xr3:uid="{8720AA38-0A67-49BA-8D7B-482F7B2DCA24}" name="drawHealthyOpt" dataDxfId="284"/>
    <tableColumn id="10" xr3:uid="{813E5D6D-B44A-487A-8FFD-B7FECBD9B5A8}" name="drawAffected" dataDxfId="283"/>
    <tableColumn id="11" xr3:uid="{0C6D72B6-1380-44F8-905F-553F2A308514}" name="drawAffectedOpt" dataDxfId="282"/>
    <tableColumn id="12" xr3:uid="{F22D71AF-3B8F-4DA7-885A-47063D906B1B}" name="drawHealthyUpdate" dataDxfId="281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4848E67-FEFD-4A1F-BC62-54ABE1A11954}" name="defaultRepository_1000cimxml" displayName="defaultRepository_1000cimxml" ref="A2:L12" totalsRowShown="0" headerRowDxfId="280" dataDxfId="278" headerRowBorderDxfId="279" tableBorderDxfId="277">
  <autoFilter ref="A2:L12" xr:uid="{00000000-0009-0000-0100-000028000000}"/>
  <tableColumns count="12">
    <tableColumn id="1" xr3:uid="{68F5E428-943D-43BF-97E1-37855C322091}" name="Iterations" dataDxfId="276"/>
    <tableColumn id="2" xr3:uid="{CC783DB9-C70E-4D01-AAD2-EA448BF0DDA8}" name="basic" dataDxfId="275"/>
    <tableColumn id="3" xr3:uid="{0D9128A7-9F78-460F-9E87-FE0100F3C2BD}" name="drawFeeder" dataDxfId="274"/>
    <tableColumn id="4" xr3:uid="{33EFEA57-B3FB-4E89-B589-EFEBBD5CE318}" name="drawFeederOpt" dataDxfId="273"/>
    <tableColumn id="5" xr3:uid="{BF7809B6-48A0-433B-9B96-B495937C0606}" name="drawHazard" dataDxfId="272"/>
    <tableColumn id="6" xr3:uid="{E326D7B8-A7D5-4D05-9A5B-07BCC92CEAA7}" name="drawBuffer" dataDxfId="271"/>
    <tableColumn id="7" xr3:uid="{E887CB56-594F-475B-B6DE-7C48C286A0EB}" name="drawBufferOpt" dataDxfId="270"/>
    <tableColumn id="8" xr3:uid="{55256D22-CAF1-4506-92DC-C9899872F6E3}" name="drawHealthy" dataDxfId="269"/>
    <tableColumn id="9" xr3:uid="{5622F71B-91DB-4524-8531-FF2C3868EDB4}" name="drawHealthyOpt" dataDxfId="268"/>
    <tableColumn id="10" xr3:uid="{72DE28DC-1BCF-4B7F-85AD-1D6B128B0C19}" name="drawAffected" dataDxfId="267"/>
    <tableColumn id="11" xr3:uid="{6E2B5855-43CA-4769-945B-BDCE9F17799E}" name="drawAffectedOpt" dataDxfId="266"/>
    <tableColumn id="12" xr3:uid="{760F8F5A-F622-4A31-AEBC-8394D2CCFA50}" name="drawHealthyUpdate" dataDxfId="265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6FB264B-E14A-40D7-A3F9-3296957FD5DA}" name="nativeRepository_1000cimxml" displayName="nativeRepository_1000cimxml" ref="A16:L26" totalsRowShown="0" headerRowDxfId="264" dataDxfId="262" headerRowBorderDxfId="263" tableBorderDxfId="261">
  <autoFilter ref="A16:L26" xr:uid="{00000000-0009-0000-0100-000029000000}"/>
  <tableColumns count="12">
    <tableColumn id="1" xr3:uid="{1F88B791-28C4-4844-A6A2-8578BB650EAF}" name="Iterations" dataDxfId="260"/>
    <tableColumn id="2" xr3:uid="{E61B449F-B630-4ADC-877A-6427544A5CBE}" name="basic" dataDxfId="259"/>
    <tableColumn id="3" xr3:uid="{B47B41BC-6465-4335-8B9B-C747022056A9}" name="drawFeeder" dataDxfId="258"/>
    <tableColumn id="4" xr3:uid="{8B74B025-34BA-4B48-B3DF-163868F0CCDB}" name="drawFeederOpt" dataDxfId="257"/>
    <tableColumn id="5" xr3:uid="{A33416F3-67CD-4981-9B2E-0F727A28207F}" name="drawHazard" dataDxfId="256"/>
    <tableColumn id="6" xr3:uid="{784A0F2E-EB52-4DF9-A0EE-31B9E3E30E5F}" name="drawBuffer" dataDxfId="255"/>
    <tableColumn id="7" xr3:uid="{01F5D215-FCB8-4392-9C0D-2995F5A01F58}" name="drawBufferOpt" dataDxfId="254"/>
    <tableColumn id="8" xr3:uid="{5FC4800E-5921-4C7C-A621-C9AD943A8144}" name="drawHealthy" dataDxfId="253"/>
    <tableColumn id="9" xr3:uid="{B15F26ED-1EF5-480B-82D5-364D5E0952E9}" name="drawHealthyOpt" dataDxfId="252"/>
    <tableColumn id="10" xr3:uid="{652FC98E-031D-4A5F-A8BD-4942FC0C6B4D}" name="drawAffected" dataDxfId="251"/>
    <tableColumn id="11" xr3:uid="{516FC904-4998-4343-BD91-051E41CF8747}" name="drawAffectedOpt" dataDxfId="250"/>
    <tableColumn id="12" xr3:uid="{2A9D40A1-2845-4C57-9C18-78CBC8DCC2A8}" name="drawHealthyUpdate" dataDxfId="249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7D93245-9310-429D-B380-B82747BC2E84}" name="marklogic_rdf4j_1000cimxml" displayName="marklogic_rdf4j_1000cimxml" ref="A30:L40" totalsRowShown="0" headerRowDxfId="248" dataDxfId="246" headerRowBorderDxfId="247" tableBorderDxfId="245">
  <autoFilter ref="A30:L40" xr:uid="{00000000-0009-0000-0100-00002A000000}"/>
  <tableColumns count="12">
    <tableColumn id="1" xr3:uid="{BE7310D1-77B4-4693-B39A-7E01881A1D37}" name="Iterations" dataDxfId="244"/>
    <tableColumn id="2" xr3:uid="{2EC0C989-CA3B-47E3-9D5B-B85797DBA1EE}" name="basic" dataDxfId="243"/>
    <tableColumn id="3" xr3:uid="{7C14FE90-548B-4115-B3BF-BE0852E31895}" name="drawFeeder" dataDxfId="242"/>
    <tableColumn id="4" xr3:uid="{B647A3E1-1D59-486E-919F-4699776355CC}" name="drawFeederOpt" dataDxfId="241"/>
    <tableColumn id="5" xr3:uid="{CAE6D655-CA04-4D5F-80FB-E5C1FD04A8C7}" name="drawHazard" dataDxfId="240"/>
    <tableColumn id="6" xr3:uid="{50A70428-37AB-4F10-A6F2-844DB172F61C}" name="drawBuffer" dataDxfId="239"/>
    <tableColumn id="7" xr3:uid="{AF2C0E38-2A3B-497C-B94C-D5B039F82A2C}" name="drawBufferOpt" dataDxfId="238"/>
    <tableColumn id="8" xr3:uid="{029C536F-4FEF-4665-9B33-3DC035486FC2}" name="drawHealthy" dataDxfId="237"/>
    <tableColumn id="9" xr3:uid="{E94431C0-BE90-4FFF-8684-BFB4CFFCEB1F}" name="drawHealthyOpt" dataDxfId="236"/>
    <tableColumn id="10" xr3:uid="{9954F078-6820-430A-837A-D732ADDFBD25}" name="drawAffected" dataDxfId="235"/>
    <tableColumn id="11" xr3:uid="{355CC423-7B4F-45EF-8A40-8FFA351BB48F}" name="drawAffectedOpt" dataDxfId="234"/>
    <tableColumn id="12" xr3:uid="{B14973E6-00FB-4123-8902-9C1C76A28A35}" name="drawHealthyUpdate" dataDxfId="233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F25F751-5DD9-482F-B433-AC48E70343CD}" name="approach1_1000cimxml" displayName="approach1_1000cimxml" ref="A44:L54" totalsRowShown="0" headerRowDxfId="232" dataDxfId="230" headerRowBorderDxfId="231" tableBorderDxfId="229">
  <autoFilter ref="A44:L54" xr:uid="{00000000-0009-0000-0100-00002B000000}"/>
  <tableColumns count="12">
    <tableColumn id="1" xr3:uid="{C3EFD22C-CA99-424C-8425-58594D9F1A2E}" name="Iterations" dataDxfId="228"/>
    <tableColumn id="2" xr3:uid="{E7251962-6C26-45C1-A490-B2A8226BBC0B}" name="basic" dataDxfId="227"/>
    <tableColumn id="3" xr3:uid="{723C4839-1ACF-413B-9411-01B5EC38EC0C}" name="drawFeeder" dataDxfId="226"/>
    <tableColumn id="4" xr3:uid="{14FB5774-209D-44AC-98E1-F9567E38A2B1}" name="drawFeederOpt" dataDxfId="225"/>
    <tableColumn id="5" xr3:uid="{DB12D34E-CBA8-47E4-83D9-994C5B9BBBB2}" name="drawHazard" dataDxfId="224"/>
    <tableColumn id="6" xr3:uid="{45CD4283-C323-480E-9546-C01AFF9C42DD}" name="drawBuffer" dataDxfId="223"/>
    <tableColumn id="7" xr3:uid="{76F7D341-9C92-41D9-BBD8-274BCA8BCCAD}" name="drawBufferOpt" dataDxfId="222"/>
    <tableColumn id="8" xr3:uid="{0493CC6E-A467-4916-8380-709F8BD6A180}" name="drawHealthy" dataDxfId="221"/>
    <tableColumn id="9" xr3:uid="{0A6A5859-9D14-486C-AB1F-0D4A9A3F67E9}" name="drawHealthyOpt" dataDxfId="220"/>
    <tableColumn id="10" xr3:uid="{A363ABAD-D77A-4E3A-8F12-F1EA5D099633}" name="drawAffected" dataDxfId="219"/>
    <tableColumn id="11" xr3:uid="{5A044B7B-721A-4329-8F77-14D753F9425F}" name="drawAffectedOpt" dataDxfId="218"/>
    <tableColumn id="12" xr3:uid="{F943C82B-DA9F-4AB4-BA9F-E8D898E86862}" name="drawHealthyUpdate" dataDxfId="217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1B3A33F-34DC-415C-B404-5BC72D344172}" name="approach2_1000cimxml" displayName="approach2_1000cimxml" ref="A58:L68" totalsRowShown="0" headerRowDxfId="216" dataDxfId="214" headerRowBorderDxfId="215" tableBorderDxfId="213">
  <autoFilter ref="A58:L68" xr:uid="{00000000-0009-0000-0100-00002C000000}"/>
  <tableColumns count="12">
    <tableColumn id="1" xr3:uid="{9AC5AF06-0594-47E7-8233-2472A353A46E}" name="Iterations" dataDxfId="212"/>
    <tableColumn id="2" xr3:uid="{9BA9054F-95C7-4AE0-A215-567B4D2FDA88}" name="basic" dataDxfId="211"/>
    <tableColumn id="3" xr3:uid="{AD8DF32E-9272-414A-9426-635F47BB24A0}" name="drawFeeder" dataDxfId="210"/>
    <tableColumn id="4" xr3:uid="{A5F4A6D2-57CF-4917-BF6E-A51EEF6D856B}" name="drawFeederOpt" dataDxfId="209"/>
    <tableColumn id="5" xr3:uid="{35A1CBCC-F65B-407E-A1F0-95BBA42270AB}" name="drawHazard" dataDxfId="208"/>
    <tableColumn id="6" xr3:uid="{AA82B7E9-0710-44EF-B4CB-42C057B0BE96}" name="drawBuffer" dataDxfId="207"/>
    <tableColumn id="7" xr3:uid="{07489FC2-0396-4019-A584-79F37B83ECF0}" name="drawBufferOpt" dataDxfId="206"/>
    <tableColumn id="8" xr3:uid="{2B160440-B1F2-4F49-B365-6E76D385B1AA}" name="drawHealthy" dataDxfId="205"/>
    <tableColumn id="9" xr3:uid="{CA672B7A-CC70-4488-8884-718FC6E63CF7}" name="drawHealthyOpt" dataDxfId="204"/>
    <tableColumn id="10" xr3:uid="{D16BCC35-CA5D-48A7-91A3-C5C6291E9C96}" name="drawAffected" dataDxfId="203"/>
    <tableColumn id="11" xr3:uid="{90A701D7-8749-4FD1-9CF7-67AAE46C8FEE}" name="drawAffectedOpt" dataDxfId="202"/>
    <tableColumn id="12" xr3:uid="{A2819CA7-46C6-4A87-B5E7-EE40D236F999}" name="drawHealthyUpdate" dataDxfId="201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A8768-F6C0-41DA-92D2-3DE3522BDD48}" name="cd_1cimxml" displayName="cd_1cimxml" ref="A1:L6" totalsRowShown="0" headerRowDxfId="200" dataDxfId="198" headerRowBorderDxfId="199" tableBorderDxfId="197">
  <autoFilter ref="A1:L6" xr:uid="{767A8768-F6C0-41DA-92D2-3DE3522BDD48}"/>
  <tableColumns count="12">
    <tableColumn id="1" xr3:uid="{B46CA397-8CC0-446A-8B34-29FD36C54F33}" name="Repositories" dataDxfId="196"/>
    <tableColumn id="2" xr3:uid="{4F9E02D9-84BC-48C3-AA7B-0F1184152DC3}" name="basic" dataDxfId="195">
      <calculatedColumnFormula>IFERROR(AVERAGE([2]!defaultRepository_1cimxml[drawFeeder]), "-")</calculatedColumnFormula>
    </tableColumn>
    <tableColumn id="3" xr3:uid="{39E0D932-5FF8-44AE-A2C2-5731D9535948}" name="drawFeeder" dataDxfId="194">
      <calculatedColumnFormula>IFERROR(AVERAGE([2]!defaultRepository_1cimxml[drawFeeder]), "-")</calculatedColumnFormula>
    </tableColumn>
    <tableColumn id="4" xr3:uid="{A35DB389-5B0E-4B43-B0EF-9E0998230910}" name="drawFeederOpt" dataDxfId="193"/>
    <tableColumn id="5" xr3:uid="{B5BB073F-B93B-48CD-BEF1-280AEB366036}" name="drawHazard" dataDxfId="192"/>
    <tableColumn id="6" xr3:uid="{6455EB1F-F613-465E-A4F3-8DF2960EE572}" name="drawBuffer" dataDxfId="191"/>
    <tableColumn id="7" xr3:uid="{F30AEF34-DE29-4E2E-8485-C366524DE445}" name="drawBufferOpt" dataDxfId="190"/>
    <tableColumn id="8" xr3:uid="{396A8C81-6C72-4577-B1C4-A0CAF690C052}" name="drawHealthy" dataDxfId="189"/>
    <tableColumn id="9" xr3:uid="{9DC0D309-4DC0-47BE-9E8A-6C6D9B9F82BE}" name="drawHealthyOpt" dataDxfId="188"/>
    <tableColumn id="10" xr3:uid="{46CB659E-16A3-46D5-BA71-4C70D420721C}" name="drawAffected" dataDxfId="187"/>
    <tableColumn id="11" xr3:uid="{1A216A0A-3B0F-4662-B154-DF9BE528CEEA}" name="drawAffectedOpt" dataDxfId="186"/>
    <tableColumn id="12" xr3:uid="{E463B4A8-0F91-482C-BF12-8253645550D5}" name="drawHealthyUpdate" dataDxfId="185">
      <calculatedColumnFormula>IFERROR(AVERAGE(defaultRepository_1cimxml[drawHealthyUpdate]), 0)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C5C79E-A196-4C0A-89AF-EA1506A4477E}" name="cd_10cimxml" displayName="cd_10cimxml" ref="A9:L14" totalsRowShown="0" headerRowDxfId="184" dataDxfId="182" headerRowBorderDxfId="183" tableBorderDxfId="181">
  <autoFilter ref="A9:L14" xr:uid="{B7C5C79E-A196-4C0A-89AF-EA1506A4477E}"/>
  <tableColumns count="12">
    <tableColumn id="1" xr3:uid="{3C9D3B99-3554-4338-AB33-390009FA78B7}" name="Repositories" dataDxfId="180"/>
    <tableColumn id="2" xr3:uid="{571521EA-60F4-4378-9E76-39BA8EBE01B6}" name="basic" dataDxfId="179">
      <calculatedColumnFormula>IFERROR(AVERAGE([2]!defaultRepository_1cimxml[drawFeeder]), "-")</calculatedColumnFormula>
    </tableColumn>
    <tableColumn id="3" xr3:uid="{FFFEBA7A-DE49-46B7-B3B6-4E297B7CF11E}" name="drawFeeder" dataDxfId="178">
      <calculatedColumnFormula>IFERROR(AVERAGE([2]!defaultRepository_1cimxml[drawFeeder]), "-")</calculatedColumnFormula>
    </tableColumn>
    <tableColumn id="4" xr3:uid="{21DFEF88-2AAB-4A3F-B662-07B3782E132F}" name="drawFeederOpt" dataDxfId="177"/>
    <tableColumn id="5" xr3:uid="{F22E95E3-C0B6-418B-9699-FF677B70E5C4}" name="drawHazard" dataDxfId="176"/>
    <tableColumn id="6" xr3:uid="{405AA27E-F780-404A-928C-18C2A83E9F27}" name="drawBuffer" dataDxfId="175"/>
    <tableColumn id="7" xr3:uid="{594A2929-39B9-4B7C-9AA2-CB0B03F792BF}" name="drawBufferOpt" dataDxfId="174"/>
    <tableColumn id="8" xr3:uid="{AEA8800D-66EA-4BD5-B8AB-5F5971526975}" name="drawHealthy" dataDxfId="173"/>
    <tableColumn id="9" xr3:uid="{E1D40494-1978-4073-BD5A-896350CFAE54}" name="drawHealthyOpt" dataDxfId="172"/>
    <tableColumn id="10" xr3:uid="{3F25380C-AFA4-4DAB-8DE2-86344438AAA9}" name="drawAffected" dataDxfId="171"/>
    <tableColumn id="11" xr3:uid="{B00EFAA6-1A21-4C3C-80B1-F4CD1456F354}" name="drawAffectedOpt" dataDxfId="170"/>
    <tableColumn id="12" xr3:uid="{54EBD126-5724-46A4-BF1F-42DD3C7D0FAB}" name="drawHealthyUpdate" dataDxfId="169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80B621-BE4E-42A3-B68E-392FD4479968}" name="cd_100cimxml" displayName="cd_100cimxml" ref="A17:L22" totalsRowShown="0" headerRowDxfId="168" dataDxfId="166" headerRowBorderDxfId="167" tableBorderDxfId="165">
  <autoFilter ref="A17:L22" xr:uid="{AE80B621-BE4E-42A3-B68E-392FD4479968}"/>
  <tableColumns count="12">
    <tableColumn id="1" xr3:uid="{65F6F730-E3F4-4B01-A328-9F4A05501B69}" name="Repositories" dataDxfId="164"/>
    <tableColumn id="2" xr3:uid="{C68F4EC7-23A6-4F72-89CA-084F7939A404}" name="basic" dataDxfId="163">
      <calculatedColumnFormula>IFERROR(AVERAGE([2]!defaultRepository_1cimxml[drawFeeder]), "-")</calculatedColumnFormula>
    </tableColumn>
    <tableColumn id="3" xr3:uid="{42CE6F6A-8074-4DFE-9605-03462128D0BE}" name="drawFeeder" dataDxfId="162">
      <calculatedColumnFormula>IFERROR(AVERAGE([2]!defaultRepository_1cimxml[drawFeeder]), "-")</calculatedColumnFormula>
    </tableColumn>
    <tableColumn id="4" xr3:uid="{4060CEEE-7A7A-4814-9C00-3B231216A63C}" name="drawFeederOpt" dataDxfId="161"/>
    <tableColumn id="5" xr3:uid="{1D8A30FF-AEEB-4F94-8FCD-13ABB8F96418}" name="drawHazard" dataDxfId="160"/>
    <tableColumn id="6" xr3:uid="{B82B30D5-3D00-4815-8B20-F0D9F8CE4B51}" name="drawBuffer" dataDxfId="159"/>
    <tableColumn id="7" xr3:uid="{FA401BAF-0ACD-47FE-B4E9-3F39E03094D3}" name="drawBufferOpt" dataDxfId="158"/>
    <tableColumn id="8" xr3:uid="{5D92E2D6-AE99-4429-93E2-A7A3C0326D56}" name="drawHealthy" dataDxfId="157"/>
    <tableColumn id="9" xr3:uid="{CF6F678A-48AD-429C-A40B-6C82BBECC46A}" name="drawHealthyOpt" dataDxfId="156"/>
    <tableColumn id="10" xr3:uid="{8108BBF6-7210-447C-8866-FED7ED550742}" name="drawAffected" dataDxfId="155"/>
    <tableColumn id="11" xr3:uid="{013471AF-11A1-433A-B374-2A01CFBEBD57}" name="drawAffectedOpt" dataDxfId="154"/>
    <tableColumn id="12" xr3:uid="{9EC11E50-653D-4537-A0FC-B607F5059171}" name="drawHealthyUpdate" dataDxfId="153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DC7803-46C1-4310-9A5F-BDF2B3955163}" name="cd_1000cimxml" displayName="cd_1000cimxml" ref="A25:L30" totalsRowShown="0" headerRowDxfId="152" dataDxfId="150" headerRowBorderDxfId="151" tableBorderDxfId="149">
  <autoFilter ref="A25:L30" xr:uid="{CADC7803-46C1-4310-9A5F-BDF2B3955163}"/>
  <tableColumns count="12">
    <tableColumn id="1" xr3:uid="{4F27F740-A791-43C9-9185-2F4330244818}" name="Repositories" dataDxfId="148"/>
    <tableColumn id="2" xr3:uid="{A82E8AC9-0DD2-4965-8966-796A60DEC729}" name="basic" dataDxfId="147">
      <calculatedColumnFormula>IFERROR(AVERAGE([2]!defaultRepository_1cimxml[drawFeeder]), "-")</calculatedColumnFormula>
    </tableColumn>
    <tableColumn id="3" xr3:uid="{247A10FD-7516-4A37-9935-DC93BFDC570F}" name="drawFeeder" dataDxfId="146">
      <calculatedColumnFormula>IFERROR(AVERAGE([2]!defaultRepository_1cimxml[drawFeeder]), "-")</calculatedColumnFormula>
    </tableColumn>
    <tableColumn id="4" xr3:uid="{01A36AB2-D84D-45D2-979C-7DF9EF1CCCFB}" name="drawFeederOpt" dataDxfId="145"/>
    <tableColumn id="5" xr3:uid="{1EDD7C82-063E-4AAF-A906-72B4B923C660}" name="drawHazard" dataDxfId="144"/>
    <tableColumn id="6" xr3:uid="{072E49CE-B8DF-48F4-BFC0-ACCA8C598726}" name="drawBuffer" dataDxfId="143"/>
    <tableColumn id="7" xr3:uid="{5F722E19-E019-4920-A802-D3543D947B67}" name="drawBufferOpt" dataDxfId="142"/>
    <tableColumn id="8" xr3:uid="{4EBE4C75-63BF-4CB7-BF32-255E9D934142}" name="drawHealthy" dataDxfId="141"/>
    <tableColumn id="9" xr3:uid="{3EECF9F5-B1F8-4087-BF23-EAC8A987FD19}" name="drawHealthyOpt" dataDxfId="140"/>
    <tableColumn id="10" xr3:uid="{15521F82-A72E-4256-9F60-AE8FE3069488}" name="drawAffected" dataDxfId="139"/>
    <tableColumn id="11" xr3:uid="{19C6D81A-9D43-4D66-A19C-BC4E3B9463D4}" name="drawAffectedOpt" dataDxfId="138"/>
    <tableColumn id="12" xr3:uid="{74B24D43-69EE-4409-8DDC-0C4C725A0102}" name="drawHealthyUpdate" dataDxfId="137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0BA968-002B-49B7-A1D7-EB18AC839B46}" name="tcd_1cimxml" displayName="tcd_1cimxml" ref="M33:R44" totalsRowShown="0" dataDxfId="136">
  <autoFilter ref="M33:R44" xr:uid="{AC0BA968-002B-49B7-A1D7-EB18AC839B46}"/>
  <tableColumns count="6">
    <tableColumn id="1" xr3:uid="{6A10FE1F-0972-462F-9663-F21E9D077ED3}" name="Repositories" dataDxfId="135">
      <calculatedColumnFormula>A34</calculatedColumnFormula>
    </tableColumn>
    <tableColumn id="2" xr3:uid="{325E1B34-7747-4EDD-B852-3F3D0508AD40}" name="defaultRepository" dataDxfId="134">
      <calculatedColumnFormula>B34</calculatedColumnFormula>
    </tableColumn>
    <tableColumn id="3" xr3:uid="{5845D488-90AC-4DDE-A41F-8D7CB537BF5E}" name="nativeRepository" dataDxfId="133">
      <calculatedColumnFormula>C34</calculatedColumnFormula>
    </tableColumn>
    <tableColumn id="4" xr3:uid="{47E63DA3-0B2E-4229-9802-AE4B92DEDC10}" name="marklogic_rdf4j" dataDxfId="132">
      <calculatedColumnFormula>D34</calculatedColumnFormula>
    </tableColumn>
    <tableColumn id="5" xr3:uid="{7DBFB7B9-F109-4FFF-A191-9303736CF642}" name="approach1" dataDxfId="131">
      <calculatedColumnFormula>E34</calculatedColumnFormula>
    </tableColumn>
    <tableColumn id="6" xr3:uid="{EB699117-58BA-41D5-B84E-37E27237EBE8}" name="approach2" dataDxfId="130">
      <calculatedColumnFormula>F34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155CFBE-1DF9-4BD7-9D2C-81728AA2EA57}" name="tcd_10cimxml" displayName="tcd_10cimxml" ref="M46:R57" totalsRowShown="0" dataDxfId="129">
  <autoFilter ref="M46:R57" xr:uid="{8155CFBE-1DF9-4BD7-9D2C-81728AA2EA57}"/>
  <tableColumns count="6">
    <tableColumn id="1" xr3:uid="{313FCCA1-D15D-479D-B922-295B86B0B526}" name="Repositories" dataDxfId="128">
      <calculatedColumnFormula>A47</calculatedColumnFormula>
    </tableColumn>
    <tableColumn id="2" xr3:uid="{294B8F2A-BF80-4CF9-982D-3CFACD915C28}" name="defaultRepository" dataDxfId="127">
      <calculatedColumnFormula>B47</calculatedColumnFormula>
    </tableColumn>
    <tableColumn id="3" xr3:uid="{5C6238B3-ABAB-4D1F-9906-104FCC6B0ACC}" name="nativeRepository" dataDxfId="126">
      <calculatedColumnFormula>C47</calculatedColumnFormula>
    </tableColumn>
    <tableColumn id="4" xr3:uid="{8B0D6E60-9233-4338-A471-6A8D2A668900}" name="marklogic_rdf4j" dataDxfId="125">
      <calculatedColumnFormula>D47</calculatedColumnFormula>
    </tableColumn>
    <tableColumn id="5" xr3:uid="{1B59C44F-89FB-4470-9364-A6F60A21786B}" name="approach1" dataDxfId="124">
      <calculatedColumnFormula>E47</calculatedColumnFormula>
    </tableColumn>
    <tableColumn id="6" xr3:uid="{04AA50CA-EB28-4FC8-A2F5-F23574B3A9C1}" name="approach2" dataDxfId="123">
      <calculatedColumnFormula>F47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9A87C9F-AC26-49AB-9131-CD4FF25DB2EA}" name="tcd_100cimxml" displayName="tcd_100cimxml" ref="M59:R70" totalsRowShown="0" dataDxfId="122">
  <autoFilter ref="M59:R70" xr:uid="{49A87C9F-AC26-49AB-9131-CD4FF25DB2EA}"/>
  <tableColumns count="6">
    <tableColumn id="1" xr3:uid="{79682E1D-5FBA-43B7-B448-C4745D66E362}" name="Repositories" dataDxfId="121">
      <calculatedColumnFormula>A60</calculatedColumnFormula>
    </tableColumn>
    <tableColumn id="2" xr3:uid="{0F0E5860-4849-46CD-BF9F-08309C177CA6}" name="defaultRepository" dataDxfId="120">
      <calculatedColumnFormula>B60</calculatedColumnFormula>
    </tableColumn>
    <tableColumn id="3" xr3:uid="{DA42CA24-1E8E-43A6-9C94-B48CD3A48EB7}" name="nativeRepository" dataDxfId="119">
      <calculatedColumnFormula>C60</calculatedColumnFormula>
    </tableColumn>
    <tableColumn id="4" xr3:uid="{5B1BEA02-842D-4911-ADC9-8541F6E9E456}" name="marklogic_rdf4j" dataDxfId="118">
      <calculatedColumnFormula>D60</calculatedColumnFormula>
    </tableColumn>
    <tableColumn id="5" xr3:uid="{5F09B183-162E-4EFA-804C-53389BFD2449}" name="approach1" dataDxfId="117">
      <calculatedColumnFormula>E60</calculatedColumnFormula>
    </tableColumn>
    <tableColumn id="6" xr3:uid="{752CA615-94EB-4A19-9DD5-803BBF324325}" name="approach2" dataDxfId="116">
      <calculatedColumnFormula>F60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D65B7C-C69F-42C2-AF96-BFF2FC0E548F}" name="tcd_1000cimxml" displayName="tcd_1000cimxml" ref="M72:R83" totalsRowShown="0">
  <autoFilter ref="M72:R83" xr:uid="{4FD65B7C-C69F-42C2-AF96-BFF2FC0E548F}"/>
  <tableColumns count="6">
    <tableColumn id="1" xr3:uid="{F1478F77-FA23-45F3-AA95-62A4AED3B120}" name="Repositories" dataDxfId="115">
      <calculatedColumnFormula>A73</calculatedColumnFormula>
    </tableColumn>
    <tableColumn id="2" xr3:uid="{5986CD8B-3859-4209-98F6-A41A790A2216}" name="defaultRepository" dataDxfId="114">
      <calculatedColumnFormula>B73</calculatedColumnFormula>
    </tableColumn>
    <tableColumn id="3" xr3:uid="{D61BDE9E-5493-4E6A-944A-AE1EA0EE63F2}" name="nativeRepository" dataDxfId="113">
      <calculatedColumnFormula>C73</calculatedColumnFormula>
    </tableColumn>
    <tableColumn id="4" xr3:uid="{128C9E34-FDCC-46F1-8ABA-0F51F09EAED3}" name="marklogic_rdf4j" dataDxfId="112">
      <calculatedColumnFormula>D73</calculatedColumnFormula>
    </tableColumn>
    <tableColumn id="5" xr3:uid="{AE999C9B-55EF-4A53-8AF4-4D6212EAFD4C}" name="approach1" dataDxfId="111">
      <calculatedColumnFormula>E73</calculatedColumnFormula>
    </tableColumn>
    <tableColumn id="6" xr3:uid="{B9FB3B48-7C47-44BA-9F19-1C0B812CBFAC}" name="approach2" dataDxfId="110">
      <calculatedColumnFormula>F73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53E4CB9-F848-4906-B1F3-DF7AC2F1A8F5}" name="Table18" displayName="Table18" ref="A2:E6" totalsRowShown="0" headerRowDxfId="109" dataDxfId="107" headerRowBorderDxfId="108" tableBorderDxfId="106" totalsRowBorderDxfId="105">
  <autoFilter ref="A2:E6" xr:uid="{053E4CB9-F848-4906-B1F3-DF7AC2F1A8F5}"/>
  <tableColumns count="5">
    <tableColumn id="1" xr3:uid="{7C17BD24-E31C-4F8E-ACE7-5B4476C4FE16}" name="data" dataDxfId="104"/>
    <tableColumn id="2" xr3:uid="{69D233C6-28B4-4334-A9A8-09BFE12BC740}" name="default_repo" dataDxfId="103">
      <calculatedColumnFormula>[1]chartData!N46</calculatedColumnFormula>
    </tableColumn>
    <tableColumn id="3" xr3:uid="{15017E35-0D07-41D0-983D-0D14C7DBAA7C}" name="native_repo" dataDxfId="102"/>
    <tableColumn id="4" xr3:uid="{53CA6E17-B51B-4019-A432-7091835240C6}" name="marklogic_rdf4j" dataDxfId="101"/>
    <tableColumn id="6" xr3:uid="{680FA0B5-BD92-4586-9523-D8C9DB3011AE}" name="approach_2" dataDxfId="10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61E336-5C31-41E3-A431-E740A837FD3E}" name="Table19" displayName="Table19" ref="A10:E14" totalsRowShown="0" headerRowDxfId="99" dataDxfId="97" headerRowBorderDxfId="98" tableBorderDxfId="96" totalsRowBorderDxfId="95">
  <autoFilter ref="A10:E14" xr:uid="{4561E336-5C31-41E3-A431-E740A837FD3E}"/>
  <tableColumns count="5">
    <tableColumn id="1" xr3:uid="{CE8F98C7-89F1-4C8F-84EE-194839970971}" name="data" dataDxfId="94"/>
    <tableColumn id="2" xr3:uid="{77F1313F-F52F-4A7A-B146-4EFE391218F5}" name="default_repo" dataDxfId="93">
      <calculatedColumnFormula>[1]chartData!N35</calculatedColumnFormula>
    </tableColumn>
    <tableColumn id="3" xr3:uid="{D25A20B9-8251-4B1B-99EC-EE74EC93F6D5}" name="native_repo" dataDxfId="92"/>
    <tableColumn id="4" xr3:uid="{D262B2FF-B2FC-4277-AC0C-94BA12219767}" name="marklogic_rdf4j" dataDxfId="91"/>
    <tableColumn id="6" xr3:uid="{8C93F705-9AC1-43BD-B682-78C780A6D836}" name="approach_2" dataDxfId="9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3F1077-2FDA-4A6C-AD8D-738D480319E0}" name="Table20" displayName="Table20" ref="A18:E22" totalsRowShown="0" headerRowDxfId="89" dataDxfId="87" headerRowBorderDxfId="88" tableBorderDxfId="86" totalsRowBorderDxfId="85">
  <autoFilter ref="A18:E22" xr:uid="{243F1077-2FDA-4A6C-AD8D-738D480319E0}"/>
  <tableColumns count="5">
    <tableColumn id="1" xr3:uid="{6C037C12-C7A9-44EC-BB21-C95CE224B67D}" name="data" dataDxfId="84"/>
    <tableColumn id="2" xr3:uid="{1633CE13-FE00-497D-9F5D-F14FE39626C6}" name="default_repo" dataDxfId="83"/>
    <tableColumn id="3" xr3:uid="{6DD53A16-2754-4580-A92F-72DCD752080C}" name="native_repo" dataDxfId="82"/>
    <tableColumn id="4" xr3:uid="{6D39916D-0FBF-49DE-94E6-E794615F549C}" name="marklogic_rdf4j" dataDxfId="81"/>
    <tableColumn id="6" xr3:uid="{D199BEF3-142C-4A57-841C-AFCD2AE6E94B}" name="approach_2" dataDxfId="8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2BFCCF6-E5F8-4BCE-9520-C32505F20777}" name="Table21" displayName="Table21" ref="A26:E30" totalsRowShown="0" headerRowDxfId="79" dataDxfId="77" headerRowBorderDxfId="78" tableBorderDxfId="76" totalsRowBorderDxfId="75">
  <autoFilter ref="A26:E30" xr:uid="{02BFCCF6-E5F8-4BCE-9520-C32505F20777}"/>
  <tableColumns count="5">
    <tableColumn id="1" xr3:uid="{F2797BD1-0210-4378-9C0E-9BDAB7AB3462}" name="data" dataDxfId="74"/>
    <tableColumn id="2" xr3:uid="{D5F21729-CC88-44CE-A717-04AA8DCDCEFC}" name="default_repo" dataDxfId="73">
      <calculatedColumnFormula>[1]chartData!N37</calculatedColumnFormula>
    </tableColumn>
    <tableColumn id="3" xr3:uid="{0F3E8307-5F58-422A-913C-D3D141FEFBEF}" name="native_repo" dataDxfId="72"/>
    <tableColumn id="4" xr3:uid="{A914C2BE-3D62-41EC-A617-1D91B1384BD5}" name="marklogic_rdf4j" dataDxfId="71"/>
    <tableColumn id="6" xr3:uid="{3A1EC956-9CDF-4567-BB69-C28FE4C6FBF0}" name="approach_2" dataDxfId="7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8D3D502-1962-454C-A9F1-79FF61836FDF}" name="Table22" displayName="Table22" ref="A34:E38" totalsRowShown="0" headerRowDxfId="69" dataDxfId="67" headerRowBorderDxfId="68" tableBorderDxfId="66" totalsRowBorderDxfId="65">
  <autoFilter ref="A34:E38" xr:uid="{98D3D502-1962-454C-A9F1-79FF61836FDF}"/>
  <tableColumns count="5">
    <tableColumn id="1" xr3:uid="{65571BD3-8037-4941-8DCE-DA84CDE4E297}" name="data" dataDxfId="64"/>
    <tableColumn id="2" xr3:uid="{9C4261D8-6F9F-47BB-9D73-B2685C7112DB}" name="default_repo" dataDxfId="63">
      <calculatedColumnFormula>[1]chartData!N38</calculatedColumnFormula>
    </tableColumn>
    <tableColumn id="3" xr3:uid="{17B5B9E6-BA17-405F-923D-D03CD9AC967A}" name="native_repo" dataDxfId="62"/>
    <tableColumn id="5" xr3:uid="{C282CBFD-A012-44ED-AB44-258DDF4E9611}" name="approach_1" dataDxfId="61"/>
    <tableColumn id="6" xr3:uid="{00597DD5-2A89-4215-9603-0A3567C20CDE}" name="approach_2" dataDxfId="6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D1F6123-13AA-4D83-85ED-9D9B8811EF6F}" name="Table2372" displayName="Table2372" ref="A42:E46" totalsRowShown="0" headerRowDxfId="59" dataDxfId="57" headerRowBorderDxfId="58" tableBorderDxfId="56" totalsRowBorderDxfId="55">
  <autoFilter ref="A42:E46" xr:uid="{5D1F6123-13AA-4D83-85ED-9D9B8811EF6F}"/>
  <tableColumns count="5">
    <tableColumn id="1" xr3:uid="{35CC6F42-4C5C-498A-BC3C-515F6156BA12}" name="data" dataDxfId="54"/>
    <tableColumn id="2" xr3:uid="{7B3DAF65-D466-4E5B-887D-A71EA0A54E71}" name="default_repo" dataDxfId="53">
      <calculatedColumnFormula>[1]chartData!N39</calculatedColumnFormula>
    </tableColumn>
    <tableColumn id="3" xr3:uid="{417E85AF-E964-494D-9F6B-0CF38F6F4F57}" name="native_repo" dataDxfId="52"/>
    <tableColumn id="5" xr3:uid="{89C3E07A-573E-4092-82C9-C98645F7683C}" name="approach_1" dataDxfId="51"/>
    <tableColumn id="6" xr3:uid="{138F3006-01E4-4791-805F-336BE97BC489}" name="approach_2" dataDxfId="5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5D5FDC7-BAC3-4C0D-89F5-B8F45CA7BF6C}" name="Table24" displayName="Table24" ref="A50:E54" totalsRowShown="0" headerRowDxfId="49" dataDxfId="47" headerRowBorderDxfId="48" tableBorderDxfId="46" totalsRowBorderDxfId="45">
  <autoFilter ref="A50:E54" xr:uid="{C5D5FDC7-BAC3-4C0D-89F5-B8F45CA7BF6C}"/>
  <tableColumns count="5">
    <tableColumn id="1" xr3:uid="{A32AD013-A4D1-4D90-8ED6-719FA778E651}" name="data" dataDxfId="44"/>
    <tableColumn id="2" xr3:uid="{E331F24C-EF69-4C88-9669-8467887182B6}" name="default_repo" dataDxfId="43">
      <calculatedColumnFormula>[1]chartData!N40</calculatedColumnFormula>
    </tableColumn>
    <tableColumn id="3" xr3:uid="{61EFED80-FC9E-4F6F-B6C9-6445A8561E72}" name="native_repo" dataDxfId="42"/>
    <tableColumn id="5" xr3:uid="{6838ABC6-95F7-4BCC-B612-C9AA62C6F3BD}" name="approach_1" dataDxfId="41"/>
    <tableColumn id="6" xr3:uid="{F22315FC-A19A-42D4-816D-96CA46F7B92C}" name="approach_2" dataDxfId="4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4F3F487-C0B2-4205-A764-218873C780DB}" name="Table25" displayName="Table25" ref="A58:E62" totalsRowShown="0" headerRowDxfId="39" dataDxfId="37" headerRowBorderDxfId="38" tableBorderDxfId="36" totalsRowBorderDxfId="35">
  <autoFilter ref="A58:E62" xr:uid="{34F3F487-C0B2-4205-A764-218873C780DB}"/>
  <tableColumns count="5">
    <tableColumn id="1" xr3:uid="{68320F23-D240-469C-AD90-A67BD5C723C6}" name="data" dataDxfId="34"/>
    <tableColumn id="2" xr3:uid="{1EBB30EC-1B65-4C54-B63A-CB40C192154C}" name="default_repo" dataDxfId="33">
      <calculatedColumnFormula>[1]chartData!N41</calculatedColumnFormula>
    </tableColumn>
    <tableColumn id="3" xr3:uid="{5DA0B31A-6F37-4BD7-8291-F5EF6AADC323}" name="native_repo" dataDxfId="32"/>
    <tableColumn id="5" xr3:uid="{2F734690-8963-4FCD-A5B7-36B5A9772004}" name="approach_1" dataDxfId="31"/>
    <tableColumn id="6" xr3:uid="{7630C3EF-F821-4E55-B534-484BFDF50863}" name="approach_2" dataDxfId="3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8B0D374-B855-4B9F-8FB8-B57270B30FA7}" name="Table26" displayName="Table26" ref="A66:E70" totalsRowShown="0" headerRowDxfId="29" dataDxfId="27" headerRowBorderDxfId="28" tableBorderDxfId="26" totalsRowBorderDxfId="25">
  <autoFilter ref="A66:E70" xr:uid="{F8B0D374-B855-4B9F-8FB8-B57270B30FA7}"/>
  <tableColumns count="5">
    <tableColumn id="1" xr3:uid="{88137774-9BDF-4CD7-82AC-B8711BBE8C35}" name="data" dataDxfId="24"/>
    <tableColumn id="2" xr3:uid="{65901EC2-39BD-4C80-AD5A-BC9893ECF1A6}" name="default_repo" dataDxfId="23">
      <calculatedColumnFormula>[1]chartData!N42</calculatedColumnFormula>
    </tableColumn>
    <tableColumn id="3" xr3:uid="{2BA5FD6B-D4B0-482B-979E-FA1B5F192C9F}" name="native_repo" dataDxfId="22"/>
    <tableColumn id="5" xr3:uid="{0AD317CD-6A0E-46E0-88D0-D4D3772A3338}" name="approach_1" dataDxfId="21"/>
    <tableColumn id="6" xr3:uid="{029EAD36-13AC-40C8-8E2D-76B8D2A24BDC}" name="approach_2" dataDxfId="2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8A535C2-7619-4FC2-99CD-9CAEFA8395DA}" name="Table27" displayName="Table27" ref="A74:E78" totalsRowShown="0" headerRowDxfId="19" dataDxfId="17" headerRowBorderDxfId="18" tableBorderDxfId="16" totalsRowBorderDxfId="15">
  <autoFilter ref="A74:E78" xr:uid="{78A535C2-7619-4FC2-99CD-9CAEFA8395DA}"/>
  <tableColumns count="5">
    <tableColumn id="1" xr3:uid="{507A6D31-5D13-4983-A9E5-BE7802661849}" name="data" dataDxfId="14"/>
    <tableColumn id="2" xr3:uid="{8A413172-C765-4388-BBCF-569BC60049AD}" name="default_repo" dataDxfId="13">
      <calculatedColumnFormula>[1]chartData!N43</calculatedColumnFormula>
    </tableColumn>
    <tableColumn id="3" xr3:uid="{3E0AD368-0EE6-4BEA-9697-A0B9B480982D}" name="native_repo" dataDxfId="12"/>
    <tableColumn id="5" xr3:uid="{5F37A027-3574-431F-9B73-21F27FDF61E2}" name="approach_1" dataDxfId="11"/>
    <tableColumn id="6" xr3:uid="{76A86641-D9FC-4B8D-A107-2330010F19E9}" name="approach_2" dataDxfId="1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73115-76F4-4F36-9E0E-B288AB5AEAC3}" name="Table272" displayName="Table272" ref="A82:E86" totalsRowShown="0" headerRowDxfId="9" dataDxfId="7" headerRowBorderDxfId="8" tableBorderDxfId="6" totalsRowBorderDxfId="5">
  <autoFilter ref="A82:E86" xr:uid="{C9D73115-76F4-4F36-9E0E-B288AB5AEAC3}"/>
  <tableColumns count="5">
    <tableColumn id="1" xr3:uid="{A760AB90-9A49-4F00-93CF-557F5ACD5D01}" name="data" dataDxfId="4"/>
    <tableColumn id="2" xr3:uid="{9A2AE33E-78DF-4E46-8EDA-6E06023DC2AC}" name="default_repo" dataDxfId="3">
      <calculatedColumnFormula>[1]chartData!N51</calculatedColumnFormula>
    </tableColumn>
    <tableColumn id="3" xr3:uid="{4C2160EF-9587-444B-987D-9AF33D72FDB7}" name="native_repo" dataDxfId="2"/>
    <tableColumn id="5" xr3:uid="{929D59E6-553C-42E6-A076-FD4FDB6E4398}" name="approach_1" dataDxfId="1"/>
    <tableColumn id="6" xr3:uid="{952BF8CB-A14A-4190-B3AF-B1528AB75A51}" name="approach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2.xml"/><Relationship Id="rId11" Type="http://schemas.openxmlformats.org/officeDocument/2006/relationships/table" Target="../tables/table37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opLeftCell="A22" zoomScale="55" zoomScaleNormal="55" workbookViewId="0">
      <selection activeCell="L58" sqref="L58:L68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4" ht="15.75" customHeight="1" x14ac:dyDescent="0.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4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5" t="s">
        <v>27</v>
      </c>
    </row>
    <row r="3" spans="1:14" x14ac:dyDescent="0.3">
      <c r="A3" s="5">
        <v>1</v>
      </c>
      <c r="B3" s="6">
        <v>1</v>
      </c>
      <c r="C3" s="7">
        <v>2</v>
      </c>
      <c r="D3" s="7">
        <v>30</v>
      </c>
      <c r="E3" s="7">
        <v>1</v>
      </c>
      <c r="F3" s="7">
        <v>3</v>
      </c>
      <c r="G3" s="8">
        <v>2</v>
      </c>
      <c r="H3" s="7">
        <v>5</v>
      </c>
      <c r="I3" s="7">
        <v>6</v>
      </c>
      <c r="J3" s="7">
        <v>6</v>
      </c>
      <c r="K3" s="9">
        <v>6</v>
      </c>
      <c r="L3" s="3"/>
    </row>
    <row r="4" spans="1:14" x14ac:dyDescent="0.3">
      <c r="A4" s="10">
        <v>2</v>
      </c>
      <c r="B4" s="11">
        <v>1</v>
      </c>
      <c r="C4" s="12">
        <v>2</v>
      </c>
      <c r="D4" s="12">
        <v>3</v>
      </c>
      <c r="E4" s="12">
        <v>2</v>
      </c>
      <c r="F4" s="12">
        <v>2</v>
      </c>
      <c r="G4" s="12">
        <v>3</v>
      </c>
      <c r="H4" s="12">
        <v>3</v>
      </c>
      <c r="I4" s="12">
        <v>2</v>
      </c>
      <c r="J4" s="12">
        <v>3</v>
      </c>
      <c r="K4" s="13">
        <v>2</v>
      </c>
      <c r="L4" s="12"/>
    </row>
    <row r="5" spans="1:14" x14ac:dyDescent="0.3">
      <c r="A5" s="10">
        <v>3</v>
      </c>
      <c r="B5" s="11">
        <v>1</v>
      </c>
      <c r="C5" s="12">
        <v>1</v>
      </c>
      <c r="D5" s="12">
        <v>2</v>
      </c>
      <c r="E5" s="12">
        <v>1</v>
      </c>
      <c r="F5" s="12">
        <v>4</v>
      </c>
      <c r="G5" s="12">
        <v>1</v>
      </c>
      <c r="H5" s="12">
        <v>2</v>
      </c>
      <c r="I5" s="12">
        <v>3</v>
      </c>
      <c r="J5" s="12">
        <v>2</v>
      </c>
      <c r="K5" s="13">
        <v>7</v>
      </c>
      <c r="L5" s="12"/>
    </row>
    <row r="6" spans="1:14" x14ac:dyDescent="0.3">
      <c r="A6" s="10">
        <v>4</v>
      </c>
      <c r="B6" s="11">
        <v>1</v>
      </c>
      <c r="C6" s="12">
        <v>2</v>
      </c>
      <c r="D6" s="12">
        <v>6</v>
      </c>
      <c r="E6" s="12">
        <v>1</v>
      </c>
      <c r="F6" s="12">
        <v>3</v>
      </c>
      <c r="G6" s="12">
        <v>1</v>
      </c>
      <c r="H6" s="12">
        <v>2</v>
      </c>
      <c r="I6" s="12">
        <v>2</v>
      </c>
      <c r="J6" s="12">
        <v>6</v>
      </c>
      <c r="K6" s="13">
        <v>5</v>
      </c>
      <c r="L6" s="12"/>
    </row>
    <row r="7" spans="1:14" x14ac:dyDescent="0.3">
      <c r="A7" s="10">
        <v>5</v>
      </c>
      <c r="B7" s="11">
        <v>1</v>
      </c>
      <c r="C7" s="12">
        <v>2</v>
      </c>
      <c r="D7" s="12">
        <v>2</v>
      </c>
      <c r="E7" s="12">
        <v>2</v>
      </c>
      <c r="F7" s="12">
        <v>1</v>
      </c>
      <c r="G7" s="12">
        <v>1</v>
      </c>
      <c r="H7" s="12">
        <v>1</v>
      </c>
      <c r="I7" s="12">
        <v>2</v>
      </c>
      <c r="J7" s="12">
        <v>2</v>
      </c>
      <c r="K7" s="13">
        <v>3</v>
      </c>
      <c r="L7" s="12"/>
    </row>
    <row r="8" spans="1:14" x14ac:dyDescent="0.3">
      <c r="A8" s="10">
        <v>6</v>
      </c>
      <c r="B8" s="11">
        <v>0</v>
      </c>
      <c r="C8" s="12">
        <v>1</v>
      </c>
      <c r="D8" s="12">
        <v>1</v>
      </c>
      <c r="E8" s="12">
        <v>1</v>
      </c>
      <c r="F8" s="12">
        <v>1</v>
      </c>
      <c r="G8" s="12">
        <v>4</v>
      </c>
      <c r="H8" s="12">
        <v>1</v>
      </c>
      <c r="I8" s="12">
        <v>1</v>
      </c>
      <c r="J8" s="12">
        <v>1</v>
      </c>
      <c r="K8" s="13">
        <v>5</v>
      </c>
      <c r="L8" s="12"/>
    </row>
    <row r="9" spans="1:14" x14ac:dyDescent="0.3">
      <c r="A9" s="10">
        <v>7</v>
      </c>
      <c r="B9" s="11">
        <v>2</v>
      </c>
      <c r="C9" s="12">
        <v>2</v>
      </c>
      <c r="D9" s="12">
        <v>1</v>
      </c>
      <c r="E9" s="12">
        <v>0</v>
      </c>
      <c r="F9" s="12">
        <v>1</v>
      </c>
      <c r="G9" s="12">
        <v>3</v>
      </c>
      <c r="H9" s="12">
        <v>2</v>
      </c>
      <c r="I9" s="12">
        <v>1</v>
      </c>
      <c r="J9" s="12">
        <v>2</v>
      </c>
      <c r="K9" s="13">
        <v>2</v>
      </c>
      <c r="L9" s="12"/>
    </row>
    <row r="10" spans="1:14" x14ac:dyDescent="0.3">
      <c r="A10" s="10">
        <v>8</v>
      </c>
      <c r="B10" s="11">
        <v>0</v>
      </c>
      <c r="C10" s="12">
        <v>2</v>
      </c>
      <c r="D10" s="12">
        <v>1</v>
      </c>
      <c r="E10" s="12">
        <v>1</v>
      </c>
      <c r="F10" s="12">
        <v>2</v>
      </c>
      <c r="G10" s="12">
        <v>1</v>
      </c>
      <c r="H10" s="12">
        <v>5</v>
      </c>
      <c r="I10" s="12">
        <v>2</v>
      </c>
      <c r="J10" s="12">
        <v>2</v>
      </c>
      <c r="K10" s="13">
        <v>4</v>
      </c>
      <c r="L10" s="12"/>
    </row>
    <row r="11" spans="1:14" x14ac:dyDescent="0.3">
      <c r="A11" s="10">
        <v>9</v>
      </c>
      <c r="B11" s="11">
        <v>4</v>
      </c>
      <c r="C11" s="12">
        <v>3</v>
      </c>
      <c r="D11" s="12">
        <v>3</v>
      </c>
      <c r="E11" s="12">
        <v>1</v>
      </c>
      <c r="F11" s="12">
        <v>2</v>
      </c>
      <c r="G11" s="12">
        <v>3</v>
      </c>
      <c r="H11" s="12">
        <v>4</v>
      </c>
      <c r="I11" s="12">
        <v>2</v>
      </c>
      <c r="J11" s="12">
        <v>1</v>
      </c>
      <c r="K11" s="13">
        <v>2</v>
      </c>
      <c r="L11" s="12"/>
    </row>
    <row r="12" spans="1:14" x14ac:dyDescent="0.3">
      <c r="A12" s="14">
        <v>10</v>
      </c>
      <c r="B12" s="15">
        <v>1</v>
      </c>
      <c r="C12" s="16">
        <v>1</v>
      </c>
      <c r="D12" s="16">
        <v>3</v>
      </c>
      <c r="E12" s="16">
        <v>1</v>
      </c>
      <c r="F12" s="16">
        <v>4</v>
      </c>
      <c r="G12" s="16">
        <v>1</v>
      </c>
      <c r="H12" s="16">
        <v>4</v>
      </c>
      <c r="I12" s="16">
        <v>9</v>
      </c>
      <c r="J12" s="16">
        <v>1</v>
      </c>
      <c r="K12" s="17">
        <v>2</v>
      </c>
      <c r="L12" s="16"/>
    </row>
    <row r="13" spans="1:14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19"/>
      <c r="N13" s="19"/>
    </row>
    <row r="14" spans="1:14" x14ac:dyDescent="0.3">
      <c r="A14" s="18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19"/>
      <c r="M14" s="19"/>
      <c r="N14" s="19"/>
    </row>
    <row r="15" spans="1:14" ht="15.75" customHeight="1" x14ac:dyDescent="0.3">
      <c r="A15" s="58" t="s">
        <v>12</v>
      </c>
      <c r="B15" s="59"/>
      <c r="C15" s="59"/>
      <c r="D15" s="59"/>
      <c r="E15" s="59"/>
      <c r="F15" s="59"/>
      <c r="G15" s="59"/>
      <c r="H15" s="59"/>
      <c r="I15" s="59"/>
      <c r="J15" s="59"/>
      <c r="K15" s="60"/>
      <c r="L15" s="19"/>
      <c r="M15" s="19"/>
      <c r="N15" s="19"/>
    </row>
    <row r="16" spans="1:14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5" t="s">
        <v>27</v>
      </c>
      <c r="M16" s="19"/>
      <c r="N16" s="19"/>
    </row>
    <row r="17" spans="1:14" x14ac:dyDescent="0.3">
      <c r="A17" s="5">
        <v>1</v>
      </c>
      <c r="B17" s="6">
        <v>1</v>
      </c>
      <c r="C17" s="7">
        <v>5</v>
      </c>
      <c r="D17" s="7">
        <v>4</v>
      </c>
      <c r="E17" s="7">
        <v>1</v>
      </c>
      <c r="F17" s="7">
        <v>19</v>
      </c>
      <c r="G17" s="8">
        <v>7</v>
      </c>
      <c r="H17" s="7">
        <v>12</v>
      </c>
      <c r="I17" s="7">
        <v>3</v>
      </c>
      <c r="J17" s="7">
        <v>8</v>
      </c>
      <c r="K17" s="9">
        <v>14</v>
      </c>
      <c r="L17" s="3"/>
      <c r="M17" s="19"/>
      <c r="N17" s="19"/>
    </row>
    <row r="18" spans="1:14" x14ac:dyDescent="0.3">
      <c r="A18" s="10">
        <v>2</v>
      </c>
      <c r="B18" s="11">
        <v>1</v>
      </c>
      <c r="C18" s="12">
        <v>2</v>
      </c>
      <c r="D18" s="12">
        <v>3</v>
      </c>
      <c r="E18" s="12">
        <v>2</v>
      </c>
      <c r="F18" s="12">
        <v>3</v>
      </c>
      <c r="G18" s="12">
        <v>4</v>
      </c>
      <c r="H18" s="12">
        <v>10</v>
      </c>
      <c r="I18" s="12">
        <v>3</v>
      </c>
      <c r="J18" s="12">
        <v>3</v>
      </c>
      <c r="K18" s="13">
        <v>2</v>
      </c>
      <c r="L18" s="12"/>
      <c r="M18" s="19"/>
      <c r="N18" s="19"/>
    </row>
    <row r="19" spans="1:14" x14ac:dyDescent="0.3">
      <c r="A19" s="10">
        <v>3</v>
      </c>
      <c r="B19" s="11">
        <v>2</v>
      </c>
      <c r="C19" s="12">
        <v>1</v>
      </c>
      <c r="D19" s="12">
        <v>3</v>
      </c>
      <c r="E19" s="12">
        <v>2</v>
      </c>
      <c r="F19" s="12">
        <v>2</v>
      </c>
      <c r="G19" s="12">
        <v>2</v>
      </c>
      <c r="H19" s="12">
        <v>2</v>
      </c>
      <c r="I19" s="12">
        <v>3</v>
      </c>
      <c r="J19" s="12">
        <v>3</v>
      </c>
      <c r="K19" s="13">
        <v>3</v>
      </c>
      <c r="L19" s="12"/>
      <c r="M19" s="19"/>
      <c r="N19" s="19"/>
    </row>
    <row r="20" spans="1:14" x14ac:dyDescent="0.3">
      <c r="A20" s="10">
        <v>4</v>
      </c>
      <c r="B20" s="11">
        <v>0</v>
      </c>
      <c r="C20" s="12">
        <v>1</v>
      </c>
      <c r="D20" s="12">
        <v>2</v>
      </c>
      <c r="E20" s="12">
        <v>2</v>
      </c>
      <c r="F20" s="12">
        <v>5</v>
      </c>
      <c r="G20" s="12">
        <v>3</v>
      </c>
      <c r="H20" s="12">
        <v>3</v>
      </c>
      <c r="I20" s="12">
        <v>1</v>
      </c>
      <c r="J20" s="12">
        <v>2</v>
      </c>
      <c r="K20" s="13">
        <v>3</v>
      </c>
      <c r="L20" s="12"/>
      <c r="M20" s="19"/>
      <c r="N20" s="19"/>
    </row>
    <row r="21" spans="1:14" x14ac:dyDescent="0.3">
      <c r="A21" s="10">
        <v>5</v>
      </c>
      <c r="B21" s="11">
        <v>5</v>
      </c>
      <c r="C21" s="12">
        <v>2</v>
      </c>
      <c r="D21" s="12">
        <v>1</v>
      </c>
      <c r="E21" s="12">
        <v>1</v>
      </c>
      <c r="F21" s="12">
        <v>2</v>
      </c>
      <c r="G21" s="12">
        <v>2</v>
      </c>
      <c r="H21" s="12">
        <v>11</v>
      </c>
      <c r="I21" s="12">
        <v>2</v>
      </c>
      <c r="J21" s="12">
        <v>4</v>
      </c>
      <c r="K21" s="13">
        <v>2</v>
      </c>
      <c r="L21" s="12"/>
      <c r="M21" s="19"/>
      <c r="N21" s="19"/>
    </row>
    <row r="22" spans="1:14" x14ac:dyDescent="0.3">
      <c r="A22" s="10">
        <v>6</v>
      </c>
      <c r="B22" s="11">
        <v>0</v>
      </c>
      <c r="C22" s="12">
        <v>1</v>
      </c>
      <c r="D22" s="12">
        <v>1</v>
      </c>
      <c r="E22" s="12">
        <v>1</v>
      </c>
      <c r="F22" s="12">
        <v>2</v>
      </c>
      <c r="G22" s="12">
        <v>7</v>
      </c>
      <c r="H22" s="12">
        <v>2</v>
      </c>
      <c r="I22" s="12">
        <v>4</v>
      </c>
      <c r="J22" s="12">
        <v>7</v>
      </c>
      <c r="K22" s="13">
        <v>2</v>
      </c>
      <c r="L22" s="12"/>
      <c r="M22" s="19"/>
      <c r="N22" s="19"/>
    </row>
    <row r="23" spans="1:14" x14ac:dyDescent="0.3">
      <c r="A23" s="10">
        <v>7</v>
      </c>
      <c r="B23" s="11">
        <v>0</v>
      </c>
      <c r="C23" s="12">
        <v>2</v>
      </c>
      <c r="D23" s="12">
        <v>1</v>
      </c>
      <c r="E23" s="12">
        <v>0</v>
      </c>
      <c r="F23" s="12">
        <v>4</v>
      </c>
      <c r="G23" s="12">
        <v>13</v>
      </c>
      <c r="H23" s="12">
        <v>3</v>
      </c>
      <c r="I23" s="12">
        <v>2</v>
      </c>
      <c r="J23" s="12">
        <v>6</v>
      </c>
      <c r="K23" s="13">
        <v>3</v>
      </c>
      <c r="L23" s="12"/>
      <c r="M23" s="19"/>
      <c r="N23" s="19"/>
    </row>
    <row r="24" spans="1:14" x14ac:dyDescent="0.3">
      <c r="A24" s="10">
        <v>8</v>
      </c>
      <c r="B24" s="11">
        <v>1</v>
      </c>
      <c r="C24" s="12">
        <v>1</v>
      </c>
      <c r="D24" s="12">
        <v>2</v>
      </c>
      <c r="E24" s="12">
        <v>1</v>
      </c>
      <c r="F24" s="12">
        <v>5</v>
      </c>
      <c r="G24" s="12">
        <v>11</v>
      </c>
      <c r="H24" s="12">
        <v>3</v>
      </c>
      <c r="I24" s="12">
        <v>6</v>
      </c>
      <c r="J24" s="12">
        <v>6</v>
      </c>
      <c r="K24" s="13">
        <v>1</v>
      </c>
      <c r="L24" s="12"/>
      <c r="M24" s="19"/>
      <c r="N24" s="19"/>
    </row>
    <row r="25" spans="1:14" x14ac:dyDescent="0.3">
      <c r="A25" s="10">
        <v>9</v>
      </c>
      <c r="B25" s="11">
        <v>2</v>
      </c>
      <c r="C25" s="12">
        <v>2</v>
      </c>
      <c r="D25" s="12">
        <v>2</v>
      </c>
      <c r="E25" s="12">
        <v>1</v>
      </c>
      <c r="F25" s="12">
        <v>6</v>
      </c>
      <c r="G25" s="12">
        <v>3</v>
      </c>
      <c r="H25" s="12">
        <v>3</v>
      </c>
      <c r="I25" s="12">
        <v>5</v>
      </c>
      <c r="J25" s="12">
        <v>3</v>
      </c>
      <c r="K25" s="13">
        <v>1</v>
      </c>
      <c r="L25" s="12"/>
      <c r="M25" s="19"/>
      <c r="N25" s="19"/>
    </row>
    <row r="26" spans="1:14" x14ac:dyDescent="0.3">
      <c r="A26" s="14">
        <v>10</v>
      </c>
      <c r="B26" s="15">
        <v>1</v>
      </c>
      <c r="C26" s="16">
        <v>2</v>
      </c>
      <c r="D26" s="16">
        <v>1</v>
      </c>
      <c r="E26" s="16">
        <v>1</v>
      </c>
      <c r="F26" s="16">
        <v>2</v>
      </c>
      <c r="G26" s="16">
        <v>2</v>
      </c>
      <c r="H26" s="16">
        <v>2</v>
      </c>
      <c r="I26" s="16">
        <v>2</v>
      </c>
      <c r="J26" s="16">
        <v>2</v>
      </c>
      <c r="K26" s="17">
        <v>2</v>
      </c>
      <c r="L26" s="16"/>
      <c r="M26" s="19"/>
      <c r="N26" s="19"/>
    </row>
    <row r="27" spans="1:14" x14ac:dyDescent="0.3">
      <c r="A27" s="18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19"/>
      <c r="M27" s="19"/>
      <c r="N27" s="19"/>
    </row>
    <row r="28" spans="1:14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9"/>
      <c r="N28" s="19"/>
    </row>
    <row r="29" spans="1:14" x14ac:dyDescent="0.3">
      <c r="A29" s="58" t="s">
        <v>13</v>
      </c>
      <c r="B29" s="59"/>
      <c r="C29" s="59"/>
      <c r="D29" s="59"/>
      <c r="E29" s="59"/>
      <c r="F29" s="59"/>
      <c r="G29" s="59"/>
      <c r="H29" s="59"/>
      <c r="I29" s="59"/>
      <c r="J29" s="59"/>
      <c r="K29" s="60"/>
      <c r="L29" s="19"/>
      <c r="M29" s="19"/>
      <c r="N29" s="19"/>
    </row>
    <row r="30" spans="1:14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5" t="s">
        <v>27</v>
      </c>
      <c r="M30" s="19"/>
      <c r="N30" s="19"/>
    </row>
    <row r="31" spans="1:14" x14ac:dyDescent="0.3">
      <c r="A31" s="5">
        <v>1</v>
      </c>
      <c r="B31" s="6">
        <v>52</v>
      </c>
      <c r="C31" s="7">
        <v>7</v>
      </c>
      <c r="D31" s="7">
        <v>15</v>
      </c>
      <c r="E31" s="7">
        <v>3</v>
      </c>
      <c r="F31" s="7"/>
      <c r="G31" s="8"/>
      <c r="H31" s="7"/>
      <c r="I31" s="7"/>
      <c r="J31" s="7"/>
      <c r="K31" s="9"/>
      <c r="L31" s="3"/>
      <c r="M31" s="19"/>
      <c r="N31" s="19"/>
    </row>
    <row r="32" spans="1:14" x14ac:dyDescent="0.3">
      <c r="A32" s="10">
        <v>2</v>
      </c>
      <c r="B32" s="11">
        <v>44</v>
      </c>
      <c r="C32" s="12">
        <v>8</v>
      </c>
      <c r="D32" s="12">
        <v>13</v>
      </c>
      <c r="E32" s="12">
        <v>5</v>
      </c>
      <c r="F32" s="12"/>
      <c r="G32" s="12"/>
      <c r="H32" s="12"/>
      <c r="I32" s="12"/>
      <c r="J32" s="12"/>
      <c r="K32" s="13"/>
      <c r="L32" s="12"/>
      <c r="M32" s="19"/>
      <c r="N32" s="19"/>
    </row>
    <row r="33" spans="1:14" x14ac:dyDescent="0.3">
      <c r="A33" s="10">
        <v>3</v>
      </c>
      <c r="B33" s="11">
        <v>47</v>
      </c>
      <c r="C33" s="12">
        <v>15</v>
      </c>
      <c r="D33" s="12">
        <v>12</v>
      </c>
      <c r="E33" s="12">
        <v>5</v>
      </c>
      <c r="F33" s="12"/>
      <c r="G33" s="12"/>
      <c r="H33" s="12"/>
      <c r="I33" s="12"/>
      <c r="J33" s="12"/>
      <c r="K33" s="13"/>
      <c r="L33" s="12"/>
      <c r="M33" s="19"/>
      <c r="N33" s="19"/>
    </row>
    <row r="34" spans="1:14" x14ac:dyDescent="0.3">
      <c r="A34" s="10">
        <v>4</v>
      </c>
      <c r="B34" s="11">
        <v>34</v>
      </c>
      <c r="C34" s="12">
        <v>11</v>
      </c>
      <c r="D34" s="12">
        <v>14</v>
      </c>
      <c r="E34" s="12">
        <v>4</v>
      </c>
      <c r="F34" s="12"/>
      <c r="G34" s="12"/>
      <c r="H34" s="12"/>
      <c r="I34" s="12"/>
      <c r="J34" s="12"/>
      <c r="K34" s="13"/>
      <c r="L34" s="12"/>
      <c r="M34" s="19"/>
      <c r="N34" s="19"/>
    </row>
    <row r="35" spans="1:14" x14ac:dyDescent="0.3">
      <c r="A35" s="10">
        <v>5</v>
      </c>
      <c r="B35" s="11">
        <v>156</v>
      </c>
      <c r="C35" s="12">
        <v>10</v>
      </c>
      <c r="D35" s="12">
        <v>38</v>
      </c>
      <c r="E35" s="12">
        <v>16</v>
      </c>
      <c r="F35" s="12"/>
      <c r="G35" s="12"/>
      <c r="H35" s="12"/>
      <c r="I35" s="12"/>
      <c r="J35" s="12"/>
      <c r="K35" s="13"/>
      <c r="L35" s="12"/>
      <c r="M35" s="19"/>
      <c r="N35" s="19"/>
    </row>
    <row r="36" spans="1:14" x14ac:dyDescent="0.3">
      <c r="A36" s="10">
        <v>6</v>
      </c>
      <c r="B36" s="11">
        <v>46</v>
      </c>
      <c r="C36" s="12">
        <v>10</v>
      </c>
      <c r="D36" s="12">
        <v>11</v>
      </c>
      <c r="E36" s="12">
        <v>3</v>
      </c>
      <c r="F36" s="12"/>
      <c r="G36" s="12"/>
      <c r="H36" s="12"/>
      <c r="I36" s="12"/>
      <c r="J36" s="12"/>
      <c r="K36" s="13"/>
      <c r="L36" s="12"/>
      <c r="M36" s="19"/>
      <c r="N36" s="19"/>
    </row>
    <row r="37" spans="1:14" x14ac:dyDescent="0.3">
      <c r="A37" s="10">
        <v>7</v>
      </c>
      <c r="B37" s="11">
        <v>137</v>
      </c>
      <c r="C37" s="12">
        <v>9</v>
      </c>
      <c r="D37" s="12">
        <v>8</v>
      </c>
      <c r="E37" s="12">
        <v>8</v>
      </c>
      <c r="F37" s="12"/>
      <c r="G37" s="12"/>
      <c r="H37" s="12"/>
      <c r="I37" s="12"/>
      <c r="J37" s="12"/>
      <c r="K37" s="13"/>
      <c r="L37" s="12"/>
      <c r="M37" s="19"/>
      <c r="N37" s="19"/>
    </row>
    <row r="38" spans="1:14" x14ac:dyDescent="0.3">
      <c r="A38" s="10">
        <v>8</v>
      </c>
      <c r="B38" s="11">
        <v>226</v>
      </c>
      <c r="C38" s="12">
        <v>7</v>
      </c>
      <c r="D38" s="12">
        <v>17</v>
      </c>
      <c r="E38" s="12">
        <v>7</v>
      </c>
      <c r="F38" s="12"/>
      <c r="G38" s="12"/>
      <c r="H38" s="12"/>
      <c r="I38" s="12"/>
      <c r="J38" s="12"/>
      <c r="K38" s="13"/>
      <c r="L38" s="12"/>
      <c r="M38" s="19"/>
      <c r="N38" s="19"/>
    </row>
    <row r="39" spans="1:14" x14ac:dyDescent="0.3">
      <c r="A39" s="10">
        <v>9</v>
      </c>
      <c r="B39" s="11">
        <v>33</v>
      </c>
      <c r="C39" s="12">
        <v>11</v>
      </c>
      <c r="D39" s="12">
        <v>16</v>
      </c>
      <c r="E39" s="12">
        <v>4</v>
      </c>
      <c r="F39" s="12"/>
      <c r="G39" s="12"/>
      <c r="H39" s="12"/>
      <c r="I39" s="12"/>
      <c r="J39" s="12"/>
      <c r="K39" s="13"/>
      <c r="L39" s="12"/>
      <c r="M39" s="19"/>
      <c r="N39" s="19"/>
    </row>
    <row r="40" spans="1:14" x14ac:dyDescent="0.3">
      <c r="A40" s="14">
        <v>10</v>
      </c>
      <c r="B40" s="15">
        <v>35</v>
      </c>
      <c r="C40" s="16">
        <v>41</v>
      </c>
      <c r="D40" s="16">
        <v>13</v>
      </c>
      <c r="E40" s="16">
        <v>5</v>
      </c>
      <c r="F40" s="16"/>
      <c r="G40" s="16"/>
      <c r="H40" s="16"/>
      <c r="I40" s="16"/>
      <c r="J40" s="16"/>
      <c r="K40" s="17"/>
      <c r="L40" s="16"/>
      <c r="M40" s="19"/>
      <c r="N40" s="19"/>
    </row>
    <row r="41" spans="1:14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19"/>
      <c r="N41" s="19"/>
    </row>
    <row r="42" spans="1:14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  <c r="L42" s="19"/>
      <c r="M42" s="19"/>
      <c r="N42" s="19"/>
    </row>
    <row r="43" spans="1:14" x14ac:dyDescent="0.3">
      <c r="A43" s="58" t="s">
        <v>14</v>
      </c>
      <c r="B43" s="59"/>
      <c r="C43" s="59"/>
      <c r="D43" s="59"/>
      <c r="E43" s="59"/>
      <c r="F43" s="59"/>
      <c r="G43" s="59"/>
      <c r="H43" s="59"/>
      <c r="I43" s="59"/>
      <c r="J43" s="59"/>
      <c r="K43" s="60"/>
      <c r="L43" s="19"/>
      <c r="M43" s="19"/>
      <c r="N43" s="19"/>
    </row>
    <row r="44" spans="1:14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5" t="s">
        <v>27</v>
      </c>
      <c r="M44" s="19"/>
      <c r="N44" s="19"/>
    </row>
    <row r="45" spans="1:14" x14ac:dyDescent="0.3">
      <c r="A45" s="5">
        <v>1</v>
      </c>
      <c r="B45" s="6"/>
      <c r="C45" s="7"/>
      <c r="D45" s="7"/>
      <c r="E45" s="7"/>
      <c r="F45" s="7">
        <v>179</v>
      </c>
      <c r="G45" s="8">
        <v>209</v>
      </c>
      <c r="H45" s="7">
        <v>911</v>
      </c>
      <c r="I45" s="7">
        <v>679</v>
      </c>
      <c r="J45" s="7">
        <v>912</v>
      </c>
      <c r="K45" s="9">
        <v>460</v>
      </c>
      <c r="L45" s="3"/>
      <c r="M45" s="19"/>
      <c r="N45" s="19"/>
    </row>
    <row r="46" spans="1:14" x14ac:dyDescent="0.3">
      <c r="A46" s="10">
        <v>2</v>
      </c>
      <c r="B46" s="11"/>
      <c r="C46" s="12"/>
      <c r="D46" s="12"/>
      <c r="E46" s="12"/>
      <c r="F46" s="12">
        <v>169</v>
      </c>
      <c r="G46" s="12">
        <v>176</v>
      </c>
      <c r="H46" s="12">
        <v>593</v>
      </c>
      <c r="I46" s="12">
        <v>762</v>
      </c>
      <c r="J46" s="12">
        <v>985</v>
      </c>
      <c r="K46" s="13">
        <v>623</v>
      </c>
      <c r="L46" s="12"/>
      <c r="M46" s="19"/>
      <c r="N46" s="19"/>
    </row>
    <row r="47" spans="1:14" x14ac:dyDescent="0.3">
      <c r="A47" s="10">
        <v>3</v>
      </c>
      <c r="B47" s="11"/>
      <c r="C47" s="12"/>
      <c r="D47" s="12"/>
      <c r="E47" s="12"/>
      <c r="F47" s="12">
        <v>157</v>
      </c>
      <c r="G47" s="12">
        <v>131</v>
      </c>
      <c r="H47" s="12">
        <v>682</v>
      </c>
      <c r="I47" s="12">
        <v>755</v>
      </c>
      <c r="J47" s="12">
        <v>595</v>
      </c>
      <c r="K47" s="13">
        <v>460</v>
      </c>
      <c r="L47" s="12"/>
      <c r="M47" s="19"/>
      <c r="N47" s="19"/>
    </row>
    <row r="48" spans="1:14" x14ac:dyDescent="0.3">
      <c r="A48" s="10">
        <v>4</v>
      </c>
      <c r="B48" s="11"/>
      <c r="C48" s="12"/>
      <c r="D48" s="12"/>
      <c r="E48" s="12"/>
      <c r="F48" s="12">
        <v>197</v>
      </c>
      <c r="G48" s="12">
        <v>423</v>
      </c>
      <c r="H48" s="12">
        <v>1233</v>
      </c>
      <c r="I48" s="12">
        <v>997</v>
      </c>
      <c r="J48" s="12">
        <v>892</v>
      </c>
      <c r="K48" s="13">
        <v>483</v>
      </c>
      <c r="L48" s="12"/>
      <c r="M48" s="19"/>
      <c r="N48" s="19"/>
    </row>
    <row r="49" spans="1:14" x14ac:dyDescent="0.3">
      <c r="A49" s="10">
        <v>5</v>
      </c>
      <c r="B49" s="11"/>
      <c r="C49" s="12"/>
      <c r="D49" s="12"/>
      <c r="E49" s="12"/>
      <c r="F49" s="12">
        <v>185</v>
      </c>
      <c r="G49" s="12">
        <v>132</v>
      </c>
      <c r="H49" s="12">
        <v>654</v>
      </c>
      <c r="I49" s="12">
        <v>886</v>
      </c>
      <c r="J49" s="12">
        <v>613</v>
      </c>
      <c r="K49" s="13">
        <v>730</v>
      </c>
      <c r="L49" s="12"/>
      <c r="M49" s="19"/>
      <c r="N49" s="19"/>
    </row>
    <row r="50" spans="1:14" x14ac:dyDescent="0.3">
      <c r="A50" s="10">
        <v>6</v>
      </c>
      <c r="B50" s="11"/>
      <c r="C50" s="12"/>
      <c r="D50" s="12"/>
      <c r="E50" s="12"/>
      <c r="F50" s="12">
        <v>170</v>
      </c>
      <c r="G50" s="12">
        <v>151</v>
      </c>
      <c r="H50" s="12">
        <v>749</v>
      </c>
      <c r="I50" s="12">
        <v>621</v>
      </c>
      <c r="J50" s="12">
        <v>645</v>
      </c>
      <c r="K50" s="13">
        <v>451</v>
      </c>
      <c r="L50" s="12"/>
      <c r="M50" s="19"/>
      <c r="N50" s="19"/>
    </row>
    <row r="51" spans="1:14" x14ac:dyDescent="0.3">
      <c r="A51" s="10">
        <v>7</v>
      </c>
      <c r="B51" s="11"/>
      <c r="C51" s="12"/>
      <c r="D51" s="12"/>
      <c r="E51" s="12"/>
      <c r="F51" s="12">
        <v>126</v>
      </c>
      <c r="G51" s="12">
        <v>260</v>
      </c>
      <c r="H51" s="12">
        <v>1213</v>
      </c>
      <c r="I51" s="12">
        <v>601</v>
      </c>
      <c r="J51" s="12">
        <v>570</v>
      </c>
      <c r="K51" s="13">
        <v>645</v>
      </c>
      <c r="L51" s="12"/>
      <c r="M51" s="19"/>
      <c r="N51" s="19"/>
    </row>
    <row r="52" spans="1:14" x14ac:dyDescent="0.3">
      <c r="A52" s="10">
        <v>8</v>
      </c>
      <c r="B52" s="11"/>
      <c r="C52" s="12"/>
      <c r="D52" s="12"/>
      <c r="E52" s="12"/>
      <c r="F52" s="12">
        <v>125</v>
      </c>
      <c r="G52" s="12">
        <v>118</v>
      </c>
      <c r="H52" s="12">
        <v>864</v>
      </c>
      <c r="I52" s="12">
        <v>681</v>
      </c>
      <c r="J52" s="12">
        <v>596</v>
      </c>
      <c r="K52" s="13">
        <v>466</v>
      </c>
      <c r="L52" s="12"/>
      <c r="M52" s="19"/>
      <c r="N52" s="19"/>
    </row>
    <row r="53" spans="1:14" x14ac:dyDescent="0.3">
      <c r="A53" s="10">
        <v>9</v>
      </c>
      <c r="B53" s="11"/>
      <c r="C53" s="12"/>
      <c r="D53" s="12"/>
      <c r="E53" s="12"/>
      <c r="F53" s="12">
        <v>155</v>
      </c>
      <c r="G53" s="12">
        <v>117</v>
      </c>
      <c r="H53" s="12">
        <v>641</v>
      </c>
      <c r="I53" s="12">
        <v>709</v>
      </c>
      <c r="J53" s="12">
        <v>601</v>
      </c>
      <c r="K53" s="13">
        <v>555</v>
      </c>
      <c r="L53" s="12"/>
      <c r="M53" s="19"/>
      <c r="N53" s="19"/>
    </row>
    <row r="54" spans="1:14" x14ac:dyDescent="0.3">
      <c r="A54" s="14">
        <v>10</v>
      </c>
      <c r="B54" s="15"/>
      <c r="C54" s="16"/>
      <c r="D54" s="16"/>
      <c r="E54" s="16"/>
      <c r="F54" s="16">
        <v>126</v>
      </c>
      <c r="G54" s="16">
        <v>131</v>
      </c>
      <c r="H54" s="16">
        <v>603</v>
      </c>
      <c r="I54" s="16">
        <v>758</v>
      </c>
      <c r="J54" s="16">
        <v>581</v>
      </c>
      <c r="K54" s="17">
        <v>459</v>
      </c>
      <c r="L54" s="16"/>
      <c r="M54" s="19"/>
      <c r="N54" s="19"/>
    </row>
    <row r="55" spans="1:14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  <c r="L55" s="19"/>
      <c r="M55" s="19"/>
      <c r="N55" s="19"/>
    </row>
    <row r="56" spans="1:14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9"/>
      <c r="M56" s="19"/>
      <c r="N56" s="19"/>
    </row>
    <row r="57" spans="1:14" x14ac:dyDescent="0.3">
      <c r="A57" s="58" t="s">
        <v>15</v>
      </c>
      <c r="B57" s="59"/>
      <c r="C57" s="59"/>
      <c r="D57" s="59"/>
      <c r="E57" s="59"/>
      <c r="F57" s="59"/>
      <c r="G57" s="59"/>
      <c r="H57" s="59"/>
      <c r="I57" s="59"/>
      <c r="J57" s="59"/>
      <c r="K57" s="60"/>
      <c r="L57" s="19"/>
      <c r="M57" s="19"/>
      <c r="N57" s="19"/>
    </row>
    <row r="58" spans="1:14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5" t="s">
        <v>27</v>
      </c>
      <c r="M58" s="19"/>
      <c r="N58" s="19"/>
    </row>
    <row r="59" spans="1:14" x14ac:dyDescent="0.3">
      <c r="A59" s="5">
        <v>1</v>
      </c>
      <c r="B59" s="6">
        <v>64</v>
      </c>
      <c r="C59" s="7">
        <v>34</v>
      </c>
      <c r="D59" s="7">
        <v>12</v>
      </c>
      <c r="E59" s="7">
        <v>5</v>
      </c>
      <c r="F59" s="7">
        <v>148</v>
      </c>
      <c r="G59" s="8">
        <v>227</v>
      </c>
      <c r="H59" s="7">
        <v>1147</v>
      </c>
      <c r="I59" s="7">
        <v>694</v>
      </c>
      <c r="J59" s="7">
        <v>943</v>
      </c>
      <c r="K59" s="9">
        <v>451</v>
      </c>
      <c r="L59" s="3"/>
      <c r="M59" s="19"/>
      <c r="N59" s="19"/>
    </row>
    <row r="60" spans="1:14" x14ac:dyDescent="0.3">
      <c r="A60" s="10">
        <v>2</v>
      </c>
      <c r="B60" s="11">
        <v>54</v>
      </c>
      <c r="C60" s="12">
        <v>11</v>
      </c>
      <c r="D60" s="12">
        <v>12</v>
      </c>
      <c r="E60" s="12">
        <v>8</v>
      </c>
      <c r="F60" s="12">
        <v>165</v>
      </c>
      <c r="G60" s="12">
        <v>264</v>
      </c>
      <c r="H60" s="12">
        <v>633</v>
      </c>
      <c r="I60" s="12">
        <v>627</v>
      </c>
      <c r="J60" s="12">
        <v>577</v>
      </c>
      <c r="K60" s="13">
        <v>504</v>
      </c>
      <c r="L60" s="12"/>
      <c r="M60" s="19"/>
      <c r="N60" s="19"/>
    </row>
    <row r="61" spans="1:14" x14ac:dyDescent="0.3">
      <c r="A61" s="10">
        <v>3</v>
      </c>
      <c r="B61" s="11">
        <v>53</v>
      </c>
      <c r="C61" s="12">
        <v>12</v>
      </c>
      <c r="D61" s="12">
        <v>17</v>
      </c>
      <c r="E61" s="12">
        <v>4</v>
      </c>
      <c r="F61" s="12">
        <v>139</v>
      </c>
      <c r="G61" s="12">
        <v>235</v>
      </c>
      <c r="H61" s="12">
        <v>649</v>
      </c>
      <c r="I61" s="12">
        <v>633</v>
      </c>
      <c r="J61" s="12">
        <v>584</v>
      </c>
      <c r="K61" s="13">
        <v>587</v>
      </c>
      <c r="L61" s="12"/>
      <c r="M61" s="19"/>
      <c r="N61" s="19"/>
    </row>
    <row r="62" spans="1:14" x14ac:dyDescent="0.3">
      <c r="A62" s="10">
        <v>4</v>
      </c>
      <c r="B62" s="11">
        <v>55</v>
      </c>
      <c r="C62" s="12">
        <v>7</v>
      </c>
      <c r="D62" s="12">
        <v>12</v>
      </c>
      <c r="E62" s="12">
        <v>7</v>
      </c>
      <c r="F62" s="12">
        <v>143</v>
      </c>
      <c r="G62" s="12">
        <v>347</v>
      </c>
      <c r="H62" s="12">
        <v>639</v>
      </c>
      <c r="I62" s="12">
        <v>907</v>
      </c>
      <c r="J62" s="12">
        <v>1068</v>
      </c>
      <c r="K62" s="13">
        <v>558</v>
      </c>
      <c r="L62" s="12"/>
      <c r="M62" s="19"/>
      <c r="N62" s="19"/>
    </row>
    <row r="63" spans="1:14" x14ac:dyDescent="0.3">
      <c r="A63" s="10">
        <v>5</v>
      </c>
      <c r="B63" s="11">
        <v>83</v>
      </c>
      <c r="C63" s="12">
        <v>8</v>
      </c>
      <c r="D63" s="12">
        <v>69</v>
      </c>
      <c r="E63" s="12">
        <v>6</v>
      </c>
      <c r="F63" s="12">
        <v>199</v>
      </c>
      <c r="G63" s="12">
        <v>479</v>
      </c>
      <c r="H63" s="12">
        <v>991</v>
      </c>
      <c r="I63" s="12">
        <v>604</v>
      </c>
      <c r="J63" s="12">
        <v>549</v>
      </c>
      <c r="K63" s="13">
        <v>532</v>
      </c>
      <c r="L63" s="12"/>
      <c r="M63" s="19"/>
      <c r="N63" s="19"/>
    </row>
    <row r="64" spans="1:14" x14ac:dyDescent="0.3">
      <c r="A64" s="10">
        <v>6</v>
      </c>
      <c r="B64" s="11">
        <v>52</v>
      </c>
      <c r="C64" s="12">
        <v>7</v>
      </c>
      <c r="D64" s="12">
        <v>12</v>
      </c>
      <c r="E64" s="12">
        <v>3</v>
      </c>
      <c r="F64" s="12">
        <v>134</v>
      </c>
      <c r="G64" s="12">
        <v>248</v>
      </c>
      <c r="H64" s="12">
        <v>653</v>
      </c>
      <c r="I64" s="12">
        <v>1017</v>
      </c>
      <c r="J64" s="12">
        <v>700</v>
      </c>
      <c r="K64" s="13">
        <v>483</v>
      </c>
      <c r="L64" s="12"/>
      <c r="M64" s="19"/>
      <c r="N64" s="19"/>
    </row>
    <row r="65" spans="1:14" x14ac:dyDescent="0.3">
      <c r="A65" s="10">
        <v>7</v>
      </c>
      <c r="B65" s="11">
        <v>148</v>
      </c>
      <c r="C65" s="12">
        <v>13</v>
      </c>
      <c r="D65" s="12">
        <v>11</v>
      </c>
      <c r="E65" s="12">
        <v>4</v>
      </c>
      <c r="F65" s="12">
        <v>141</v>
      </c>
      <c r="G65" s="12">
        <v>282</v>
      </c>
      <c r="H65" s="12">
        <v>1064</v>
      </c>
      <c r="I65" s="12">
        <v>670</v>
      </c>
      <c r="J65" s="12">
        <v>776</v>
      </c>
      <c r="K65" s="13">
        <v>578</v>
      </c>
      <c r="L65" s="12"/>
      <c r="M65" s="19"/>
      <c r="N65" s="19"/>
    </row>
    <row r="66" spans="1:14" x14ac:dyDescent="0.3">
      <c r="A66" s="10">
        <v>8</v>
      </c>
      <c r="B66" s="11">
        <v>128</v>
      </c>
      <c r="C66" s="12">
        <v>6</v>
      </c>
      <c r="D66" s="12">
        <v>11</v>
      </c>
      <c r="E66" s="12">
        <v>9</v>
      </c>
      <c r="F66" s="12">
        <v>141</v>
      </c>
      <c r="G66" s="12">
        <v>240</v>
      </c>
      <c r="H66" s="12">
        <v>885</v>
      </c>
      <c r="I66" s="12">
        <v>1235</v>
      </c>
      <c r="J66" s="12">
        <v>608</v>
      </c>
      <c r="K66" s="13">
        <v>1071</v>
      </c>
      <c r="L66" s="12"/>
      <c r="M66" s="19"/>
      <c r="N66" s="19"/>
    </row>
    <row r="67" spans="1:14" x14ac:dyDescent="0.3">
      <c r="A67" s="10">
        <v>9</v>
      </c>
      <c r="B67" s="11">
        <v>41</v>
      </c>
      <c r="C67" s="12">
        <v>20</v>
      </c>
      <c r="D67" s="12">
        <v>13</v>
      </c>
      <c r="E67" s="12">
        <v>9</v>
      </c>
      <c r="F67" s="12">
        <v>159</v>
      </c>
      <c r="G67" s="12">
        <v>277</v>
      </c>
      <c r="H67" s="12">
        <v>649</v>
      </c>
      <c r="I67" s="12">
        <v>1138</v>
      </c>
      <c r="J67" s="12">
        <v>570</v>
      </c>
      <c r="K67" s="13">
        <v>1015</v>
      </c>
      <c r="L67" s="12"/>
      <c r="M67" s="19"/>
      <c r="N67" s="19"/>
    </row>
    <row r="68" spans="1:14" x14ac:dyDescent="0.3">
      <c r="A68" s="14">
        <v>10</v>
      </c>
      <c r="B68" s="15">
        <v>65</v>
      </c>
      <c r="C68" s="16">
        <v>25</v>
      </c>
      <c r="D68" s="16">
        <v>8</v>
      </c>
      <c r="E68" s="16">
        <v>6</v>
      </c>
      <c r="F68" s="16">
        <v>144</v>
      </c>
      <c r="G68" s="16">
        <v>233</v>
      </c>
      <c r="H68" s="16">
        <v>687</v>
      </c>
      <c r="I68" s="16">
        <v>793</v>
      </c>
      <c r="J68" s="16">
        <v>553</v>
      </c>
      <c r="K68" s="17">
        <v>479</v>
      </c>
      <c r="L68" s="16"/>
      <c r="M68" s="19"/>
      <c r="N68" s="19"/>
    </row>
    <row r="69" spans="1:14" x14ac:dyDescent="0.3">
      <c r="A69" s="2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9"/>
      <c r="M69" s="19"/>
      <c r="N69" s="19"/>
    </row>
    <row r="70" spans="1:14" x14ac:dyDescent="0.3">
      <c r="A70" s="2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  <c r="M70" s="19"/>
      <c r="N70" s="19"/>
    </row>
    <row r="71" spans="1:14" x14ac:dyDescent="0.3">
      <c r="A71" s="2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9"/>
      <c r="M71" s="19"/>
      <c r="N71" s="19"/>
    </row>
    <row r="72" spans="1:14" x14ac:dyDescent="0.3">
      <c r="A72" s="21"/>
      <c r="B72" s="18"/>
      <c r="C72" s="18"/>
      <c r="D72" s="18"/>
      <c r="E72" s="18"/>
      <c r="F72" s="18"/>
      <c r="G72" s="18"/>
      <c r="H72" s="18"/>
      <c r="I72" s="18"/>
      <c r="J72" s="18"/>
      <c r="K72" s="18"/>
    </row>
  </sheetData>
  <mergeCells count="7">
    <mergeCell ref="A57:K57"/>
    <mergeCell ref="A43:K43"/>
    <mergeCell ref="A1:K1"/>
    <mergeCell ref="A29:K29"/>
    <mergeCell ref="B27:K27"/>
    <mergeCell ref="B14:K14"/>
    <mergeCell ref="A15:K15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F44" zoomScale="115" zoomScaleNormal="115" workbookViewId="0">
      <selection activeCell="L59" sqref="L59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2" x14ac:dyDescent="0.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2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5" t="s">
        <v>27</v>
      </c>
    </row>
    <row r="3" spans="1:12" x14ac:dyDescent="0.3">
      <c r="A3" s="5">
        <v>1</v>
      </c>
      <c r="B3" s="6">
        <v>1</v>
      </c>
      <c r="C3" s="7">
        <v>3</v>
      </c>
      <c r="D3" s="7">
        <v>3</v>
      </c>
      <c r="E3" s="7">
        <v>38</v>
      </c>
      <c r="F3" s="7">
        <v>2</v>
      </c>
      <c r="G3" s="8">
        <v>2</v>
      </c>
      <c r="H3" s="7">
        <v>5</v>
      </c>
      <c r="I3" s="7">
        <v>5</v>
      </c>
      <c r="J3" s="7">
        <v>100</v>
      </c>
      <c r="K3" s="9">
        <v>111</v>
      </c>
      <c r="L3" s="3"/>
    </row>
    <row r="4" spans="1:12" x14ac:dyDescent="0.3">
      <c r="A4" s="10">
        <v>2</v>
      </c>
      <c r="B4" s="11">
        <v>1</v>
      </c>
      <c r="C4" s="12">
        <v>2</v>
      </c>
      <c r="D4" s="12">
        <v>4</v>
      </c>
      <c r="E4" s="12">
        <v>4</v>
      </c>
      <c r="F4" s="12">
        <v>3</v>
      </c>
      <c r="G4" s="12">
        <v>3</v>
      </c>
      <c r="H4" s="12">
        <v>7</v>
      </c>
      <c r="I4" s="12">
        <v>3</v>
      </c>
      <c r="J4" s="12">
        <v>24</v>
      </c>
      <c r="K4" s="13">
        <v>15</v>
      </c>
      <c r="L4" s="12"/>
    </row>
    <row r="5" spans="1:12" x14ac:dyDescent="0.3">
      <c r="A5" s="10">
        <v>3</v>
      </c>
      <c r="B5" s="11">
        <v>0</v>
      </c>
      <c r="C5" s="12">
        <v>3</v>
      </c>
      <c r="D5" s="12">
        <v>3</v>
      </c>
      <c r="E5" s="12">
        <v>3</v>
      </c>
      <c r="F5" s="12">
        <v>1</v>
      </c>
      <c r="G5" s="12">
        <v>2</v>
      </c>
      <c r="H5" s="12">
        <v>2</v>
      </c>
      <c r="I5" s="12">
        <v>3</v>
      </c>
      <c r="J5" s="12">
        <v>9</v>
      </c>
      <c r="K5" s="13">
        <v>42</v>
      </c>
      <c r="L5" s="12"/>
    </row>
    <row r="6" spans="1:12" x14ac:dyDescent="0.3">
      <c r="A6" s="10">
        <v>4</v>
      </c>
      <c r="B6" s="11">
        <v>1</v>
      </c>
      <c r="C6" s="12">
        <v>2</v>
      </c>
      <c r="D6" s="12">
        <v>3</v>
      </c>
      <c r="E6" s="12">
        <v>3</v>
      </c>
      <c r="F6" s="12">
        <v>1</v>
      </c>
      <c r="G6" s="12">
        <v>2</v>
      </c>
      <c r="H6" s="12">
        <v>3</v>
      </c>
      <c r="I6" s="12">
        <v>1</v>
      </c>
      <c r="J6" s="12">
        <v>31</v>
      </c>
      <c r="K6" s="13">
        <v>8</v>
      </c>
      <c r="L6" s="12"/>
    </row>
    <row r="7" spans="1:12" x14ac:dyDescent="0.3">
      <c r="A7" s="10">
        <v>5</v>
      </c>
      <c r="B7" s="11">
        <v>1</v>
      </c>
      <c r="C7" s="12">
        <v>1</v>
      </c>
      <c r="D7" s="12">
        <v>1</v>
      </c>
      <c r="E7" s="12">
        <v>2</v>
      </c>
      <c r="F7" s="12">
        <v>1</v>
      </c>
      <c r="G7" s="12">
        <v>1</v>
      </c>
      <c r="H7" s="12">
        <v>1</v>
      </c>
      <c r="I7" s="12">
        <v>1</v>
      </c>
      <c r="J7" s="12">
        <v>6</v>
      </c>
      <c r="K7" s="13">
        <v>9</v>
      </c>
      <c r="L7" s="12"/>
    </row>
    <row r="8" spans="1:12" x14ac:dyDescent="0.3">
      <c r="A8" s="10">
        <v>6</v>
      </c>
      <c r="B8" s="11">
        <v>1</v>
      </c>
      <c r="C8" s="12">
        <v>2</v>
      </c>
      <c r="D8" s="12">
        <v>1</v>
      </c>
      <c r="E8" s="12">
        <v>7</v>
      </c>
      <c r="F8" s="12">
        <v>2</v>
      </c>
      <c r="G8" s="12">
        <v>2</v>
      </c>
      <c r="H8" s="12">
        <v>2</v>
      </c>
      <c r="I8" s="12">
        <v>2</v>
      </c>
      <c r="J8" s="12">
        <v>8</v>
      </c>
      <c r="K8" s="13">
        <v>4</v>
      </c>
      <c r="L8" s="12"/>
    </row>
    <row r="9" spans="1:12" x14ac:dyDescent="0.3">
      <c r="A9" s="10">
        <v>7</v>
      </c>
      <c r="B9" s="11">
        <v>0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2</v>
      </c>
      <c r="I9" s="12">
        <v>1</v>
      </c>
      <c r="J9" s="12">
        <v>5</v>
      </c>
      <c r="K9" s="13">
        <v>5</v>
      </c>
      <c r="L9" s="12"/>
    </row>
    <row r="10" spans="1:12" x14ac:dyDescent="0.3">
      <c r="A10" s="10">
        <v>8</v>
      </c>
      <c r="B10" s="11">
        <v>0</v>
      </c>
      <c r="C10" s="12">
        <v>1</v>
      </c>
      <c r="D10" s="12">
        <v>2</v>
      </c>
      <c r="E10" s="12">
        <v>2</v>
      </c>
      <c r="F10" s="12">
        <v>2</v>
      </c>
      <c r="G10" s="12">
        <v>13</v>
      </c>
      <c r="H10" s="12">
        <v>1</v>
      </c>
      <c r="I10" s="12">
        <v>1</v>
      </c>
      <c r="J10" s="12">
        <v>4</v>
      </c>
      <c r="K10" s="13">
        <v>10</v>
      </c>
      <c r="L10" s="12"/>
    </row>
    <row r="11" spans="1:12" x14ac:dyDescent="0.3">
      <c r="A11" s="10">
        <v>9</v>
      </c>
      <c r="B11" s="11">
        <v>1</v>
      </c>
      <c r="C11" s="12">
        <v>1</v>
      </c>
      <c r="D11" s="12">
        <v>1</v>
      </c>
      <c r="E11" s="12">
        <v>1</v>
      </c>
      <c r="F11" s="12">
        <v>1</v>
      </c>
      <c r="G11" s="12">
        <v>2</v>
      </c>
      <c r="H11" s="12">
        <v>13</v>
      </c>
      <c r="I11" s="12">
        <v>2</v>
      </c>
      <c r="J11" s="12">
        <v>3</v>
      </c>
      <c r="K11" s="13">
        <v>5</v>
      </c>
      <c r="L11" s="12"/>
    </row>
    <row r="12" spans="1:12" x14ac:dyDescent="0.3">
      <c r="A12" s="14">
        <v>10</v>
      </c>
      <c r="B12" s="15">
        <v>0</v>
      </c>
      <c r="C12" s="16">
        <v>1</v>
      </c>
      <c r="D12" s="16">
        <v>2</v>
      </c>
      <c r="E12" s="16">
        <v>3</v>
      </c>
      <c r="F12" s="16">
        <v>1</v>
      </c>
      <c r="G12" s="16">
        <v>1</v>
      </c>
      <c r="H12" s="16">
        <v>1</v>
      </c>
      <c r="I12" s="16">
        <v>1</v>
      </c>
      <c r="J12" s="16">
        <v>4</v>
      </c>
      <c r="K12" s="17">
        <v>5</v>
      </c>
      <c r="L12" s="16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3">
      <c r="A14" s="18"/>
      <c r="B14" s="61"/>
      <c r="C14" s="61"/>
      <c r="D14" s="61"/>
      <c r="E14" s="61"/>
      <c r="F14" s="61"/>
      <c r="G14" s="61"/>
      <c r="H14" s="61"/>
      <c r="I14" s="61"/>
      <c r="J14" s="61"/>
      <c r="K14" s="61"/>
    </row>
    <row r="15" spans="1:12" x14ac:dyDescent="0.3">
      <c r="A15" s="58" t="s">
        <v>12</v>
      </c>
      <c r="B15" s="59"/>
      <c r="C15" s="59"/>
      <c r="D15" s="59"/>
      <c r="E15" s="59"/>
      <c r="F15" s="59"/>
      <c r="G15" s="59"/>
      <c r="H15" s="59"/>
      <c r="I15" s="59"/>
      <c r="J15" s="59"/>
      <c r="K15" s="60"/>
    </row>
    <row r="16" spans="1:12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5" t="s">
        <v>27</v>
      </c>
    </row>
    <row r="17" spans="1:12" x14ac:dyDescent="0.3">
      <c r="A17" s="5">
        <v>1</v>
      </c>
      <c r="B17" s="6">
        <v>0</v>
      </c>
      <c r="C17" s="7">
        <v>2</v>
      </c>
      <c r="D17" s="7">
        <v>3</v>
      </c>
      <c r="E17" s="7">
        <v>38</v>
      </c>
      <c r="F17" s="7">
        <v>38</v>
      </c>
      <c r="G17" s="8">
        <v>5</v>
      </c>
      <c r="H17" s="7">
        <v>5</v>
      </c>
      <c r="I17" s="7">
        <v>7</v>
      </c>
      <c r="J17" s="7">
        <v>32</v>
      </c>
      <c r="K17" s="9">
        <v>18</v>
      </c>
      <c r="L17" s="3"/>
    </row>
    <row r="18" spans="1:12" x14ac:dyDescent="0.3">
      <c r="A18" s="10">
        <v>2</v>
      </c>
      <c r="B18" s="11">
        <v>0</v>
      </c>
      <c r="C18" s="12">
        <v>3</v>
      </c>
      <c r="D18" s="12">
        <v>3</v>
      </c>
      <c r="E18" s="12">
        <v>4</v>
      </c>
      <c r="F18" s="12">
        <v>2</v>
      </c>
      <c r="G18" s="12">
        <v>2</v>
      </c>
      <c r="H18" s="12">
        <v>4</v>
      </c>
      <c r="I18" s="12">
        <v>3</v>
      </c>
      <c r="J18" s="12">
        <v>14</v>
      </c>
      <c r="K18" s="13">
        <v>11</v>
      </c>
      <c r="L18" s="12"/>
    </row>
    <row r="19" spans="1:12" x14ac:dyDescent="0.3">
      <c r="A19" s="10">
        <v>3</v>
      </c>
      <c r="B19" s="11">
        <v>0</v>
      </c>
      <c r="C19" s="12">
        <v>2</v>
      </c>
      <c r="D19" s="12">
        <v>2</v>
      </c>
      <c r="E19" s="12">
        <v>9</v>
      </c>
      <c r="F19" s="12">
        <v>2</v>
      </c>
      <c r="G19" s="12">
        <v>2</v>
      </c>
      <c r="H19" s="12">
        <v>3</v>
      </c>
      <c r="I19" s="12">
        <v>5</v>
      </c>
      <c r="J19" s="12">
        <v>7</v>
      </c>
      <c r="K19" s="13">
        <v>9</v>
      </c>
      <c r="L19" s="12"/>
    </row>
    <row r="20" spans="1:12" x14ac:dyDescent="0.3">
      <c r="A20" s="10">
        <v>4</v>
      </c>
      <c r="B20" s="11">
        <v>1</v>
      </c>
      <c r="C20" s="12">
        <v>1</v>
      </c>
      <c r="D20" s="12">
        <v>2</v>
      </c>
      <c r="E20" s="12">
        <v>3</v>
      </c>
      <c r="F20" s="12">
        <v>2</v>
      </c>
      <c r="G20" s="12">
        <v>2</v>
      </c>
      <c r="H20" s="12">
        <v>2</v>
      </c>
      <c r="I20" s="12">
        <v>2</v>
      </c>
      <c r="J20" s="12">
        <v>12</v>
      </c>
      <c r="K20" s="13">
        <v>40</v>
      </c>
      <c r="L20" s="12"/>
    </row>
    <row r="21" spans="1:12" x14ac:dyDescent="0.3">
      <c r="A21" s="10">
        <v>5</v>
      </c>
      <c r="B21" s="11">
        <v>1</v>
      </c>
      <c r="C21" s="12">
        <v>2</v>
      </c>
      <c r="D21" s="12">
        <v>1</v>
      </c>
      <c r="E21" s="12">
        <v>5</v>
      </c>
      <c r="F21" s="12">
        <v>2</v>
      </c>
      <c r="G21" s="12">
        <v>1</v>
      </c>
      <c r="H21" s="12">
        <v>3</v>
      </c>
      <c r="I21" s="12">
        <v>2</v>
      </c>
      <c r="J21" s="12">
        <v>17</v>
      </c>
      <c r="K21" s="13">
        <v>11</v>
      </c>
      <c r="L21" s="12"/>
    </row>
    <row r="22" spans="1:12" x14ac:dyDescent="0.3">
      <c r="A22" s="10">
        <v>6</v>
      </c>
      <c r="B22" s="11">
        <v>2</v>
      </c>
      <c r="C22" s="12">
        <v>3</v>
      </c>
      <c r="D22" s="12">
        <v>2</v>
      </c>
      <c r="E22" s="12">
        <v>5</v>
      </c>
      <c r="F22" s="12">
        <v>2</v>
      </c>
      <c r="G22" s="12">
        <v>2</v>
      </c>
      <c r="H22" s="12">
        <v>5</v>
      </c>
      <c r="I22" s="12">
        <v>3</v>
      </c>
      <c r="J22" s="12">
        <v>6</v>
      </c>
      <c r="K22" s="13">
        <v>9</v>
      </c>
      <c r="L22" s="12"/>
    </row>
    <row r="23" spans="1:12" x14ac:dyDescent="0.3">
      <c r="A23" s="10">
        <v>7</v>
      </c>
      <c r="B23" s="11">
        <v>0</v>
      </c>
      <c r="C23" s="12">
        <v>1</v>
      </c>
      <c r="D23" s="12">
        <v>2</v>
      </c>
      <c r="E23" s="12">
        <v>2</v>
      </c>
      <c r="F23" s="12">
        <v>3</v>
      </c>
      <c r="G23" s="12">
        <v>3</v>
      </c>
      <c r="H23" s="12">
        <v>4</v>
      </c>
      <c r="I23" s="12">
        <v>3</v>
      </c>
      <c r="J23" s="12">
        <v>15</v>
      </c>
      <c r="K23" s="13">
        <v>5</v>
      </c>
      <c r="L23" s="12"/>
    </row>
    <row r="24" spans="1:12" x14ac:dyDescent="0.3">
      <c r="A24" s="10">
        <v>8</v>
      </c>
      <c r="B24" s="11">
        <v>1</v>
      </c>
      <c r="C24" s="12">
        <v>1</v>
      </c>
      <c r="D24" s="12">
        <v>1</v>
      </c>
      <c r="E24" s="12">
        <v>4</v>
      </c>
      <c r="F24" s="12">
        <v>1</v>
      </c>
      <c r="G24" s="12">
        <v>2</v>
      </c>
      <c r="H24" s="12">
        <v>2</v>
      </c>
      <c r="I24" s="12">
        <v>2</v>
      </c>
      <c r="J24" s="12">
        <v>14</v>
      </c>
      <c r="K24" s="13">
        <v>11</v>
      </c>
      <c r="L24" s="12"/>
    </row>
    <row r="25" spans="1:12" x14ac:dyDescent="0.3">
      <c r="A25" s="10">
        <v>9</v>
      </c>
      <c r="B25" s="11">
        <v>0</v>
      </c>
      <c r="C25" s="12">
        <v>2</v>
      </c>
      <c r="D25" s="12">
        <v>1</v>
      </c>
      <c r="E25" s="12">
        <v>6</v>
      </c>
      <c r="F25" s="12">
        <v>1</v>
      </c>
      <c r="G25" s="12">
        <v>1</v>
      </c>
      <c r="H25" s="12">
        <v>2</v>
      </c>
      <c r="I25" s="12">
        <v>2</v>
      </c>
      <c r="J25" s="12">
        <v>17</v>
      </c>
      <c r="K25" s="13">
        <v>40</v>
      </c>
      <c r="L25" s="12"/>
    </row>
    <row r="26" spans="1:12" x14ac:dyDescent="0.3">
      <c r="A26" s="14">
        <v>10</v>
      </c>
      <c r="B26" s="15">
        <v>1</v>
      </c>
      <c r="C26" s="16">
        <v>1</v>
      </c>
      <c r="D26" s="16">
        <v>3</v>
      </c>
      <c r="E26" s="16">
        <v>4</v>
      </c>
      <c r="F26" s="16">
        <v>2</v>
      </c>
      <c r="G26" s="16">
        <v>2</v>
      </c>
      <c r="H26" s="16">
        <v>2</v>
      </c>
      <c r="I26" s="16">
        <v>3</v>
      </c>
      <c r="J26" s="16">
        <v>12</v>
      </c>
      <c r="K26" s="17">
        <v>9</v>
      </c>
      <c r="L26" s="16"/>
    </row>
    <row r="27" spans="1:12" x14ac:dyDescent="0.3">
      <c r="A27" s="18"/>
      <c r="B27" s="61"/>
      <c r="C27" s="61"/>
      <c r="D27" s="61"/>
      <c r="E27" s="61"/>
      <c r="F27" s="61"/>
      <c r="G27" s="61"/>
      <c r="H27" s="61"/>
      <c r="I27" s="61"/>
      <c r="J27" s="61"/>
      <c r="K27" s="61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 x14ac:dyDescent="0.3">
      <c r="A29" s="58" t="s">
        <v>13</v>
      </c>
      <c r="B29" s="59"/>
      <c r="C29" s="59"/>
      <c r="D29" s="59"/>
      <c r="E29" s="59"/>
      <c r="F29" s="59"/>
      <c r="G29" s="59"/>
      <c r="H29" s="59"/>
      <c r="I29" s="59"/>
      <c r="J29" s="59"/>
      <c r="K29" s="60"/>
    </row>
    <row r="30" spans="1:12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5" t="s">
        <v>27</v>
      </c>
    </row>
    <row r="31" spans="1:12" x14ac:dyDescent="0.3">
      <c r="A31" s="5">
        <v>1</v>
      </c>
      <c r="B31" s="6">
        <v>199</v>
      </c>
      <c r="C31" s="7">
        <v>93</v>
      </c>
      <c r="D31" s="7">
        <v>97</v>
      </c>
      <c r="E31" s="7">
        <v>541</v>
      </c>
      <c r="F31" s="7"/>
      <c r="G31" s="8"/>
      <c r="H31" s="7"/>
      <c r="I31" s="7"/>
      <c r="J31" s="7"/>
      <c r="K31" s="9"/>
      <c r="L31" s="3"/>
    </row>
    <row r="32" spans="1:12" x14ac:dyDescent="0.3">
      <c r="A32" s="10">
        <v>2</v>
      </c>
      <c r="B32" s="11">
        <v>221</v>
      </c>
      <c r="C32" s="12">
        <v>239</v>
      </c>
      <c r="D32" s="12">
        <v>204</v>
      </c>
      <c r="E32" s="12">
        <v>4</v>
      </c>
      <c r="F32" s="12"/>
      <c r="G32" s="12"/>
      <c r="H32" s="12"/>
      <c r="I32" s="12"/>
      <c r="J32" s="12"/>
      <c r="K32" s="13"/>
      <c r="L32" s="12"/>
    </row>
    <row r="33" spans="1:12" x14ac:dyDescent="0.3">
      <c r="A33" s="10">
        <v>3</v>
      </c>
      <c r="B33" s="11">
        <v>217</v>
      </c>
      <c r="C33" s="12">
        <v>135</v>
      </c>
      <c r="D33" s="12">
        <v>102</v>
      </c>
      <c r="E33" s="12">
        <v>6</v>
      </c>
      <c r="F33" s="12"/>
      <c r="G33" s="12"/>
      <c r="H33" s="12"/>
      <c r="I33" s="12"/>
      <c r="J33" s="12"/>
      <c r="K33" s="13"/>
      <c r="L33" s="12"/>
    </row>
    <row r="34" spans="1:12" x14ac:dyDescent="0.3">
      <c r="A34" s="10">
        <v>4</v>
      </c>
      <c r="B34" s="11">
        <v>180</v>
      </c>
      <c r="C34" s="12">
        <v>177</v>
      </c>
      <c r="D34" s="12">
        <v>280</v>
      </c>
      <c r="E34" s="12">
        <v>6</v>
      </c>
      <c r="F34" s="12"/>
      <c r="G34" s="12"/>
      <c r="H34" s="12"/>
      <c r="I34" s="12"/>
      <c r="J34" s="12"/>
      <c r="K34" s="13"/>
      <c r="L34" s="12"/>
    </row>
    <row r="35" spans="1:12" x14ac:dyDescent="0.3">
      <c r="A35" s="10">
        <v>5</v>
      </c>
      <c r="B35" s="11">
        <v>716</v>
      </c>
      <c r="C35" s="12">
        <v>297</v>
      </c>
      <c r="D35" s="12">
        <v>132</v>
      </c>
      <c r="E35" s="12">
        <v>5</v>
      </c>
      <c r="F35" s="12"/>
      <c r="G35" s="12"/>
      <c r="H35" s="12"/>
      <c r="I35" s="12"/>
      <c r="J35" s="12"/>
      <c r="K35" s="13"/>
      <c r="L35" s="12"/>
    </row>
    <row r="36" spans="1:12" x14ac:dyDescent="0.3">
      <c r="A36" s="10">
        <v>6</v>
      </c>
      <c r="B36" s="11">
        <v>195</v>
      </c>
      <c r="C36" s="12">
        <v>93</v>
      </c>
      <c r="D36" s="12">
        <v>190</v>
      </c>
      <c r="E36" s="12">
        <v>4</v>
      </c>
      <c r="F36" s="12"/>
      <c r="G36" s="12"/>
      <c r="H36" s="12"/>
      <c r="I36" s="12"/>
      <c r="J36" s="12"/>
      <c r="K36" s="13"/>
      <c r="L36" s="12"/>
    </row>
    <row r="37" spans="1:12" x14ac:dyDescent="0.3">
      <c r="A37" s="10">
        <v>7</v>
      </c>
      <c r="B37" s="11">
        <v>217</v>
      </c>
      <c r="C37" s="12">
        <v>139</v>
      </c>
      <c r="D37" s="12">
        <v>121</v>
      </c>
      <c r="E37" s="12">
        <v>4</v>
      </c>
      <c r="F37" s="12"/>
      <c r="G37" s="12"/>
      <c r="H37" s="12"/>
      <c r="I37" s="12"/>
      <c r="J37" s="12"/>
      <c r="K37" s="13"/>
      <c r="L37" s="12"/>
    </row>
    <row r="38" spans="1:12" x14ac:dyDescent="0.3">
      <c r="A38" s="10">
        <v>8</v>
      </c>
      <c r="B38" s="11">
        <v>237</v>
      </c>
      <c r="C38" s="12">
        <v>67</v>
      </c>
      <c r="D38" s="12">
        <v>111</v>
      </c>
      <c r="E38" s="12">
        <v>16</v>
      </c>
      <c r="F38" s="12"/>
      <c r="G38" s="12"/>
      <c r="H38" s="12"/>
      <c r="I38" s="12"/>
      <c r="J38" s="12"/>
      <c r="K38" s="13"/>
      <c r="L38" s="12"/>
    </row>
    <row r="39" spans="1:12" x14ac:dyDescent="0.3">
      <c r="A39" s="10">
        <v>9</v>
      </c>
      <c r="B39" s="11">
        <v>135</v>
      </c>
      <c r="C39" s="12">
        <v>91</v>
      </c>
      <c r="D39" s="12">
        <v>263</v>
      </c>
      <c r="E39" s="12">
        <v>7</v>
      </c>
      <c r="F39" s="12"/>
      <c r="G39" s="12"/>
      <c r="H39" s="12"/>
      <c r="I39" s="12"/>
      <c r="J39" s="12"/>
      <c r="K39" s="13"/>
      <c r="L39" s="12"/>
    </row>
    <row r="40" spans="1:12" x14ac:dyDescent="0.3">
      <c r="A40" s="14">
        <v>10</v>
      </c>
      <c r="B40" s="15">
        <v>452</v>
      </c>
      <c r="C40" s="16">
        <v>95</v>
      </c>
      <c r="D40" s="16">
        <v>198</v>
      </c>
      <c r="E40" s="16">
        <v>5</v>
      </c>
      <c r="F40" s="16"/>
      <c r="G40" s="16"/>
      <c r="H40" s="16"/>
      <c r="I40" s="16"/>
      <c r="J40" s="16"/>
      <c r="K40" s="17"/>
      <c r="L40" s="16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2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</row>
    <row r="43" spans="1:12" x14ac:dyDescent="0.3">
      <c r="A43" s="58" t="s">
        <v>14</v>
      </c>
      <c r="B43" s="59"/>
      <c r="C43" s="59"/>
      <c r="D43" s="59"/>
      <c r="E43" s="59"/>
      <c r="F43" s="59"/>
      <c r="G43" s="59"/>
      <c r="H43" s="59"/>
      <c r="I43" s="59"/>
      <c r="J43" s="59"/>
      <c r="K43" s="60"/>
    </row>
    <row r="44" spans="1:12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5" t="s">
        <v>27</v>
      </c>
    </row>
    <row r="45" spans="1:12" x14ac:dyDescent="0.3">
      <c r="A45" s="5">
        <v>1</v>
      </c>
      <c r="B45" s="6"/>
      <c r="C45" s="7"/>
      <c r="D45" s="7"/>
      <c r="E45" s="7"/>
      <c r="F45" s="7">
        <v>2356</v>
      </c>
      <c r="G45" s="8">
        <v>3295</v>
      </c>
      <c r="H45" s="7">
        <v>7749</v>
      </c>
      <c r="I45" s="7">
        <v>6003</v>
      </c>
      <c r="J45" s="7">
        <v>10479</v>
      </c>
      <c r="K45" s="9">
        <v>21979</v>
      </c>
      <c r="L45" s="3"/>
    </row>
    <row r="46" spans="1:12" x14ac:dyDescent="0.3">
      <c r="A46" s="10">
        <v>2</v>
      </c>
      <c r="B46" s="11"/>
      <c r="C46" s="12"/>
      <c r="D46" s="12"/>
      <c r="E46" s="12"/>
      <c r="F46" s="12">
        <v>2351</v>
      </c>
      <c r="G46" s="12">
        <v>2461</v>
      </c>
      <c r="H46" s="12">
        <v>5862</v>
      </c>
      <c r="I46" s="12">
        <v>6134</v>
      </c>
      <c r="J46" s="12">
        <v>8078</v>
      </c>
      <c r="K46" s="13">
        <v>9568</v>
      </c>
      <c r="L46" s="12"/>
    </row>
    <row r="47" spans="1:12" x14ac:dyDescent="0.3">
      <c r="A47" s="10">
        <v>3</v>
      </c>
      <c r="B47" s="11"/>
      <c r="C47" s="12"/>
      <c r="D47" s="12"/>
      <c r="E47" s="12"/>
      <c r="F47" s="12">
        <v>2420</v>
      </c>
      <c r="G47" s="12">
        <v>2719</v>
      </c>
      <c r="H47" s="12">
        <v>4715</v>
      </c>
      <c r="I47" s="12">
        <v>7540</v>
      </c>
      <c r="J47" s="12">
        <v>13776</v>
      </c>
      <c r="K47" s="13">
        <v>6449</v>
      </c>
      <c r="L47" s="12"/>
    </row>
    <row r="48" spans="1:12" x14ac:dyDescent="0.3">
      <c r="A48" s="10">
        <v>4</v>
      </c>
      <c r="B48" s="11"/>
      <c r="C48" s="12"/>
      <c r="D48" s="12"/>
      <c r="E48" s="12"/>
      <c r="F48" s="12">
        <v>2267</v>
      </c>
      <c r="G48" s="12">
        <v>4655</v>
      </c>
      <c r="H48" s="12">
        <v>4686</v>
      </c>
      <c r="I48" s="12">
        <v>6047</v>
      </c>
      <c r="J48" s="12">
        <v>9899</v>
      </c>
      <c r="K48" s="13">
        <v>8172</v>
      </c>
      <c r="L48" s="12"/>
    </row>
    <row r="49" spans="1:12" x14ac:dyDescent="0.3">
      <c r="A49" s="10">
        <v>5</v>
      </c>
      <c r="B49" s="11"/>
      <c r="C49" s="12"/>
      <c r="D49" s="12"/>
      <c r="E49" s="12"/>
      <c r="F49" s="12">
        <v>2296</v>
      </c>
      <c r="G49" s="12">
        <v>2552</v>
      </c>
      <c r="H49" s="12">
        <v>5510</v>
      </c>
      <c r="I49" s="12">
        <v>5342</v>
      </c>
      <c r="J49" s="12">
        <v>5777</v>
      </c>
      <c r="K49" s="13">
        <v>8865</v>
      </c>
      <c r="L49" s="12"/>
    </row>
    <row r="50" spans="1:12" x14ac:dyDescent="0.3">
      <c r="A50" s="10">
        <v>6</v>
      </c>
      <c r="B50" s="11"/>
      <c r="C50" s="12"/>
      <c r="D50" s="12"/>
      <c r="E50" s="12"/>
      <c r="F50" s="12">
        <v>2291</v>
      </c>
      <c r="G50" s="12">
        <v>6826</v>
      </c>
      <c r="H50" s="12">
        <v>6911</v>
      </c>
      <c r="I50" s="12">
        <v>6122</v>
      </c>
      <c r="J50" s="12">
        <v>4164</v>
      </c>
      <c r="K50" s="13">
        <v>8534</v>
      </c>
      <c r="L50" s="12"/>
    </row>
    <row r="51" spans="1:12" x14ac:dyDescent="0.3">
      <c r="A51" s="10">
        <v>7</v>
      </c>
      <c r="B51" s="11"/>
      <c r="C51" s="12"/>
      <c r="D51" s="12"/>
      <c r="E51" s="12"/>
      <c r="F51" s="12">
        <v>2287</v>
      </c>
      <c r="G51" s="12">
        <v>2794</v>
      </c>
      <c r="H51" s="12">
        <v>4910</v>
      </c>
      <c r="I51" s="12">
        <v>5594</v>
      </c>
      <c r="J51" s="12">
        <v>7115</v>
      </c>
      <c r="K51" s="13">
        <v>8806</v>
      </c>
      <c r="L51" s="12"/>
    </row>
    <row r="52" spans="1:12" x14ac:dyDescent="0.3">
      <c r="A52" s="10">
        <v>8</v>
      </c>
      <c r="B52" s="11"/>
      <c r="C52" s="12"/>
      <c r="D52" s="12"/>
      <c r="E52" s="12"/>
      <c r="F52" s="12">
        <v>2354</v>
      </c>
      <c r="G52" s="12">
        <v>3919</v>
      </c>
      <c r="H52" s="12">
        <v>7342</v>
      </c>
      <c r="I52" s="12">
        <v>5878</v>
      </c>
      <c r="J52" s="12">
        <v>6564</v>
      </c>
      <c r="K52" s="13">
        <v>12142</v>
      </c>
      <c r="L52" s="12"/>
    </row>
    <row r="53" spans="1:12" x14ac:dyDescent="0.3">
      <c r="A53" s="10">
        <v>9</v>
      </c>
      <c r="B53" s="11"/>
      <c r="C53" s="12"/>
      <c r="D53" s="12"/>
      <c r="E53" s="12"/>
      <c r="F53" s="12">
        <v>2288</v>
      </c>
      <c r="G53" s="12">
        <v>3243</v>
      </c>
      <c r="H53" s="12">
        <v>6828</v>
      </c>
      <c r="I53" s="12">
        <v>6196</v>
      </c>
      <c r="J53" s="12">
        <v>4745</v>
      </c>
      <c r="K53" s="13">
        <v>10315</v>
      </c>
      <c r="L53" s="12"/>
    </row>
    <row r="54" spans="1:12" x14ac:dyDescent="0.3">
      <c r="A54" s="14">
        <v>10</v>
      </c>
      <c r="B54" s="15"/>
      <c r="C54" s="16"/>
      <c r="D54" s="16"/>
      <c r="E54" s="16"/>
      <c r="F54" s="16">
        <v>2294</v>
      </c>
      <c r="G54" s="16">
        <v>2621</v>
      </c>
      <c r="H54" s="16">
        <v>7045</v>
      </c>
      <c r="I54" s="16">
        <v>5681</v>
      </c>
      <c r="J54" s="16">
        <v>8592</v>
      </c>
      <c r="K54" s="17">
        <v>9459</v>
      </c>
      <c r="L54" s="16"/>
    </row>
    <row r="55" spans="1:12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2" x14ac:dyDescent="0.3">
      <c r="A57" s="58" t="s">
        <v>15</v>
      </c>
      <c r="B57" s="59"/>
      <c r="C57" s="59"/>
      <c r="D57" s="59"/>
      <c r="E57" s="59"/>
      <c r="F57" s="59"/>
      <c r="G57" s="59"/>
      <c r="H57" s="59"/>
      <c r="I57" s="59"/>
      <c r="J57" s="59"/>
      <c r="K57" s="60"/>
    </row>
    <row r="58" spans="1:12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5" t="s">
        <v>27</v>
      </c>
    </row>
    <row r="59" spans="1:12" x14ac:dyDescent="0.3">
      <c r="A59" s="5">
        <v>1</v>
      </c>
      <c r="B59" s="6">
        <v>349</v>
      </c>
      <c r="C59" s="7">
        <v>53</v>
      </c>
      <c r="D59" s="7">
        <v>130</v>
      </c>
      <c r="E59" s="7">
        <v>456</v>
      </c>
      <c r="F59" s="7">
        <v>2280</v>
      </c>
      <c r="G59" s="8">
        <v>3048</v>
      </c>
      <c r="H59" s="7">
        <v>5565</v>
      </c>
      <c r="I59" s="7">
        <v>5651</v>
      </c>
      <c r="J59" s="7">
        <v>5398</v>
      </c>
      <c r="K59" s="9">
        <v>6326</v>
      </c>
      <c r="L59" s="62">
        <v>467.84</v>
      </c>
    </row>
    <row r="60" spans="1:12" x14ac:dyDescent="0.3">
      <c r="A60" s="10">
        <v>2</v>
      </c>
      <c r="B60" s="11">
        <v>311</v>
      </c>
      <c r="C60" s="12">
        <v>119</v>
      </c>
      <c r="D60" s="12">
        <v>92</v>
      </c>
      <c r="E60" s="12">
        <v>7</v>
      </c>
      <c r="F60" s="12">
        <v>2272</v>
      </c>
      <c r="G60" s="12">
        <v>2472</v>
      </c>
      <c r="H60" s="12">
        <v>5829</v>
      </c>
      <c r="I60" s="12">
        <v>6551</v>
      </c>
      <c r="J60" s="12">
        <v>5476</v>
      </c>
      <c r="K60" s="13">
        <v>6815</v>
      </c>
      <c r="L60" s="12">
        <v>544.73</v>
      </c>
    </row>
    <row r="61" spans="1:12" x14ac:dyDescent="0.3">
      <c r="A61" s="10">
        <v>3</v>
      </c>
      <c r="B61" s="11">
        <v>371</v>
      </c>
      <c r="C61" s="12">
        <v>73</v>
      </c>
      <c r="D61" s="12">
        <v>77</v>
      </c>
      <c r="E61" s="12">
        <v>20</v>
      </c>
      <c r="F61" s="12">
        <v>2267</v>
      </c>
      <c r="G61" s="12">
        <v>3146</v>
      </c>
      <c r="H61" s="12">
        <v>6175</v>
      </c>
      <c r="I61" s="12">
        <v>6253</v>
      </c>
      <c r="J61" s="12">
        <v>17022</v>
      </c>
      <c r="K61" s="13">
        <v>4727</v>
      </c>
      <c r="L61" s="12">
        <v>10.48</v>
      </c>
    </row>
    <row r="62" spans="1:12" x14ac:dyDescent="0.3">
      <c r="A62" s="10">
        <v>4</v>
      </c>
      <c r="B62" s="11">
        <v>271</v>
      </c>
      <c r="C62" s="12">
        <v>76</v>
      </c>
      <c r="D62" s="12">
        <v>62</v>
      </c>
      <c r="E62" s="12">
        <v>34</v>
      </c>
      <c r="F62" s="12">
        <v>3083</v>
      </c>
      <c r="G62" s="12">
        <v>2907</v>
      </c>
      <c r="H62" s="12">
        <v>5997</v>
      </c>
      <c r="I62" s="12">
        <v>5930</v>
      </c>
      <c r="J62" s="12">
        <v>5508</v>
      </c>
      <c r="K62" s="13">
        <v>13025</v>
      </c>
      <c r="L62" s="12">
        <v>35.15</v>
      </c>
    </row>
    <row r="63" spans="1:12" x14ac:dyDescent="0.3">
      <c r="A63" s="10">
        <v>5</v>
      </c>
      <c r="B63" s="11">
        <v>358</v>
      </c>
      <c r="C63" s="12">
        <v>141</v>
      </c>
      <c r="D63" s="12">
        <v>98</v>
      </c>
      <c r="E63" s="12">
        <v>36</v>
      </c>
      <c r="F63" s="12">
        <v>2448</v>
      </c>
      <c r="G63" s="12">
        <v>2824</v>
      </c>
      <c r="H63" s="12">
        <v>6231</v>
      </c>
      <c r="I63" s="12">
        <v>6552</v>
      </c>
      <c r="J63" s="12">
        <v>8688</v>
      </c>
      <c r="K63" s="13">
        <v>7323</v>
      </c>
      <c r="L63" s="12">
        <v>5.17</v>
      </c>
    </row>
    <row r="64" spans="1:12" x14ac:dyDescent="0.3">
      <c r="A64" s="10">
        <v>6</v>
      </c>
      <c r="B64" s="11">
        <v>313</v>
      </c>
      <c r="C64" s="12">
        <v>41</v>
      </c>
      <c r="D64" s="12">
        <v>92</v>
      </c>
      <c r="E64" s="12">
        <v>9</v>
      </c>
      <c r="F64" s="12">
        <v>2672</v>
      </c>
      <c r="G64" s="12">
        <v>4252</v>
      </c>
      <c r="H64" s="12">
        <v>7319</v>
      </c>
      <c r="I64" s="12">
        <v>5768</v>
      </c>
      <c r="J64" s="12">
        <v>9020</v>
      </c>
      <c r="K64" s="13">
        <v>7937</v>
      </c>
      <c r="L64" s="12">
        <v>536.16999999999996</v>
      </c>
    </row>
    <row r="65" spans="1:12" x14ac:dyDescent="0.3">
      <c r="A65" s="10">
        <v>7</v>
      </c>
      <c r="B65" s="11">
        <v>320</v>
      </c>
      <c r="C65" s="12">
        <v>41</v>
      </c>
      <c r="D65" s="12">
        <v>61</v>
      </c>
      <c r="E65" s="12">
        <v>63</v>
      </c>
      <c r="F65" s="12">
        <v>2273</v>
      </c>
      <c r="G65" s="12">
        <v>2558</v>
      </c>
      <c r="H65" s="12">
        <v>6162</v>
      </c>
      <c r="I65" s="12">
        <v>6131</v>
      </c>
      <c r="J65" s="12">
        <v>7703</v>
      </c>
      <c r="K65" s="13">
        <v>10019</v>
      </c>
      <c r="L65" s="12">
        <v>12.59</v>
      </c>
    </row>
    <row r="66" spans="1:12" x14ac:dyDescent="0.3">
      <c r="A66" s="10">
        <v>8</v>
      </c>
      <c r="B66" s="11">
        <v>437</v>
      </c>
      <c r="C66" s="12">
        <v>58</v>
      </c>
      <c r="D66" s="12">
        <v>61</v>
      </c>
      <c r="E66" s="12">
        <v>293</v>
      </c>
      <c r="F66" s="12">
        <v>2789</v>
      </c>
      <c r="G66" s="12">
        <v>2900</v>
      </c>
      <c r="H66" s="12">
        <v>6433</v>
      </c>
      <c r="I66" s="12">
        <v>5792</v>
      </c>
      <c r="J66" s="12">
        <v>6905</v>
      </c>
      <c r="K66" s="13">
        <v>12798</v>
      </c>
      <c r="L66" s="12">
        <v>15.47</v>
      </c>
    </row>
    <row r="67" spans="1:12" x14ac:dyDescent="0.3">
      <c r="A67" s="10">
        <v>9</v>
      </c>
      <c r="B67" s="11">
        <v>255</v>
      </c>
      <c r="C67" s="12">
        <v>69</v>
      </c>
      <c r="D67" s="12">
        <v>149</v>
      </c>
      <c r="E67" s="12">
        <v>11</v>
      </c>
      <c r="F67" s="12">
        <v>2239</v>
      </c>
      <c r="G67" s="12">
        <v>2981</v>
      </c>
      <c r="H67" s="12">
        <v>6785</v>
      </c>
      <c r="I67" s="12">
        <v>5952</v>
      </c>
      <c r="J67" s="12">
        <v>9859</v>
      </c>
      <c r="K67" s="13">
        <v>9236</v>
      </c>
      <c r="L67" s="12">
        <v>19.260000000000002</v>
      </c>
    </row>
    <row r="68" spans="1:12" x14ac:dyDescent="0.3">
      <c r="A68" s="14">
        <v>10</v>
      </c>
      <c r="B68" s="15">
        <v>654</v>
      </c>
      <c r="C68" s="16">
        <v>55</v>
      </c>
      <c r="D68" s="16">
        <v>121</v>
      </c>
      <c r="E68" s="16">
        <v>19</v>
      </c>
      <c r="F68" s="16">
        <v>2545</v>
      </c>
      <c r="G68" s="16">
        <v>2723</v>
      </c>
      <c r="H68" s="16">
        <v>6805</v>
      </c>
      <c r="I68" s="16">
        <v>5375</v>
      </c>
      <c r="J68" s="16">
        <v>8168</v>
      </c>
      <c r="K68" s="17">
        <v>9236</v>
      </c>
      <c r="L68" s="16">
        <v>18.14</v>
      </c>
    </row>
  </sheetData>
  <mergeCells count="7">
    <mergeCell ref="A1:K1"/>
    <mergeCell ref="A57:K57"/>
    <mergeCell ref="A43:K43"/>
    <mergeCell ref="A29:K29"/>
    <mergeCell ref="B27:K27"/>
    <mergeCell ref="B14:K14"/>
    <mergeCell ref="A15:K15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G46" zoomScale="130" zoomScaleNormal="130" workbookViewId="0">
      <selection activeCell="L68" sqref="L68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2" x14ac:dyDescent="0.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2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5" t="s">
        <v>27</v>
      </c>
    </row>
    <row r="3" spans="1:12" x14ac:dyDescent="0.3">
      <c r="A3" s="5">
        <v>1</v>
      </c>
      <c r="B3" s="6">
        <v>0</v>
      </c>
      <c r="C3" s="7">
        <v>2</v>
      </c>
      <c r="D3" s="7">
        <v>6</v>
      </c>
      <c r="E3" s="7"/>
      <c r="F3" s="7">
        <v>5</v>
      </c>
      <c r="G3" s="8">
        <v>8</v>
      </c>
      <c r="H3" s="7"/>
      <c r="I3" s="7">
        <v>3</v>
      </c>
      <c r="J3" s="7"/>
      <c r="K3" s="9"/>
      <c r="L3" s="3"/>
    </row>
    <row r="4" spans="1:12" x14ac:dyDescent="0.3">
      <c r="A4" s="10">
        <v>2</v>
      </c>
      <c r="B4" s="11">
        <v>1</v>
      </c>
      <c r="C4" s="12">
        <v>2</v>
      </c>
      <c r="D4" s="12">
        <v>2</v>
      </c>
      <c r="E4" s="12"/>
      <c r="F4" s="12">
        <v>2</v>
      </c>
      <c r="G4" s="12">
        <v>1</v>
      </c>
      <c r="H4" s="12"/>
      <c r="I4" s="12">
        <v>1</v>
      </c>
      <c r="J4" s="12"/>
      <c r="K4" s="13"/>
      <c r="L4" s="12"/>
    </row>
    <row r="5" spans="1:12" x14ac:dyDescent="0.3">
      <c r="A5" s="10">
        <v>3</v>
      </c>
      <c r="B5" s="11">
        <v>1</v>
      </c>
      <c r="C5" s="12">
        <v>1</v>
      </c>
      <c r="D5" s="12">
        <v>10</v>
      </c>
      <c r="E5" s="12"/>
      <c r="F5" s="12">
        <v>2</v>
      </c>
      <c r="G5" s="12">
        <v>1</v>
      </c>
      <c r="H5" s="12"/>
      <c r="I5" s="12">
        <v>2</v>
      </c>
      <c r="J5" s="12"/>
      <c r="K5" s="13"/>
      <c r="L5" s="12"/>
    </row>
    <row r="6" spans="1:12" x14ac:dyDescent="0.3">
      <c r="A6" s="10">
        <v>4</v>
      </c>
      <c r="B6" s="11">
        <v>1</v>
      </c>
      <c r="C6" s="12">
        <v>2</v>
      </c>
      <c r="D6" s="12">
        <v>2</v>
      </c>
      <c r="E6" s="12"/>
      <c r="F6" s="12"/>
      <c r="G6" s="12">
        <v>1</v>
      </c>
      <c r="H6" s="12"/>
      <c r="I6" s="12">
        <v>1</v>
      </c>
      <c r="J6" s="12"/>
      <c r="K6" s="13"/>
      <c r="L6" s="12"/>
    </row>
    <row r="7" spans="1:12" x14ac:dyDescent="0.3">
      <c r="A7" s="10">
        <v>5</v>
      </c>
      <c r="B7" s="11">
        <v>1</v>
      </c>
      <c r="C7" s="12">
        <v>2</v>
      </c>
      <c r="D7" s="12">
        <v>2</v>
      </c>
      <c r="E7" s="12"/>
      <c r="F7" s="12"/>
      <c r="G7" s="12">
        <v>1</v>
      </c>
      <c r="H7" s="12"/>
      <c r="I7" s="12">
        <v>1</v>
      </c>
      <c r="J7" s="12"/>
      <c r="K7" s="13"/>
      <c r="L7" s="12"/>
    </row>
    <row r="8" spans="1:12" x14ac:dyDescent="0.3">
      <c r="A8" s="10">
        <v>6</v>
      </c>
      <c r="B8" s="11">
        <v>0</v>
      </c>
      <c r="C8" s="12">
        <v>2</v>
      </c>
      <c r="D8" s="12">
        <v>2</v>
      </c>
      <c r="E8" s="12"/>
      <c r="F8" s="12"/>
      <c r="G8" s="12">
        <v>1</v>
      </c>
      <c r="H8" s="12"/>
      <c r="I8" s="12">
        <v>0</v>
      </c>
      <c r="J8" s="12"/>
      <c r="K8" s="13"/>
      <c r="L8" s="12"/>
    </row>
    <row r="9" spans="1:12" x14ac:dyDescent="0.3">
      <c r="A9" s="10">
        <v>7</v>
      </c>
      <c r="B9" s="11">
        <v>0</v>
      </c>
      <c r="C9" s="12">
        <v>3</v>
      </c>
      <c r="D9" s="12">
        <v>1</v>
      </c>
      <c r="E9" s="12"/>
      <c r="F9" s="12"/>
      <c r="G9" s="12">
        <v>1</v>
      </c>
      <c r="H9" s="12"/>
      <c r="I9" s="12">
        <v>0</v>
      </c>
      <c r="J9" s="12"/>
      <c r="K9" s="13"/>
      <c r="L9" s="12"/>
    </row>
    <row r="10" spans="1:12" x14ac:dyDescent="0.3">
      <c r="A10" s="10">
        <v>8</v>
      </c>
      <c r="B10" s="11">
        <v>0</v>
      </c>
      <c r="C10" s="12">
        <v>1</v>
      </c>
      <c r="D10" s="12">
        <v>1</v>
      </c>
      <c r="E10" s="12"/>
      <c r="F10" s="12"/>
      <c r="G10" s="12">
        <v>2</v>
      </c>
      <c r="H10" s="12"/>
      <c r="I10" s="12">
        <v>1</v>
      </c>
      <c r="J10" s="12"/>
      <c r="K10" s="13"/>
      <c r="L10" s="12"/>
    </row>
    <row r="11" spans="1:12" x14ac:dyDescent="0.3">
      <c r="A11" s="10">
        <v>9</v>
      </c>
      <c r="B11" s="11">
        <v>2</v>
      </c>
      <c r="C11" s="12">
        <v>1</v>
      </c>
      <c r="D11" s="12">
        <v>1</v>
      </c>
      <c r="E11" s="12"/>
      <c r="F11" s="12"/>
      <c r="G11" s="12">
        <v>0</v>
      </c>
      <c r="H11" s="12"/>
      <c r="I11" s="12">
        <v>2</v>
      </c>
      <c r="J11" s="12"/>
      <c r="K11" s="13"/>
      <c r="L11" s="12"/>
    </row>
    <row r="12" spans="1:12" x14ac:dyDescent="0.3">
      <c r="A12" s="14">
        <v>10</v>
      </c>
      <c r="B12" s="15">
        <v>1</v>
      </c>
      <c r="C12" s="16">
        <v>3</v>
      </c>
      <c r="D12" s="16">
        <v>2</v>
      </c>
      <c r="E12" s="16"/>
      <c r="F12" s="16"/>
      <c r="G12" s="16">
        <v>1</v>
      </c>
      <c r="H12" s="16"/>
      <c r="I12" s="16">
        <v>0</v>
      </c>
      <c r="J12" s="16"/>
      <c r="K12" s="17"/>
      <c r="L12" s="16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3">
      <c r="A14" s="18"/>
      <c r="B14" s="61"/>
      <c r="C14" s="61"/>
      <c r="D14" s="61"/>
      <c r="E14" s="61"/>
      <c r="F14" s="61"/>
      <c r="G14" s="61"/>
      <c r="H14" s="61"/>
      <c r="I14" s="61"/>
      <c r="J14" s="61"/>
      <c r="K14" s="61"/>
    </row>
    <row r="15" spans="1:12" x14ac:dyDescent="0.3">
      <c r="A15" s="58" t="s">
        <v>12</v>
      </c>
      <c r="B15" s="59"/>
      <c r="C15" s="59"/>
      <c r="D15" s="59"/>
      <c r="E15" s="59"/>
      <c r="F15" s="59"/>
      <c r="G15" s="59"/>
      <c r="H15" s="59"/>
      <c r="I15" s="59"/>
      <c r="J15" s="59"/>
      <c r="K15" s="60"/>
    </row>
    <row r="16" spans="1:12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5" t="s">
        <v>27</v>
      </c>
    </row>
    <row r="17" spans="1:12" x14ac:dyDescent="0.3">
      <c r="A17" s="5">
        <v>1</v>
      </c>
      <c r="B17" s="6">
        <v>1</v>
      </c>
      <c r="C17" s="7">
        <v>13</v>
      </c>
      <c r="D17" s="7">
        <v>4</v>
      </c>
      <c r="E17" s="7"/>
      <c r="F17" s="7">
        <v>6</v>
      </c>
      <c r="G17" s="8">
        <v>2</v>
      </c>
      <c r="H17" s="7"/>
      <c r="I17" s="7">
        <v>5</v>
      </c>
      <c r="J17" s="7"/>
      <c r="K17" s="9"/>
      <c r="L17" s="3"/>
    </row>
    <row r="18" spans="1:12" x14ac:dyDescent="0.3">
      <c r="A18" s="10">
        <v>2</v>
      </c>
      <c r="B18" s="11">
        <v>0</v>
      </c>
      <c r="C18" s="12">
        <v>2</v>
      </c>
      <c r="D18" s="12">
        <v>3</v>
      </c>
      <c r="E18" s="12"/>
      <c r="F18" s="12">
        <v>7</v>
      </c>
      <c r="G18" s="12">
        <v>1</v>
      </c>
      <c r="H18" s="12"/>
      <c r="I18" s="12">
        <v>2</v>
      </c>
      <c r="J18" s="12"/>
      <c r="K18" s="13"/>
      <c r="L18" s="12"/>
    </row>
    <row r="19" spans="1:12" x14ac:dyDescent="0.3">
      <c r="A19" s="10">
        <v>3</v>
      </c>
      <c r="B19" s="11">
        <v>2</v>
      </c>
      <c r="C19" s="12">
        <v>2</v>
      </c>
      <c r="D19" s="12">
        <v>6</v>
      </c>
      <c r="E19" s="12"/>
      <c r="F19" s="12">
        <v>4</v>
      </c>
      <c r="G19" s="12">
        <v>1</v>
      </c>
      <c r="H19" s="12"/>
      <c r="I19" s="12">
        <v>1</v>
      </c>
      <c r="J19" s="12"/>
      <c r="K19" s="13"/>
      <c r="L19" s="12"/>
    </row>
    <row r="20" spans="1:12" x14ac:dyDescent="0.3">
      <c r="A20" s="10">
        <v>4</v>
      </c>
      <c r="B20" s="11">
        <v>0</v>
      </c>
      <c r="C20" s="12">
        <v>3</v>
      </c>
      <c r="D20" s="12">
        <v>1</v>
      </c>
      <c r="E20" s="12"/>
      <c r="F20" s="12"/>
      <c r="G20" s="12">
        <v>1</v>
      </c>
      <c r="H20" s="12"/>
      <c r="I20" s="12">
        <v>1</v>
      </c>
      <c r="J20" s="12"/>
      <c r="K20" s="13"/>
      <c r="L20" s="12"/>
    </row>
    <row r="21" spans="1:12" x14ac:dyDescent="0.3">
      <c r="A21" s="10">
        <v>5</v>
      </c>
      <c r="B21" s="11">
        <v>1</v>
      </c>
      <c r="C21" s="12">
        <v>1</v>
      </c>
      <c r="D21" s="12">
        <v>1</v>
      </c>
      <c r="E21" s="12"/>
      <c r="F21" s="12"/>
      <c r="G21" s="12">
        <v>0</v>
      </c>
      <c r="H21" s="12"/>
      <c r="I21" s="12">
        <v>1</v>
      </c>
      <c r="J21" s="12"/>
      <c r="K21" s="13"/>
      <c r="L21" s="12"/>
    </row>
    <row r="22" spans="1:12" x14ac:dyDescent="0.3">
      <c r="A22" s="10">
        <v>6</v>
      </c>
      <c r="B22" s="11">
        <v>0</v>
      </c>
      <c r="C22" s="12">
        <v>3</v>
      </c>
      <c r="D22" s="12">
        <v>1</v>
      </c>
      <c r="E22" s="12"/>
      <c r="F22" s="12"/>
      <c r="G22" s="12">
        <v>1</v>
      </c>
      <c r="H22" s="12"/>
      <c r="I22" s="12">
        <v>1</v>
      </c>
      <c r="J22" s="12"/>
      <c r="K22" s="13"/>
      <c r="L22" s="12"/>
    </row>
    <row r="23" spans="1:12" x14ac:dyDescent="0.3">
      <c r="A23" s="10">
        <v>7</v>
      </c>
      <c r="B23" s="11">
        <v>0</v>
      </c>
      <c r="C23" s="12">
        <v>2</v>
      </c>
      <c r="D23" s="12">
        <v>1</v>
      </c>
      <c r="E23" s="12"/>
      <c r="F23" s="12"/>
      <c r="G23" s="12">
        <v>0</v>
      </c>
      <c r="H23" s="12"/>
      <c r="I23" s="12">
        <v>1</v>
      </c>
      <c r="J23" s="12"/>
      <c r="K23" s="13"/>
      <c r="L23" s="12"/>
    </row>
    <row r="24" spans="1:12" x14ac:dyDescent="0.3">
      <c r="A24" s="10">
        <v>8</v>
      </c>
      <c r="B24" s="11">
        <v>1</v>
      </c>
      <c r="C24" s="12">
        <v>4</v>
      </c>
      <c r="D24" s="12">
        <v>2</v>
      </c>
      <c r="E24" s="12"/>
      <c r="F24" s="12"/>
      <c r="G24" s="12">
        <v>1</v>
      </c>
      <c r="H24" s="12"/>
      <c r="I24" s="12">
        <v>0</v>
      </c>
      <c r="J24" s="12"/>
      <c r="K24" s="13"/>
      <c r="L24" s="12"/>
    </row>
    <row r="25" spans="1:12" x14ac:dyDescent="0.3">
      <c r="A25" s="10">
        <v>9</v>
      </c>
      <c r="B25" s="11">
        <v>1</v>
      </c>
      <c r="C25" s="12">
        <v>1</v>
      </c>
      <c r="D25" s="12">
        <v>1</v>
      </c>
      <c r="E25" s="12"/>
      <c r="F25" s="12"/>
      <c r="G25" s="12">
        <v>1</v>
      </c>
      <c r="H25" s="12"/>
      <c r="I25" s="12">
        <v>1</v>
      </c>
      <c r="J25" s="12"/>
      <c r="K25" s="13"/>
      <c r="L25" s="12"/>
    </row>
    <row r="26" spans="1:12" x14ac:dyDescent="0.3">
      <c r="A26" s="14">
        <v>10</v>
      </c>
      <c r="B26" s="15">
        <v>1</v>
      </c>
      <c r="C26" s="16">
        <v>1</v>
      </c>
      <c r="D26" s="16">
        <v>2</v>
      </c>
      <c r="E26" s="16"/>
      <c r="F26" s="16"/>
      <c r="G26" s="16">
        <v>0</v>
      </c>
      <c r="H26" s="16"/>
      <c r="I26" s="16">
        <v>0</v>
      </c>
      <c r="J26" s="16"/>
      <c r="K26" s="17"/>
      <c r="L26" s="16"/>
    </row>
    <row r="27" spans="1:12" x14ac:dyDescent="0.3">
      <c r="A27" s="18"/>
      <c r="B27" s="61"/>
      <c r="C27" s="61"/>
      <c r="D27" s="61"/>
      <c r="E27" s="61"/>
      <c r="F27" s="61"/>
      <c r="G27" s="61"/>
      <c r="H27" s="61"/>
      <c r="I27" s="61"/>
      <c r="J27" s="61"/>
      <c r="K27" s="61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 x14ac:dyDescent="0.3">
      <c r="A29" s="58" t="s">
        <v>13</v>
      </c>
      <c r="B29" s="59"/>
      <c r="C29" s="59"/>
      <c r="D29" s="59"/>
      <c r="E29" s="59"/>
      <c r="F29" s="59"/>
      <c r="G29" s="59"/>
      <c r="H29" s="59"/>
      <c r="I29" s="59"/>
      <c r="J29" s="59"/>
      <c r="K29" s="60"/>
    </row>
    <row r="30" spans="1:12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5" t="s">
        <v>27</v>
      </c>
    </row>
    <row r="31" spans="1:12" x14ac:dyDescent="0.3">
      <c r="A31" s="5">
        <v>1</v>
      </c>
      <c r="B31" s="6">
        <v>2662</v>
      </c>
      <c r="C31" s="7">
        <v>855</v>
      </c>
      <c r="D31" s="7">
        <v>1070</v>
      </c>
      <c r="E31" s="7"/>
      <c r="F31" s="7"/>
      <c r="G31" s="8"/>
      <c r="H31" s="7"/>
      <c r="I31" s="7"/>
      <c r="J31" s="7"/>
      <c r="K31" s="9"/>
      <c r="L31" s="3"/>
    </row>
    <row r="32" spans="1:12" x14ac:dyDescent="0.3">
      <c r="A32" s="10">
        <v>2</v>
      </c>
      <c r="B32" s="11">
        <v>1530</v>
      </c>
      <c r="C32" s="12">
        <v>920</v>
      </c>
      <c r="D32" s="12">
        <v>798</v>
      </c>
      <c r="E32" s="12"/>
      <c r="F32" s="12"/>
      <c r="G32" s="12"/>
      <c r="H32" s="12"/>
      <c r="I32" s="12"/>
      <c r="J32" s="12"/>
      <c r="K32" s="13"/>
      <c r="L32" s="12"/>
    </row>
    <row r="33" spans="1:12" x14ac:dyDescent="0.3">
      <c r="A33" s="10">
        <v>3</v>
      </c>
      <c r="B33" s="11">
        <v>2700</v>
      </c>
      <c r="C33" s="12">
        <v>957</v>
      </c>
      <c r="D33" s="12">
        <v>808</v>
      </c>
      <c r="E33" s="12"/>
      <c r="F33" s="12"/>
      <c r="G33" s="12"/>
      <c r="H33" s="12"/>
      <c r="I33" s="12"/>
      <c r="J33" s="12"/>
      <c r="K33" s="13"/>
      <c r="L33" s="12"/>
    </row>
    <row r="34" spans="1:12" x14ac:dyDescent="0.3">
      <c r="A34" s="10">
        <v>4</v>
      </c>
      <c r="B34" s="11">
        <v>2736</v>
      </c>
      <c r="C34" s="12">
        <v>971</v>
      </c>
      <c r="D34" s="12">
        <v>800</v>
      </c>
      <c r="E34" s="12"/>
      <c r="F34" s="12"/>
      <c r="G34" s="12"/>
      <c r="H34" s="12"/>
      <c r="I34" s="12"/>
      <c r="J34" s="12"/>
      <c r="K34" s="13"/>
      <c r="L34" s="12"/>
    </row>
    <row r="35" spans="1:12" x14ac:dyDescent="0.3">
      <c r="A35" s="10">
        <v>5</v>
      </c>
      <c r="B35" s="11">
        <v>1643</v>
      </c>
      <c r="C35" s="12">
        <v>924</v>
      </c>
      <c r="D35" s="12">
        <v>907</v>
      </c>
      <c r="E35" s="12"/>
      <c r="F35" s="12"/>
      <c r="G35" s="12"/>
      <c r="H35" s="12"/>
      <c r="I35" s="12"/>
      <c r="J35" s="12"/>
      <c r="K35" s="13"/>
      <c r="L35" s="12"/>
    </row>
    <row r="36" spans="1:12" x14ac:dyDescent="0.3">
      <c r="A36" s="10">
        <v>6</v>
      </c>
      <c r="B36" s="11">
        <v>1860</v>
      </c>
      <c r="C36" s="12">
        <v>3061</v>
      </c>
      <c r="D36" s="12">
        <v>862</v>
      </c>
      <c r="E36" s="12"/>
      <c r="F36" s="12"/>
      <c r="G36" s="12"/>
      <c r="H36" s="12"/>
      <c r="I36" s="12"/>
      <c r="J36" s="12"/>
      <c r="K36" s="13"/>
      <c r="L36" s="12"/>
    </row>
    <row r="37" spans="1:12" x14ac:dyDescent="0.3">
      <c r="A37" s="10">
        <v>7</v>
      </c>
      <c r="B37" s="11">
        <v>1576</v>
      </c>
      <c r="C37" s="12">
        <v>807</v>
      </c>
      <c r="D37" s="12">
        <v>901</v>
      </c>
      <c r="E37" s="12"/>
      <c r="F37" s="12"/>
      <c r="G37" s="12"/>
      <c r="H37" s="12"/>
      <c r="I37" s="12"/>
      <c r="J37" s="12"/>
      <c r="K37" s="13"/>
      <c r="L37" s="12"/>
    </row>
    <row r="38" spans="1:12" x14ac:dyDescent="0.3">
      <c r="A38" s="10">
        <v>8</v>
      </c>
      <c r="B38" s="11">
        <v>1600</v>
      </c>
      <c r="C38" s="12">
        <v>594</v>
      </c>
      <c r="D38" s="12">
        <v>1377</v>
      </c>
      <c r="E38" s="12"/>
      <c r="F38" s="12"/>
      <c r="G38" s="12"/>
      <c r="H38" s="12"/>
      <c r="I38" s="12"/>
      <c r="J38" s="12"/>
      <c r="K38" s="13"/>
      <c r="L38" s="12"/>
    </row>
    <row r="39" spans="1:12" x14ac:dyDescent="0.3">
      <c r="A39" s="10">
        <v>9</v>
      </c>
      <c r="B39" s="11">
        <v>1609</v>
      </c>
      <c r="C39" s="12">
        <v>588</v>
      </c>
      <c r="D39" s="12">
        <v>913</v>
      </c>
      <c r="E39" s="12"/>
      <c r="F39" s="12"/>
      <c r="G39" s="12"/>
      <c r="H39" s="12"/>
      <c r="I39" s="12"/>
      <c r="J39" s="12"/>
      <c r="K39" s="13"/>
      <c r="L39" s="12"/>
    </row>
    <row r="40" spans="1:12" x14ac:dyDescent="0.3">
      <c r="A40" s="14">
        <v>10</v>
      </c>
      <c r="B40" s="15">
        <v>1686</v>
      </c>
      <c r="C40" s="16">
        <v>1180</v>
      </c>
      <c r="D40" s="16">
        <v>1008</v>
      </c>
      <c r="E40" s="16"/>
      <c r="F40" s="16"/>
      <c r="G40" s="16"/>
      <c r="H40" s="16"/>
      <c r="I40" s="16"/>
      <c r="J40" s="16"/>
      <c r="K40" s="17"/>
      <c r="L40" s="16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2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</row>
    <row r="43" spans="1:12" x14ac:dyDescent="0.3">
      <c r="A43" s="58" t="s">
        <v>14</v>
      </c>
      <c r="B43" s="59"/>
      <c r="C43" s="59"/>
      <c r="D43" s="59"/>
      <c r="E43" s="59"/>
      <c r="F43" s="59"/>
      <c r="G43" s="59"/>
      <c r="H43" s="59"/>
      <c r="I43" s="59"/>
      <c r="J43" s="59"/>
      <c r="K43" s="60"/>
    </row>
    <row r="44" spans="1:12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5" t="s">
        <v>27</v>
      </c>
    </row>
    <row r="45" spans="1:12" x14ac:dyDescent="0.3">
      <c r="A45" s="5">
        <v>1</v>
      </c>
      <c r="B45" s="6"/>
      <c r="C45" s="7"/>
      <c r="D45" s="7"/>
      <c r="E45" s="7"/>
      <c r="F45" s="7">
        <v>31142</v>
      </c>
      <c r="G45" s="8">
        <v>279663</v>
      </c>
      <c r="H45" s="7"/>
      <c r="I45" s="7">
        <v>555907</v>
      </c>
      <c r="J45" s="7"/>
      <c r="K45" s="9"/>
      <c r="L45" s="3"/>
    </row>
    <row r="46" spans="1:12" x14ac:dyDescent="0.3">
      <c r="A46" s="10">
        <v>2</v>
      </c>
      <c r="B46" s="11"/>
      <c r="C46" s="12"/>
      <c r="D46" s="12"/>
      <c r="E46" s="12"/>
      <c r="F46" s="12">
        <v>29235</v>
      </c>
      <c r="G46" s="12">
        <v>271433</v>
      </c>
      <c r="H46" s="12"/>
      <c r="I46" s="12">
        <v>566814</v>
      </c>
      <c r="J46" s="12"/>
      <c r="K46" s="13"/>
      <c r="L46" s="12"/>
    </row>
    <row r="47" spans="1:12" x14ac:dyDescent="0.3">
      <c r="A47" s="10">
        <v>3</v>
      </c>
      <c r="B47" s="11"/>
      <c r="C47" s="12"/>
      <c r="D47" s="12"/>
      <c r="E47" s="12"/>
      <c r="F47" s="12">
        <v>31324</v>
      </c>
      <c r="G47" s="12">
        <v>272504</v>
      </c>
      <c r="H47" s="12"/>
      <c r="I47" s="12">
        <v>551378</v>
      </c>
      <c r="J47" s="12"/>
      <c r="K47" s="13"/>
      <c r="L47" s="12"/>
    </row>
    <row r="48" spans="1:12" x14ac:dyDescent="0.3">
      <c r="A48" s="10">
        <v>4</v>
      </c>
      <c r="B48" s="11"/>
      <c r="C48" s="12"/>
      <c r="D48" s="12"/>
      <c r="E48" s="12"/>
      <c r="F48" s="12"/>
      <c r="G48" s="12">
        <v>273596</v>
      </c>
      <c r="H48" s="12"/>
      <c r="I48" s="12">
        <v>656802</v>
      </c>
      <c r="J48" s="12"/>
      <c r="K48" s="13"/>
      <c r="L48" s="12"/>
    </row>
    <row r="49" spans="1:12" x14ac:dyDescent="0.3">
      <c r="A49" s="10">
        <v>5</v>
      </c>
      <c r="B49" s="11"/>
      <c r="C49" s="12"/>
      <c r="D49" s="12"/>
      <c r="E49" s="12"/>
      <c r="F49" s="12"/>
      <c r="G49" s="12">
        <v>233230</v>
      </c>
      <c r="H49" s="12"/>
      <c r="I49" s="12">
        <v>565190</v>
      </c>
      <c r="J49" s="12"/>
      <c r="K49" s="13"/>
      <c r="L49" s="12"/>
    </row>
    <row r="50" spans="1:12" x14ac:dyDescent="0.3">
      <c r="A50" s="10">
        <v>6</v>
      </c>
      <c r="B50" s="11"/>
      <c r="C50" s="12"/>
      <c r="D50" s="12"/>
      <c r="E50" s="12"/>
      <c r="F50" s="12"/>
      <c r="G50" s="12">
        <v>249162</v>
      </c>
      <c r="H50" s="12"/>
      <c r="I50" s="12">
        <v>604590</v>
      </c>
      <c r="J50" s="12"/>
      <c r="K50" s="13"/>
      <c r="L50" s="12"/>
    </row>
    <row r="51" spans="1:12" x14ac:dyDescent="0.3">
      <c r="A51" s="10">
        <v>7</v>
      </c>
      <c r="B51" s="11"/>
      <c r="C51" s="12"/>
      <c r="D51" s="12"/>
      <c r="E51" s="12"/>
      <c r="F51" s="12"/>
      <c r="G51" s="12">
        <v>276427</v>
      </c>
      <c r="H51" s="12"/>
      <c r="I51" s="12">
        <v>641469</v>
      </c>
      <c r="J51" s="12"/>
      <c r="K51" s="13"/>
      <c r="L51" s="12"/>
    </row>
    <row r="52" spans="1:12" x14ac:dyDescent="0.3">
      <c r="A52" s="10">
        <v>8</v>
      </c>
      <c r="B52" s="11"/>
      <c r="C52" s="12"/>
      <c r="D52" s="12"/>
      <c r="E52" s="12"/>
      <c r="F52" s="12"/>
      <c r="G52" s="12">
        <v>276608</v>
      </c>
      <c r="H52" s="12"/>
      <c r="I52" s="12">
        <v>580278</v>
      </c>
      <c r="J52" s="12"/>
      <c r="K52" s="13"/>
      <c r="L52" s="12"/>
    </row>
    <row r="53" spans="1:12" x14ac:dyDescent="0.3">
      <c r="A53" s="10">
        <v>9</v>
      </c>
      <c r="B53" s="11"/>
      <c r="C53" s="12"/>
      <c r="D53" s="12"/>
      <c r="E53" s="12"/>
      <c r="F53" s="12"/>
      <c r="G53" s="12">
        <v>275504</v>
      </c>
      <c r="H53" s="12"/>
      <c r="I53" s="12">
        <v>667553</v>
      </c>
      <c r="J53" s="12"/>
      <c r="K53" s="13"/>
      <c r="L53" s="12"/>
    </row>
    <row r="54" spans="1:12" x14ac:dyDescent="0.3">
      <c r="A54" s="14">
        <v>10</v>
      </c>
      <c r="B54" s="15"/>
      <c r="C54" s="16"/>
      <c r="D54" s="16"/>
      <c r="E54" s="16"/>
      <c r="F54" s="16"/>
      <c r="G54" s="16">
        <v>279916</v>
      </c>
      <c r="H54" s="16"/>
      <c r="I54" s="16">
        <v>668418</v>
      </c>
      <c r="J54" s="16"/>
      <c r="K54" s="17"/>
      <c r="L54" s="16"/>
    </row>
    <row r="55" spans="1:12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2" x14ac:dyDescent="0.3">
      <c r="A57" s="58" t="s">
        <v>15</v>
      </c>
      <c r="B57" s="59"/>
      <c r="C57" s="59"/>
      <c r="D57" s="59"/>
      <c r="E57" s="59"/>
      <c r="F57" s="59"/>
      <c r="G57" s="59"/>
      <c r="H57" s="59"/>
      <c r="I57" s="59"/>
      <c r="J57" s="59"/>
      <c r="K57" s="60"/>
    </row>
    <row r="58" spans="1:12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5" t="s">
        <v>27</v>
      </c>
    </row>
    <row r="59" spans="1:12" x14ac:dyDescent="0.3">
      <c r="A59" s="5">
        <v>1</v>
      </c>
      <c r="B59" s="6">
        <v>3982</v>
      </c>
      <c r="C59" s="7">
        <v>489</v>
      </c>
      <c r="D59" s="7">
        <v>756</v>
      </c>
      <c r="E59" s="7"/>
      <c r="F59" s="7">
        <v>27559</v>
      </c>
      <c r="G59" s="8">
        <v>25072</v>
      </c>
      <c r="H59" s="7"/>
      <c r="I59" s="7">
        <v>57935</v>
      </c>
      <c r="J59" s="7"/>
      <c r="K59" s="9"/>
      <c r="L59" s="3">
        <v>1498.96</v>
      </c>
    </row>
    <row r="60" spans="1:12" x14ac:dyDescent="0.3">
      <c r="A60" s="10">
        <v>2</v>
      </c>
      <c r="B60" s="11">
        <v>3105</v>
      </c>
      <c r="C60" s="12">
        <v>480</v>
      </c>
      <c r="D60" s="12">
        <v>489</v>
      </c>
      <c r="E60" s="12"/>
      <c r="F60" s="12">
        <v>33220</v>
      </c>
      <c r="G60" s="12">
        <v>24848</v>
      </c>
      <c r="H60" s="12"/>
      <c r="I60" s="12">
        <v>56307</v>
      </c>
      <c r="J60" s="12"/>
      <c r="K60" s="13"/>
      <c r="L60" s="12">
        <v>307.49</v>
      </c>
    </row>
    <row r="61" spans="1:12" x14ac:dyDescent="0.3">
      <c r="A61" s="10">
        <v>3</v>
      </c>
      <c r="B61" s="11">
        <v>2736</v>
      </c>
      <c r="C61" s="12">
        <v>770</v>
      </c>
      <c r="D61" s="12">
        <v>579</v>
      </c>
      <c r="E61" s="12"/>
      <c r="F61" s="12">
        <v>32360</v>
      </c>
      <c r="G61" s="12">
        <v>23944</v>
      </c>
      <c r="H61" s="12"/>
      <c r="I61" s="12">
        <v>58531</v>
      </c>
      <c r="J61" s="12"/>
      <c r="K61" s="13"/>
      <c r="L61" s="12">
        <v>6.97</v>
      </c>
    </row>
    <row r="62" spans="1:12" x14ac:dyDescent="0.3">
      <c r="A62" s="10">
        <v>4</v>
      </c>
      <c r="B62" s="11">
        <v>3411</v>
      </c>
      <c r="C62" s="12">
        <v>492</v>
      </c>
      <c r="D62" s="12">
        <v>483</v>
      </c>
      <c r="E62" s="12"/>
      <c r="F62" s="12"/>
      <c r="G62" s="12">
        <v>25049</v>
      </c>
      <c r="H62" s="12"/>
      <c r="I62" s="12">
        <v>59210</v>
      </c>
      <c r="J62" s="12"/>
      <c r="K62" s="13"/>
      <c r="L62" s="12">
        <v>11.74</v>
      </c>
    </row>
    <row r="63" spans="1:12" x14ac:dyDescent="0.3">
      <c r="A63" s="10">
        <v>5</v>
      </c>
      <c r="B63" s="11">
        <v>4877</v>
      </c>
      <c r="C63" s="12">
        <v>428</v>
      </c>
      <c r="D63" s="12">
        <v>678</v>
      </c>
      <c r="E63" s="12"/>
      <c r="F63" s="12"/>
      <c r="G63" s="12">
        <v>25394</v>
      </c>
      <c r="H63" s="12"/>
      <c r="I63" s="12">
        <v>59189</v>
      </c>
      <c r="J63" s="12"/>
      <c r="K63" s="13"/>
      <c r="L63" s="12">
        <v>4.2</v>
      </c>
    </row>
    <row r="64" spans="1:12" x14ac:dyDescent="0.3">
      <c r="A64" s="10">
        <v>6</v>
      </c>
      <c r="B64" s="11">
        <v>3447</v>
      </c>
      <c r="C64" s="12">
        <v>1119</v>
      </c>
      <c r="D64" s="12">
        <v>481</v>
      </c>
      <c r="E64" s="12"/>
      <c r="F64" s="12"/>
      <c r="G64" s="12">
        <v>24971</v>
      </c>
      <c r="H64" s="12"/>
      <c r="I64" s="12">
        <v>47078</v>
      </c>
      <c r="J64" s="12"/>
      <c r="K64" s="13"/>
      <c r="L64" s="12">
        <v>328.58</v>
      </c>
    </row>
    <row r="65" spans="1:12" x14ac:dyDescent="0.3">
      <c r="A65" s="10">
        <v>7</v>
      </c>
      <c r="B65" s="11">
        <v>3504</v>
      </c>
      <c r="C65" s="12">
        <v>442</v>
      </c>
      <c r="D65" s="12">
        <v>504</v>
      </c>
      <c r="E65" s="12"/>
      <c r="F65" s="12"/>
      <c r="G65" s="12">
        <v>25435</v>
      </c>
      <c r="H65" s="12"/>
      <c r="I65" s="12">
        <v>57668</v>
      </c>
      <c r="J65" s="12"/>
      <c r="K65" s="13"/>
      <c r="L65" s="12">
        <v>5.01</v>
      </c>
    </row>
    <row r="66" spans="1:12" x14ac:dyDescent="0.3">
      <c r="A66" s="10">
        <v>8</v>
      </c>
      <c r="B66" s="11">
        <v>3343</v>
      </c>
      <c r="C66" s="12">
        <v>472</v>
      </c>
      <c r="D66" s="12">
        <v>537</v>
      </c>
      <c r="E66" s="12"/>
      <c r="F66" s="12"/>
      <c r="G66" s="12">
        <v>25697</v>
      </c>
      <c r="H66" s="12"/>
      <c r="I66" s="12">
        <v>58227</v>
      </c>
      <c r="J66" s="12"/>
      <c r="K66" s="13"/>
      <c r="L66" s="12">
        <v>5.45</v>
      </c>
    </row>
    <row r="67" spans="1:12" x14ac:dyDescent="0.3">
      <c r="A67" s="10">
        <v>9</v>
      </c>
      <c r="B67" s="11">
        <v>3466</v>
      </c>
      <c r="C67" s="12">
        <v>385</v>
      </c>
      <c r="D67" s="12">
        <v>476</v>
      </c>
      <c r="E67" s="12"/>
      <c r="F67" s="12"/>
      <c r="G67" s="12">
        <v>24505</v>
      </c>
      <c r="H67" s="12"/>
      <c r="I67" s="12">
        <v>52028</v>
      </c>
      <c r="J67" s="12"/>
      <c r="K67" s="13"/>
      <c r="L67" s="12">
        <v>6.55</v>
      </c>
    </row>
    <row r="68" spans="1:12" x14ac:dyDescent="0.3">
      <c r="A68" s="14">
        <v>10</v>
      </c>
      <c r="B68" s="15">
        <v>3038</v>
      </c>
      <c r="C68" s="16">
        <v>727</v>
      </c>
      <c r="D68" s="16">
        <v>526</v>
      </c>
      <c r="E68" s="16"/>
      <c r="F68" s="16"/>
      <c r="G68" s="16">
        <v>25317</v>
      </c>
      <c r="H68" s="16"/>
      <c r="I68" s="16">
        <v>57823</v>
      </c>
      <c r="J68" s="16"/>
      <c r="K68" s="17"/>
      <c r="L68" s="16">
        <v>3.92</v>
      </c>
    </row>
  </sheetData>
  <mergeCells count="7">
    <mergeCell ref="A15:K15"/>
    <mergeCell ref="A57:K57"/>
    <mergeCell ref="A29:K29"/>
    <mergeCell ref="A1:K1"/>
    <mergeCell ref="B14:K14"/>
    <mergeCell ref="B27:K27"/>
    <mergeCell ref="A43:K43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37" zoomScale="70" zoomScaleNormal="70" workbookViewId="0">
      <selection activeCell="L44" sqref="L44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2" x14ac:dyDescent="0.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2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5" t="s">
        <v>27</v>
      </c>
    </row>
    <row r="3" spans="1:12" x14ac:dyDescent="0.3">
      <c r="A3" s="5">
        <v>1</v>
      </c>
      <c r="B3" s="6"/>
      <c r="C3" s="7"/>
      <c r="D3" s="7"/>
      <c r="E3" s="7"/>
      <c r="F3" s="7"/>
      <c r="G3" s="8"/>
      <c r="H3" s="7"/>
      <c r="I3" s="7"/>
      <c r="J3" s="7"/>
      <c r="K3" s="9"/>
      <c r="L3" s="3"/>
    </row>
    <row r="4" spans="1:12" x14ac:dyDescent="0.3">
      <c r="A4" s="10">
        <v>2</v>
      </c>
      <c r="B4" s="11"/>
      <c r="C4" s="12"/>
      <c r="D4" s="12"/>
      <c r="E4" s="12"/>
      <c r="F4" s="12"/>
      <c r="G4" s="12"/>
      <c r="H4" s="12"/>
      <c r="I4" s="12"/>
      <c r="J4" s="12"/>
      <c r="K4" s="13"/>
      <c r="L4" s="12"/>
    </row>
    <row r="5" spans="1:12" x14ac:dyDescent="0.3">
      <c r="A5" s="10">
        <v>3</v>
      </c>
      <c r="B5" s="11"/>
      <c r="C5" s="12"/>
      <c r="D5" s="12"/>
      <c r="E5" s="12"/>
      <c r="F5" s="12"/>
      <c r="G5" s="12"/>
      <c r="H5" s="12"/>
      <c r="I5" s="12"/>
      <c r="J5" s="12"/>
      <c r="K5" s="13"/>
      <c r="L5" s="12"/>
    </row>
    <row r="6" spans="1:12" x14ac:dyDescent="0.3">
      <c r="A6" s="10">
        <v>4</v>
      </c>
      <c r="B6" s="11"/>
      <c r="C6" s="12"/>
      <c r="D6" s="12"/>
      <c r="E6" s="12"/>
      <c r="F6" s="12"/>
      <c r="G6" s="12"/>
      <c r="H6" s="12"/>
      <c r="I6" s="12"/>
      <c r="J6" s="12"/>
      <c r="K6" s="13"/>
      <c r="L6" s="12"/>
    </row>
    <row r="7" spans="1:12" x14ac:dyDescent="0.3">
      <c r="A7" s="10">
        <v>5</v>
      </c>
      <c r="B7" s="11"/>
      <c r="C7" s="12"/>
      <c r="D7" s="12"/>
      <c r="E7" s="12"/>
      <c r="F7" s="12"/>
      <c r="G7" s="12"/>
      <c r="H7" s="12"/>
      <c r="I7" s="12"/>
      <c r="J7" s="12"/>
      <c r="K7" s="13"/>
      <c r="L7" s="12"/>
    </row>
    <row r="8" spans="1:12" x14ac:dyDescent="0.3">
      <c r="A8" s="10">
        <v>6</v>
      </c>
      <c r="B8" s="11"/>
      <c r="C8" s="12"/>
      <c r="D8" s="12"/>
      <c r="E8" s="12"/>
      <c r="F8" s="12"/>
      <c r="G8" s="12"/>
      <c r="H8" s="12"/>
      <c r="I8" s="12"/>
      <c r="J8" s="12"/>
      <c r="K8" s="13"/>
      <c r="L8" s="12"/>
    </row>
    <row r="9" spans="1:12" x14ac:dyDescent="0.3">
      <c r="A9" s="10">
        <v>7</v>
      </c>
      <c r="B9" s="11"/>
      <c r="C9" s="12"/>
      <c r="D9" s="12"/>
      <c r="E9" s="12"/>
      <c r="F9" s="12"/>
      <c r="G9" s="12"/>
      <c r="H9" s="12"/>
      <c r="I9" s="12"/>
      <c r="J9" s="12"/>
      <c r="K9" s="13"/>
      <c r="L9" s="12"/>
    </row>
    <row r="10" spans="1:12" x14ac:dyDescent="0.3">
      <c r="A10" s="10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3"/>
      <c r="L10" s="12"/>
    </row>
    <row r="11" spans="1:12" x14ac:dyDescent="0.3">
      <c r="A11" s="10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3"/>
      <c r="L11" s="12"/>
    </row>
    <row r="12" spans="1:12" x14ac:dyDescent="0.3">
      <c r="A12" s="14">
        <v>10</v>
      </c>
      <c r="B12" s="15"/>
      <c r="C12" s="16"/>
      <c r="D12" s="16"/>
      <c r="E12" s="16"/>
      <c r="F12" s="16"/>
      <c r="G12" s="16"/>
      <c r="H12" s="16"/>
      <c r="I12" s="16"/>
      <c r="J12" s="16"/>
      <c r="K12" s="17"/>
      <c r="L12" s="16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3">
      <c r="A14" s="18"/>
      <c r="B14" s="61"/>
      <c r="C14" s="61"/>
      <c r="D14" s="61"/>
      <c r="E14" s="61"/>
      <c r="F14" s="61"/>
      <c r="G14" s="61"/>
      <c r="H14" s="61"/>
      <c r="I14" s="61"/>
      <c r="J14" s="61"/>
      <c r="K14" s="61"/>
    </row>
    <row r="15" spans="1:12" x14ac:dyDescent="0.3">
      <c r="A15" s="58" t="s">
        <v>12</v>
      </c>
      <c r="B15" s="59"/>
      <c r="C15" s="59"/>
      <c r="D15" s="59"/>
      <c r="E15" s="59"/>
      <c r="F15" s="59"/>
      <c r="G15" s="59"/>
      <c r="H15" s="59"/>
      <c r="I15" s="59"/>
      <c r="J15" s="59"/>
      <c r="K15" s="60"/>
    </row>
    <row r="16" spans="1:12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5" t="s">
        <v>27</v>
      </c>
    </row>
    <row r="17" spans="1:12" x14ac:dyDescent="0.3">
      <c r="A17" s="5">
        <v>1</v>
      </c>
      <c r="B17" s="6"/>
      <c r="C17" s="7"/>
      <c r="D17" s="7"/>
      <c r="E17" s="7"/>
      <c r="F17" s="7"/>
      <c r="G17" s="8"/>
      <c r="H17" s="7"/>
      <c r="I17" s="7"/>
      <c r="J17" s="7"/>
      <c r="K17" s="9"/>
      <c r="L17" s="3"/>
    </row>
    <row r="18" spans="1:12" x14ac:dyDescent="0.3">
      <c r="A18" s="10">
        <v>2</v>
      </c>
      <c r="B18" s="11"/>
      <c r="C18" s="12"/>
      <c r="D18" s="12"/>
      <c r="E18" s="12"/>
      <c r="F18" s="12"/>
      <c r="G18" s="12"/>
      <c r="H18" s="12"/>
      <c r="I18" s="12"/>
      <c r="J18" s="12"/>
      <c r="K18" s="13"/>
      <c r="L18" s="12"/>
    </row>
    <row r="19" spans="1:12" x14ac:dyDescent="0.3">
      <c r="A19" s="10">
        <v>3</v>
      </c>
      <c r="B19" s="11"/>
      <c r="C19" s="12"/>
      <c r="D19" s="12"/>
      <c r="E19" s="12"/>
      <c r="F19" s="12"/>
      <c r="G19" s="12"/>
      <c r="H19" s="12"/>
      <c r="I19" s="12"/>
      <c r="J19" s="12"/>
      <c r="K19" s="13"/>
      <c r="L19" s="12"/>
    </row>
    <row r="20" spans="1:12" x14ac:dyDescent="0.3">
      <c r="A20" s="10">
        <v>4</v>
      </c>
      <c r="B20" s="11"/>
      <c r="C20" s="12"/>
      <c r="D20" s="12"/>
      <c r="E20" s="12"/>
      <c r="F20" s="12"/>
      <c r="G20" s="12"/>
      <c r="H20" s="12"/>
      <c r="I20" s="12"/>
      <c r="J20" s="12"/>
      <c r="K20" s="13"/>
      <c r="L20" s="12"/>
    </row>
    <row r="21" spans="1:12" x14ac:dyDescent="0.3">
      <c r="A21" s="10">
        <v>5</v>
      </c>
      <c r="B21" s="11"/>
      <c r="C21" s="12"/>
      <c r="D21" s="12"/>
      <c r="E21" s="12"/>
      <c r="F21" s="12"/>
      <c r="G21" s="12"/>
      <c r="H21" s="12"/>
      <c r="I21" s="12"/>
      <c r="J21" s="12"/>
      <c r="K21" s="13"/>
      <c r="L21" s="12"/>
    </row>
    <row r="22" spans="1:12" x14ac:dyDescent="0.3">
      <c r="A22" s="10">
        <v>6</v>
      </c>
      <c r="B22" s="11"/>
      <c r="C22" s="12"/>
      <c r="D22" s="12"/>
      <c r="E22" s="12"/>
      <c r="F22" s="12"/>
      <c r="G22" s="12"/>
      <c r="H22" s="12"/>
      <c r="I22" s="12"/>
      <c r="J22" s="12"/>
      <c r="K22" s="13"/>
      <c r="L22" s="12"/>
    </row>
    <row r="23" spans="1:12" x14ac:dyDescent="0.3">
      <c r="A23" s="10">
        <v>7</v>
      </c>
      <c r="B23" s="11"/>
      <c r="C23" s="12"/>
      <c r="D23" s="12"/>
      <c r="E23" s="12"/>
      <c r="F23" s="12"/>
      <c r="G23" s="12"/>
      <c r="H23" s="12"/>
      <c r="I23" s="12"/>
      <c r="J23" s="12"/>
      <c r="K23" s="13"/>
      <c r="L23" s="12"/>
    </row>
    <row r="24" spans="1:12" x14ac:dyDescent="0.3">
      <c r="A24" s="10">
        <v>8</v>
      </c>
      <c r="B24" s="11"/>
      <c r="C24" s="12"/>
      <c r="D24" s="12"/>
      <c r="E24" s="12"/>
      <c r="F24" s="12"/>
      <c r="G24" s="12"/>
      <c r="H24" s="12"/>
      <c r="I24" s="12"/>
      <c r="J24" s="12"/>
      <c r="K24" s="13"/>
      <c r="L24" s="12"/>
    </row>
    <row r="25" spans="1:12" x14ac:dyDescent="0.3">
      <c r="A25" s="10">
        <v>9</v>
      </c>
      <c r="B25" s="11"/>
      <c r="C25" s="12"/>
      <c r="D25" s="12"/>
      <c r="E25" s="12"/>
      <c r="F25" s="12"/>
      <c r="G25" s="12"/>
      <c r="H25" s="12"/>
      <c r="I25" s="12"/>
      <c r="J25" s="12"/>
      <c r="K25" s="13"/>
      <c r="L25" s="12"/>
    </row>
    <row r="26" spans="1:12" x14ac:dyDescent="0.3">
      <c r="A26" s="14">
        <v>10</v>
      </c>
      <c r="B26" s="15"/>
      <c r="C26" s="16"/>
      <c r="D26" s="16"/>
      <c r="E26" s="16"/>
      <c r="F26" s="16"/>
      <c r="G26" s="16"/>
      <c r="H26" s="16"/>
      <c r="I26" s="16"/>
      <c r="J26" s="16"/>
      <c r="K26" s="17"/>
      <c r="L26" s="16"/>
    </row>
    <row r="27" spans="1:12" x14ac:dyDescent="0.3">
      <c r="A27" s="18"/>
      <c r="B27" s="61"/>
      <c r="C27" s="61"/>
      <c r="D27" s="61"/>
      <c r="E27" s="61"/>
      <c r="F27" s="61"/>
      <c r="G27" s="61"/>
      <c r="H27" s="61"/>
      <c r="I27" s="61"/>
      <c r="J27" s="61"/>
      <c r="K27" s="61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 x14ac:dyDescent="0.3">
      <c r="A29" s="58" t="s">
        <v>13</v>
      </c>
      <c r="B29" s="59"/>
      <c r="C29" s="59"/>
      <c r="D29" s="59"/>
      <c r="E29" s="59"/>
      <c r="F29" s="59"/>
      <c r="G29" s="59"/>
      <c r="H29" s="59"/>
      <c r="I29" s="59"/>
      <c r="J29" s="59"/>
      <c r="K29" s="60"/>
    </row>
    <row r="30" spans="1:12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5" t="s">
        <v>27</v>
      </c>
    </row>
    <row r="31" spans="1:12" x14ac:dyDescent="0.3">
      <c r="A31" s="5">
        <v>1</v>
      </c>
      <c r="B31" s="6"/>
      <c r="C31" s="7"/>
      <c r="D31" s="7"/>
      <c r="E31" s="7"/>
      <c r="F31" s="7"/>
      <c r="G31" s="8"/>
      <c r="H31" s="7"/>
      <c r="I31" s="7"/>
      <c r="J31" s="7"/>
      <c r="K31" s="9"/>
      <c r="L31" s="3"/>
    </row>
    <row r="32" spans="1:12" x14ac:dyDescent="0.3">
      <c r="A32" s="10">
        <v>2</v>
      </c>
      <c r="B32" s="11"/>
      <c r="C32" s="12"/>
      <c r="D32" s="12"/>
      <c r="E32" s="12"/>
      <c r="F32" s="12"/>
      <c r="G32" s="12"/>
      <c r="H32" s="12"/>
      <c r="I32" s="12"/>
      <c r="J32" s="12"/>
      <c r="K32" s="13"/>
      <c r="L32" s="12"/>
    </row>
    <row r="33" spans="1:12" x14ac:dyDescent="0.3">
      <c r="A33" s="10">
        <v>3</v>
      </c>
      <c r="B33" s="11"/>
      <c r="C33" s="12"/>
      <c r="D33" s="12"/>
      <c r="E33" s="12"/>
      <c r="F33" s="12"/>
      <c r="G33" s="12"/>
      <c r="H33" s="12"/>
      <c r="I33" s="12"/>
      <c r="J33" s="12"/>
      <c r="K33" s="13"/>
      <c r="L33" s="12"/>
    </row>
    <row r="34" spans="1:12" x14ac:dyDescent="0.3">
      <c r="A34" s="10">
        <v>4</v>
      </c>
      <c r="B34" s="11"/>
      <c r="C34" s="12"/>
      <c r="D34" s="12"/>
      <c r="E34" s="12"/>
      <c r="F34" s="12"/>
      <c r="G34" s="12"/>
      <c r="H34" s="12"/>
      <c r="I34" s="12"/>
      <c r="J34" s="12"/>
      <c r="K34" s="13"/>
      <c r="L34" s="12"/>
    </row>
    <row r="35" spans="1:12" x14ac:dyDescent="0.3">
      <c r="A35" s="10">
        <v>5</v>
      </c>
      <c r="B35" s="11"/>
      <c r="C35" s="12"/>
      <c r="D35" s="12"/>
      <c r="E35" s="12"/>
      <c r="F35" s="12"/>
      <c r="G35" s="12"/>
      <c r="H35" s="12"/>
      <c r="I35" s="12"/>
      <c r="J35" s="12"/>
      <c r="K35" s="13"/>
      <c r="L35" s="12"/>
    </row>
    <row r="36" spans="1:12" x14ac:dyDescent="0.3">
      <c r="A36" s="10">
        <v>6</v>
      </c>
      <c r="B36" s="11"/>
      <c r="C36" s="12"/>
      <c r="D36" s="12"/>
      <c r="E36" s="12"/>
      <c r="F36" s="12"/>
      <c r="G36" s="12"/>
      <c r="H36" s="12"/>
      <c r="I36" s="12"/>
      <c r="J36" s="12"/>
      <c r="K36" s="13"/>
      <c r="L36" s="12"/>
    </row>
    <row r="37" spans="1:12" x14ac:dyDescent="0.3">
      <c r="A37" s="10">
        <v>7</v>
      </c>
      <c r="B37" s="11"/>
      <c r="C37" s="12"/>
      <c r="D37" s="12"/>
      <c r="E37" s="12"/>
      <c r="F37" s="12"/>
      <c r="G37" s="12"/>
      <c r="H37" s="12"/>
      <c r="I37" s="12"/>
      <c r="J37" s="12"/>
      <c r="K37" s="13"/>
      <c r="L37" s="12"/>
    </row>
    <row r="38" spans="1:12" x14ac:dyDescent="0.3">
      <c r="A38" s="10">
        <v>8</v>
      </c>
      <c r="B38" s="11"/>
      <c r="C38" s="12"/>
      <c r="D38" s="12"/>
      <c r="E38" s="12"/>
      <c r="F38" s="12"/>
      <c r="G38" s="12"/>
      <c r="H38" s="12"/>
      <c r="I38" s="12"/>
      <c r="J38" s="12"/>
      <c r="K38" s="13"/>
      <c r="L38" s="12"/>
    </row>
    <row r="39" spans="1:12" x14ac:dyDescent="0.3">
      <c r="A39" s="10">
        <v>9</v>
      </c>
      <c r="B39" s="11"/>
      <c r="C39" s="12"/>
      <c r="D39" s="12"/>
      <c r="E39" s="12"/>
      <c r="F39" s="12"/>
      <c r="G39" s="12"/>
      <c r="H39" s="12"/>
      <c r="I39" s="12"/>
      <c r="J39" s="12"/>
      <c r="K39" s="13"/>
      <c r="L39" s="12"/>
    </row>
    <row r="40" spans="1:12" x14ac:dyDescent="0.3">
      <c r="A40" s="14">
        <v>10</v>
      </c>
      <c r="B40" s="15"/>
      <c r="C40" s="16"/>
      <c r="D40" s="16"/>
      <c r="E40" s="16"/>
      <c r="F40" s="16"/>
      <c r="G40" s="16"/>
      <c r="H40" s="16"/>
      <c r="I40" s="16"/>
      <c r="J40" s="16"/>
      <c r="K40" s="17"/>
      <c r="L40" s="16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2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</row>
    <row r="43" spans="1:12" x14ac:dyDescent="0.3">
      <c r="A43" s="58" t="s">
        <v>14</v>
      </c>
      <c r="B43" s="59"/>
      <c r="C43" s="59"/>
      <c r="D43" s="59"/>
      <c r="E43" s="59"/>
      <c r="F43" s="59"/>
      <c r="G43" s="59"/>
      <c r="H43" s="59"/>
      <c r="I43" s="59"/>
      <c r="J43" s="59"/>
      <c r="K43" s="60"/>
    </row>
    <row r="44" spans="1:12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5" t="s">
        <v>27</v>
      </c>
    </row>
    <row r="45" spans="1:12" x14ac:dyDescent="0.3">
      <c r="A45" s="5">
        <v>1</v>
      </c>
      <c r="B45" s="6"/>
      <c r="C45" s="7"/>
      <c r="D45" s="7"/>
      <c r="E45" s="7"/>
      <c r="F45" s="7"/>
      <c r="G45" s="8"/>
      <c r="H45" s="7"/>
      <c r="I45" s="7"/>
      <c r="J45" s="7"/>
      <c r="K45" s="9"/>
      <c r="L45" s="3"/>
    </row>
    <row r="46" spans="1:12" x14ac:dyDescent="0.3">
      <c r="A46" s="10">
        <v>2</v>
      </c>
      <c r="B46" s="11"/>
      <c r="C46" s="12"/>
      <c r="D46" s="12"/>
      <c r="E46" s="12"/>
      <c r="F46" s="12"/>
      <c r="G46" s="12"/>
      <c r="H46" s="12"/>
      <c r="I46" s="12"/>
      <c r="J46" s="12"/>
      <c r="K46" s="13"/>
      <c r="L46" s="12"/>
    </row>
    <row r="47" spans="1:12" x14ac:dyDescent="0.3">
      <c r="A47" s="10">
        <v>3</v>
      </c>
      <c r="B47" s="11"/>
      <c r="C47" s="12"/>
      <c r="D47" s="12"/>
      <c r="E47" s="12"/>
      <c r="F47" s="12"/>
      <c r="G47" s="12"/>
      <c r="H47" s="12"/>
      <c r="I47" s="12"/>
      <c r="J47" s="12"/>
      <c r="K47" s="13"/>
      <c r="L47" s="12"/>
    </row>
    <row r="48" spans="1:12" x14ac:dyDescent="0.3">
      <c r="A48" s="10">
        <v>4</v>
      </c>
      <c r="B48" s="11"/>
      <c r="C48" s="12"/>
      <c r="D48" s="12"/>
      <c r="E48" s="12"/>
      <c r="F48" s="12"/>
      <c r="G48" s="12"/>
      <c r="H48" s="12"/>
      <c r="I48" s="12"/>
      <c r="J48" s="12"/>
      <c r="K48" s="13"/>
      <c r="L48" s="12"/>
    </row>
    <row r="49" spans="1:12" x14ac:dyDescent="0.3">
      <c r="A49" s="10">
        <v>5</v>
      </c>
      <c r="B49" s="11"/>
      <c r="C49" s="12"/>
      <c r="D49" s="12"/>
      <c r="E49" s="12"/>
      <c r="F49" s="12"/>
      <c r="G49" s="12"/>
      <c r="H49" s="12"/>
      <c r="I49" s="12"/>
      <c r="J49" s="12"/>
      <c r="K49" s="13"/>
      <c r="L49" s="12"/>
    </row>
    <row r="50" spans="1:12" x14ac:dyDescent="0.3">
      <c r="A50" s="10">
        <v>6</v>
      </c>
      <c r="B50" s="11"/>
      <c r="C50" s="12"/>
      <c r="D50" s="12"/>
      <c r="E50" s="12"/>
      <c r="F50" s="12"/>
      <c r="G50" s="12"/>
      <c r="H50" s="12"/>
      <c r="I50" s="12"/>
      <c r="J50" s="12"/>
      <c r="K50" s="13"/>
      <c r="L50" s="12"/>
    </row>
    <row r="51" spans="1:12" x14ac:dyDescent="0.3">
      <c r="A51" s="10">
        <v>7</v>
      </c>
      <c r="B51" s="11"/>
      <c r="C51" s="12"/>
      <c r="D51" s="12"/>
      <c r="E51" s="12"/>
      <c r="F51" s="12"/>
      <c r="G51" s="12"/>
      <c r="H51" s="12"/>
      <c r="I51" s="12"/>
      <c r="J51" s="12"/>
      <c r="K51" s="13"/>
      <c r="L51" s="12"/>
    </row>
    <row r="52" spans="1:12" x14ac:dyDescent="0.3">
      <c r="A52" s="10">
        <v>8</v>
      </c>
      <c r="B52" s="11"/>
      <c r="C52" s="12"/>
      <c r="D52" s="12"/>
      <c r="E52" s="12"/>
      <c r="F52" s="12"/>
      <c r="G52" s="12"/>
      <c r="H52" s="12"/>
      <c r="I52" s="12"/>
      <c r="J52" s="12"/>
      <c r="K52" s="13"/>
      <c r="L52" s="12"/>
    </row>
    <row r="53" spans="1:12" x14ac:dyDescent="0.3">
      <c r="A53" s="10">
        <v>9</v>
      </c>
      <c r="B53" s="11"/>
      <c r="C53" s="12"/>
      <c r="D53" s="12"/>
      <c r="E53" s="12"/>
      <c r="F53" s="12"/>
      <c r="G53" s="12"/>
      <c r="H53" s="12"/>
      <c r="I53" s="12"/>
      <c r="J53" s="12"/>
      <c r="K53" s="13"/>
      <c r="L53" s="12"/>
    </row>
    <row r="54" spans="1:12" x14ac:dyDescent="0.3">
      <c r="A54" s="14">
        <v>10</v>
      </c>
      <c r="B54" s="15"/>
      <c r="C54" s="16"/>
      <c r="D54" s="16"/>
      <c r="E54" s="16"/>
      <c r="F54" s="16"/>
      <c r="G54" s="16"/>
      <c r="H54" s="16"/>
      <c r="I54" s="16"/>
      <c r="J54" s="16"/>
      <c r="K54" s="17"/>
      <c r="L54" s="16"/>
    </row>
    <row r="55" spans="1:12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2" x14ac:dyDescent="0.3">
      <c r="A57" s="58" t="s">
        <v>15</v>
      </c>
      <c r="B57" s="59"/>
      <c r="C57" s="59"/>
      <c r="D57" s="59"/>
      <c r="E57" s="59"/>
      <c r="F57" s="59"/>
      <c r="G57" s="59"/>
      <c r="H57" s="59"/>
      <c r="I57" s="59"/>
      <c r="J57" s="59"/>
      <c r="K57" s="60"/>
    </row>
    <row r="58" spans="1:12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5" t="s">
        <v>27</v>
      </c>
    </row>
    <row r="59" spans="1:12" x14ac:dyDescent="0.3">
      <c r="A59" s="5">
        <v>1</v>
      </c>
      <c r="B59" s="6"/>
      <c r="C59" s="7"/>
      <c r="D59" s="7"/>
      <c r="E59" s="7"/>
      <c r="F59" s="7"/>
      <c r="G59" s="8"/>
      <c r="H59" s="7"/>
      <c r="I59" s="7"/>
      <c r="J59" s="7"/>
      <c r="K59" s="9"/>
      <c r="L59" s="3"/>
    </row>
    <row r="60" spans="1:12" x14ac:dyDescent="0.3">
      <c r="A60" s="10">
        <v>2</v>
      </c>
      <c r="B60" s="11"/>
      <c r="C60" s="12"/>
      <c r="D60" s="12"/>
      <c r="E60" s="12"/>
      <c r="F60" s="12"/>
      <c r="G60" s="12"/>
      <c r="H60" s="12"/>
      <c r="I60" s="12"/>
      <c r="J60" s="12"/>
      <c r="K60" s="13"/>
      <c r="L60" s="12"/>
    </row>
    <row r="61" spans="1:12" x14ac:dyDescent="0.3">
      <c r="A61" s="10">
        <v>3</v>
      </c>
      <c r="B61" s="11"/>
      <c r="C61" s="12"/>
      <c r="D61" s="12"/>
      <c r="E61" s="12"/>
      <c r="F61" s="12"/>
      <c r="G61" s="12"/>
      <c r="H61" s="12"/>
      <c r="I61" s="12"/>
      <c r="J61" s="12"/>
      <c r="K61" s="13"/>
      <c r="L61" s="12"/>
    </row>
    <row r="62" spans="1:12" x14ac:dyDescent="0.3">
      <c r="A62" s="10">
        <v>4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  <c r="L62" s="12"/>
    </row>
    <row r="63" spans="1:12" x14ac:dyDescent="0.3">
      <c r="A63" s="10">
        <v>5</v>
      </c>
      <c r="B63" s="11"/>
      <c r="C63" s="12"/>
      <c r="D63" s="12"/>
      <c r="E63" s="12"/>
      <c r="F63" s="12"/>
      <c r="G63" s="12"/>
      <c r="H63" s="12"/>
      <c r="I63" s="12"/>
      <c r="J63" s="12"/>
      <c r="K63" s="13"/>
      <c r="L63" s="12"/>
    </row>
    <row r="64" spans="1:12" x14ac:dyDescent="0.3">
      <c r="A64" s="10">
        <v>6</v>
      </c>
      <c r="B64" s="11"/>
      <c r="C64" s="12"/>
      <c r="D64" s="12"/>
      <c r="E64" s="12"/>
      <c r="F64" s="12"/>
      <c r="G64" s="12"/>
      <c r="H64" s="12"/>
      <c r="I64" s="12"/>
      <c r="J64" s="12"/>
      <c r="K64" s="13"/>
      <c r="L64" s="12"/>
    </row>
    <row r="65" spans="1:12" x14ac:dyDescent="0.3">
      <c r="A65" s="10">
        <v>7</v>
      </c>
      <c r="B65" s="11"/>
      <c r="C65" s="12"/>
      <c r="D65" s="12"/>
      <c r="E65" s="12"/>
      <c r="F65" s="12"/>
      <c r="G65" s="12"/>
      <c r="H65" s="12"/>
      <c r="I65" s="12"/>
      <c r="J65" s="12"/>
      <c r="K65" s="13"/>
      <c r="L65" s="12"/>
    </row>
    <row r="66" spans="1:12" x14ac:dyDescent="0.3">
      <c r="A66" s="10">
        <v>8</v>
      </c>
      <c r="B66" s="11"/>
      <c r="C66" s="12"/>
      <c r="D66" s="12"/>
      <c r="E66" s="12"/>
      <c r="F66" s="12"/>
      <c r="G66" s="12"/>
      <c r="H66" s="12"/>
      <c r="I66" s="12"/>
      <c r="J66" s="12"/>
      <c r="K66" s="13"/>
      <c r="L66" s="12"/>
    </row>
    <row r="67" spans="1:12" x14ac:dyDescent="0.3">
      <c r="A67" s="10">
        <v>9</v>
      </c>
      <c r="B67" s="11"/>
      <c r="C67" s="12"/>
      <c r="D67" s="12"/>
      <c r="E67" s="12"/>
      <c r="F67" s="12"/>
      <c r="G67" s="12"/>
      <c r="H67" s="12"/>
      <c r="I67" s="12"/>
      <c r="J67" s="12"/>
      <c r="K67" s="13"/>
      <c r="L67" s="12"/>
    </row>
    <row r="68" spans="1:12" x14ac:dyDescent="0.3">
      <c r="A68" s="14">
        <v>10</v>
      </c>
      <c r="B68" s="15"/>
      <c r="C68" s="16"/>
      <c r="D68" s="16"/>
      <c r="E68" s="16"/>
      <c r="F68" s="16"/>
      <c r="G68" s="16"/>
      <c r="H68" s="16"/>
      <c r="I68" s="16"/>
      <c r="J68" s="16"/>
      <c r="K68" s="17"/>
      <c r="L68" s="16"/>
    </row>
  </sheetData>
  <mergeCells count="7">
    <mergeCell ref="A57:K57"/>
    <mergeCell ref="B14:K14"/>
    <mergeCell ref="A15:K15"/>
    <mergeCell ref="A43:K43"/>
    <mergeCell ref="A1:K1"/>
    <mergeCell ref="B27:K27"/>
    <mergeCell ref="A29:K29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AB38-308C-4DAD-9DDE-D6C45461ECEE}">
  <dimension ref="A1:R83"/>
  <sheetViews>
    <sheetView topLeftCell="B46" zoomScale="70" zoomScaleNormal="70" workbookViewId="0">
      <selection activeCell="L31" sqref="L31"/>
    </sheetView>
  </sheetViews>
  <sheetFormatPr defaultRowHeight="14.4" x14ac:dyDescent="0.3"/>
  <cols>
    <col min="1" max="1" width="22.44140625" customWidth="1"/>
    <col min="2" max="11" width="14.6640625" customWidth="1"/>
    <col min="12" max="12" width="20.77734375" customWidth="1"/>
    <col min="13" max="13" width="22.44140625" customWidth="1"/>
    <col min="14" max="14" width="19.109375" customWidth="1"/>
    <col min="15" max="15" width="18.33203125" customWidth="1"/>
    <col min="16" max="16" width="16.88671875" customWidth="1"/>
    <col min="17" max="18" width="14.6640625" customWidth="1"/>
  </cols>
  <sheetData>
    <row r="1" spans="1:12" ht="15" thickBot="1" x14ac:dyDescent="0.35">
      <c r="A1" s="22" t="s">
        <v>16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56" t="s">
        <v>27</v>
      </c>
    </row>
    <row r="2" spans="1:12" ht="15" thickBot="1" x14ac:dyDescent="0.35">
      <c r="A2" s="23" t="s">
        <v>0</v>
      </c>
      <c r="B2" s="24">
        <f>IFERROR(AVERAGE(defaultRepository_1cimxml[basic]), 0)</f>
        <v>1.2</v>
      </c>
      <c r="C2" s="24">
        <f>IFERROR(AVERAGE(defaultRepository_1cimxml[drawFeeder]), 0)</f>
        <v>1.8</v>
      </c>
      <c r="D2" s="24">
        <f>IFERROR(AVERAGE(defaultRepository_1cimxml[drawFeederOpt]), 0)</f>
        <v>5.2</v>
      </c>
      <c r="E2" s="24">
        <f>IFERROR(AVERAGE(defaultRepository_1cimxml[drawHazard]), 0)</f>
        <v>1.1000000000000001</v>
      </c>
      <c r="F2" s="24">
        <f>IFERROR(AVERAGE(defaultRepository_1cimxml[drawBuffer]), 0)</f>
        <v>2.2999999999999998</v>
      </c>
      <c r="G2" s="24">
        <f>IFERROR(AVERAGE(defaultRepository_1cimxml[drawBufferOpt]), 0)</f>
        <v>2</v>
      </c>
      <c r="H2" s="24">
        <f>IFERROR(AVERAGE(defaultRepository_1cimxml[drawHealthy]), 0)</f>
        <v>2.9</v>
      </c>
      <c r="I2" s="24">
        <f>IFERROR(AVERAGE(defaultRepository_1cimxml[drawHealthyOpt]), 0)</f>
        <v>3</v>
      </c>
      <c r="J2" s="24">
        <f>IFERROR(AVERAGE(defaultRepository_1cimxml[drawAffected]), 0)</f>
        <v>2.6</v>
      </c>
      <c r="K2" s="24">
        <f>IFERROR(AVERAGE(defaultRepository_1cimxml[drawAffectedOpt]), 0)</f>
        <v>3.8</v>
      </c>
      <c r="L2" s="3">
        <f>IFERROR(AVERAGE(defaultRepository_1cimxml[drawHealthyUpdate]), 0)</f>
        <v>0</v>
      </c>
    </row>
    <row r="3" spans="1:12" ht="15" thickBot="1" x14ac:dyDescent="0.35">
      <c r="A3" s="25" t="s">
        <v>12</v>
      </c>
      <c r="B3" s="6">
        <f>IFERROR(AVERAGE(nativeRepository_1cimxml[basic]), 0)</f>
        <v>1.3</v>
      </c>
      <c r="C3" s="6">
        <f>IFERROR(AVERAGE(nativeRepository_1cimxml[drawFeeder]), 0)</f>
        <v>1.9</v>
      </c>
      <c r="D3" s="6">
        <f>IFERROR(AVERAGE(nativeRepository_1cimxml[drawFeederOpt]), 0)</f>
        <v>2</v>
      </c>
      <c r="E3" s="6">
        <f>IFERROR(AVERAGE(nativeRepository_1cimxml[drawHazard]), 0)</f>
        <v>1.2</v>
      </c>
      <c r="F3" s="6">
        <f>IFERROR(AVERAGE(nativeRepository_1cimxml[drawBuffer]), 0)</f>
        <v>5</v>
      </c>
      <c r="G3" s="6">
        <f>IFERROR(AVERAGE(nativeRepository_1cimxml[drawBufferOpt]), 0)</f>
        <v>5.4</v>
      </c>
      <c r="H3" s="6">
        <f>IFERROR(AVERAGE(nativeRepository_1cimxml[drawHealthy]), 0)</f>
        <v>5.0999999999999996</v>
      </c>
      <c r="I3" s="6">
        <f>IFERROR(AVERAGE(nativeRepository_1cimxml[drawHealthyOpt]), 0)</f>
        <v>3.1</v>
      </c>
      <c r="J3" s="6">
        <f>IFERROR(AVERAGE(nativeRepository_1cimxml[drawAffected]), 0)</f>
        <v>4.4000000000000004</v>
      </c>
      <c r="K3" s="6">
        <f>IFERROR(AVERAGE(nativeRepository_1cimxml[drawAffectedOpt]), 0)</f>
        <v>3.3</v>
      </c>
      <c r="L3" s="3">
        <f>IFERROR(AVERAGE(nativeRepository_1cimxml[drawHealthyUpdate]), 0)</f>
        <v>0</v>
      </c>
    </row>
    <row r="4" spans="1:12" ht="15" thickBot="1" x14ac:dyDescent="0.35">
      <c r="A4" s="26" t="s">
        <v>13</v>
      </c>
      <c r="B4" s="6">
        <f>IFERROR(AVERAGE(marklogic_rdf4j_1cimxml[basic]), 0)</f>
        <v>81</v>
      </c>
      <c r="C4" s="6">
        <f>IFERROR(AVERAGE(marklogic_rdf4j_1cimxml[drawFeeder]), 0)</f>
        <v>12.9</v>
      </c>
      <c r="D4" s="6">
        <f>IFERROR(AVERAGE(marklogic_rdf4j_1cimxml[drawFeederOpt]), 0)</f>
        <v>15.7</v>
      </c>
      <c r="E4" s="6">
        <f>IFERROR(AVERAGE(marklogic_rdf4j_1cimxml[drawHazard]), 0)</f>
        <v>6</v>
      </c>
      <c r="F4" s="6">
        <f>IFERROR(AVERAGE(marklogic_rdf4j_1cimxml[drawBuffer]), 0)</f>
        <v>0</v>
      </c>
      <c r="G4" s="6">
        <f>IFERROR(AVERAGE(marklogic_rdf4j_1cimxml[drawBufferOpt]), 0)</f>
        <v>0</v>
      </c>
      <c r="H4" s="6">
        <f>IFERROR(AVERAGE(marklogic_rdf4j_1cimxml[drawHealthy]), 0)</f>
        <v>0</v>
      </c>
      <c r="I4" s="6">
        <f>IFERROR(AVERAGE(marklogic_rdf4j_1cimxml[drawHealthyOpt]), 0)</f>
        <v>0</v>
      </c>
      <c r="J4" s="6">
        <f>IFERROR(AVERAGE(marklogic_rdf4j_1cimxml[drawAffected]), 0)</f>
        <v>0</v>
      </c>
      <c r="K4" s="6">
        <f>IFERROR(AVERAGE(marklogic_rdf4j_1cimxml[drawAffectedOpt]), 0)</f>
        <v>0</v>
      </c>
      <c r="L4" s="3">
        <f>IFERROR(AVERAGE(marklogic_rdf4j_1cimxml[drawHealthyUpdate]), 0)</f>
        <v>0</v>
      </c>
    </row>
    <row r="5" spans="1:12" ht="15" thickBot="1" x14ac:dyDescent="0.35">
      <c r="A5" s="25" t="s">
        <v>14</v>
      </c>
      <c r="B5" s="6">
        <f>IFERROR(AVERAGE(approach1_1cimxml[basic]), 0)</f>
        <v>0</v>
      </c>
      <c r="C5" s="6">
        <f>IFERROR(AVERAGE(approach1_1cimxml[drawFeeder]), 0)</f>
        <v>0</v>
      </c>
      <c r="D5" s="6">
        <f>IFERROR(AVERAGE(approach1_1cimxml[drawFeederOpt]), 0)</f>
        <v>0</v>
      </c>
      <c r="E5" s="6">
        <f>IFERROR(AVERAGE(approach1_1cimxml[drawHazard]), 0)</f>
        <v>0</v>
      </c>
      <c r="F5" s="6">
        <f>IFERROR(AVERAGE(approach1_1cimxml[drawBuffer]), 0)</f>
        <v>158.9</v>
      </c>
      <c r="G5" s="6">
        <f>IFERROR(AVERAGE(approach1_1cimxml[drawBufferOpt]), 0)</f>
        <v>184.8</v>
      </c>
      <c r="H5" s="6">
        <f>IFERROR(AVERAGE(approach1_1cimxml[drawHealthy]), 0)</f>
        <v>814.3</v>
      </c>
      <c r="I5" s="6">
        <f>IFERROR(AVERAGE(approach1_1cimxml[drawHealthyOpt]), 0)</f>
        <v>744.9</v>
      </c>
      <c r="J5" s="6">
        <f>IFERROR(AVERAGE(approach1_1cimxml[drawAffected]), 0)</f>
        <v>699</v>
      </c>
      <c r="K5" s="6">
        <f>IFERROR(AVERAGE(approach1_1cimxml[drawAffectedOpt]), 0)</f>
        <v>533.20000000000005</v>
      </c>
      <c r="L5" s="3">
        <f>IFERROR(AVERAGE(approach1_1cimxml[drawHealthyUpdate]), 0)</f>
        <v>0</v>
      </c>
    </row>
    <row r="6" spans="1:12" x14ac:dyDescent="0.3">
      <c r="A6" s="27" t="s">
        <v>15</v>
      </c>
      <c r="B6" s="28">
        <f>IFERROR(AVERAGE(approach2_1cimxml[basic]), 0)</f>
        <v>74.3</v>
      </c>
      <c r="C6" s="28">
        <f>IFERROR(AVERAGE(approach2_1cimxml[drawFeeder]), 0)</f>
        <v>14.3</v>
      </c>
      <c r="D6" s="28">
        <f>IFERROR(AVERAGE(approach2_1cimxml[drawFeederOpt]), 0)</f>
        <v>17.7</v>
      </c>
      <c r="E6" s="28">
        <f>IFERROR(AVERAGE(approach2_1cimxml[drawHazard]), 0)</f>
        <v>6.1</v>
      </c>
      <c r="F6" s="28">
        <f>IFERROR(AVERAGE(approach2_1cimxml[drawBuffer]), 0)</f>
        <v>151.30000000000001</v>
      </c>
      <c r="G6" s="28">
        <f>IFERROR(AVERAGE(approach2_1cimxml[drawBufferOpt]), 0)</f>
        <v>283.2</v>
      </c>
      <c r="H6" s="28">
        <f>IFERROR(AVERAGE(approach2_1cimxml[drawHealthy]), 0)</f>
        <v>799.7</v>
      </c>
      <c r="I6" s="28">
        <f>IFERROR(AVERAGE(approach2_1cimxml[drawHealthyOpt]), 0)</f>
        <v>831.8</v>
      </c>
      <c r="J6" s="28">
        <f>IFERROR(AVERAGE(approach2_1cimxml[drawAffected]), 0)</f>
        <v>692.8</v>
      </c>
      <c r="K6" s="28">
        <f>IFERROR(AVERAGE(approach2_1cimxml[drawAffectedOpt]), 0)</f>
        <v>625.79999999999995</v>
      </c>
      <c r="L6" s="3">
        <f>IFERROR(AVERAGE(approach2_1cimxml[drawHealthyUpdate]), 0)</f>
        <v>0</v>
      </c>
    </row>
    <row r="7" spans="1:12" x14ac:dyDescent="0.3">
      <c r="A7" s="29"/>
      <c r="B7" s="30"/>
      <c r="C7" s="30"/>
      <c r="D7" s="30"/>
      <c r="E7" s="30"/>
      <c r="F7" s="30"/>
      <c r="I7" s="31"/>
    </row>
    <row r="8" spans="1:12" x14ac:dyDescent="0.3">
      <c r="A8" s="29"/>
      <c r="B8" s="30"/>
      <c r="C8" s="30"/>
      <c r="D8" s="30"/>
      <c r="E8" s="30"/>
      <c r="F8" s="30"/>
      <c r="I8" s="32"/>
    </row>
    <row r="9" spans="1:12" ht="15" thickBot="1" x14ac:dyDescent="0.35">
      <c r="A9" s="22" t="s">
        <v>16</v>
      </c>
      <c r="B9" s="2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4" t="s">
        <v>11</v>
      </c>
      <c r="L9" s="56" t="s">
        <v>27</v>
      </c>
    </row>
    <row r="10" spans="1:12" ht="15" thickBot="1" x14ac:dyDescent="0.35">
      <c r="A10" s="23" t="s">
        <v>0</v>
      </c>
      <c r="B10" s="33">
        <f>IFERROR(AVERAGE(defaultRepository_10cimxml[basic]), 0)</f>
        <v>0.6</v>
      </c>
      <c r="C10" s="33">
        <f>IFERROR(AVERAGE(defaultRepository_10cimxml[drawFeeder]), 0)</f>
        <v>1.7</v>
      </c>
      <c r="D10" s="33">
        <f>IFERROR(AVERAGE(defaultRepository_10cimxml[drawFeederOpt]), 0)</f>
        <v>2.1</v>
      </c>
      <c r="E10" s="33">
        <f>IFERROR(AVERAGE(defaultRepository_10cimxml[drawHazard]), 0)</f>
        <v>6.4</v>
      </c>
      <c r="F10" s="33">
        <f>IFERROR(AVERAGE(defaultRepository_10cimxml[drawBuffer]), 0)</f>
        <v>1.5</v>
      </c>
      <c r="G10" s="33">
        <f>IFERROR(AVERAGE(defaultRepository_10cimxml[drawBufferOpt]), 0)</f>
        <v>2.9</v>
      </c>
      <c r="H10" s="33">
        <f>IFERROR(AVERAGE(defaultRepository_10cimxml[drawHealthy]), 0)</f>
        <v>3.7</v>
      </c>
      <c r="I10" s="33">
        <f>IFERROR(AVERAGE(defaultRepository_10cimxml[drawHealthyOpt]), 0)</f>
        <v>2</v>
      </c>
      <c r="J10" s="33">
        <f>IFERROR(AVERAGE(defaultRepository_10cimxml[drawAffected]), 0)</f>
        <v>19.399999999999999</v>
      </c>
      <c r="K10" s="33">
        <f>IFERROR(AVERAGE(defaultRepository_10cimxml[drawAffectedOpt]), 0)</f>
        <v>21.4</v>
      </c>
      <c r="L10" s="3">
        <f>IFERROR(AVERAGE(defaultRepository_10cimxml[drawHealthyUpdate]), 0)</f>
        <v>0</v>
      </c>
    </row>
    <row r="11" spans="1:12" ht="15" thickBot="1" x14ac:dyDescent="0.35">
      <c r="A11" s="25" t="s">
        <v>12</v>
      </c>
      <c r="B11" s="34">
        <f>IFERROR(AVERAGE(nativeRepository_10cimxml[basic]), 0)</f>
        <v>0.6</v>
      </c>
      <c r="C11" s="34">
        <f>IFERROR(AVERAGE(nativeRepository_10cimxml[drawFeeder]), 0)</f>
        <v>1.8</v>
      </c>
      <c r="D11" s="34">
        <f>IFERROR(AVERAGE(nativeRepository_10cimxml[drawFeederOpt]), 0)</f>
        <v>2</v>
      </c>
      <c r="E11" s="34">
        <f>IFERROR(AVERAGE(nativeRepository_10cimxml[drawHazard]), 0)</f>
        <v>8</v>
      </c>
      <c r="F11" s="34">
        <f>IFERROR(AVERAGE(nativeRepository_10cimxml[drawBuffer]), 0)</f>
        <v>5.5</v>
      </c>
      <c r="G11" s="34">
        <f>IFERROR(AVERAGE(nativeRepository_10cimxml[drawBufferOpt]), 0)</f>
        <v>2.2000000000000002</v>
      </c>
      <c r="H11" s="34">
        <f>IFERROR(AVERAGE(nativeRepository_10cimxml[drawHealthy]), 0)</f>
        <v>3.2</v>
      </c>
      <c r="I11" s="34">
        <f>IFERROR(AVERAGE(nativeRepository_10cimxml[drawHealthyOpt]), 0)</f>
        <v>3.2</v>
      </c>
      <c r="J11" s="34">
        <f>IFERROR(AVERAGE(nativeRepository_10cimxml[drawAffected]), 0)</f>
        <v>14.6</v>
      </c>
      <c r="K11" s="34">
        <f>IFERROR(AVERAGE(nativeRepository_10cimxml[drawAffectedOpt]), 0)</f>
        <v>16.3</v>
      </c>
      <c r="L11" s="3">
        <f>IFERROR(AVERAGE(nativeRepository_10cimxml[drawHealthyUpdate]), 0)</f>
        <v>0</v>
      </c>
    </row>
    <row r="12" spans="1:12" ht="15" thickBot="1" x14ac:dyDescent="0.35">
      <c r="A12" s="26" t="s">
        <v>13</v>
      </c>
      <c r="B12" s="34">
        <f>IFERROR(AVERAGE(marklogic_rdf4j_10cimxml[basic]), 0)</f>
        <v>276.89999999999998</v>
      </c>
      <c r="C12" s="34">
        <f>IFERROR(AVERAGE(marklogic_rdf4j_10cimxml[drawFeeder]), 0)</f>
        <v>142.6</v>
      </c>
      <c r="D12" s="34">
        <f>IFERROR(AVERAGE(marklogic_rdf4j_10cimxml[drawFeederOpt]), 0)</f>
        <v>169.8</v>
      </c>
      <c r="E12" s="34">
        <f>IFERROR(AVERAGE(marklogic_rdf4j_10cimxml[drawHazard]), 0)</f>
        <v>59.8</v>
      </c>
      <c r="F12" s="34">
        <f>IFERROR(AVERAGE(marklogic_rdf4j_10cimxml[drawBuffer]), 0)</f>
        <v>0</v>
      </c>
      <c r="G12" s="34">
        <f>IFERROR(AVERAGE(marklogic_rdf4j_10cimxml[drawBufferOpt]), 0)</f>
        <v>0</v>
      </c>
      <c r="H12" s="34">
        <f>IFERROR(AVERAGE(marklogic_rdf4j_10cimxml[drawHealthy]), 0)</f>
        <v>0</v>
      </c>
      <c r="I12" s="34">
        <f>IFERROR(AVERAGE(marklogic_rdf4j_10cimxml[drawHealthyOpt]), 0)</f>
        <v>0</v>
      </c>
      <c r="J12" s="34">
        <f>IFERROR(AVERAGE(marklogic_rdf4j_10cimxml[drawAffected]), 0)</f>
        <v>0</v>
      </c>
      <c r="K12" s="34">
        <f>IFERROR(AVERAGE(marklogic_rdf4j_10cimxml[drawAffectedOpt]), 0)</f>
        <v>0</v>
      </c>
      <c r="L12" s="3">
        <f>IFERROR(AVERAGE(marklogic_rdf4j_10cimxml[drawHealthyUpdate]), 0)</f>
        <v>0</v>
      </c>
    </row>
    <row r="13" spans="1:12" ht="15" thickBot="1" x14ac:dyDescent="0.35">
      <c r="A13" s="25" t="s">
        <v>14</v>
      </c>
      <c r="B13" s="34">
        <f>IFERROR(AVERAGE(approach1_10cimxml[basic]), 0)</f>
        <v>0</v>
      </c>
      <c r="C13" s="34">
        <f>IFERROR(AVERAGE(approach1_10cimxml[drawFeeder]), 0)</f>
        <v>0</v>
      </c>
      <c r="D13" s="34">
        <f>IFERROR(AVERAGE(approach1_10cimxml[drawFeederOpt]), 0)</f>
        <v>0</v>
      </c>
      <c r="E13" s="34">
        <f>IFERROR(AVERAGE(approach1_10cimxml[drawHazard]), 0)</f>
        <v>0</v>
      </c>
      <c r="F13" s="34">
        <f>IFERROR(AVERAGE(approach1_10cimxml[drawBuffer]), 0)</f>
        <v>2320.4</v>
      </c>
      <c r="G13" s="34">
        <f>IFERROR(AVERAGE(approach1_10cimxml[drawBufferOpt]), 0)</f>
        <v>3508.5</v>
      </c>
      <c r="H13" s="34">
        <f>IFERROR(AVERAGE(approach1_10cimxml[drawHealthy]), 0)</f>
        <v>6155.8</v>
      </c>
      <c r="I13" s="34">
        <f>IFERROR(AVERAGE(approach1_10cimxml[drawHealthyOpt]), 0)</f>
        <v>6053.7</v>
      </c>
      <c r="J13" s="34">
        <f>IFERROR(AVERAGE(approach1_10cimxml[drawAffected]), 0)</f>
        <v>7918.9</v>
      </c>
      <c r="K13" s="34">
        <f>IFERROR(AVERAGE(approach1_10cimxml[drawAffectedOpt]), 0)</f>
        <v>10428.9</v>
      </c>
      <c r="L13" s="3">
        <f>IFERROR(AVERAGE(approach1_10cimxml[drawHealthyUpdate]), 0)</f>
        <v>0</v>
      </c>
    </row>
    <row r="14" spans="1:12" x14ac:dyDescent="0.3">
      <c r="A14" s="27" t="s">
        <v>15</v>
      </c>
      <c r="B14" s="35">
        <f>IFERROR(AVERAGE(approach2_10cimxml[basic]), 0)</f>
        <v>363.9</v>
      </c>
      <c r="C14" s="35">
        <f>IFERROR(AVERAGE(approach2_10cimxml[drawFeeder]), 0)</f>
        <v>72.599999999999994</v>
      </c>
      <c r="D14" s="35">
        <f>IFERROR(AVERAGE(approach2_10cimxml[drawFeederOpt]), 0)</f>
        <v>94.3</v>
      </c>
      <c r="E14" s="35">
        <f>IFERROR(AVERAGE(approach2_10cimxml[drawHazard]), 0)</f>
        <v>94.8</v>
      </c>
      <c r="F14" s="35">
        <f>IFERROR(AVERAGE(approach2_10cimxml[drawBuffer]), 0)</f>
        <v>2486.8000000000002</v>
      </c>
      <c r="G14" s="35">
        <f>IFERROR(AVERAGE(approach2_10cimxml[drawBufferOpt]), 0)</f>
        <v>2981.1</v>
      </c>
      <c r="H14" s="35">
        <f>IFERROR(AVERAGE(approach2_10cimxml[drawHealthy]), 0)</f>
        <v>6330.1</v>
      </c>
      <c r="I14" s="35">
        <f>IFERROR(AVERAGE(approach2_10cimxml[drawHealthyOpt]), 0)</f>
        <v>5995.5</v>
      </c>
      <c r="J14" s="35">
        <f>IFERROR(AVERAGE(approach2_10cimxml[drawAffected]), 0)</f>
        <v>8374.7000000000007</v>
      </c>
      <c r="K14" s="35">
        <f>IFERROR(AVERAGE(approach2_10cimxml[drawAffectedOpt]), 0)</f>
        <v>8744.2000000000007</v>
      </c>
      <c r="L14" s="3">
        <f>IFERROR(AVERAGE(approach2_10cimxml[drawHealthyUpdate]), 0)</f>
        <v>166.5</v>
      </c>
    </row>
    <row r="15" spans="1:12" x14ac:dyDescent="0.3">
      <c r="A15" s="22"/>
    </row>
    <row r="16" spans="1:12" x14ac:dyDescent="0.3">
      <c r="A16" s="22"/>
    </row>
    <row r="17" spans="1:12" ht="15" thickBot="1" x14ac:dyDescent="0.35">
      <c r="A17" s="22" t="s">
        <v>16</v>
      </c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4" t="s">
        <v>11</v>
      </c>
      <c r="L17" s="56" t="s">
        <v>27</v>
      </c>
    </row>
    <row r="18" spans="1:12" ht="15" thickBot="1" x14ac:dyDescent="0.35">
      <c r="A18" s="23" t="s">
        <v>0</v>
      </c>
      <c r="B18" s="33">
        <f>IFERROR(AVERAGE(defaultRepository_100cimxml[basic]), 0)</f>
        <v>0.7</v>
      </c>
      <c r="C18" s="33">
        <f>IFERROR(AVERAGE(defaultRepository_100cimxml[drawFeeder]), 0)</f>
        <v>1.9</v>
      </c>
      <c r="D18" s="33">
        <f>IFERROR(AVERAGE(defaultRepository_100cimxml[drawFeederOpt]), 0)</f>
        <v>2.9</v>
      </c>
      <c r="E18" s="33">
        <f>IFERROR(AVERAGE(defaultRepository_100cimxml[drawHazard]), 0)</f>
        <v>0</v>
      </c>
      <c r="F18" s="33">
        <f>IFERROR(AVERAGE(defaultRepository_100cimxml[drawBuffer]), 0)</f>
        <v>3</v>
      </c>
      <c r="G18" s="33">
        <f>IFERROR(AVERAGE(defaultRepository_100cimxml[drawBufferOpt]), 0)</f>
        <v>1.7</v>
      </c>
      <c r="H18" s="33">
        <f>IFERROR(AVERAGE(defaultRepository_100cimxml[drawHealthy]), 0)</f>
        <v>0</v>
      </c>
      <c r="I18" s="33">
        <f>IFERROR(AVERAGE(defaultRepository_100cimxml[drawHealthyOpt]), 0)</f>
        <v>1.1000000000000001</v>
      </c>
      <c r="J18" s="33">
        <f>IFERROR(AVERAGE(defaultRepository_100cimxml[drawAffected]), 0)</f>
        <v>0</v>
      </c>
      <c r="K18" s="33">
        <f>IFERROR(AVERAGE(defaultRepository_100cimxml[drawAffectedOpt]), 0)</f>
        <v>0</v>
      </c>
      <c r="L18" s="3">
        <f>IFERROR(AVERAGE(defaultRepository_100cimxml[drawHealthyUpdate]), 0)</f>
        <v>0</v>
      </c>
    </row>
    <row r="19" spans="1:12" ht="15" thickBot="1" x14ac:dyDescent="0.35">
      <c r="A19" s="25" t="s">
        <v>12</v>
      </c>
      <c r="B19" s="34">
        <f>IFERROR(AVERAGE(nativeRepository_100cimxml[basic]), 0)</f>
        <v>0.7</v>
      </c>
      <c r="C19" s="34">
        <f>IFERROR(AVERAGE(nativeRepository_100cimxml[drawFeeder]), 0)</f>
        <v>3.2</v>
      </c>
      <c r="D19" s="34">
        <f>IFERROR(AVERAGE(nativeRepository_100cimxml[drawFeederOpt]), 0)</f>
        <v>2.2000000000000002</v>
      </c>
      <c r="E19" s="34">
        <f>IFERROR(AVERAGE(nativeRepository_100cimxml[drawHazard]), 0)</f>
        <v>0</v>
      </c>
      <c r="F19" s="34">
        <f>IFERROR(AVERAGE(nativeRepository_100cimxml[drawBuffer]), 0)</f>
        <v>5.666666666666667</v>
      </c>
      <c r="G19" s="34">
        <f>IFERROR(AVERAGE(nativeRepository_100cimxml[drawBufferOpt]), 0)</f>
        <v>0.8</v>
      </c>
      <c r="H19" s="34">
        <f>IFERROR(AVERAGE(nativeRepository_100cimxml[drawHealthy]), 0)</f>
        <v>0</v>
      </c>
      <c r="I19" s="34">
        <f>IFERROR(AVERAGE(nativeRepository_100cimxml[drawHealthyOpt]), 0)</f>
        <v>1.3</v>
      </c>
      <c r="J19" s="34">
        <f>IFERROR(AVERAGE(nativeRepository_100cimxml[drawAffected]), 0)</f>
        <v>0</v>
      </c>
      <c r="K19" s="34">
        <f>IFERROR(AVERAGE(nativeRepository_100cimxml[drawAffectedOpt]), 0)</f>
        <v>0</v>
      </c>
      <c r="L19" s="3">
        <f>IFERROR(AVERAGE(nativeRepository_100cimxml[drawHealthyUpdate]), 0)</f>
        <v>0</v>
      </c>
    </row>
    <row r="20" spans="1:12" ht="15" thickBot="1" x14ac:dyDescent="0.35">
      <c r="A20" s="26" t="s">
        <v>13</v>
      </c>
      <c r="B20" s="34">
        <f>IFERROR(AVERAGE(marklogic_rdf4j_10cimxml[basic]), 0)</f>
        <v>276.89999999999998</v>
      </c>
      <c r="C20" s="34">
        <f>IFERROR(AVERAGE(marklogic_rdf4j_10cimxml[drawFeeder]), 0)</f>
        <v>142.6</v>
      </c>
      <c r="D20" s="34">
        <f>IFERROR(AVERAGE(marklogic_rdf4j_10cimxml[drawFeederOpt]), 0)</f>
        <v>169.8</v>
      </c>
      <c r="E20" s="34">
        <f>IFERROR(AVERAGE(marklogic_rdf4j_10cimxml[drawHazard]), 0)</f>
        <v>59.8</v>
      </c>
      <c r="F20" s="34">
        <f>IFERROR(AVERAGE(marklogic_rdf4j_10cimxml[drawBuffer]), 0)</f>
        <v>0</v>
      </c>
      <c r="G20" s="34">
        <f>IFERROR(AVERAGE(marklogic_rdf4j_10cimxml[drawBufferOpt]), 0)</f>
        <v>0</v>
      </c>
      <c r="H20" s="34">
        <f>IFERROR(AVERAGE(marklogic_rdf4j_10cimxml[drawHealthy]), 0)</f>
        <v>0</v>
      </c>
      <c r="I20" s="34">
        <f>IFERROR(AVERAGE(marklogic_rdf4j_10cimxml[drawHealthyOpt]), 0)</f>
        <v>0</v>
      </c>
      <c r="J20" s="34">
        <f>IFERROR(AVERAGE(marklogic_rdf4j_10cimxml[drawAffected]), 0)</f>
        <v>0</v>
      </c>
      <c r="K20" s="34">
        <f>IFERROR(AVERAGE(marklogic_rdf4j_10cimxml[drawAffectedOpt]), 0)</f>
        <v>0</v>
      </c>
      <c r="L20" s="3">
        <f>IFERROR(AVERAGE(marklogic_rdf4j_100cimxml[drawHealthyUpdate]), 0)</f>
        <v>0</v>
      </c>
    </row>
    <row r="21" spans="1:12" ht="15" thickBot="1" x14ac:dyDescent="0.35">
      <c r="A21" s="25" t="s">
        <v>14</v>
      </c>
      <c r="B21" s="34">
        <f>IFERROR(AVERAGE(approach1_100cimxml[basic]), 0)</f>
        <v>0</v>
      </c>
      <c r="C21" s="34">
        <f>IFERROR(AVERAGE(approach1_100cimxml[drawFeeder]), 0)</f>
        <v>0</v>
      </c>
      <c r="D21" s="34">
        <f>IFERROR(AVERAGE(approach1_100cimxml[drawFeederOpt]), 0)</f>
        <v>0</v>
      </c>
      <c r="E21" s="34">
        <f>IFERROR(AVERAGE(approach1_100cimxml[drawHazard]), 0)</f>
        <v>0</v>
      </c>
      <c r="F21" s="34">
        <f>IFERROR(AVERAGE(approach1_100cimxml[drawBuffer]), 0)</f>
        <v>30567</v>
      </c>
      <c r="G21" s="34">
        <f>IFERROR(AVERAGE(approach1_100cimxml[drawBufferOpt]), 0)</f>
        <v>268804.3</v>
      </c>
      <c r="H21" s="34">
        <f>IFERROR(AVERAGE(approach1_100cimxml[drawHealthy]), 0)</f>
        <v>0</v>
      </c>
      <c r="I21" s="34">
        <f>IFERROR(AVERAGE(approach1_100cimxml[drawHealthyOpt]), 0)</f>
        <v>605839.9</v>
      </c>
      <c r="J21" s="34">
        <f>IFERROR(AVERAGE(approach1_100cimxml[drawAffected]), 0)</f>
        <v>0</v>
      </c>
      <c r="K21" s="34">
        <f>IFERROR(AVERAGE(approach1_100cimxml[drawAffectedOpt]), 0)</f>
        <v>0</v>
      </c>
      <c r="L21" s="3">
        <f>IFERROR(AVERAGE(approach1_100cimxml[drawHealthyUpdate]), 0)</f>
        <v>0</v>
      </c>
    </row>
    <row r="22" spans="1:12" x14ac:dyDescent="0.3">
      <c r="A22" s="27" t="s">
        <v>15</v>
      </c>
      <c r="B22" s="35">
        <f>IFERROR(AVERAGE(approach2_100cimxml[basic]), 0)</f>
        <v>3490.9</v>
      </c>
      <c r="C22" s="35">
        <f>IFERROR(AVERAGE(approach2_100cimxml[drawFeeder]), 0)</f>
        <v>580.4</v>
      </c>
      <c r="D22" s="35">
        <f>IFERROR(AVERAGE(approach2_100cimxml[drawFeederOpt]), 0)</f>
        <v>550.9</v>
      </c>
      <c r="E22" s="35">
        <f>IFERROR(AVERAGE(approach2_100cimxml[drawHazard]), 0)</f>
        <v>0</v>
      </c>
      <c r="F22" s="35">
        <f>IFERROR(AVERAGE(approach2_100cimxml[drawBuffer]), 0)</f>
        <v>31046.333333333332</v>
      </c>
      <c r="G22" s="35">
        <f>IFERROR(AVERAGE(approach2_100cimxml[drawBufferOpt]), 0)</f>
        <v>25023.200000000001</v>
      </c>
      <c r="H22" s="35">
        <f>IFERROR(AVERAGE(approach2_100cimxml[drawHealthy]), 0)</f>
        <v>0</v>
      </c>
      <c r="I22" s="35">
        <f>IFERROR(AVERAGE(approach2_100cimxml[drawHealthyOpt]), 0)</f>
        <v>56399.6</v>
      </c>
      <c r="J22" s="35">
        <f>IFERROR(AVERAGE(approach2_100cimxml[drawAffected]), 0)</f>
        <v>0</v>
      </c>
      <c r="K22" s="35">
        <f>IFERROR(AVERAGE(approach2_100cimxml[drawAffectedOpt]), 0)</f>
        <v>0</v>
      </c>
      <c r="L22" s="3">
        <f>IFERROR(AVERAGE(approach2_100cimxml[drawHealthyUpdate]), 0)</f>
        <v>217.88700000000003</v>
      </c>
    </row>
    <row r="23" spans="1:12" x14ac:dyDescent="0.3">
      <c r="A23" s="29"/>
      <c r="B23" s="30"/>
      <c r="C23" s="30"/>
      <c r="D23" s="30"/>
      <c r="E23" s="30"/>
      <c r="F23" s="30"/>
    </row>
    <row r="24" spans="1:12" x14ac:dyDescent="0.3">
      <c r="A24" s="29"/>
      <c r="B24" s="30"/>
      <c r="C24" s="30"/>
      <c r="D24" s="30"/>
      <c r="E24" s="30"/>
      <c r="F24" s="30"/>
    </row>
    <row r="25" spans="1:12" ht="15" thickBot="1" x14ac:dyDescent="0.35">
      <c r="A25" s="22" t="s">
        <v>16</v>
      </c>
      <c r="B25" s="2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4" t="s">
        <v>11</v>
      </c>
      <c r="L25" s="56" t="s">
        <v>27</v>
      </c>
    </row>
    <row r="26" spans="1:12" ht="15" thickBot="1" x14ac:dyDescent="0.35">
      <c r="A26" s="23" t="s">
        <v>0</v>
      </c>
      <c r="B26" s="33">
        <f>IFERROR(AVERAGE(defaultRepository_1000cimxml[basic]), 0)</f>
        <v>0</v>
      </c>
      <c r="C26" s="33">
        <f>IFERROR(AVERAGE(defaultRepository_1000cimxml[drawFeeder]), 0)</f>
        <v>0</v>
      </c>
      <c r="D26" s="33">
        <f>IFERROR(AVERAGE(defaultRepository_1000cimxml[drawFeederOpt]), 0)</f>
        <v>0</v>
      </c>
      <c r="E26" s="33">
        <f>IFERROR(AVERAGE(defaultRepository_1000cimxml[drawHazard]), 0)</f>
        <v>0</v>
      </c>
      <c r="F26" s="33">
        <f>IFERROR(AVERAGE(defaultRepository_1000cimxml[drawBuffer]), 0)</f>
        <v>0</v>
      </c>
      <c r="G26" s="33">
        <f>IFERROR(AVERAGE(defaultRepository_1000cimxml[drawBufferOpt]), 0)</f>
        <v>0</v>
      </c>
      <c r="H26" s="33">
        <f>IFERROR(AVERAGE(defaultRepository_1000cimxml[drawHealthy]), 0)</f>
        <v>0</v>
      </c>
      <c r="I26" s="33">
        <f>IFERROR(AVERAGE(defaultRepository_1000cimxml[drawHealthyOpt]), 0)</f>
        <v>0</v>
      </c>
      <c r="J26" s="33">
        <f>IFERROR(AVERAGE(defaultRepository_1000cimxml[drawAffected]), 0)</f>
        <v>0</v>
      </c>
      <c r="K26" s="33">
        <f>IFERROR(AVERAGE(defaultRepository_1000cimxml[drawAffectedOpt]), 0)</f>
        <v>0</v>
      </c>
      <c r="L26" s="3">
        <f>IFERROR(AVERAGE(defaultRepository_1000cimxml[drawHealthyUpdate]), 0)</f>
        <v>0</v>
      </c>
    </row>
    <row r="27" spans="1:12" ht="15" thickBot="1" x14ac:dyDescent="0.35">
      <c r="A27" s="25" t="s">
        <v>12</v>
      </c>
      <c r="B27" s="34">
        <f>IFERROR(AVERAGE(nativeRepository_1000cimxml[basic]), 0)</f>
        <v>0</v>
      </c>
      <c r="C27" s="34">
        <f>IFERROR(AVERAGE(nativeRepository_1000cimxml[drawFeeder]), 0)</f>
        <v>0</v>
      </c>
      <c r="D27" s="34">
        <f>IFERROR(AVERAGE(nativeRepository_1000cimxml[drawFeederOpt]), 0)</f>
        <v>0</v>
      </c>
      <c r="E27" s="34">
        <f>IFERROR(AVERAGE(nativeRepository_1000cimxml[drawHazard]), 0)</f>
        <v>0</v>
      </c>
      <c r="F27" s="34">
        <f>IFERROR(AVERAGE(nativeRepository_1000cimxml[drawBuffer]), 0)</f>
        <v>0</v>
      </c>
      <c r="G27" s="34">
        <f>IFERROR(AVERAGE(nativeRepository_1000cimxml[drawBufferOpt]), 0)</f>
        <v>0</v>
      </c>
      <c r="H27" s="34">
        <f>IFERROR(AVERAGE(nativeRepository_1000cimxml[drawHealthy]), 0)</f>
        <v>0</v>
      </c>
      <c r="I27" s="34">
        <f>IFERROR(AVERAGE(nativeRepository_1000cimxml[drawHealthyOpt]), 0)</f>
        <v>0</v>
      </c>
      <c r="J27" s="34">
        <f>IFERROR(AVERAGE(nativeRepository_1000cimxml[drawAffected]), 0)</f>
        <v>0</v>
      </c>
      <c r="K27" s="34">
        <f>IFERROR(AVERAGE(nativeRepository_1000cimxml[drawAffectedOpt]), 0)</f>
        <v>0</v>
      </c>
      <c r="L27" s="3">
        <f>IFERROR(AVERAGE(nativeRepository_1000cimxml[drawHealthyUpdate]), 0)</f>
        <v>0</v>
      </c>
    </row>
    <row r="28" spans="1:12" ht="15" thickBot="1" x14ac:dyDescent="0.35">
      <c r="A28" s="26" t="s">
        <v>13</v>
      </c>
      <c r="B28" s="34">
        <f>IFERROR(AVERAGE(marklogic_rdf4j_1000cimxml[basic]), 0)</f>
        <v>0</v>
      </c>
      <c r="C28" s="34">
        <f>IFERROR(AVERAGE(marklogic_rdf4j_1000cimxml[drawFeeder]), 0)</f>
        <v>0</v>
      </c>
      <c r="D28" s="34">
        <f>IFERROR(AVERAGE(marklogic_rdf4j_1000cimxml[drawFeederOpt]), 0)</f>
        <v>0</v>
      </c>
      <c r="E28" s="34">
        <f>IFERROR(AVERAGE(marklogic_rdf4j_1000cimxml[drawHazard]), 0)</f>
        <v>0</v>
      </c>
      <c r="F28" s="34">
        <f>IFERROR(AVERAGE(marklogic_rdf4j_1000cimxml[drawBuffer]), 0)</f>
        <v>0</v>
      </c>
      <c r="G28" s="34">
        <f>IFERROR(AVERAGE(marklogic_rdf4j_1000cimxml[drawBufferOpt]), 0)</f>
        <v>0</v>
      </c>
      <c r="H28" s="34">
        <f>IFERROR(AVERAGE(marklogic_rdf4j_1000cimxml[drawHealthy]), 0)</f>
        <v>0</v>
      </c>
      <c r="I28" s="34">
        <f>IFERROR(AVERAGE(marklogic_rdf4j_1000cimxml[drawHealthyOpt]), 0)</f>
        <v>0</v>
      </c>
      <c r="J28" s="34">
        <f>IFERROR(AVERAGE(marklogic_rdf4j_1000cimxml[drawAffected]), 0)</f>
        <v>0</v>
      </c>
      <c r="K28" s="34">
        <f>IFERROR(AVERAGE(marklogic_rdf4j_1000cimxml[drawAffectedOpt]), 0)</f>
        <v>0</v>
      </c>
      <c r="L28" s="3">
        <f>IFERROR(AVERAGE(marklogic_rdf4j_1000cimxml[drawHealthyUpdate]), 0)</f>
        <v>0</v>
      </c>
    </row>
    <row r="29" spans="1:12" ht="15" thickBot="1" x14ac:dyDescent="0.35">
      <c r="A29" s="25" t="s">
        <v>14</v>
      </c>
      <c r="B29" s="34">
        <f>IFERROR(AVERAGE(approach1_1000cimxml[basic]), 0)</f>
        <v>0</v>
      </c>
      <c r="C29" s="34">
        <f>IFERROR(AVERAGE(approach1_1000cimxml[drawFeeder]), 0)</f>
        <v>0</v>
      </c>
      <c r="D29" s="34">
        <f>IFERROR(AVERAGE(approach1_1000cimxml[drawFeederOpt]), 0)</f>
        <v>0</v>
      </c>
      <c r="E29" s="34">
        <f>IFERROR(AVERAGE(approach1_1000cimxml[drawHazard]), 0)</f>
        <v>0</v>
      </c>
      <c r="F29" s="34">
        <f>IFERROR(AVERAGE(approach1_1000cimxml[drawBuffer]), 0)</f>
        <v>0</v>
      </c>
      <c r="G29" s="34">
        <f>IFERROR(AVERAGE(approach1_1000cimxml[drawBufferOpt]), 0)</f>
        <v>0</v>
      </c>
      <c r="H29" s="34">
        <f>IFERROR(AVERAGE(approach1_1000cimxml[drawHealthy]), 0)</f>
        <v>0</v>
      </c>
      <c r="I29" s="34">
        <f>IFERROR(AVERAGE(approach1_1000cimxml[drawHealthyOpt]), 0)</f>
        <v>0</v>
      </c>
      <c r="J29" s="34">
        <f>IFERROR(AVERAGE(approach1_1000cimxml[drawAffected]), 0)</f>
        <v>0</v>
      </c>
      <c r="K29" s="34">
        <f>IFERROR(AVERAGE(approach1_1000cimxml[drawAffectedOpt]), 0)</f>
        <v>0</v>
      </c>
      <c r="L29" s="3">
        <f>IFERROR(AVERAGE(approach1_1000cimxml[drawHealthyUpdate]), 0)</f>
        <v>0</v>
      </c>
    </row>
    <row r="30" spans="1:12" x14ac:dyDescent="0.3">
      <c r="A30" s="27" t="s">
        <v>15</v>
      </c>
      <c r="B30" s="35">
        <f>IFERROR(AVERAGE(approach2_1000cimxml[basic]), 0)</f>
        <v>0</v>
      </c>
      <c r="C30" s="35">
        <f>IFERROR(AVERAGE(approach2_1000cimxml[drawFeeder]), 0)</f>
        <v>0</v>
      </c>
      <c r="D30" s="35">
        <f>IFERROR(AVERAGE(approach2_1000cimxml[drawFeederOpt]), 0)</f>
        <v>0</v>
      </c>
      <c r="E30" s="35">
        <f>IFERROR(AVERAGE(approach2_1000cimxml[drawHazard]), 0)</f>
        <v>0</v>
      </c>
      <c r="F30" s="35">
        <f>IFERROR(AVERAGE(approach2_1000cimxml[drawBuffer]), 0)</f>
        <v>0</v>
      </c>
      <c r="G30" s="35">
        <f>IFERROR(AVERAGE(approach2_1000cimxml[drawBufferOpt]), 0)</f>
        <v>0</v>
      </c>
      <c r="H30" s="35">
        <f>IFERROR(AVERAGE(approach2_1000cimxml[drawHealthy]), 0)</f>
        <v>0</v>
      </c>
      <c r="I30" s="35">
        <f>IFERROR(AVERAGE(approach2_1000cimxml[drawHealthyOpt]), 0)</f>
        <v>0</v>
      </c>
      <c r="J30" s="35">
        <f>IFERROR(AVERAGE(approach2_1000cimxml[drawAffected]), 0)</f>
        <v>0</v>
      </c>
      <c r="K30" s="35">
        <f>IFERROR(AVERAGE(approach2_1000cimxml[drawAffectedOpt]), 0)</f>
        <v>0</v>
      </c>
      <c r="L30" s="3">
        <f>IFERROR(AVERAGE(approach2_1000cimxml[drawHealthyUpdate]), 0)</f>
        <v>0</v>
      </c>
    </row>
    <row r="33" spans="1:18" x14ac:dyDescent="0.3">
      <c r="A33" s="36" t="str" cm="1">
        <f t="array" ref="A33:F44">TRANSPOSE(cd_1cimxml[#All])</f>
        <v>Repositories</v>
      </c>
      <c r="B33" s="37" t="str">
        <v>defaultRepository</v>
      </c>
      <c r="C33" s="37" t="str">
        <v>nativeRepository</v>
      </c>
      <c r="D33" s="37" t="str">
        <v>marklogic_rdf4j</v>
      </c>
      <c r="E33" s="37" t="str">
        <v>approach1</v>
      </c>
      <c r="F33" s="37" t="str">
        <v>approach2</v>
      </c>
      <c r="M33" t="s">
        <v>16</v>
      </c>
      <c r="N33" t="s">
        <v>0</v>
      </c>
      <c r="O33" t="s">
        <v>12</v>
      </c>
      <c r="P33" t="s">
        <v>13</v>
      </c>
      <c r="Q33" t="s">
        <v>14</v>
      </c>
      <c r="R33" t="s">
        <v>15</v>
      </c>
    </row>
    <row r="34" spans="1:18" x14ac:dyDescent="0.3">
      <c r="A34" s="36" t="str">
        <v>basic</v>
      </c>
      <c r="B34" s="38">
        <v>1.2</v>
      </c>
      <c r="C34" s="38">
        <v>1.3</v>
      </c>
      <c r="D34" s="38">
        <v>81</v>
      </c>
      <c r="E34" s="38">
        <v>0</v>
      </c>
      <c r="F34" s="38">
        <v>74.3</v>
      </c>
      <c r="M34" s="40" t="str">
        <f>A34</f>
        <v>basic</v>
      </c>
      <c r="N34" s="41">
        <f>B34</f>
        <v>1.2</v>
      </c>
      <c r="O34" s="41">
        <f t="shared" ref="O34:R43" si="0">C34</f>
        <v>1.3</v>
      </c>
      <c r="P34" s="41">
        <f t="shared" si="0"/>
        <v>81</v>
      </c>
      <c r="Q34" s="41">
        <f t="shared" si="0"/>
        <v>0</v>
      </c>
      <c r="R34" s="41">
        <f t="shared" si="0"/>
        <v>74.3</v>
      </c>
    </row>
    <row r="35" spans="1:18" x14ac:dyDescent="0.3">
      <c r="A35" s="36" t="str">
        <v>drawFeeder</v>
      </c>
      <c r="B35" s="38">
        <v>1.8</v>
      </c>
      <c r="C35" s="38">
        <v>1.9</v>
      </c>
      <c r="D35" s="38">
        <v>12.9</v>
      </c>
      <c r="E35" s="38">
        <v>0</v>
      </c>
      <c r="F35" s="38">
        <v>14.3</v>
      </c>
      <c r="M35" s="40" t="str">
        <f t="shared" ref="M35:M44" si="1">A35</f>
        <v>drawFeeder</v>
      </c>
      <c r="N35" s="41">
        <f t="shared" ref="N35:N43" si="2">B35</f>
        <v>1.8</v>
      </c>
      <c r="O35" s="41">
        <f t="shared" si="0"/>
        <v>1.9</v>
      </c>
      <c r="P35" s="41">
        <f t="shared" si="0"/>
        <v>12.9</v>
      </c>
      <c r="Q35" s="41">
        <f t="shared" si="0"/>
        <v>0</v>
      </c>
      <c r="R35" s="41">
        <f t="shared" si="0"/>
        <v>14.3</v>
      </c>
    </row>
    <row r="36" spans="1:18" x14ac:dyDescent="0.3">
      <c r="A36" s="36" t="str">
        <v>drawFeederOpt</v>
      </c>
      <c r="B36" s="38">
        <v>5.2</v>
      </c>
      <c r="C36" s="38">
        <v>2</v>
      </c>
      <c r="D36" s="38">
        <v>15.7</v>
      </c>
      <c r="E36" s="38">
        <v>0</v>
      </c>
      <c r="F36" s="38">
        <v>17.7</v>
      </c>
      <c r="M36" s="40" t="str">
        <f t="shared" si="1"/>
        <v>drawFeederOpt</v>
      </c>
      <c r="N36" s="41">
        <f t="shared" si="2"/>
        <v>5.2</v>
      </c>
      <c r="O36" s="41">
        <f t="shared" si="0"/>
        <v>2</v>
      </c>
      <c r="P36" s="41">
        <f t="shared" si="0"/>
        <v>15.7</v>
      </c>
      <c r="Q36" s="41">
        <f t="shared" si="0"/>
        <v>0</v>
      </c>
      <c r="R36" s="41">
        <f t="shared" si="0"/>
        <v>17.7</v>
      </c>
    </row>
    <row r="37" spans="1:18" x14ac:dyDescent="0.3">
      <c r="A37" s="36" t="str">
        <v>drawHazard</v>
      </c>
      <c r="B37" s="38">
        <v>1.1000000000000001</v>
      </c>
      <c r="C37" s="38">
        <v>1.2</v>
      </c>
      <c r="D37" s="38">
        <v>6</v>
      </c>
      <c r="E37" s="38">
        <v>0</v>
      </c>
      <c r="F37" s="38">
        <v>6.1</v>
      </c>
      <c r="G37" s="42"/>
      <c r="H37" s="42"/>
      <c r="I37" s="42"/>
      <c r="J37" s="42"/>
      <c r="K37" s="42"/>
      <c r="M37" s="40" t="str">
        <f t="shared" si="1"/>
        <v>drawHazard</v>
      </c>
      <c r="N37" s="41">
        <f t="shared" si="2"/>
        <v>1.1000000000000001</v>
      </c>
      <c r="O37" s="41">
        <f t="shared" si="0"/>
        <v>1.2</v>
      </c>
      <c r="P37" s="41">
        <f t="shared" si="0"/>
        <v>6</v>
      </c>
      <c r="Q37" s="41">
        <f t="shared" si="0"/>
        <v>0</v>
      </c>
      <c r="R37" s="41">
        <f t="shared" si="0"/>
        <v>6.1</v>
      </c>
    </row>
    <row r="38" spans="1:18" x14ac:dyDescent="0.3">
      <c r="A38" s="36" t="str">
        <v>drawBuffer</v>
      </c>
      <c r="B38" s="38">
        <v>2.2999999999999998</v>
      </c>
      <c r="C38" s="38">
        <v>5</v>
      </c>
      <c r="D38" s="38">
        <v>0</v>
      </c>
      <c r="E38" s="38">
        <v>158.9</v>
      </c>
      <c r="F38" s="38">
        <v>151.30000000000001</v>
      </c>
      <c r="G38" s="42"/>
      <c r="H38" s="42"/>
      <c r="I38" s="42"/>
      <c r="J38" s="42"/>
      <c r="K38" s="42"/>
      <c r="M38" s="40" t="str">
        <f t="shared" si="1"/>
        <v>drawBuffer</v>
      </c>
      <c r="N38" s="41">
        <f t="shared" si="2"/>
        <v>2.2999999999999998</v>
      </c>
      <c r="O38" s="41">
        <f t="shared" si="0"/>
        <v>5</v>
      </c>
      <c r="P38" s="41">
        <f t="shared" si="0"/>
        <v>0</v>
      </c>
      <c r="Q38" s="41">
        <f t="shared" si="0"/>
        <v>158.9</v>
      </c>
      <c r="R38" s="41">
        <f t="shared" si="0"/>
        <v>151.30000000000001</v>
      </c>
    </row>
    <row r="39" spans="1:18" x14ac:dyDescent="0.3">
      <c r="A39" s="36" t="str">
        <v>drawBufferOpt</v>
      </c>
      <c r="B39" s="38">
        <v>2</v>
      </c>
      <c r="C39" s="38">
        <v>5.4</v>
      </c>
      <c r="D39" s="38">
        <v>0</v>
      </c>
      <c r="E39" s="38">
        <v>184.8</v>
      </c>
      <c r="F39" s="38">
        <v>283.2</v>
      </c>
      <c r="G39" s="42"/>
      <c r="H39" s="42"/>
      <c r="I39" s="42"/>
      <c r="J39" s="42"/>
      <c r="K39" s="42"/>
      <c r="M39" s="40" t="str">
        <f t="shared" si="1"/>
        <v>drawBufferOpt</v>
      </c>
      <c r="N39" s="41">
        <f t="shared" si="2"/>
        <v>2</v>
      </c>
      <c r="O39" s="41">
        <f t="shared" si="0"/>
        <v>5.4</v>
      </c>
      <c r="P39" s="41">
        <f t="shared" si="0"/>
        <v>0</v>
      </c>
      <c r="Q39" s="41">
        <f t="shared" si="0"/>
        <v>184.8</v>
      </c>
      <c r="R39" s="41">
        <f t="shared" si="0"/>
        <v>283.2</v>
      </c>
    </row>
    <row r="40" spans="1:18" x14ac:dyDescent="0.3">
      <c r="A40" s="36" t="str">
        <v>drawHealthy</v>
      </c>
      <c r="B40" s="38">
        <v>2.9</v>
      </c>
      <c r="C40" s="38">
        <v>5.0999999999999996</v>
      </c>
      <c r="D40" s="38">
        <v>0</v>
      </c>
      <c r="E40" s="38">
        <v>814.3</v>
      </c>
      <c r="F40" s="38">
        <v>799.7</v>
      </c>
      <c r="G40" s="42"/>
      <c r="H40" s="42"/>
      <c r="I40" s="42"/>
      <c r="J40" s="42"/>
      <c r="K40" s="42"/>
      <c r="M40" s="40" t="str">
        <f t="shared" si="1"/>
        <v>drawHealthy</v>
      </c>
      <c r="N40" s="41">
        <f t="shared" si="2"/>
        <v>2.9</v>
      </c>
      <c r="O40" s="41">
        <f t="shared" si="0"/>
        <v>5.0999999999999996</v>
      </c>
      <c r="P40" s="41">
        <f t="shared" si="0"/>
        <v>0</v>
      </c>
      <c r="Q40" s="41">
        <f t="shared" si="0"/>
        <v>814.3</v>
      </c>
      <c r="R40" s="41">
        <f t="shared" si="0"/>
        <v>799.7</v>
      </c>
    </row>
    <row r="41" spans="1:18" x14ac:dyDescent="0.3">
      <c r="A41" s="39" t="str">
        <v>drawHealthyOpt</v>
      </c>
      <c r="B41" s="12">
        <v>3</v>
      </c>
      <c r="C41" s="12">
        <v>3.1</v>
      </c>
      <c r="D41" s="12">
        <v>0</v>
      </c>
      <c r="E41" s="12">
        <v>744.9</v>
      </c>
      <c r="F41" s="12">
        <v>831.8</v>
      </c>
      <c r="G41" s="42"/>
      <c r="H41" s="42"/>
      <c r="I41" s="42"/>
      <c r="J41" s="42"/>
      <c r="K41" s="42"/>
      <c r="M41" s="40" t="str">
        <f t="shared" si="1"/>
        <v>drawHealthyOpt</v>
      </c>
      <c r="N41" s="41">
        <f t="shared" si="2"/>
        <v>3</v>
      </c>
      <c r="O41" s="41">
        <f t="shared" si="0"/>
        <v>3.1</v>
      </c>
      <c r="P41" s="41">
        <f t="shared" si="0"/>
        <v>0</v>
      </c>
      <c r="Q41" s="41">
        <f t="shared" si="0"/>
        <v>744.9</v>
      </c>
      <c r="R41" s="41">
        <f t="shared" si="0"/>
        <v>831.8</v>
      </c>
    </row>
    <row r="42" spans="1:18" x14ac:dyDescent="0.3">
      <c r="A42" s="39" t="str">
        <v>drawAffected</v>
      </c>
      <c r="B42" s="12">
        <v>2.6</v>
      </c>
      <c r="C42" s="12">
        <v>4.4000000000000004</v>
      </c>
      <c r="D42" s="12">
        <v>0</v>
      </c>
      <c r="E42" s="12">
        <v>699</v>
      </c>
      <c r="F42" s="12">
        <v>692.8</v>
      </c>
      <c r="G42" s="42"/>
      <c r="H42" s="42"/>
      <c r="I42" s="42"/>
      <c r="J42" s="42"/>
      <c r="K42" s="42"/>
      <c r="M42" s="40" t="str">
        <f t="shared" si="1"/>
        <v>drawAffected</v>
      </c>
      <c r="N42" s="41">
        <f t="shared" si="2"/>
        <v>2.6</v>
      </c>
      <c r="O42" s="41">
        <f t="shared" si="0"/>
        <v>4.4000000000000004</v>
      </c>
      <c r="P42" s="41">
        <f t="shared" si="0"/>
        <v>0</v>
      </c>
      <c r="Q42" s="41">
        <f t="shared" si="0"/>
        <v>699</v>
      </c>
      <c r="R42" s="41">
        <f t="shared" si="0"/>
        <v>692.8</v>
      </c>
    </row>
    <row r="43" spans="1:18" x14ac:dyDescent="0.3">
      <c r="A43" s="39" t="str">
        <v>drawAffectedOpt</v>
      </c>
      <c r="B43" s="12">
        <v>3.8</v>
      </c>
      <c r="C43" s="12">
        <v>3.3</v>
      </c>
      <c r="D43" s="12">
        <v>0</v>
      </c>
      <c r="E43" s="12">
        <v>533.20000000000005</v>
      </c>
      <c r="F43" s="12">
        <v>625.79999999999995</v>
      </c>
      <c r="G43" s="42"/>
      <c r="H43" s="42"/>
      <c r="I43" s="42"/>
      <c r="J43" s="42"/>
      <c r="K43" s="42"/>
      <c r="M43" s="40" t="str">
        <f t="shared" si="1"/>
        <v>drawAffectedOpt</v>
      </c>
      <c r="N43" s="41">
        <f t="shared" si="2"/>
        <v>3.8</v>
      </c>
      <c r="O43" s="41">
        <f t="shared" si="0"/>
        <v>3.3</v>
      </c>
      <c r="P43" s="41">
        <f t="shared" si="0"/>
        <v>0</v>
      </c>
      <c r="Q43" s="41">
        <f t="shared" si="0"/>
        <v>533.20000000000005</v>
      </c>
      <c r="R43" s="41">
        <f t="shared" si="0"/>
        <v>625.79999999999995</v>
      </c>
    </row>
    <row r="44" spans="1:18" x14ac:dyDescent="0.3">
      <c r="A44" s="43" t="str">
        <v>drawHealthyUpdate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/>
      <c r="H44" s="42"/>
      <c r="I44" s="42"/>
      <c r="J44" s="42"/>
      <c r="K44" s="42"/>
      <c r="M44" s="40" t="str">
        <f t="shared" si="1"/>
        <v>drawHealthyUpdate</v>
      </c>
      <c r="N44" s="57">
        <f>B44</f>
        <v>0</v>
      </c>
      <c r="O44" s="57">
        <f>C44</f>
        <v>0</v>
      </c>
      <c r="P44" s="57">
        <f>D44</f>
        <v>0</v>
      </c>
      <c r="Q44" s="57">
        <f>E44</f>
        <v>0</v>
      </c>
      <c r="R44" s="57">
        <f>F44</f>
        <v>0</v>
      </c>
    </row>
    <row r="45" spans="1:18" x14ac:dyDescent="0.3">
      <c r="A45" s="43"/>
      <c r="B45" s="42"/>
      <c r="C45" s="42"/>
      <c r="D45" s="42"/>
      <c r="E45" s="42"/>
      <c r="F45" s="42"/>
      <c r="G45" s="42"/>
      <c r="H45" s="42"/>
      <c r="I45" s="42"/>
      <c r="J45" s="42"/>
      <c r="K45" s="42"/>
      <c r="M45" s="44"/>
      <c r="N45" s="45"/>
      <c r="O45" s="45"/>
      <c r="P45" s="45"/>
      <c r="Q45" s="45"/>
      <c r="R45" s="45"/>
    </row>
    <row r="46" spans="1:18" x14ac:dyDescent="0.3">
      <c r="A46" s="36" t="str" cm="1">
        <f t="array" ref="A46:F57">TRANSPOSE(cd_10cimxml[#All])</f>
        <v>Repositories</v>
      </c>
      <c r="B46" s="38" t="str">
        <v>defaultRepository</v>
      </c>
      <c r="C46" s="38" t="str">
        <v>nativeRepository</v>
      </c>
      <c r="D46" s="38" t="str">
        <v>marklogic_rdf4j</v>
      </c>
      <c r="E46" s="38" t="str">
        <v>approach1</v>
      </c>
      <c r="F46" s="38" t="str">
        <v>approach2</v>
      </c>
      <c r="M46" s="44" t="s">
        <v>16</v>
      </c>
      <c r="N46" s="45" t="s">
        <v>0</v>
      </c>
      <c r="O46" s="45" t="s">
        <v>12</v>
      </c>
      <c r="P46" s="45" t="s">
        <v>13</v>
      </c>
      <c r="Q46" s="45" t="s">
        <v>14</v>
      </c>
      <c r="R46" s="45" t="s">
        <v>15</v>
      </c>
    </row>
    <row r="47" spans="1:18" x14ac:dyDescent="0.3">
      <c r="A47" s="36" t="str">
        <v>basic</v>
      </c>
      <c r="B47" s="38">
        <v>0.6</v>
      </c>
      <c r="C47" s="38">
        <v>0.6</v>
      </c>
      <c r="D47" s="38">
        <v>276.89999999999998</v>
      </c>
      <c r="E47" s="38">
        <v>0</v>
      </c>
      <c r="F47" s="38">
        <v>363.9</v>
      </c>
      <c r="M47" s="40" t="str">
        <f>A47</f>
        <v>basic</v>
      </c>
      <c r="N47" s="41">
        <f>B47</f>
        <v>0.6</v>
      </c>
      <c r="O47" s="41">
        <f t="shared" ref="O47:R56" si="3">C47</f>
        <v>0.6</v>
      </c>
      <c r="P47" s="41">
        <f t="shared" si="3"/>
        <v>276.89999999999998</v>
      </c>
      <c r="Q47" s="41">
        <f t="shared" si="3"/>
        <v>0</v>
      </c>
      <c r="R47" s="41">
        <f t="shared" si="3"/>
        <v>363.9</v>
      </c>
    </row>
    <row r="48" spans="1:18" x14ac:dyDescent="0.3">
      <c r="A48" s="36" t="str">
        <v>drawFeeder</v>
      </c>
      <c r="B48" s="38">
        <v>1.7</v>
      </c>
      <c r="C48" s="38">
        <v>1.8</v>
      </c>
      <c r="D48" s="38">
        <v>142.6</v>
      </c>
      <c r="E48" s="38">
        <v>0</v>
      </c>
      <c r="F48" s="38">
        <v>72.599999999999994</v>
      </c>
      <c r="M48" s="40" t="str">
        <f t="shared" ref="M48:M57" si="4">A48</f>
        <v>drawFeeder</v>
      </c>
      <c r="N48" s="41">
        <f t="shared" ref="N48:N56" si="5">B48</f>
        <v>1.7</v>
      </c>
      <c r="O48" s="41">
        <f t="shared" si="3"/>
        <v>1.8</v>
      </c>
      <c r="P48" s="41">
        <f t="shared" si="3"/>
        <v>142.6</v>
      </c>
      <c r="Q48" s="41">
        <f t="shared" si="3"/>
        <v>0</v>
      </c>
      <c r="R48" s="41">
        <f t="shared" si="3"/>
        <v>72.599999999999994</v>
      </c>
    </row>
    <row r="49" spans="1:18" x14ac:dyDescent="0.3">
      <c r="A49" s="36" t="str">
        <v>drawFeederOpt</v>
      </c>
      <c r="B49" s="38">
        <v>2.1</v>
      </c>
      <c r="C49" s="38">
        <v>2</v>
      </c>
      <c r="D49" s="38">
        <v>169.8</v>
      </c>
      <c r="E49" s="38">
        <v>0</v>
      </c>
      <c r="F49" s="38">
        <v>94.3</v>
      </c>
      <c r="M49" s="40" t="str">
        <f t="shared" si="4"/>
        <v>drawFeederOpt</v>
      </c>
      <c r="N49" s="41">
        <f t="shared" si="5"/>
        <v>2.1</v>
      </c>
      <c r="O49" s="41">
        <f t="shared" si="3"/>
        <v>2</v>
      </c>
      <c r="P49" s="41">
        <f t="shared" si="3"/>
        <v>169.8</v>
      </c>
      <c r="Q49" s="41">
        <f t="shared" si="3"/>
        <v>0</v>
      </c>
      <c r="R49" s="41">
        <f t="shared" si="3"/>
        <v>94.3</v>
      </c>
    </row>
    <row r="50" spans="1:18" x14ac:dyDescent="0.3">
      <c r="A50" s="36" t="str">
        <v>drawHazard</v>
      </c>
      <c r="B50" s="38">
        <v>6.4</v>
      </c>
      <c r="C50" s="38">
        <v>8</v>
      </c>
      <c r="D50" s="38">
        <v>59.8</v>
      </c>
      <c r="E50" s="38">
        <v>0</v>
      </c>
      <c r="F50" s="38">
        <v>94.8</v>
      </c>
      <c r="M50" s="40" t="str">
        <f t="shared" si="4"/>
        <v>drawHazard</v>
      </c>
      <c r="N50" s="41">
        <f t="shared" si="5"/>
        <v>6.4</v>
      </c>
      <c r="O50" s="41">
        <f t="shared" si="3"/>
        <v>8</v>
      </c>
      <c r="P50" s="41">
        <f t="shared" si="3"/>
        <v>59.8</v>
      </c>
      <c r="Q50" s="41">
        <f t="shared" si="3"/>
        <v>0</v>
      </c>
      <c r="R50" s="41">
        <f t="shared" si="3"/>
        <v>94.8</v>
      </c>
    </row>
    <row r="51" spans="1:18" x14ac:dyDescent="0.3">
      <c r="A51" s="36" t="str">
        <v>drawBuffer</v>
      </c>
      <c r="B51" s="38">
        <v>1.5</v>
      </c>
      <c r="C51" s="38">
        <v>5.5</v>
      </c>
      <c r="D51" s="38">
        <v>0</v>
      </c>
      <c r="E51" s="38">
        <v>2320.4</v>
      </c>
      <c r="F51" s="38">
        <v>2486.8000000000002</v>
      </c>
      <c r="M51" s="40" t="str">
        <f t="shared" si="4"/>
        <v>drawBuffer</v>
      </c>
      <c r="N51" s="41">
        <f t="shared" si="5"/>
        <v>1.5</v>
      </c>
      <c r="O51" s="41">
        <f t="shared" si="3"/>
        <v>5.5</v>
      </c>
      <c r="P51" s="41">
        <f t="shared" si="3"/>
        <v>0</v>
      </c>
      <c r="Q51" s="41">
        <f t="shared" si="3"/>
        <v>2320.4</v>
      </c>
      <c r="R51" s="41">
        <f t="shared" si="3"/>
        <v>2486.8000000000002</v>
      </c>
    </row>
    <row r="52" spans="1:18" x14ac:dyDescent="0.3">
      <c r="A52" s="36" t="str">
        <v>drawBufferOpt</v>
      </c>
      <c r="B52" s="38">
        <v>2.9</v>
      </c>
      <c r="C52" s="38">
        <v>2.2000000000000002</v>
      </c>
      <c r="D52" s="38">
        <v>0</v>
      </c>
      <c r="E52" s="38">
        <v>3508.5</v>
      </c>
      <c r="F52" s="38">
        <v>2981.1</v>
      </c>
      <c r="M52" s="40" t="str">
        <f t="shared" si="4"/>
        <v>drawBufferOpt</v>
      </c>
      <c r="N52" s="41">
        <f t="shared" si="5"/>
        <v>2.9</v>
      </c>
      <c r="O52" s="41">
        <f t="shared" si="3"/>
        <v>2.2000000000000002</v>
      </c>
      <c r="P52" s="41">
        <f t="shared" si="3"/>
        <v>0</v>
      </c>
      <c r="Q52" s="41">
        <f t="shared" si="3"/>
        <v>3508.5</v>
      </c>
      <c r="R52" s="41">
        <f t="shared" si="3"/>
        <v>2981.1</v>
      </c>
    </row>
    <row r="53" spans="1:18" x14ac:dyDescent="0.3">
      <c r="A53" s="36" t="str">
        <v>drawHealthy</v>
      </c>
      <c r="B53" s="38">
        <v>3.7</v>
      </c>
      <c r="C53" s="38">
        <v>3.2</v>
      </c>
      <c r="D53" s="38">
        <v>0</v>
      </c>
      <c r="E53" s="38">
        <v>6155.8</v>
      </c>
      <c r="F53" s="38">
        <v>6330.1</v>
      </c>
      <c r="M53" s="40" t="str">
        <f t="shared" si="4"/>
        <v>drawHealthy</v>
      </c>
      <c r="N53" s="41">
        <f t="shared" si="5"/>
        <v>3.7</v>
      </c>
      <c r="O53" s="41">
        <f t="shared" si="3"/>
        <v>3.2</v>
      </c>
      <c r="P53" s="41">
        <f t="shared" si="3"/>
        <v>0</v>
      </c>
      <c r="Q53" s="41">
        <f t="shared" si="3"/>
        <v>6155.8</v>
      </c>
      <c r="R53" s="41">
        <f t="shared" si="3"/>
        <v>6330.1</v>
      </c>
    </row>
    <row r="54" spans="1:18" x14ac:dyDescent="0.3">
      <c r="A54" s="36" t="str">
        <v>drawHealthyOpt</v>
      </c>
      <c r="B54" s="38">
        <v>2</v>
      </c>
      <c r="C54" s="38">
        <v>3.2</v>
      </c>
      <c r="D54" s="38">
        <v>0</v>
      </c>
      <c r="E54" s="38">
        <v>6053.7</v>
      </c>
      <c r="F54" s="38">
        <v>5995.5</v>
      </c>
      <c r="M54" s="40" t="str">
        <f t="shared" si="4"/>
        <v>drawHealthyOpt</v>
      </c>
      <c r="N54" s="41">
        <f t="shared" si="5"/>
        <v>2</v>
      </c>
      <c r="O54" s="41">
        <f t="shared" si="3"/>
        <v>3.2</v>
      </c>
      <c r="P54" s="41">
        <f t="shared" si="3"/>
        <v>0</v>
      </c>
      <c r="Q54" s="41">
        <f t="shared" si="3"/>
        <v>6053.7</v>
      </c>
      <c r="R54" s="41">
        <f t="shared" si="3"/>
        <v>5995.5</v>
      </c>
    </row>
    <row r="55" spans="1:18" x14ac:dyDescent="0.3">
      <c r="A55" s="36" t="str">
        <v>drawAffected</v>
      </c>
      <c r="B55" s="38">
        <v>19.399999999999999</v>
      </c>
      <c r="C55" s="38">
        <v>14.6</v>
      </c>
      <c r="D55" s="38">
        <v>0</v>
      </c>
      <c r="E55" s="38">
        <v>7918.9</v>
      </c>
      <c r="F55" s="38">
        <v>8374.7000000000007</v>
      </c>
      <c r="M55" s="40" t="str">
        <f t="shared" si="4"/>
        <v>drawAffected</v>
      </c>
      <c r="N55" s="41">
        <f t="shared" si="5"/>
        <v>19.399999999999999</v>
      </c>
      <c r="O55" s="41">
        <f t="shared" si="3"/>
        <v>14.6</v>
      </c>
      <c r="P55" s="41">
        <f t="shared" si="3"/>
        <v>0</v>
      </c>
      <c r="Q55" s="41">
        <f t="shared" si="3"/>
        <v>7918.9</v>
      </c>
      <c r="R55" s="41">
        <f t="shared" si="3"/>
        <v>8374.7000000000007</v>
      </c>
    </row>
    <row r="56" spans="1:18" x14ac:dyDescent="0.3">
      <c r="A56" s="36" t="str">
        <v>drawAffectedOpt</v>
      </c>
      <c r="B56" s="38">
        <v>21.4</v>
      </c>
      <c r="C56" s="38">
        <v>16.3</v>
      </c>
      <c r="D56" s="38">
        <v>0</v>
      </c>
      <c r="E56" s="38">
        <v>10428.9</v>
      </c>
      <c r="F56" s="38">
        <v>8744.2000000000007</v>
      </c>
      <c r="M56" s="40" t="str">
        <f t="shared" si="4"/>
        <v>drawAffectedOpt</v>
      </c>
      <c r="N56" s="41">
        <f t="shared" si="5"/>
        <v>21.4</v>
      </c>
      <c r="O56" s="41">
        <f t="shared" si="3"/>
        <v>16.3</v>
      </c>
      <c r="P56" s="41">
        <f t="shared" si="3"/>
        <v>0</v>
      </c>
      <c r="Q56" s="41">
        <f t="shared" si="3"/>
        <v>10428.9</v>
      </c>
      <c r="R56" s="41">
        <f t="shared" si="3"/>
        <v>8744.2000000000007</v>
      </c>
    </row>
    <row r="57" spans="1:18" x14ac:dyDescent="0.3">
      <c r="A57" s="44" t="str">
        <v>drawHealthyUpdate</v>
      </c>
      <c r="B57" s="45">
        <v>0</v>
      </c>
      <c r="C57" s="45">
        <v>0</v>
      </c>
      <c r="D57" s="45">
        <v>0</v>
      </c>
      <c r="E57" s="45">
        <v>0</v>
      </c>
      <c r="F57" s="45">
        <v>166.5</v>
      </c>
      <c r="M57" s="40" t="str">
        <f t="shared" si="4"/>
        <v>drawHealthyUpdate</v>
      </c>
      <c r="N57" s="41">
        <f>B57</f>
        <v>0</v>
      </c>
      <c r="O57" s="41">
        <f>C57</f>
        <v>0</v>
      </c>
      <c r="P57" s="41">
        <f>D57</f>
        <v>0</v>
      </c>
      <c r="Q57" s="41">
        <f>E57</f>
        <v>0</v>
      </c>
      <c r="R57" s="41">
        <f>F57</f>
        <v>166.5</v>
      </c>
    </row>
    <row r="58" spans="1:18" x14ac:dyDescent="0.3">
      <c r="A58" s="44"/>
      <c r="B58" s="45"/>
      <c r="C58" s="45"/>
      <c r="D58" s="45"/>
      <c r="E58" s="45"/>
      <c r="F58" s="45"/>
      <c r="M58" s="44"/>
      <c r="N58" s="45"/>
      <c r="O58" s="45"/>
      <c r="P58" s="45"/>
      <c r="Q58" s="45"/>
      <c r="R58" s="45"/>
    </row>
    <row r="59" spans="1:18" x14ac:dyDescent="0.3">
      <c r="A59" s="36" t="str" cm="1">
        <f t="array" ref="A59:F70">TRANSPOSE(cd_100cimxml[#All])</f>
        <v>Repositories</v>
      </c>
      <c r="B59" s="38" t="str">
        <v>defaultRepository</v>
      </c>
      <c r="C59" s="38" t="str">
        <v>nativeRepository</v>
      </c>
      <c r="D59" s="38" t="str">
        <v>marklogic_rdf4j</v>
      </c>
      <c r="E59" s="38" t="str">
        <v>approach1</v>
      </c>
      <c r="F59" s="38" t="str">
        <v>approach2</v>
      </c>
      <c r="M59" s="44" t="s">
        <v>16</v>
      </c>
      <c r="N59" s="45" t="s">
        <v>0</v>
      </c>
      <c r="O59" s="45" t="s">
        <v>12</v>
      </c>
      <c r="P59" s="45" t="s">
        <v>13</v>
      </c>
      <c r="Q59" s="45" t="s">
        <v>14</v>
      </c>
      <c r="R59" s="45" t="s">
        <v>15</v>
      </c>
    </row>
    <row r="60" spans="1:18" x14ac:dyDescent="0.3">
      <c r="A60" s="36" t="str">
        <v>basic</v>
      </c>
      <c r="B60" s="38">
        <v>0.7</v>
      </c>
      <c r="C60" s="38">
        <v>0.7</v>
      </c>
      <c r="D60" s="38">
        <v>276.89999999999998</v>
      </c>
      <c r="E60" s="38">
        <v>0</v>
      </c>
      <c r="F60" s="38">
        <v>3490.9</v>
      </c>
      <c r="M60" s="40" t="str">
        <f>A60</f>
        <v>basic</v>
      </c>
      <c r="N60" s="41">
        <f>B60</f>
        <v>0.7</v>
      </c>
      <c r="O60" s="41">
        <f t="shared" ref="O60:R69" si="6">C60</f>
        <v>0.7</v>
      </c>
      <c r="P60" s="41">
        <f t="shared" si="6"/>
        <v>276.89999999999998</v>
      </c>
      <c r="Q60" s="41">
        <f t="shared" si="6"/>
        <v>0</v>
      </c>
      <c r="R60" s="41">
        <f t="shared" si="6"/>
        <v>3490.9</v>
      </c>
    </row>
    <row r="61" spans="1:18" x14ac:dyDescent="0.3">
      <c r="A61" s="36" t="str">
        <v>drawFeeder</v>
      </c>
      <c r="B61" s="38">
        <v>1.9</v>
      </c>
      <c r="C61" s="38">
        <v>3.2</v>
      </c>
      <c r="D61" s="38">
        <v>142.6</v>
      </c>
      <c r="E61" s="38">
        <v>0</v>
      </c>
      <c r="F61" s="38">
        <v>580.4</v>
      </c>
      <c r="M61" s="40" t="str">
        <f t="shared" ref="M61:M70" si="7">A61</f>
        <v>drawFeeder</v>
      </c>
      <c r="N61" s="41">
        <f t="shared" ref="N61:N69" si="8">B61</f>
        <v>1.9</v>
      </c>
      <c r="O61" s="41">
        <f t="shared" si="6"/>
        <v>3.2</v>
      </c>
      <c r="P61" s="41">
        <f t="shared" si="6"/>
        <v>142.6</v>
      </c>
      <c r="Q61" s="41">
        <f t="shared" si="6"/>
        <v>0</v>
      </c>
      <c r="R61" s="41">
        <f t="shared" si="6"/>
        <v>580.4</v>
      </c>
    </row>
    <row r="62" spans="1:18" x14ac:dyDescent="0.3">
      <c r="A62" s="36" t="str">
        <v>drawFeederOpt</v>
      </c>
      <c r="B62" s="38">
        <v>2.9</v>
      </c>
      <c r="C62" s="38">
        <v>2.2000000000000002</v>
      </c>
      <c r="D62" s="38">
        <v>169.8</v>
      </c>
      <c r="E62" s="38">
        <v>0</v>
      </c>
      <c r="F62" s="38">
        <v>550.9</v>
      </c>
      <c r="M62" s="40" t="str">
        <f t="shared" si="7"/>
        <v>drawFeederOpt</v>
      </c>
      <c r="N62" s="41">
        <f t="shared" si="8"/>
        <v>2.9</v>
      </c>
      <c r="O62" s="41">
        <f t="shared" si="6"/>
        <v>2.2000000000000002</v>
      </c>
      <c r="P62" s="41">
        <f t="shared" si="6"/>
        <v>169.8</v>
      </c>
      <c r="Q62" s="41">
        <f t="shared" si="6"/>
        <v>0</v>
      </c>
      <c r="R62" s="41">
        <f t="shared" si="6"/>
        <v>550.9</v>
      </c>
    </row>
    <row r="63" spans="1:18" x14ac:dyDescent="0.3">
      <c r="A63" s="36" t="str">
        <v>drawHazard</v>
      </c>
      <c r="B63" s="38">
        <v>0</v>
      </c>
      <c r="C63" s="38">
        <v>0</v>
      </c>
      <c r="D63" s="38">
        <v>59.8</v>
      </c>
      <c r="E63" s="38">
        <v>0</v>
      </c>
      <c r="F63" s="38">
        <v>0</v>
      </c>
      <c r="M63" s="40" t="str">
        <f t="shared" si="7"/>
        <v>drawHazard</v>
      </c>
      <c r="N63" s="41">
        <f t="shared" si="8"/>
        <v>0</v>
      </c>
      <c r="O63" s="41">
        <f t="shared" si="6"/>
        <v>0</v>
      </c>
      <c r="P63" s="41">
        <f t="shared" si="6"/>
        <v>59.8</v>
      </c>
      <c r="Q63" s="41">
        <f t="shared" si="6"/>
        <v>0</v>
      </c>
      <c r="R63" s="41">
        <f t="shared" si="6"/>
        <v>0</v>
      </c>
    </row>
    <row r="64" spans="1:18" x14ac:dyDescent="0.3">
      <c r="A64" s="36" t="str">
        <v>drawBuffer</v>
      </c>
      <c r="B64" s="38">
        <v>3</v>
      </c>
      <c r="C64" s="38">
        <v>5.666666666666667</v>
      </c>
      <c r="D64" s="38">
        <v>0</v>
      </c>
      <c r="E64" s="38">
        <v>30567</v>
      </c>
      <c r="F64" s="38">
        <v>31046.333333333332</v>
      </c>
      <c r="M64" s="40" t="str">
        <f t="shared" si="7"/>
        <v>drawBuffer</v>
      </c>
      <c r="N64" s="41">
        <f t="shared" si="8"/>
        <v>3</v>
      </c>
      <c r="O64" s="41">
        <f t="shared" si="6"/>
        <v>5.666666666666667</v>
      </c>
      <c r="P64" s="41">
        <f t="shared" si="6"/>
        <v>0</v>
      </c>
      <c r="Q64" s="41">
        <f t="shared" si="6"/>
        <v>30567</v>
      </c>
      <c r="R64" s="41">
        <f t="shared" si="6"/>
        <v>31046.333333333332</v>
      </c>
    </row>
    <row r="65" spans="1:18" x14ac:dyDescent="0.3">
      <c r="A65" s="36" t="str">
        <v>drawBufferOpt</v>
      </c>
      <c r="B65" s="38">
        <v>1.7</v>
      </c>
      <c r="C65" s="38">
        <v>0.8</v>
      </c>
      <c r="D65" s="38">
        <v>0</v>
      </c>
      <c r="E65" s="38">
        <v>268804.3</v>
      </c>
      <c r="F65" s="38">
        <v>25023.200000000001</v>
      </c>
      <c r="M65" s="40" t="str">
        <f t="shared" si="7"/>
        <v>drawBufferOpt</v>
      </c>
      <c r="N65" s="41">
        <f t="shared" si="8"/>
        <v>1.7</v>
      </c>
      <c r="O65" s="41">
        <f t="shared" si="6"/>
        <v>0.8</v>
      </c>
      <c r="P65" s="41">
        <f t="shared" si="6"/>
        <v>0</v>
      </c>
      <c r="Q65" s="41">
        <f t="shared" si="6"/>
        <v>268804.3</v>
      </c>
      <c r="R65" s="41">
        <f t="shared" si="6"/>
        <v>25023.200000000001</v>
      </c>
    </row>
    <row r="66" spans="1:18" x14ac:dyDescent="0.3">
      <c r="A66" s="36" t="str">
        <v>drawHealthy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M66" s="40" t="str">
        <f t="shared" si="7"/>
        <v>drawHealthy</v>
      </c>
      <c r="N66" s="41">
        <f t="shared" si="8"/>
        <v>0</v>
      </c>
      <c r="O66" s="41">
        <f t="shared" si="6"/>
        <v>0</v>
      </c>
      <c r="P66" s="41">
        <f t="shared" si="6"/>
        <v>0</v>
      </c>
      <c r="Q66" s="41">
        <f t="shared" si="6"/>
        <v>0</v>
      </c>
      <c r="R66" s="41">
        <f t="shared" si="6"/>
        <v>0</v>
      </c>
    </row>
    <row r="67" spans="1:18" x14ac:dyDescent="0.3">
      <c r="A67" s="36" t="str">
        <v>drawHealthyOpt</v>
      </c>
      <c r="B67" s="38">
        <v>1.1000000000000001</v>
      </c>
      <c r="C67" s="38">
        <v>1.3</v>
      </c>
      <c r="D67" s="38">
        <v>0</v>
      </c>
      <c r="E67" s="38">
        <v>605839.9</v>
      </c>
      <c r="F67" s="38">
        <v>56399.6</v>
      </c>
      <c r="M67" s="40" t="str">
        <f t="shared" si="7"/>
        <v>drawHealthyOpt</v>
      </c>
      <c r="N67" s="41">
        <f t="shared" si="8"/>
        <v>1.1000000000000001</v>
      </c>
      <c r="O67" s="41">
        <f t="shared" si="6"/>
        <v>1.3</v>
      </c>
      <c r="P67" s="41">
        <f t="shared" si="6"/>
        <v>0</v>
      </c>
      <c r="Q67" s="41">
        <f t="shared" si="6"/>
        <v>605839.9</v>
      </c>
      <c r="R67" s="41">
        <f t="shared" si="6"/>
        <v>56399.6</v>
      </c>
    </row>
    <row r="68" spans="1:18" x14ac:dyDescent="0.3">
      <c r="A68" s="36" t="str">
        <v>drawAffected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M68" s="40" t="str">
        <f t="shared" si="7"/>
        <v>drawAffected</v>
      </c>
      <c r="N68" s="41">
        <f t="shared" si="8"/>
        <v>0</v>
      </c>
      <c r="O68" s="41">
        <f t="shared" si="6"/>
        <v>0</v>
      </c>
      <c r="P68" s="41">
        <f t="shared" si="6"/>
        <v>0</v>
      </c>
      <c r="Q68" s="41">
        <f t="shared" si="6"/>
        <v>0</v>
      </c>
      <c r="R68" s="41">
        <f t="shared" si="6"/>
        <v>0</v>
      </c>
    </row>
    <row r="69" spans="1:18" x14ac:dyDescent="0.3">
      <c r="A69" s="36" t="str">
        <v>drawAffectedOpt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M69" s="40" t="str">
        <f t="shared" si="7"/>
        <v>drawAffectedOpt</v>
      </c>
      <c r="N69" s="41">
        <f t="shared" si="8"/>
        <v>0</v>
      </c>
      <c r="O69" s="41">
        <f t="shared" si="6"/>
        <v>0</v>
      </c>
      <c r="P69" s="41">
        <f t="shared" si="6"/>
        <v>0</v>
      </c>
      <c r="Q69" s="41">
        <f t="shared" si="6"/>
        <v>0</v>
      </c>
      <c r="R69" s="41">
        <f t="shared" si="6"/>
        <v>0</v>
      </c>
    </row>
    <row r="70" spans="1:18" x14ac:dyDescent="0.3">
      <c r="A70" s="44" t="str">
        <v>drawHealthyUpdate</v>
      </c>
      <c r="B70" s="45">
        <v>0</v>
      </c>
      <c r="C70" s="45">
        <v>0</v>
      </c>
      <c r="D70" s="45">
        <v>0</v>
      </c>
      <c r="E70" s="45">
        <v>0</v>
      </c>
      <c r="F70" s="45">
        <v>217.88700000000003</v>
      </c>
      <c r="M70" s="40" t="str">
        <f t="shared" si="7"/>
        <v>drawHealthyUpdate</v>
      </c>
      <c r="N70" s="41">
        <f>B70</f>
        <v>0</v>
      </c>
      <c r="O70" s="41">
        <f>C70</f>
        <v>0</v>
      </c>
      <c r="P70" s="41">
        <f>D70</f>
        <v>0</v>
      </c>
      <c r="Q70" s="41">
        <f>E70</f>
        <v>0</v>
      </c>
      <c r="R70" s="41">
        <f>F70</f>
        <v>217.88700000000003</v>
      </c>
    </row>
    <row r="71" spans="1:18" x14ac:dyDescent="0.3">
      <c r="A71" s="44"/>
      <c r="B71" s="45"/>
      <c r="C71" s="45"/>
      <c r="D71" s="45"/>
      <c r="E71" s="45"/>
      <c r="F71" s="45"/>
      <c r="M71" s="44"/>
      <c r="N71" s="45"/>
      <c r="O71" s="45"/>
      <c r="P71" s="45"/>
      <c r="Q71" s="45"/>
      <c r="R71" s="45"/>
    </row>
    <row r="72" spans="1:18" x14ac:dyDescent="0.3">
      <c r="A72" s="36" t="str" cm="1">
        <f t="array" ref="A72:F83">TRANSPOSE(cd_1000cimxml[#All])</f>
        <v>Repositories</v>
      </c>
      <c r="B72" s="38" t="str">
        <v>defaultRepository</v>
      </c>
      <c r="C72" s="38" t="str">
        <v>nativeRepository</v>
      </c>
      <c r="D72" s="38" t="str">
        <v>marklogic_rdf4j</v>
      </c>
      <c r="E72" s="38" t="str">
        <v>approach1</v>
      </c>
      <c r="F72" s="38" t="str">
        <v>approach2</v>
      </c>
      <c r="M72" s="44" t="s">
        <v>16</v>
      </c>
      <c r="N72" s="45" t="s">
        <v>0</v>
      </c>
      <c r="O72" s="45" t="s">
        <v>12</v>
      </c>
      <c r="P72" s="45" t="s">
        <v>13</v>
      </c>
      <c r="Q72" s="45" t="s">
        <v>14</v>
      </c>
      <c r="R72" s="45" t="s">
        <v>15</v>
      </c>
    </row>
    <row r="73" spans="1:18" x14ac:dyDescent="0.3">
      <c r="A73" s="36" t="str">
        <v>basic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M73" s="44" t="str">
        <f>A73</f>
        <v>basic</v>
      </c>
      <c r="N73" s="45">
        <f>B73</f>
        <v>0</v>
      </c>
      <c r="O73" s="45">
        <f t="shared" ref="O73:R82" si="9">C73</f>
        <v>0</v>
      </c>
      <c r="P73" s="45">
        <f t="shared" si="9"/>
        <v>0</v>
      </c>
      <c r="Q73" s="45">
        <f t="shared" si="9"/>
        <v>0</v>
      </c>
      <c r="R73" s="45">
        <f t="shared" si="9"/>
        <v>0</v>
      </c>
    </row>
    <row r="74" spans="1:18" x14ac:dyDescent="0.3">
      <c r="A74" s="36" t="str">
        <v>drawFeeder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M74" s="44" t="str">
        <f t="shared" ref="M74:M83" si="10">A74</f>
        <v>drawFeeder</v>
      </c>
      <c r="N74" s="45">
        <f t="shared" ref="N74:N82" si="11">B74</f>
        <v>0</v>
      </c>
      <c r="O74" s="45">
        <f t="shared" si="9"/>
        <v>0</v>
      </c>
      <c r="P74" s="45">
        <f t="shared" si="9"/>
        <v>0</v>
      </c>
      <c r="Q74" s="45">
        <f t="shared" si="9"/>
        <v>0</v>
      </c>
      <c r="R74" s="45">
        <f t="shared" si="9"/>
        <v>0</v>
      </c>
    </row>
    <row r="75" spans="1:18" x14ac:dyDescent="0.3">
      <c r="A75" s="36" t="str">
        <v>drawFeederOpt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M75" s="44" t="str">
        <f t="shared" si="10"/>
        <v>drawFeederOpt</v>
      </c>
      <c r="N75" s="45">
        <f t="shared" si="11"/>
        <v>0</v>
      </c>
      <c r="O75" s="45">
        <f t="shared" si="9"/>
        <v>0</v>
      </c>
      <c r="P75" s="45">
        <f t="shared" si="9"/>
        <v>0</v>
      </c>
      <c r="Q75" s="45">
        <f t="shared" si="9"/>
        <v>0</v>
      </c>
      <c r="R75" s="45">
        <f t="shared" si="9"/>
        <v>0</v>
      </c>
    </row>
    <row r="76" spans="1:18" x14ac:dyDescent="0.3">
      <c r="A76" s="36" t="str">
        <v>drawHazard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M76" s="44" t="str">
        <f t="shared" si="10"/>
        <v>drawHazard</v>
      </c>
      <c r="N76" s="45">
        <f t="shared" si="11"/>
        <v>0</v>
      </c>
      <c r="O76" s="45">
        <f t="shared" si="9"/>
        <v>0</v>
      </c>
      <c r="P76" s="45">
        <f t="shared" si="9"/>
        <v>0</v>
      </c>
      <c r="Q76" s="45">
        <f t="shared" si="9"/>
        <v>0</v>
      </c>
      <c r="R76" s="45">
        <f t="shared" si="9"/>
        <v>0</v>
      </c>
    </row>
    <row r="77" spans="1:18" x14ac:dyDescent="0.3">
      <c r="A77" s="36" t="str">
        <v>drawBuffer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M77" s="44" t="str">
        <f t="shared" si="10"/>
        <v>drawBuffer</v>
      </c>
      <c r="N77" s="45">
        <f t="shared" si="11"/>
        <v>0</v>
      </c>
      <c r="O77" s="45">
        <f t="shared" si="9"/>
        <v>0</v>
      </c>
      <c r="P77" s="45">
        <f t="shared" si="9"/>
        <v>0</v>
      </c>
      <c r="Q77" s="45">
        <f t="shared" si="9"/>
        <v>0</v>
      </c>
      <c r="R77" s="45">
        <f t="shared" si="9"/>
        <v>0</v>
      </c>
    </row>
    <row r="78" spans="1:18" x14ac:dyDescent="0.3">
      <c r="A78" s="36" t="str">
        <v>drawBufferOpt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M78" s="44" t="str">
        <f t="shared" si="10"/>
        <v>drawBufferOpt</v>
      </c>
      <c r="N78" s="45">
        <f t="shared" si="11"/>
        <v>0</v>
      </c>
      <c r="O78" s="45">
        <f t="shared" si="9"/>
        <v>0</v>
      </c>
      <c r="P78" s="45">
        <f t="shared" si="9"/>
        <v>0</v>
      </c>
      <c r="Q78" s="45">
        <f t="shared" si="9"/>
        <v>0</v>
      </c>
      <c r="R78" s="45">
        <f t="shared" si="9"/>
        <v>0</v>
      </c>
    </row>
    <row r="79" spans="1:18" x14ac:dyDescent="0.3">
      <c r="A79" s="36" t="str">
        <v>drawHealthy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M79" s="44" t="str">
        <f t="shared" si="10"/>
        <v>drawHealthy</v>
      </c>
      <c r="N79" s="45">
        <f t="shared" si="11"/>
        <v>0</v>
      </c>
      <c r="O79" s="45">
        <f t="shared" si="9"/>
        <v>0</v>
      </c>
      <c r="P79" s="45">
        <f t="shared" si="9"/>
        <v>0</v>
      </c>
      <c r="Q79" s="45">
        <f t="shared" si="9"/>
        <v>0</v>
      </c>
      <c r="R79" s="45">
        <f t="shared" si="9"/>
        <v>0</v>
      </c>
    </row>
    <row r="80" spans="1:18" x14ac:dyDescent="0.3">
      <c r="A80" s="36" t="str">
        <v>drawHealthyOpt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M80" s="44" t="str">
        <f t="shared" si="10"/>
        <v>drawHealthyOpt</v>
      </c>
      <c r="N80" s="45">
        <f t="shared" si="11"/>
        <v>0</v>
      </c>
      <c r="O80" s="45">
        <f t="shared" si="9"/>
        <v>0</v>
      </c>
      <c r="P80" s="45">
        <f t="shared" si="9"/>
        <v>0</v>
      </c>
      <c r="Q80" s="45">
        <f t="shared" si="9"/>
        <v>0</v>
      </c>
      <c r="R80" s="45">
        <f t="shared" si="9"/>
        <v>0</v>
      </c>
    </row>
    <row r="81" spans="1:18" x14ac:dyDescent="0.3">
      <c r="A81" s="36" t="str">
        <v>drawAffected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M81" s="44" t="str">
        <f t="shared" si="10"/>
        <v>drawAffected</v>
      </c>
      <c r="N81" s="45">
        <f t="shared" si="11"/>
        <v>0</v>
      </c>
      <c r="O81" s="45">
        <f t="shared" si="9"/>
        <v>0</v>
      </c>
      <c r="P81" s="45">
        <f t="shared" si="9"/>
        <v>0</v>
      </c>
      <c r="Q81" s="45">
        <f t="shared" si="9"/>
        <v>0</v>
      </c>
      <c r="R81" s="45">
        <f t="shared" si="9"/>
        <v>0</v>
      </c>
    </row>
    <row r="82" spans="1:18" x14ac:dyDescent="0.3">
      <c r="A82" s="36" t="str">
        <v>drawAffectedOpt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M82" s="44" t="str">
        <f t="shared" si="10"/>
        <v>drawAffectedOpt</v>
      </c>
      <c r="N82" s="45">
        <f t="shared" si="11"/>
        <v>0</v>
      </c>
      <c r="O82" s="45">
        <f t="shared" si="9"/>
        <v>0</v>
      </c>
      <c r="P82" s="45">
        <f t="shared" si="9"/>
        <v>0</v>
      </c>
      <c r="Q82" s="45">
        <f t="shared" si="9"/>
        <v>0</v>
      </c>
      <c r="R82" s="45">
        <f t="shared" si="9"/>
        <v>0</v>
      </c>
    </row>
    <row r="83" spans="1:18" x14ac:dyDescent="0.3">
      <c r="A83" t="str">
        <v>drawHealthyUpdate</v>
      </c>
      <c r="B83" s="42">
        <v>0</v>
      </c>
      <c r="C83" s="42">
        <v>0</v>
      </c>
      <c r="D83" s="42">
        <v>0</v>
      </c>
      <c r="E83" s="42">
        <v>0</v>
      </c>
      <c r="F83" s="42">
        <v>0</v>
      </c>
      <c r="M83" s="44" t="str">
        <f t="shared" si="10"/>
        <v>drawHealthyUpdate</v>
      </c>
      <c r="N83" s="45">
        <f>B83</f>
        <v>0</v>
      </c>
      <c r="O83" s="45">
        <f>C83</f>
        <v>0</v>
      </c>
      <c r="P83" s="45">
        <f>D83</f>
        <v>0</v>
      </c>
      <c r="Q83" s="45">
        <f>E83</f>
        <v>0</v>
      </c>
      <c r="R83" s="45">
        <f>F83</f>
        <v>0</v>
      </c>
    </row>
  </sheetData>
  <phoneticPr fontId="5" type="noConversion"/>
  <pageMargins left="0.7" right="0.7" top="0.75" bottom="0.75" header="0.3" footer="0.3"/>
  <ignoredErrors>
    <ignoredError sqref="B26:C30 B18:C22 B2:C6 B10:C14" calculatedColumn="1"/>
  </ignoredErrors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959E-F541-484C-88F9-F87124C5A171}">
  <dimension ref="A1:H119"/>
  <sheetViews>
    <sheetView tabSelected="1" topLeftCell="A22" workbookViewId="0">
      <selection activeCell="B86" sqref="B83:B86"/>
    </sheetView>
  </sheetViews>
  <sheetFormatPr defaultRowHeight="14.4" x14ac:dyDescent="0.3"/>
  <cols>
    <col min="1" max="1" width="14.77734375" customWidth="1"/>
    <col min="2" max="2" width="17.88671875" customWidth="1"/>
    <col min="3" max="3" width="17.109375" customWidth="1"/>
    <col min="4" max="4" width="16.109375" customWidth="1"/>
    <col min="5" max="5" width="14.77734375" customWidth="1"/>
  </cols>
  <sheetData>
    <row r="1" spans="1:5" x14ac:dyDescent="0.3">
      <c r="A1" t="s">
        <v>2</v>
      </c>
    </row>
    <row r="2" spans="1:5" x14ac:dyDescent="0.3">
      <c r="A2" s="46" t="s">
        <v>17</v>
      </c>
      <c r="B2" s="47" t="s">
        <v>23</v>
      </c>
      <c r="C2" s="47" t="s">
        <v>24</v>
      </c>
      <c r="D2" s="47" t="s">
        <v>13</v>
      </c>
      <c r="E2" s="47" t="s">
        <v>25</v>
      </c>
    </row>
    <row r="3" spans="1:5" x14ac:dyDescent="0.3">
      <c r="A3" s="48" t="s">
        <v>18</v>
      </c>
      <c r="B3" s="49">
        <f>chartData!N34</f>
        <v>1.2</v>
      </c>
      <c r="C3" s="49">
        <f>chartData!O34</f>
        <v>1.3</v>
      </c>
      <c r="D3" s="49">
        <f>chartData!P34</f>
        <v>81</v>
      </c>
      <c r="E3" s="49">
        <f>chartData!R34</f>
        <v>74.3</v>
      </c>
    </row>
    <row r="4" spans="1:5" x14ac:dyDescent="0.3">
      <c r="A4" s="48" t="s">
        <v>19</v>
      </c>
      <c r="B4" s="49">
        <f>chartData!N47</f>
        <v>0.6</v>
      </c>
      <c r="C4" s="49">
        <f>chartData!O47</f>
        <v>0.6</v>
      </c>
      <c r="D4" s="49">
        <f>chartData!P47</f>
        <v>276.89999999999998</v>
      </c>
      <c r="E4" s="49">
        <f>chartData!R47</f>
        <v>363.9</v>
      </c>
    </row>
    <row r="5" spans="1:5" x14ac:dyDescent="0.3">
      <c r="A5" s="48" t="s">
        <v>20</v>
      </c>
      <c r="B5" s="49">
        <f>chartData!N60</f>
        <v>0.7</v>
      </c>
      <c r="C5" s="49">
        <f>chartData!O60</f>
        <v>0.7</v>
      </c>
      <c r="D5" s="49">
        <f>chartData!P60</f>
        <v>276.89999999999998</v>
      </c>
      <c r="E5" s="49">
        <f>chartData!R60</f>
        <v>3490.9</v>
      </c>
    </row>
    <row r="6" spans="1:5" x14ac:dyDescent="0.3">
      <c r="A6" s="50" t="s">
        <v>21</v>
      </c>
      <c r="B6" s="51">
        <f>chartData!N73</f>
        <v>0</v>
      </c>
      <c r="C6" s="51">
        <f>chartData!O73</f>
        <v>0</v>
      </c>
      <c r="D6" s="51">
        <f>chartData!P73</f>
        <v>0</v>
      </c>
      <c r="E6" s="51">
        <f>chartData!R73</f>
        <v>0</v>
      </c>
    </row>
    <row r="7" spans="1:5" x14ac:dyDescent="0.3">
      <c r="A7" s="52"/>
      <c r="B7" s="52"/>
      <c r="C7" s="52"/>
      <c r="D7" s="52"/>
      <c r="E7" s="52"/>
    </row>
    <row r="8" spans="1:5" x14ac:dyDescent="0.3">
      <c r="A8" s="52"/>
      <c r="B8" s="52"/>
      <c r="C8" s="52"/>
      <c r="D8" s="52"/>
      <c r="E8" s="52"/>
    </row>
    <row r="9" spans="1:5" x14ac:dyDescent="0.3">
      <c r="A9" s="52" t="s">
        <v>3</v>
      </c>
      <c r="B9" s="52"/>
      <c r="C9" s="52"/>
      <c r="D9" s="52"/>
      <c r="E9" s="52"/>
    </row>
    <row r="10" spans="1:5" x14ac:dyDescent="0.3">
      <c r="A10" s="46" t="s">
        <v>17</v>
      </c>
      <c r="B10" s="47" t="s">
        <v>23</v>
      </c>
      <c r="C10" s="47" t="s">
        <v>24</v>
      </c>
      <c r="D10" s="47" t="s">
        <v>13</v>
      </c>
      <c r="E10" s="47" t="s">
        <v>25</v>
      </c>
    </row>
    <row r="11" spans="1:5" x14ac:dyDescent="0.3">
      <c r="A11" s="48" t="s">
        <v>18</v>
      </c>
      <c r="B11" s="49">
        <f>chartData!N35</f>
        <v>1.8</v>
      </c>
      <c r="C11" s="49">
        <f>chartData!O35</f>
        <v>1.9</v>
      </c>
      <c r="D11" s="49">
        <f>chartData!P35</f>
        <v>12.9</v>
      </c>
      <c r="E11" s="49">
        <f>chartData!R35</f>
        <v>14.3</v>
      </c>
    </row>
    <row r="12" spans="1:5" x14ac:dyDescent="0.3">
      <c r="A12" s="48" t="s">
        <v>19</v>
      </c>
      <c r="B12" s="49">
        <f>chartData!N48</f>
        <v>1.7</v>
      </c>
      <c r="C12" s="49">
        <f>chartData!O48</f>
        <v>1.8</v>
      </c>
      <c r="D12" s="49">
        <f>chartData!P48</f>
        <v>142.6</v>
      </c>
      <c r="E12" s="49">
        <f>chartData!R48</f>
        <v>72.599999999999994</v>
      </c>
    </row>
    <row r="13" spans="1:5" x14ac:dyDescent="0.3">
      <c r="A13" s="48" t="s">
        <v>20</v>
      </c>
      <c r="B13" s="49">
        <f>chartData!N61</f>
        <v>1.9</v>
      </c>
      <c r="C13" s="49">
        <f>chartData!O61</f>
        <v>3.2</v>
      </c>
      <c r="D13" s="49">
        <f>chartData!P61</f>
        <v>142.6</v>
      </c>
      <c r="E13" s="49">
        <f>chartData!R61</f>
        <v>580.4</v>
      </c>
    </row>
    <row r="14" spans="1:5" x14ac:dyDescent="0.3">
      <c r="A14" s="50" t="s">
        <v>21</v>
      </c>
      <c r="B14" s="51">
        <f>chartData!N74</f>
        <v>0</v>
      </c>
      <c r="C14" s="51">
        <f>chartData!O74</f>
        <v>0</v>
      </c>
      <c r="D14" s="51">
        <f>chartData!P74</f>
        <v>0</v>
      </c>
      <c r="E14" s="51">
        <f>chartData!R74</f>
        <v>0</v>
      </c>
    </row>
    <row r="15" spans="1:5" x14ac:dyDescent="0.3">
      <c r="A15" s="52"/>
      <c r="B15" s="52"/>
      <c r="C15" s="52"/>
      <c r="D15" s="52"/>
      <c r="E15" s="52"/>
    </row>
    <row r="16" spans="1:5" x14ac:dyDescent="0.3">
      <c r="A16" s="52"/>
      <c r="B16" s="52"/>
      <c r="C16" s="52"/>
      <c r="D16" s="52"/>
      <c r="E16" s="52"/>
    </row>
    <row r="17" spans="1:5" x14ac:dyDescent="0.3">
      <c r="A17" s="52" t="s">
        <v>22</v>
      </c>
      <c r="B17" s="52"/>
      <c r="C17" s="52"/>
      <c r="D17" s="52"/>
      <c r="E17" s="52"/>
    </row>
    <row r="18" spans="1:5" x14ac:dyDescent="0.3">
      <c r="A18" s="46" t="s">
        <v>17</v>
      </c>
      <c r="B18" s="47" t="s">
        <v>23</v>
      </c>
      <c r="C18" s="47" t="s">
        <v>24</v>
      </c>
      <c r="D18" s="47" t="s">
        <v>13</v>
      </c>
      <c r="E18" s="47" t="s">
        <v>25</v>
      </c>
    </row>
    <row r="19" spans="1:5" x14ac:dyDescent="0.3">
      <c r="A19" s="48" t="s">
        <v>18</v>
      </c>
      <c r="B19" s="49">
        <f>chartData!N36</f>
        <v>5.2</v>
      </c>
      <c r="C19" s="49">
        <f>chartData!O36</f>
        <v>2</v>
      </c>
      <c r="D19" s="49">
        <f>chartData!P36</f>
        <v>15.7</v>
      </c>
      <c r="E19" s="49">
        <f>chartData!R36</f>
        <v>17.7</v>
      </c>
    </row>
    <row r="20" spans="1:5" x14ac:dyDescent="0.3">
      <c r="A20" s="48" t="s">
        <v>19</v>
      </c>
      <c r="B20" s="49">
        <f>chartData!N49</f>
        <v>2.1</v>
      </c>
      <c r="C20" s="49">
        <f>chartData!O49</f>
        <v>2</v>
      </c>
      <c r="D20" s="49">
        <f>chartData!P49</f>
        <v>169.8</v>
      </c>
      <c r="E20" s="49">
        <f>chartData!R49</f>
        <v>94.3</v>
      </c>
    </row>
    <row r="21" spans="1:5" x14ac:dyDescent="0.3">
      <c r="A21" s="48" t="s">
        <v>20</v>
      </c>
      <c r="B21" s="49">
        <f>chartData!N62</f>
        <v>2.9</v>
      </c>
      <c r="C21" s="49">
        <f>chartData!O62</f>
        <v>2.2000000000000002</v>
      </c>
      <c r="D21" s="49">
        <f>chartData!P62</f>
        <v>169.8</v>
      </c>
      <c r="E21" s="49">
        <f>chartData!R62</f>
        <v>550.9</v>
      </c>
    </row>
    <row r="22" spans="1:5" x14ac:dyDescent="0.3">
      <c r="A22" s="50" t="s">
        <v>21</v>
      </c>
      <c r="B22" s="51">
        <f>chartData!N75</f>
        <v>0</v>
      </c>
      <c r="C22" s="51">
        <f>chartData!O75</f>
        <v>0</v>
      </c>
      <c r="D22" s="51">
        <f>chartData!P75</f>
        <v>0</v>
      </c>
      <c r="E22" s="51">
        <f>chartData!R75</f>
        <v>0</v>
      </c>
    </row>
    <row r="23" spans="1:5" x14ac:dyDescent="0.3">
      <c r="A23" s="52"/>
      <c r="B23" s="52"/>
      <c r="C23" s="52"/>
      <c r="D23" s="52"/>
      <c r="E23" s="52"/>
    </row>
    <row r="24" spans="1:5" x14ac:dyDescent="0.3">
      <c r="A24" s="52"/>
      <c r="B24" s="52"/>
      <c r="C24" s="52"/>
      <c r="D24" s="52"/>
      <c r="E24" s="52"/>
    </row>
    <row r="25" spans="1:5" x14ac:dyDescent="0.3">
      <c r="A25" s="52" t="s">
        <v>5</v>
      </c>
      <c r="B25" s="52"/>
      <c r="C25" s="52"/>
      <c r="D25" s="52"/>
      <c r="E25" s="52"/>
    </row>
    <row r="26" spans="1:5" x14ac:dyDescent="0.3">
      <c r="A26" s="46" t="s">
        <v>17</v>
      </c>
      <c r="B26" s="47" t="s">
        <v>23</v>
      </c>
      <c r="C26" s="47" t="s">
        <v>24</v>
      </c>
      <c r="D26" s="47" t="s">
        <v>13</v>
      </c>
      <c r="E26" s="47" t="s">
        <v>25</v>
      </c>
    </row>
    <row r="27" spans="1:5" x14ac:dyDescent="0.3">
      <c r="A27" s="48" t="s">
        <v>18</v>
      </c>
      <c r="B27" s="49">
        <f>chartData!N37</f>
        <v>1.1000000000000001</v>
      </c>
      <c r="C27" s="49">
        <f>chartData!O37</f>
        <v>1.2</v>
      </c>
      <c r="D27" s="49">
        <f>chartData!P37</f>
        <v>6</v>
      </c>
      <c r="E27" s="49">
        <f>chartData!R37</f>
        <v>6.1</v>
      </c>
    </row>
    <row r="28" spans="1:5" x14ac:dyDescent="0.3">
      <c r="A28" s="48" t="s">
        <v>19</v>
      </c>
      <c r="B28" s="49">
        <f>chartData!N50</f>
        <v>6.4</v>
      </c>
      <c r="C28" s="49">
        <f>chartData!O50</f>
        <v>8</v>
      </c>
      <c r="D28" s="49">
        <f>chartData!P50</f>
        <v>59.8</v>
      </c>
      <c r="E28" s="49">
        <f>chartData!R50</f>
        <v>94.8</v>
      </c>
    </row>
    <row r="29" spans="1:5" x14ac:dyDescent="0.3">
      <c r="A29" s="48" t="s">
        <v>20</v>
      </c>
      <c r="B29" s="49">
        <f>chartData!N63</f>
        <v>0</v>
      </c>
      <c r="C29" s="49">
        <f>chartData!O63</f>
        <v>0</v>
      </c>
      <c r="D29" s="49">
        <f>chartData!P63</f>
        <v>59.8</v>
      </c>
      <c r="E29" s="49">
        <f>chartData!R63</f>
        <v>0</v>
      </c>
    </row>
    <row r="30" spans="1:5" x14ac:dyDescent="0.3">
      <c r="A30" s="50" t="s">
        <v>21</v>
      </c>
      <c r="B30" s="51">
        <f>chartData!N76</f>
        <v>0</v>
      </c>
      <c r="C30" s="51">
        <f>chartData!O76</f>
        <v>0</v>
      </c>
      <c r="D30" s="51">
        <f>chartData!P76</f>
        <v>0</v>
      </c>
      <c r="E30" s="51">
        <f>chartData!R76</f>
        <v>0</v>
      </c>
    </row>
    <row r="31" spans="1:5" x14ac:dyDescent="0.3">
      <c r="A31" s="52"/>
      <c r="B31" s="52"/>
      <c r="C31" s="52"/>
      <c r="D31" s="52"/>
      <c r="E31" s="52"/>
    </row>
    <row r="32" spans="1:5" x14ac:dyDescent="0.3">
      <c r="A32" s="52"/>
      <c r="B32" s="52"/>
      <c r="C32" s="52"/>
      <c r="D32" s="52"/>
      <c r="E32" s="52"/>
    </row>
    <row r="33" spans="1:5" x14ac:dyDescent="0.3">
      <c r="A33" s="52" t="s">
        <v>6</v>
      </c>
      <c r="B33" s="52"/>
      <c r="C33" s="52"/>
      <c r="D33" s="52"/>
      <c r="E33" s="52"/>
    </row>
    <row r="34" spans="1:5" x14ac:dyDescent="0.3">
      <c r="A34" s="46" t="s">
        <v>17</v>
      </c>
      <c r="B34" s="47" t="s">
        <v>23</v>
      </c>
      <c r="C34" s="47" t="s">
        <v>24</v>
      </c>
      <c r="D34" s="53" t="s">
        <v>26</v>
      </c>
      <c r="E34" s="47" t="s">
        <v>25</v>
      </c>
    </row>
    <row r="35" spans="1:5" x14ac:dyDescent="0.3">
      <c r="A35" s="48" t="s">
        <v>18</v>
      </c>
      <c r="B35" s="49">
        <f>chartData!N38</f>
        <v>2.2999999999999998</v>
      </c>
      <c r="C35" s="49">
        <f>chartData!O38</f>
        <v>5</v>
      </c>
      <c r="D35" s="49">
        <f>chartData!P38</f>
        <v>0</v>
      </c>
      <c r="E35" s="49">
        <f>chartData!Q38</f>
        <v>158.9</v>
      </c>
    </row>
    <row r="36" spans="1:5" x14ac:dyDescent="0.3">
      <c r="A36" s="48" t="s">
        <v>19</v>
      </c>
      <c r="B36" s="49">
        <f>chartData!N51</f>
        <v>1.5</v>
      </c>
      <c r="C36" s="49">
        <f>chartData!O51</f>
        <v>5.5</v>
      </c>
      <c r="D36" s="49">
        <f>chartData!P51</f>
        <v>0</v>
      </c>
      <c r="E36" s="49">
        <f>chartData!Q51</f>
        <v>2320.4</v>
      </c>
    </row>
    <row r="37" spans="1:5" x14ac:dyDescent="0.3">
      <c r="A37" s="48" t="s">
        <v>20</v>
      </c>
      <c r="B37" s="49">
        <f>chartData!N64</f>
        <v>3</v>
      </c>
      <c r="C37" s="49">
        <f>chartData!O64</f>
        <v>5.666666666666667</v>
      </c>
      <c r="D37" s="49">
        <f>chartData!P64</f>
        <v>0</v>
      </c>
      <c r="E37" s="49">
        <f>chartData!Q64</f>
        <v>30567</v>
      </c>
    </row>
    <row r="38" spans="1:5" x14ac:dyDescent="0.3">
      <c r="A38" s="50" t="s">
        <v>21</v>
      </c>
      <c r="B38" s="51">
        <f>chartData!N77</f>
        <v>0</v>
      </c>
      <c r="C38" s="51">
        <f>chartData!O77</f>
        <v>0</v>
      </c>
      <c r="D38" s="51">
        <f>chartData!P77</f>
        <v>0</v>
      </c>
      <c r="E38" s="51">
        <f>chartData!Q77</f>
        <v>0</v>
      </c>
    </row>
    <row r="39" spans="1:5" x14ac:dyDescent="0.3">
      <c r="A39" s="52"/>
      <c r="B39" s="52"/>
      <c r="C39" s="52"/>
      <c r="D39" s="52"/>
      <c r="E39" s="52"/>
    </row>
    <row r="40" spans="1:5" x14ac:dyDescent="0.3">
      <c r="A40" s="52"/>
      <c r="B40" s="52"/>
      <c r="C40" s="52"/>
      <c r="D40" s="52"/>
      <c r="E40" s="52"/>
    </row>
    <row r="41" spans="1:5" x14ac:dyDescent="0.3">
      <c r="A41" s="52" t="s">
        <v>7</v>
      </c>
      <c r="B41" s="52"/>
      <c r="C41" s="52"/>
      <c r="D41" s="52"/>
      <c r="E41" s="52"/>
    </row>
    <row r="42" spans="1:5" x14ac:dyDescent="0.3">
      <c r="A42" s="46" t="s">
        <v>17</v>
      </c>
      <c r="B42" s="47" t="s">
        <v>23</v>
      </c>
      <c r="C42" s="47" t="s">
        <v>24</v>
      </c>
      <c r="D42" s="53" t="s">
        <v>26</v>
      </c>
      <c r="E42" s="47" t="s">
        <v>25</v>
      </c>
    </row>
    <row r="43" spans="1:5" x14ac:dyDescent="0.3">
      <c r="A43" s="48" t="s">
        <v>18</v>
      </c>
      <c r="B43" s="49">
        <f>chartData!N39</f>
        <v>2</v>
      </c>
      <c r="C43" s="49">
        <f>chartData!O39</f>
        <v>5.4</v>
      </c>
      <c r="D43" s="49">
        <f>chartData!P39</f>
        <v>0</v>
      </c>
      <c r="E43" s="49">
        <f>chartData!Q39</f>
        <v>184.8</v>
      </c>
    </row>
    <row r="44" spans="1:5" x14ac:dyDescent="0.3">
      <c r="A44" s="48" t="s">
        <v>19</v>
      </c>
      <c r="B44" s="49">
        <f>chartData!N52</f>
        <v>2.9</v>
      </c>
      <c r="C44" s="49">
        <f>chartData!O52</f>
        <v>2.2000000000000002</v>
      </c>
      <c r="D44" s="49">
        <f>chartData!P52</f>
        <v>0</v>
      </c>
      <c r="E44" s="49">
        <f>chartData!Q52</f>
        <v>3508.5</v>
      </c>
    </row>
    <row r="45" spans="1:5" x14ac:dyDescent="0.3">
      <c r="A45" s="48" t="s">
        <v>20</v>
      </c>
      <c r="B45" s="49">
        <f>chartData!N65</f>
        <v>1.7</v>
      </c>
      <c r="C45" s="49">
        <f>chartData!O65</f>
        <v>0.8</v>
      </c>
      <c r="D45" s="49">
        <f>chartData!P65</f>
        <v>0</v>
      </c>
      <c r="E45" s="49">
        <f>chartData!Q65</f>
        <v>268804.3</v>
      </c>
    </row>
    <row r="46" spans="1:5" x14ac:dyDescent="0.3">
      <c r="A46" s="50" t="s">
        <v>21</v>
      </c>
      <c r="B46" s="51">
        <f>chartData!N78</f>
        <v>0</v>
      </c>
      <c r="C46" s="51">
        <f>[1]chartData!O78</f>
        <v>0</v>
      </c>
      <c r="D46" s="51">
        <f>[1]chartData!Q78</f>
        <v>0</v>
      </c>
      <c r="E46" s="51">
        <f>[1]chartData!R78</f>
        <v>0</v>
      </c>
    </row>
    <row r="47" spans="1:5" x14ac:dyDescent="0.3">
      <c r="A47" s="52"/>
      <c r="B47" s="52"/>
      <c r="C47" s="52"/>
      <c r="D47" s="52"/>
      <c r="E47" s="52"/>
    </row>
    <row r="48" spans="1:5" x14ac:dyDescent="0.3">
      <c r="A48" s="52"/>
      <c r="B48" s="52"/>
      <c r="C48" s="52"/>
      <c r="D48" s="52"/>
      <c r="E48" s="52"/>
    </row>
    <row r="49" spans="1:5" x14ac:dyDescent="0.3">
      <c r="A49" s="52" t="s">
        <v>8</v>
      </c>
      <c r="B49" s="52"/>
      <c r="C49" s="52"/>
      <c r="D49" s="52"/>
      <c r="E49" s="52"/>
    </row>
    <row r="50" spans="1:5" x14ac:dyDescent="0.3">
      <c r="A50" s="46" t="s">
        <v>17</v>
      </c>
      <c r="B50" s="47" t="s">
        <v>23</v>
      </c>
      <c r="C50" s="47" t="s">
        <v>24</v>
      </c>
      <c r="D50" s="53" t="s">
        <v>26</v>
      </c>
      <c r="E50" s="47" t="s">
        <v>25</v>
      </c>
    </row>
    <row r="51" spans="1:5" x14ac:dyDescent="0.3">
      <c r="A51" s="48" t="s">
        <v>18</v>
      </c>
      <c r="B51" s="49">
        <f>chartData!N40</f>
        <v>2.9</v>
      </c>
      <c r="C51" s="49">
        <f>chartData!O40</f>
        <v>5.0999999999999996</v>
      </c>
      <c r="D51" s="49">
        <f>chartData!P40</f>
        <v>0</v>
      </c>
      <c r="E51" s="49">
        <f>chartData!Q40</f>
        <v>814.3</v>
      </c>
    </row>
    <row r="52" spans="1:5" x14ac:dyDescent="0.3">
      <c r="A52" s="48" t="s">
        <v>19</v>
      </c>
      <c r="B52" s="49">
        <f>chartData!N53</f>
        <v>3.7</v>
      </c>
      <c r="C52" s="49">
        <f>chartData!O53</f>
        <v>3.2</v>
      </c>
      <c r="D52" s="49">
        <f>chartData!P53</f>
        <v>0</v>
      </c>
      <c r="E52" s="49">
        <f>chartData!Q53</f>
        <v>6155.8</v>
      </c>
    </row>
    <row r="53" spans="1:5" x14ac:dyDescent="0.3">
      <c r="A53" s="48" t="s">
        <v>20</v>
      </c>
      <c r="B53" s="49">
        <f>chartData!N66</f>
        <v>0</v>
      </c>
      <c r="C53" s="49">
        <f>chartData!O66</f>
        <v>0</v>
      </c>
      <c r="D53" s="49">
        <f>chartData!P66</f>
        <v>0</v>
      </c>
      <c r="E53" s="49">
        <f>chartData!Q66</f>
        <v>0</v>
      </c>
    </row>
    <row r="54" spans="1:5" x14ac:dyDescent="0.3">
      <c r="A54" s="50" t="s">
        <v>21</v>
      </c>
      <c r="B54" s="51">
        <f>chartData!N79</f>
        <v>0</v>
      </c>
      <c r="C54" s="51">
        <f>chartData!O79</f>
        <v>0</v>
      </c>
      <c r="D54" s="51">
        <f>chartData!P79</f>
        <v>0</v>
      </c>
      <c r="E54" s="51">
        <f>chartData!Q79</f>
        <v>0</v>
      </c>
    </row>
    <row r="55" spans="1:5" x14ac:dyDescent="0.3">
      <c r="A55" s="52"/>
      <c r="B55" s="52"/>
      <c r="C55" s="52"/>
      <c r="D55" s="52"/>
      <c r="E55" s="52"/>
    </row>
    <row r="56" spans="1:5" x14ac:dyDescent="0.3">
      <c r="A56" s="52"/>
      <c r="B56" s="52"/>
      <c r="C56" s="52"/>
      <c r="D56" s="52"/>
      <c r="E56" s="52"/>
    </row>
    <row r="57" spans="1:5" x14ac:dyDescent="0.3">
      <c r="A57" s="52" t="s">
        <v>9</v>
      </c>
      <c r="B57" s="52"/>
      <c r="C57" s="52"/>
      <c r="D57" s="52"/>
      <c r="E57" s="52"/>
    </row>
    <row r="58" spans="1:5" x14ac:dyDescent="0.3">
      <c r="A58" s="46" t="s">
        <v>17</v>
      </c>
      <c r="B58" s="47" t="s">
        <v>23</v>
      </c>
      <c r="C58" s="47" t="s">
        <v>24</v>
      </c>
      <c r="D58" s="53" t="s">
        <v>26</v>
      </c>
      <c r="E58" s="47" t="s">
        <v>25</v>
      </c>
    </row>
    <row r="59" spans="1:5" x14ac:dyDescent="0.3">
      <c r="A59" s="48" t="s">
        <v>18</v>
      </c>
      <c r="B59" s="49">
        <f>chartData!N41</f>
        <v>3</v>
      </c>
      <c r="C59" s="49">
        <f>chartData!O41</f>
        <v>3.1</v>
      </c>
      <c r="D59" s="49">
        <f>chartData!P41</f>
        <v>0</v>
      </c>
      <c r="E59" s="49">
        <f>chartData!Q41</f>
        <v>744.9</v>
      </c>
    </row>
    <row r="60" spans="1:5" x14ac:dyDescent="0.3">
      <c r="A60" s="48" t="s">
        <v>19</v>
      </c>
      <c r="B60" s="49">
        <f>chartData!N54</f>
        <v>2</v>
      </c>
      <c r="C60" s="49">
        <f>chartData!O54</f>
        <v>3.2</v>
      </c>
      <c r="D60" s="49">
        <f>chartData!P54</f>
        <v>0</v>
      </c>
      <c r="E60" s="49">
        <f>chartData!Q54</f>
        <v>6053.7</v>
      </c>
    </row>
    <row r="61" spans="1:5" x14ac:dyDescent="0.3">
      <c r="A61" s="48" t="s">
        <v>20</v>
      </c>
      <c r="B61" s="49">
        <f>chartData!N67</f>
        <v>1.1000000000000001</v>
      </c>
      <c r="C61" s="49">
        <f>chartData!O67</f>
        <v>1.3</v>
      </c>
      <c r="D61" s="49">
        <f>chartData!P67</f>
        <v>0</v>
      </c>
      <c r="E61" s="49">
        <f>chartData!Q67</f>
        <v>605839.9</v>
      </c>
    </row>
    <row r="62" spans="1:5" x14ac:dyDescent="0.3">
      <c r="A62" s="50" t="s">
        <v>21</v>
      </c>
      <c r="B62" s="51">
        <f>chartData!N80</f>
        <v>0</v>
      </c>
      <c r="C62" s="51">
        <f>[1]chartData!O80</f>
        <v>0</v>
      </c>
      <c r="D62" s="51">
        <f>[1]chartData!Q80</f>
        <v>0</v>
      </c>
      <c r="E62" s="51">
        <f>[1]chartData!R80</f>
        <v>0</v>
      </c>
    </row>
    <row r="63" spans="1:5" x14ac:dyDescent="0.3">
      <c r="A63" s="52"/>
      <c r="B63" s="52"/>
      <c r="C63" s="52"/>
      <c r="D63" s="52"/>
      <c r="E63" s="52"/>
    </row>
    <row r="64" spans="1:5" x14ac:dyDescent="0.3">
      <c r="A64" s="52"/>
      <c r="B64" s="52"/>
      <c r="C64" s="52"/>
      <c r="D64" s="52"/>
      <c r="E64" s="52"/>
    </row>
    <row r="65" spans="1:5" x14ac:dyDescent="0.3">
      <c r="A65" s="52" t="s">
        <v>10</v>
      </c>
      <c r="B65" s="52"/>
      <c r="C65" s="52"/>
      <c r="D65" s="52"/>
      <c r="E65" s="52"/>
    </row>
    <row r="66" spans="1:5" x14ac:dyDescent="0.3">
      <c r="A66" s="46" t="s">
        <v>17</v>
      </c>
      <c r="B66" s="47" t="s">
        <v>23</v>
      </c>
      <c r="C66" s="47" t="s">
        <v>24</v>
      </c>
      <c r="D66" s="53" t="s">
        <v>26</v>
      </c>
      <c r="E66" s="47" t="s">
        <v>25</v>
      </c>
    </row>
    <row r="67" spans="1:5" x14ac:dyDescent="0.3">
      <c r="A67" s="48" t="s">
        <v>18</v>
      </c>
      <c r="B67" s="49">
        <f>chartData!N42</f>
        <v>2.6</v>
      </c>
      <c r="C67" s="49">
        <f>chartData!O42</f>
        <v>4.4000000000000004</v>
      </c>
      <c r="D67" s="49">
        <f>chartData!P42</f>
        <v>0</v>
      </c>
      <c r="E67" s="49">
        <f>chartData!Q42</f>
        <v>699</v>
      </c>
    </row>
    <row r="68" spans="1:5" x14ac:dyDescent="0.3">
      <c r="A68" s="48" t="s">
        <v>19</v>
      </c>
      <c r="B68" s="49">
        <f>chartData!N55</f>
        <v>19.399999999999999</v>
      </c>
      <c r="C68" s="49">
        <f>chartData!O55</f>
        <v>14.6</v>
      </c>
      <c r="D68" s="49">
        <f>chartData!P55</f>
        <v>0</v>
      </c>
      <c r="E68" s="49">
        <f>chartData!Q55</f>
        <v>7918.9</v>
      </c>
    </row>
    <row r="69" spans="1:5" x14ac:dyDescent="0.3">
      <c r="A69" s="48" t="s">
        <v>20</v>
      </c>
      <c r="B69" s="49">
        <f>chartData!N68</f>
        <v>0</v>
      </c>
      <c r="C69" s="49">
        <f>chartData!O68</f>
        <v>0</v>
      </c>
      <c r="D69" s="49">
        <f>chartData!P68</f>
        <v>0</v>
      </c>
      <c r="E69" s="49">
        <f>chartData!Q68</f>
        <v>0</v>
      </c>
    </row>
    <row r="70" spans="1:5" x14ac:dyDescent="0.3">
      <c r="A70" s="50" t="s">
        <v>21</v>
      </c>
      <c r="B70" s="51">
        <f>chartData!N81</f>
        <v>0</v>
      </c>
      <c r="C70" s="51">
        <f>chartData!O81</f>
        <v>0</v>
      </c>
      <c r="D70" s="51">
        <f>chartData!P81</f>
        <v>0</v>
      </c>
      <c r="E70" s="51">
        <f>chartData!Q81</f>
        <v>0</v>
      </c>
    </row>
    <row r="71" spans="1:5" x14ac:dyDescent="0.3">
      <c r="A71" s="52"/>
      <c r="B71" s="52"/>
      <c r="C71" s="52"/>
      <c r="D71" s="52"/>
      <c r="E71" s="52"/>
    </row>
    <row r="72" spans="1:5" x14ac:dyDescent="0.3">
      <c r="A72" s="52"/>
      <c r="B72" s="52"/>
      <c r="C72" s="52"/>
      <c r="D72" s="52"/>
      <c r="E72" s="52"/>
    </row>
    <row r="73" spans="1:5" x14ac:dyDescent="0.3">
      <c r="A73" s="52" t="s">
        <v>11</v>
      </c>
      <c r="B73" s="52"/>
      <c r="C73" s="52"/>
      <c r="D73" s="52"/>
      <c r="E73" s="52"/>
    </row>
    <row r="74" spans="1:5" x14ac:dyDescent="0.3">
      <c r="A74" s="46" t="s">
        <v>17</v>
      </c>
      <c r="B74" s="47" t="s">
        <v>23</v>
      </c>
      <c r="C74" s="47" t="s">
        <v>24</v>
      </c>
      <c r="D74" s="53" t="s">
        <v>26</v>
      </c>
      <c r="E74" s="47" t="s">
        <v>25</v>
      </c>
    </row>
    <row r="75" spans="1:5" x14ac:dyDescent="0.3">
      <c r="A75" s="48" t="s">
        <v>18</v>
      </c>
      <c r="B75" s="49">
        <f>chartData!N43</f>
        <v>3.8</v>
      </c>
      <c r="C75" s="49">
        <f>chartData!O43</f>
        <v>3.3</v>
      </c>
      <c r="D75" s="49">
        <f>chartData!P43</f>
        <v>0</v>
      </c>
      <c r="E75" s="49">
        <f>chartData!Q43</f>
        <v>533.20000000000005</v>
      </c>
    </row>
    <row r="76" spans="1:5" x14ac:dyDescent="0.3">
      <c r="A76" s="48" t="s">
        <v>19</v>
      </c>
      <c r="B76" s="49">
        <f>chartData!N56</f>
        <v>21.4</v>
      </c>
      <c r="C76" s="49">
        <f>chartData!O56</f>
        <v>16.3</v>
      </c>
      <c r="D76" s="49">
        <f>chartData!P56</f>
        <v>0</v>
      </c>
      <c r="E76" s="49">
        <f>chartData!Q56</f>
        <v>10428.9</v>
      </c>
    </row>
    <row r="77" spans="1:5" x14ac:dyDescent="0.3">
      <c r="A77" s="48" t="s">
        <v>20</v>
      </c>
      <c r="B77" s="49">
        <f>chartData!N69</f>
        <v>0</v>
      </c>
      <c r="C77" s="49">
        <f>chartData!O69</f>
        <v>0</v>
      </c>
      <c r="D77" s="49">
        <f>chartData!P69</f>
        <v>0</v>
      </c>
      <c r="E77" s="49">
        <f>chartData!Q69</f>
        <v>0</v>
      </c>
    </row>
    <row r="78" spans="1:5" x14ac:dyDescent="0.3">
      <c r="A78" s="50" t="s">
        <v>21</v>
      </c>
      <c r="B78" s="51">
        <f>chartData!N82</f>
        <v>0</v>
      </c>
      <c r="C78" s="51">
        <f>chartData!O82</f>
        <v>0</v>
      </c>
      <c r="D78" s="51">
        <f>chartData!P82</f>
        <v>0</v>
      </c>
      <c r="E78" s="51">
        <f>chartData!Q82</f>
        <v>0</v>
      </c>
    </row>
    <row r="81" spans="1:8" x14ac:dyDescent="0.3">
      <c r="A81" s="54" t="s">
        <v>27</v>
      </c>
      <c r="B81" s="52"/>
      <c r="C81" s="52"/>
      <c r="D81" s="52"/>
      <c r="E81" s="52"/>
    </row>
    <row r="82" spans="1:8" x14ac:dyDescent="0.3">
      <c r="A82" s="46" t="s">
        <v>17</v>
      </c>
      <c r="B82" s="47" t="s">
        <v>23</v>
      </c>
      <c r="C82" s="47" t="s">
        <v>24</v>
      </c>
      <c r="D82" s="53" t="s">
        <v>26</v>
      </c>
      <c r="E82" s="47" t="s">
        <v>25</v>
      </c>
    </row>
    <row r="83" spans="1:8" x14ac:dyDescent="0.3">
      <c r="A83" s="48" t="s">
        <v>18</v>
      </c>
      <c r="B83" s="49">
        <f>chartData!N44</f>
        <v>0</v>
      </c>
      <c r="C83" s="49">
        <f>chartData!O44</f>
        <v>0</v>
      </c>
      <c r="D83" s="49">
        <f>chartData!P44</f>
        <v>0</v>
      </c>
      <c r="E83" s="49">
        <f>chartData!Q44</f>
        <v>0</v>
      </c>
    </row>
    <row r="84" spans="1:8" x14ac:dyDescent="0.3">
      <c r="A84" s="48" t="s">
        <v>19</v>
      </c>
      <c r="B84" s="49">
        <f>chartData!N57</f>
        <v>0</v>
      </c>
      <c r="C84" s="49">
        <f>chartData!O57</f>
        <v>0</v>
      </c>
      <c r="D84" s="49">
        <f>chartData!P57</f>
        <v>0</v>
      </c>
      <c r="E84" s="49">
        <f>chartData!Q57</f>
        <v>0</v>
      </c>
    </row>
    <row r="85" spans="1:8" x14ac:dyDescent="0.3">
      <c r="A85" s="48" t="s">
        <v>20</v>
      </c>
      <c r="B85" s="49">
        <f>chartData!N70</f>
        <v>0</v>
      </c>
      <c r="C85" s="49">
        <f>chartData!O70</f>
        <v>0</v>
      </c>
      <c r="D85" s="49">
        <f>chartData!P70</f>
        <v>0</v>
      </c>
      <c r="E85" s="49">
        <f>chartData!Q70</f>
        <v>0</v>
      </c>
      <c r="F85" s="19"/>
      <c r="G85" s="19"/>
      <c r="H85" s="19"/>
    </row>
    <row r="86" spans="1:8" x14ac:dyDescent="0.3">
      <c r="A86" s="50" t="s">
        <v>21</v>
      </c>
      <c r="B86" s="51">
        <f>chartData!N83</f>
        <v>0</v>
      </c>
      <c r="C86" s="51">
        <f>chartData!O83</f>
        <v>0</v>
      </c>
      <c r="D86" s="51">
        <f>chartData!P83</f>
        <v>0</v>
      </c>
      <c r="E86" s="51">
        <f>chartData!Q83</f>
        <v>0</v>
      </c>
      <c r="F86" s="19"/>
      <c r="G86" s="19"/>
      <c r="H86" s="19"/>
    </row>
    <row r="87" spans="1:8" x14ac:dyDescent="0.3">
      <c r="A87" s="19"/>
      <c r="B87" s="19"/>
      <c r="C87" s="19"/>
      <c r="D87" s="19"/>
      <c r="E87" s="19"/>
      <c r="F87" s="19"/>
      <c r="G87" s="19"/>
      <c r="H87" s="19"/>
    </row>
    <row r="88" spans="1:8" x14ac:dyDescent="0.3">
      <c r="A88" s="19"/>
      <c r="B88" s="19"/>
      <c r="C88" s="19"/>
      <c r="D88" s="19"/>
      <c r="E88" s="19"/>
      <c r="F88" s="19"/>
      <c r="G88" s="19"/>
      <c r="H88" s="19"/>
    </row>
    <row r="89" spans="1:8" x14ac:dyDescent="0.3">
      <c r="A89" s="19"/>
      <c r="B89" s="19"/>
      <c r="C89" s="19"/>
      <c r="D89" s="19"/>
      <c r="E89" s="19"/>
      <c r="F89" s="19"/>
      <c r="G89" s="19"/>
      <c r="H89" s="19"/>
    </row>
    <row r="90" spans="1:8" x14ac:dyDescent="0.3">
      <c r="A90" s="19"/>
      <c r="B90" s="19"/>
      <c r="C90" s="19"/>
      <c r="D90" s="19"/>
      <c r="E90" s="19"/>
      <c r="F90" s="19"/>
      <c r="G90" s="19"/>
      <c r="H90" s="19"/>
    </row>
    <row r="91" spans="1:8" x14ac:dyDescent="0.3">
      <c r="A91" s="19"/>
      <c r="B91" s="19"/>
      <c r="C91" s="19"/>
      <c r="D91" s="19"/>
      <c r="E91" s="19"/>
      <c r="F91" s="19"/>
      <c r="G91" s="19"/>
      <c r="H91" s="19"/>
    </row>
    <row r="92" spans="1:8" x14ac:dyDescent="0.3">
      <c r="A92" s="19"/>
      <c r="B92" s="19"/>
      <c r="C92" s="19"/>
      <c r="D92" s="19"/>
      <c r="E92" s="19"/>
      <c r="F92" s="19"/>
      <c r="G92" s="19"/>
      <c r="H92" s="19"/>
    </row>
    <row r="93" spans="1:8" x14ac:dyDescent="0.3">
      <c r="A93" s="19"/>
      <c r="B93" s="19"/>
      <c r="C93" s="19"/>
      <c r="D93" s="19"/>
      <c r="E93" s="19"/>
      <c r="F93" s="19"/>
      <c r="G93" s="19"/>
      <c r="H93" s="19"/>
    </row>
    <row r="94" spans="1:8" x14ac:dyDescent="0.3">
      <c r="A94" s="19"/>
      <c r="B94" s="19"/>
      <c r="C94" s="19"/>
      <c r="D94" s="19"/>
      <c r="E94" s="19"/>
      <c r="F94" s="19"/>
      <c r="G94" s="19"/>
      <c r="H94" s="19"/>
    </row>
    <row r="95" spans="1:8" x14ac:dyDescent="0.3">
      <c r="A95" s="19"/>
      <c r="B95" s="19"/>
      <c r="C95" s="19"/>
      <c r="D95" s="19"/>
      <c r="E95" s="19"/>
      <c r="F95" s="19"/>
      <c r="G95" s="19"/>
      <c r="H95" s="19"/>
    </row>
    <row r="96" spans="1:8" x14ac:dyDescent="0.3">
      <c r="A96" s="19"/>
      <c r="B96" s="19"/>
      <c r="C96" s="19"/>
      <c r="D96" s="19"/>
      <c r="E96" s="19"/>
      <c r="F96" s="19"/>
      <c r="G96" s="19"/>
      <c r="H96" s="19"/>
    </row>
    <row r="97" spans="1:8" x14ac:dyDescent="0.3">
      <c r="A97" s="19"/>
      <c r="B97" s="19"/>
      <c r="C97" s="19"/>
      <c r="D97" s="19"/>
      <c r="E97" s="19"/>
      <c r="F97" s="19"/>
      <c r="G97" s="19"/>
      <c r="H97" s="19"/>
    </row>
    <row r="98" spans="1:8" x14ac:dyDescent="0.3">
      <c r="A98" s="19"/>
      <c r="B98" s="19"/>
      <c r="C98" s="19"/>
      <c r="D98" s="19"/>
      <c r="E98" s="19"/>
      <c r="F98" s="19"/>
      <c r="G98" s="19"/>
      <c r="H98" s="19"/>
    </row>
    <row r="99" spans="1:8" x14ac:dyDescent="0.3">
      <c r="A99" s="19"/>
      <c r="B99" s="19"/>
      <c r="C99" s="19"/>
      <c r="D99" s="19"/>
      <c r="E99" s="19"/>
      <c r="F99" s="19"/>
      <c r="G99" s="19"/>
      <c r="H99" s="19"/>
    </row>
    <row r="100" spans="1:8" x14ac:dyDescent="0.3">
      <c r="A100" s="19"/>
      <c r="B100" s="19"/>
      <c r="C100" s="19"/>
      <c r="D100" s="19"/>
      <c r="E100" s="19"/>
      <c r="F100" s="19"/>
      <c r="G100" s="19"/>
      <c r="H100" s="19"/>
    </row>
    <row r="101" spans="1:8" x14ac:dyDescent="0.3">
      <c r="A101" s="19"/>
      <c r="B101" s="19"/>
      <c r="C101" s="19"/>
      <c r="D101" s="19"/>
      <c r="E101" s="19"/>
      <c r="F101" s="19"/>
      <c r="G101" s="19"/>
      <c r="H101" s="19"/>
    </row>
    <row r="102" spans="1:8" x14ac:dyDescent="0.3">
      <c r="A102" s="19"/>
      <c r="B102" s="19"/>
      <c r="C102" s="19"/>
      <c r="D102" s="19"/>
      <c r="E102" s="19"/>
      <c r="F102" s="19"/>
      <c r="G102" s="19"/>
      <c r="H102" s="19"/>
    </row>
    <row r="103" spans="1:8" x14ac:dyDescent="0.3">
      <c r="A103" s="19"/>
      <c r="B103" s="19"/>
      <c r="C103" s="19"/>
      <c r="D103" s="19"/>
      <c r="E103" s="19"/>
      <c r="F103" s="19"/>
      <c r="G103" s="19"/>
      <c r="H103" s="19"/>
    </row>
    <row r="104" spans="1:8" x14ac:dyDescent="0.3">
      <c r="A104" s="19"/>
      <c r="B104" s="19"/>
      <c r="C104" s="19"/>
      <c r="D104" s="19"/>
      <c r="E104" s="19"/>
      <c r="F104" s="19"/>
      <c r="G104" s="19"/>
      <c r="H104" s="19"/>
    </row>
    <row r="105" spans="1:8" x14ac:dyDescent="0.3">
      <c r="A105" s="19"/>
      <c r="B105" s="19"/>
      <c r="C105" s="19"/>
      <c r="D105" s="19"/>
      <c r="E105" s="19"/>
      <c r="F105" s="19"/>
      <c r="G105" s="19"/>
      <c r="H105" s="19"/>
    </row>
    <row r="106" spans="1:8" x14ac:dyDescent="0.3">
      <c r="A106" s="19"/>
      <c r="B106" s="19"/>
      <c r="C106" s="19"/>
      <c r="D106" s="19"/>
      <c r="E106" s="19"/>
      <c r="F106" s="19"/>
      <c r="G106" s="19"/>
      <c r="H106" s="19"/>
    </row>
    <row r="107" spans="1:8" x14ac:dyDescent="0.3">
      <c r="A107" s="19"/>
      <c r="B107" s="19"/>
      <c r="C107" s="19"/>
      <c r="D107" s="19"/>
      <c r="E107" s="19"/>
      <c r="F107" s="19"/>
      <c r="G107" s="19"/>
      <c r="H107" s="19"/>
    </row>
    <row r="108" spans="1:8" x14ac:dyDescent="0.3">
      <c r="A108" s="19"/>
      <c r="B108" s="19"/>
      <c r="C108" s="19"/>
      <c r="D108" s="19"/>
      <c r="E108" s="19"/>
      <c r="F108" s="19"/>
      <c r="G108" s="19"/>
      <c r="H108" s="19"/>
    </row>
    <row r="109" spans="1:8" x14ac:dyDescent="0.3">
      <c r="A109" s="19"/>
      <c r="B109" s="19"/>
      <c r="C109" s="19"/>
      <c r="D109" s="19"/>
      <c r="E109" s="19"/>
      <c r="F109" s="19"/>
      <c r="G109" s="19"/>
      <c r="H109" s="19"/>
    </row>
    <row r="110" spans="1:8" x14ac:dyDescent="0.3">
      <c r="A110" s="19"/>
      <c r="B110" s="19"/>
      <c r="C110" s="19"/>
      <c r="D110" s="19"/>
      <c r="E110" s="19"/>
      <c r="F110" s="19"/>
      <c r="G110" s="19"/>
      <c r="H110" s="19"/>
    </row>
    <row r="111" spans="1:8" x14ac:dyDescent="0.3">
      <c r="A111" s="19"/>
      <c r="B111" s="19"/>
      <c r="C111" s="19"/>
      <c r="D111" s="19"/>
      <c r="E111" s="19"/>
      <c r="F111" s="19"/>
      <c r="G111" s="19"/>
      <c r="H111" s="19"/>
    </row>
    <row r="112" spans="1:8" x14ac:dyDescent="0.3">
      <c r="A112" s="19"/>
      <c r="B112" s="19"/>
      <c r="C112" s="19"/>
      <c r="D112" s="19"/>
      <c r="E112" s="19"/>
      <c r="F112" s="19"/>
      <c r="G112" s="19"/>
      <c r="H112" s="19"/>
    </row>
    <row r="113" spans="1:8" x14ac:dyDescent="0.3">
      <c r="A113" s="19"/>
      <c r="B113" s="19"/>
      <c r="C113" s="19"/>
      <c r="D113" s="19"/>
      <c r="E113" s="19"/>
      <c r="F113" s="19"/>
      <c r="G113" s="19"/>
      <c r="H113" s="19"/>
    </row>
    <row r="114" spans="1:8" x14ac:dyDescent="0.3">
      <c r="A114" s="19"/>
      <c r="B114" s="19"/>
      <c r="C114" s="19"/>
      <c r="D114" s="19"/>
      <c r="E114" s="19"/>
      <c r="F114" s="19"/>
      <c r="G114" s="19"/>
      <c r="H114" s="19"/>
    </row>
    <row r="115" spans="1:8" x14ac:dyDescent="0.3">
      <c r="A115" s="19"/>
      <c r="B115" s="19"/>
      <c r="C115" s="19"/>
      <c r="D115" s="19"/>
      <c r="E115" s="19"/>
      <c r="F115" s="19"/>
      <c r="G115" s="19"/>
      <c r="H115" s="19"/>
    </row>
    <row r="116" spans="1:8" x14ac:dyDescent="0.3">
      <c r="A116" s="19"/>
      <c r="B116" s="19"/>
      <c r="C116" s="19"/>
      <c r="D116" s="19"/>
      <c r="E116" s="19"/>
      <c r="F116" s="19"/>
      <c r="G116" s="19"/>
      <c r="H116" s="19"/>
    </row>
    <row r="117" spans="1:8" x14ac:dyDescent="0.3">
      <c r="A117" s="19"/>
      <c r="B117" s="19"/>
      <c r="C117" s="19"/>
      <c r="D117" s="19"/>
      <c r="E117" s="19"/>
      <c r="F117" s="19"/>
      <c r="G117" s="19"/>
      <c r="H117" s="19"/>
    </row>
    <row r="118" spans="1:8" x14ac:dyDescent="0.3">
      <c r="A118" s="19"/>
      <c r="B118" s="19"/>
      <c r="C118" s="19"/>
      <c r="D118" s="19"/>
      <c r="E118" s="19"/>
      <c r="F118" s="19"/>
      <c r="G118" s="19"/>
      <c r="H118" s="19"/>
    </row>
    <row r="119" spans="1:8" x14ac:dyDescent="0.3">
      <c r="A119" s="19"/>
      <c r="B119" s="19"/>
      <c r="C119" s="19"/>
      <c r="D119" s="19"/>
      <c r="E119" s="19"/>
      <c r="F119" s="19"/>
      <c r="G119" s="19"/>
      <c r="H119" s="19"/>
    </row>
  </sheetData>
  <pageMargins left="0.7" right="0.7" top="0.75" bottom="0.75" header="0.3" footer="0.3"/>
  <pageSetup orientation="portrait" horizontalDpi="300" verticalDpi="300" r:id="rId1"/>
  <ignoredErrors>
    <ignoredError sqref="B3:B6 B11:B78 B83:B86" calculatedColumn="1"/>
  </ignoredErrors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1cimxml</vt:lpstr>
      <vt:lpstr>10cimxml</vt:lpstr>
      <vt:lpstr>100cimxml</vt:lpstr>
      <vt:lpstr>1000cimxl</vt:lpstr>
      <vt:lpstr>chartData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Mitic</dc:creator>
  <cp:lastModifiedBy>Dimitrije Mitic</cp:lastModifiedBy>
  <dcterms:created xsi:type="dcterms:W3CDTF">2021-09-19T10:55:48Z</dcterms:created>
  <dcterms:modified xsi:type="dcterms:W3CDTF">2021-09-24T20:52:40Z</dcterms:modified>
</cp:coreProperties>
</file>