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945" windowWidth="14805" windowHeight="7170" tabRatio="644" firstSheet="3" activeTab="6"/>
  </bookViews>
  <sheets>
    <sheet name="tempVsADC" sheetId="1" r:id="rId1"/>
    <sheet name="ADCvsTemp" sheetId="2" r:id="rId2"/>
    <sheet name="mesurement" sheetId="3" r:id="rId3"/>
    <sheet name="Sheet1" sheetId="4" r:id="rId4"/>
    <sheet name="Sheet2" sheetId="5" r:id="rId5"/>
    <sheet name="Air Therm-Curve-Z" sheetId="6" r:id="rId6"/>
    <sheet name="KTY83-110-Motor Therm" sheetId="7" r:id="rId7"/>
    <sheet name="KTY83-110-Amb Therm" sheetId="8" r:id="rId8"/>
    <sheet name="AHU-Motor Therm" sheetId="9" r:id="rId9"/>
  </sheets>
  <definedNames>
    <definedName name="Z_Curve_Termistor_1" localSheetId="5">'Air Therm-Curve-Z'!$G$4:$L$47</definedName>
    <definedName name="Z_Curve_Termistor_1" localSheetId="6">'KTY83-110-Motor Therm'!$C$4:$I$32</definedName>
  </definedNames>
  <calcPr calcId="144525"/>
</workbook>
</file>

<file path=xl/calcChain.xml><?xml version="1.0" encoding="utf-8"?>
<calcChain xmlns="http://schemas.openxmlformats.org/spreadsheetml/2006/main">
  <c r="E2" i="9" l="1"/>
  <c r="C2" i="9" s="1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A19" i="9" s="1"/>
  <c r="B20" i="9"/>
  <c r="B21" i="9"/>
  <c r="B22" i="9"/>
  <c r="B23" i="9"/>
  <c r="B24" i="9"/>
  <c r="B25" i="9"/>
  <c r="A25" i="9" s="1"/>
  <c r="B26" i="9"/>
  <c r="B27" i="9"/>
  <c r="A27" i="9" s="1"/>
  <c r="B28" i="9"/>
  <c r="B29" i="9"/>
  <c r="B30" i="9"/>
  <c r="B31" i="9"/>
  <c r="B32" i="9"/>
  <c r="B33" i="9"/>
  <c r="B34" i="9"/>
  <c r="B35" i="9"/>
  <c r="B6" i="9"/>
  <c r="D7" i="9"/>
  <c r="D8" i="9"/>
  <c r="D9" i="9"/>
  <c r="D10" i="9"/>
  <c r="D11" i="9"/>
  <c r="A11" i="9" s="1"/>
  <c r="D12" i="9"/>
  <c r="D13" i="9"/>
  <c r="A13" i="9" s="1"/>
  <c r="D14" i="9"/>
  <c r="D15" i="9"/>
  <c r="D16" i="9"/>
  <c r="D17" i="9"/>
  <c r="A17" i="9" s="1"/>
  <c r="D18" i="9"/>
  <c r="D19" i="9"/>
  <c r="D20" i="9"/>
  <c r="D21" i="9"/>
  <c r="A21" i="9" s="1"/>
  <c r="D22" i="9"/>
  <c r="D23" i="9"/>
  <c r="D24" i="9"/>
  <c r="A24" i="9" s="1"/>
  <c r="D25" i="9"/>
  <c r="D26" i="9"/>
  <c r="D27" i="9"/>
  <c r="D28" i="9"/>
  <c r="D29" i="9"/>
  <c r="D30" i="9"/>
  <c r="D31" i="9"/>
  <c r="A31" i="9" s="1"/>
  <c r="D32" i="9"/>
  <c r="D33" i="9"/>
  <c r="A33" i="9" s="1"/>
  <c r="D34" i="9"/>
  <c r="D35" i="9"/>
  <c r="D6" i="9"/>
  <c r="A35" i="9"/>
  <c r="A34" i="9"/>
  <c r="A32" i="9"/>
  <c r="A30" i="9"/>
  <c r="A29" i="9"/>
  <c r="A26" i="9"/>
  <c r="A23" i="9"/>
  <c r="A22" i="9"/>
  <c r="A20" i="9"/>
  <c r="A18" i="9"/>
  <c r="A16" i="9"/>
  <c r="A15" i="9"/>
  <c r="A14" i="9"/>
  <c r="A12" i="9"/>
  <c r="A10" i="9"/>
  <c r="A9" i="9"/>
  <c r="A8" i="9"/>
  <c r="A7" i="9"/>
  <c r="A28" i="9" l="1"/>
  <c r="A6" i="9"/>
  <c r="I6" i="8"/>
  <c r="H35" i="8" l="1"/>
  <c r="H34" i="8"/>
  <c r="H33" i="8"/>
  <c r="M33" i="7"/>
  <c r="H9" i="8"/>
  <c r="H12" i="8"/>
  <c r="H15" i="8"/>
  <c r="H18" i="8"/>
  <c r="H21" i="8"/>
  <c r="H24" i="8"/>
  <c r="H27" i="8"/>
  <c r="H30" i="8"/>
  <c r="H32" i="8"/>
  <c r="H6" i="8"/>
  <c r="M15" i="7"/>
  <c r="M18" i="7"/>
  <c r="M21" i="7"/>
  <c r="M24" i="7"/>
  <c r="M27" i="7"/>
  <c r="M30" i="7"/>
  <c r="M32" i="7"/>
  <c r="M12" i="7"/>
  <c r="C35" i="8" l="1"/>
  <c r="C34" i="8"/>
  <c r="C33" i="8"/>
  <c r="C32" i="8"/>
  <c r="B32" i="8" s="1"/>
  <c r="C31" i="8"/>
  <c r="C30" i="8"/>
  <c r="C29" i="8"/>
  <c r="C28" i="8"/>
  <c r="C27" i="8"/>
  <c r="C26" i="8"/>
  <c r="C25" i="8"/>
  <c r="B25" i="8" s="1"/>
  <c r="C24" i="8"/>
  <c r="B24" i="8" s="1"/>
  <c r="C23" i="8"/>
  <c r="C22" i="8"/>
  <c r="C21" i="8"/>
  <c r="B21" i="8" s="1"/>
  <c r="C20" i="8"/>
  <c r="C19" i="8"/>
  <c r="C18" i="8"/>
  <c r="C17" i="8"/>
  <c r="B17" i="8" s="1"/>
  <c r="C16" i="8"/>
  <c r="B16" i="8" s="1"/>
  <c r="C15" i="8"/>
  <c r="C14" i="8"/>
  <c r="C13" i="8"/>
  <c r="B13" i="8" s="1"/>
  <c r="C12" i="8"/>
  <c r="C11" i="8"/>
  <c r="C10" i="8"/>
  <c r="B10" i="8" s="1"/>
  <c r="C9" i="8"/>
  <c r="C8" i="8"/>
  <c r="B8" i="8" s="1"/>
  <c r="C7" i="8"/>
  <c r="C6" i="8"/>
  <c r="B6" i="8"/>
  <c r="B9" i="8"/>
  <c r="B14" i="8"/>
  <c r="B22" i="8"/>
  <c r="B26" i="8"/>
  <c r="B29" i="8"/>
  <c r="B30" i="8"/>
  <c r="B18" i="8"/>
  <c r="E2" i="8"/>
  <c r="B7" i="8"/>
  <c r="B11" i="8"/>
  <c r="B12" i="8"/>
  <c r="B15" i="8"/>
  <c r="B19" i="8"/>
  <c r="B20" i="8"/>
  <c r="B23" i="8"/>
  <c r="B27" i="8"/>
  <c r="B28" i="8"/>
  <c r="B31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B35" i="8" s="1"/>
  <c r="E7" i="8"/>
  <c r="E6" i="8"/>
  <c r="C2" i="8" l="1"/>
  <c r="F2" i="8"/>
  <c r="B34" i="8"/>
  <c r="B33" i="8"/>
  <c r="H6" i="7"/>
  <c r="H7" i="7"/>
  <c r="H8" i="7"/>
  <c r="H9" i="7"/>
  <c r="H10" i="7"/>
  <c r="H11" i="7"/>
  <c r="H12" i="7"/>
  <c r="H13" i="7"/>
  <c r="H14" i="7"/>
  <c r="H15" i="7"/>
  <c r="A34" i="7"/>
  <c r="A35" i="7"/>
  <c r="D35" i="7"/>
  <c r="B35" i="7" s="1"/>
  <c r="D34" i="7"/>
  <c r="B34" i="7" s="1"/>
  <c r="D31" i="7"/>
  <c r="B31" i="7" s="1"/>
  <c r="D33" i="7"/>
  <c r="B33" i="7" s="1"/>
  <c r="A33" i="7" s="1"/>
  <c r="K8" i="7" l="1"/>
  <c r="K9" i="7"/>
  <c r="K12" i="7"/>
  <c r="K13" i="7"/>
  <c r="K6" i="7"/>
  <c r="J8" i="7"/>
  <c r="J9" i="7"/>
  <c r="J10" i="7"/>
  <c r="K10" i="7" s="1"/>
  <c r="J12" i="7"/>
  <c r="J13" i="7"/>
  <c r="J14" i="7"/>
  <c r="K14" i="7" s="1"/>
  <c r="J18" i="7"/>
  <c r="K18" i="7" s="1"/>
  <c r="J22" i="7"/>
  <c r="K22" i="7" s="1"/>
  <c r="J26" i="7"/>
  <c r="K26" i="7" s="1"/>
  <c r="J30" i="7"/>
  <c r="K30" i="7" s="1"/>
  <c r="J6" i="7"/>
  <c r="I7" i="7"/>
  <c r="J7" i="7" s="1"/>
  <c r="K7" i="7" s="1"/>
  <c r="I8" i="7"/>
  <c r="I9" i="7"/>
  <c r="I10" i="7"/>
  <c r="I11" i="7"/>
  <c r="J11" i="7" s="1"/>
  <c r="K11" i="7" s="1"/>
  <c r="I12" i="7"/>
  <c r="I13" i="7"/>
  <c r="I14" i="7"/>
  <c r="I15" i="7"/>
  <c r="J15" i="7" s="1"/>
  <c r="K15" i="7" s="1"/>
  <c r="I18" i="7"/>
  <c r="I19" i="7"/>
  <c r="J19" i="7" s="1"/>
  <c r="K19" i="7" s="1"/>
  <c r="I22" i="7"/>
  <c r="I23" i="7"/>
  <c r="J23" i="7" s="1"/>
  <c r="K23" i="7" s="1"/>
  <c r="I26" i="7"/>
  <c r="I27" i="7"/>
  <c r="J27" i="7" s="1"/>
  <c r="K27" i="7" s="1"/>
  <c r="I30" i="7"/>
  <c r="I31" i="7"/>
  <c r="J31" i="7" s="1"/>
  <c r="K31" i="7" s="1"/>
  <c r="I6" i="7"/>
  <c r="H16" i="7"/>
  <c r="I16" i="7" s="1"/>
  <c r="J16" i="7" s="1"/>
  <c r="K16" i="7" s="1"/>
  <c r="H17" i="7"/>
  <c r="I17" i="7" s="1"/>
  <c r="J17" i="7" s="1"/>
  <c r="K17" i="7" s="1"/>
  <c r="H18" i="7"/>
  <c r="H19" i="7"/>
  <c r="H20" i="7"/>
  <c r="I20" i="7" s="1"/>
  <c r="J20" i="7" s="1"/>
  <c r="K20" i="7" s="1"/>
  <c r="H21" i="7"/>
  <c r="I21" i="7" s="1"/>
  <c r="J21" i="7" s="1"/>
  <c r="K21" i="7" s="1"/>
  <c r="H22" i="7"/>
  <c r="H23" i="7"/>
  <c r="H24" i="7"/>
  <c r="I24" i="7" s="1"/>
  <c r="J24" i="7" s="1"/>
  <c r="K24" i="7" s="1"/>
  <c r="H25" i="7"/>
  <c r="I25" i="7" s="1"/>
  <c r="J25" i="7" s="1"/>
  <c r="K25" i="7" s="1"/>
  <c r="H26" i="7"/>
  <c r="H27" i="7"/>
  <c r="H28" i="7"/>
  <c r="I28" i="7" s="1"/>
  <c r="J28" i="7" s="1"/>
  <c r="K28" i="7" s="1"/>
  <c r="H29" i="7"/>
  <c r="I29" i="7" s="1"/>
  <c r="J29" i="7" s="1"/>
  <c r="K29" i="7" s="1"/>
  <c r="H30" i="7"/>
  <c r="H31" i="7"/>
  <c r="H32" i="7"/>
  <c r="I32" i="7" s="1"/>
  <c r="J32" i="7" s="1"/>
  <c r="K32" i="7" s="1"/>
  <c r="A7" i="7"/>
  <c r="A10" i="7"/>
  <c r="A13" i="7"/>
  <c r="A15" i="7"/>
  <c r="A23" i="7"/>
  <c r="A26" i="7"/>
  <c r="A27" i="7"/>
  <c r="A31" i="7"/>
  <c r="E2" i="7"/>
  <c r="C2" i="7" s="1"/>
  <c r="D28" i="7"/>
  <c r="B28" i="7" s="1"/>
  <c r="A28" i="7" s="1"/>
  <c r="D27" i="7"/>
  <c r="B27" i="7" s="1"/>
  <c r="D26" i="7"/>
  <c r="B26" i="7" s="1"/>
  <c r="D25" i="7"/>
  <c r="B25" i="7" s="1"/>
  <c r="A25" i="7" s="1"/>
  <c r="D24" i="7"/>
  <c r="B24" i="7" s="1"/>
  <c r="A24" i="7" s="1"/>
  <c r="D23" i="7"/>
  <c r="B23" i="7" s="1"/>
  <c r="D21" i="7"/>
  <c r="B21" i="7" s="1"/>
  <c r="A21" i="7" s="1"/>
  <c r="D15" i="7"/>
  <c r="B15" i="7" s="1"/>
  <c r="D14" i="7"/>
  <c r="B14" i="7" s="1"/>
  <c r="A14" i="7" s="1"/>
  <c r="D13" i="7"/>
  <c r="B13" i="7" s="1"/>
  <c r="D10" i="7"/>
  <c r="B10" i="7" s="1"/>
  <c r="D9" i="7"/>
  <c r="D8" i="7"/>
  <c r="B8" i="7" s="1"/>
  <c r="A8" i="7" s="1"/>
  <c r="D7" i="7"/>
  <c r="B7" i="7" s="1"/>
  <c r="M9" i="7" l="1"/>
  <c r="B9" i="7"/>
  <c r="A9" i="7" s="1"/>
  <c r="D6" i="7"/>
  <c r="D32" i="7"/>
  <c r="B32" i="7" s="1"/>
  <c r="A32" i="7" s="1"/>
  <c r="D12" i="7"/>
  <c r="B12" i="7" s="1"/>
  <c r="A12" i="7" s="1"/>
  <c r="D19" i="7"/>
  <c r="B19" i="7" s="1"/>
  <c r="A19" i="7" s="1"/>
  <c r="D11" i="7"/>
  <c r="B11" i="7" s="1"/>
  <c r="A11" i="7" s="1"/>
  <c r="D16" i="7"/>
  <c r="B16" i="7" s="1"/>
  <c r="A16" i="7" s="1"/>
  <c r="D18" i="7"/>
  <c r="B18" i="7" s="1"/>
  <c r="A18" i="7" s="1"/>
  <c r="D20" i="7"/>
  <c r="B20" i="7" s="1"/>
  <c r="A20" i="7" s="1"/>
  <c r="D22" i="7"/>
  <c r="B22" i="7" s="1"/>
  <c r="A22" i="7" s="1"/>
  <c r="D30" i="7"/>
  <c r="B30" i="7" s="1"/>
  <c r="A30" i="7" s="1"/>
  <c r="D17" i="7"/>
  <c r="B17" i="7" s="1"/>
  <c r="A17" i="7" s="1"/>
  <c r="D29" i="7"/>
  <c r="B29" i="7" s="1"/>
  <c r="A29" i="7" s="1"/>
  <c r="M6" i="7" l="1"/>
  <c r="B6" i="7"/>
  <c r="A6" i="7" s="1"/>
  <c r="H2" i="6"/>
  <c r="F2" i="6" s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" i="1"/>
  <c r="I7" i="6"/>
  <c r="H7" i="6" s="1"/>
  <c r="I8" i="6"/>
  <c r="H8" i="6" s="1"/>
  <c r="I9" i="6"/>
  <c r="H9" i="6" s="1"/>
  <c r="I10" i="6"/>
  <c r="H10" i="6" s="1"/>
  <c r="I11" i="6"/>
  <c r="H11" i="6" s="1"/>
  <c r="I12" i="6"/>
  <c r="H12" i="6" s="1"/>
  <c r="I13" i="6"/>
  <c r="H13" i="6" s="1"/>
  <c r="I14" i="6"/>
  <c r="H14" i="6" s="1"/>
  <c r="I15" i="6"/>
  <c r="H15" i="6" s="1"/>
  <c r="I16" i="6"/>
  <c r="H16" i="6" s="1"/>
  <c r="I17" i="6"/>
  <c r="H17" i="6" s="1"/>
  <c r="I18" i="6"/>
  <c r="H18" i="6" s="1"/>
  <c r="I19" i="6"/>
  <c r="H19" i="6" s="1"/>
  <c r="I20" i="6"/>
  <c r="H20" i="6" s="1"/>
  <c r="I21" i="6"/>
  <c r="H21" i="6" s="1"/>
  <c r="I22" i="6"/>
  <c r="H22" i="6" s="1"/>
  <c r="I23" i="6"/>
  <c r="H23" i="6" s="1"/>
  <c r="I24" i="6"/>
  <c r="H24" i="6" s="1"/>
  <c r="I25" i="6"/>
  <c r="H25" i="6" s="1"/>
  <c r="I26" i="6"/>
  <c r="H26" i="6" s="1"/>
  <c r="I27" i="6"/>
  <c r="H27" i="6" s="1"/>
  <c r="I28" i="6"/>
  <c r="H28" i="6" s="1"/>
  <c r="I29" i="6"/>
  <c r="H29" i="6" s="1"/>
  <c r="I30" i="6"/>
  <c r="H30" i="6" s="1"/>
  <c r="I31" i="6"/>
  <c r="H31" i="6" s="1"/>
  <c r="I32" i="6"/>
  <c r="H32" i="6" s="1"/>
  <c r="I33" i="6"/>
  <c r="H33" i="6" s="1"/>
  <c r="I34" i="6"/>
  <c r="H34" i="6" s="1"/>
  <c r="I35" i="6"/>
  <c r="H35" i="6" s="1"/>
  <c r="I36" i="6"/>
  <c r="H36" i="6" s="1"/>
  <c r="I37" i="6"/>
  <c r="H37" i="6" s="1"/>
  <c r="I38" i="6"/>
  <c r="H38" i="6" s="1"/>
  <c r="I39" i="6"/>
  <c r="H39" i="6" s="1"/>
  <c r="I40" i="6"/>
  <c r="H40" i="6" s="1"/>
  <c r="I41" i="6"/>
  <c r="H41" i="6" s="1"/>
  <c r="I42" i="6"/>
  <c r="H42" i="6" s="1"/>
  <c r="I43" i="6"/>
  <c r="H43" i="6" s="1"/>
  <c r="I44" i="6"/>
  <c r="H44" i="6" s="1"/>
  <c r="I45" i="6"/>
  <c r="H45" i="6" s="1"/>
  <c r="I46" i="6"/>
  <c r="H46" i="6" s="1"/>
  <c r="I47" i="6"/>
  <c r="H47" i="6" s="1"/>
  <c r="I6" i="6"/>
  <c r="H6" i="6" s="1"/>
  <c r="F293" i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279" i="1"/>
  <c r="F280" i="1"/>
  <c r="F281" i="1"/>
  <c r="F282" i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37" i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91" i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4" i="1"/>
  <c r="H3" i="1"/>
  <c r="B4" i="1"/>
  <c r="G3" i="1"/>
  <c r="F6" i="6" l="1"/>
  <c r="M6" i="6"/>
  <c r="F40" i="6"/>
  <c r="M40" i="6"/>
  <c r="M46" i="6"/>
  <c r="F46" i="6"/>
  <c r="E46" i="6" s="1"/>
  <c r="M42" i="6"/>
  <c r="F42" i="6"/>
  <c r="E42" i="6" s="1"/>
  <c r="M38" i="6"/>
  <c r="F38" i="6"/>
  <c r="E38" i="6" s="1"/>
  <c r="M34" i="6"/>
  <c r="F34" i="6"/>
  <c r="E34" i="6" s="1"/>
  <c r="M30" i="6"/>
  <c r="F30" i="6"/>
  <c r="E30" i="6" s="1"/>
  <c r="M26" i="6"/>
  <c r="F26" i="6"/>
  <c r="E26" i="6" s="1"/>
  <c r="M22" i="6"/>
  <c r="F22" i="6"/>
  <c r="M18" i="6"/>
  <c r="F18" i="6"/>
  <c r="E18" i="6" s="1"/>
  <c r="M14" i="6"/>
  <c r="F14" i="6"/>
  <c r="E14" i="6" s="1"/>
  <c r="M10" i="6"/>
  <c r="F10" i="6"/>
  <c r="E10" i="6" s="1"/>
  <c r="M45" i="6"/>
  <c r="F45" i="6"/>
  <c r="E45" i="6" s="1"/>
  <c r="M41" i="6"/>
  <c r="F41" i="6"/>
  <c r="E41" i="6" s="1"/>
  <c r="M37" i="6"/>
  <c r="F37" i="6"/>
  <c r="E37" i="6" s="1"/>
  <c r="M33" i="6"/>
  <c r="F33" i="6"/>
  <c r="E33" i="6" s="1"/>
  <c r="M29" i="6"/>
  <c r="F29" i="6"/>
  <c r="E29" i="6" s="1"/>
  <c r="M25" i="6"/>
  <c r="F25" i="6"/>
  <c r="E25" i="6" s="1"/>
  <c r="M21" i="6"/>
  <c r="F21" i="6"/>
  <c r="M17" i="6"/>
  <c r="F17" i="6"/>
  <c r="E17" i="6" s="1"/>
  <c r="M13" i="6"/>
  <c r="F13" i="6"/>
  <c r="M9" i="6"/>
  <c r="F9" i="6"/>
  <c r="E9" i="6" s="1"/>
  <c r="F44" i="6"/>
  <c r="M44" i="6"/>
  <c r="F36" i="6"/>
  <c r="M36" i="6"/>
  <c r="F32" i="6"/>
  <c r="M32" i="6"/>
  <c r="F28" i="6"/>
  <c r="M28" i="6"/>
  <c r="F24" i="6"/>
  <c r="M24" i="6"/>
  <c r="M20" i="6"/>
  <c r="F20" i="6"/>
  <c r="M16" i="6"/>
  <c r="F16" i="6"/>
  <c r="M12" i="6"/>
  <c r="F12" i="6"/>
  <c r="M8" i="6"/>
  <c r="F8" i="6"/>
  <c r="F47" i="6"/>
  <c r="M47" i="6"/>
  <c r="F43" i="6"/>
  <c r="M43" i="6"/>
  <c r="F39" i="6"/>
  <c r="M39" i="6"/>
  <c r="F35" i="6"/>
  <c r="M35" i="6"/>
  <c r="F31" i="6"/>
  <c r="M31" i="6"/>
  <c r="F27" i="6"/>
  <c r="M27" i="6"/>
  <c r="F23" i="6"/>
  <c r="M23" i="6"/>
  <c r="F19" i="6"/>
  <c r="M19" i="6"/>
  <c r="F15" i="6"/>
  <c r="M15" i="6"/>
  <c r="F11" i="6"/>
  <c r="M11" i="6"/>
  <c r="F7" i="6"/>
  <c r="M7" i="6"/>
  <c r="E22" i="6"/>
  <c r="E13" i="6"/>
  <c r="E21" i="6"/>
  <c r="C4" i="1"/>
  <c r="H3" i="5"/>
  <c r="L12" i="5"/>
  <c r="F3" i="5"/>
  <c r="B3" i="5"/>
  <c r="C3" i="5" s="1"/>
  <c r="A4" i="5"/>
  <c r="C4" i="5"/>
  <c r="L13" i="5"/>
  <c r="K23" i="5"/>
  <c r="B23" i="5"/>
  <c r="M18" i="5"/>
  <c r="E4" i="5"/>
  <c r="E15" i="6" l="1"/>
  <c r="E6" i="6"/>
  <c r="E44" i="6"/>
  <c r="E12" i="6"/>
  <c r="E7" i="6"/>
  <c r="E39" i="6"/>
  <c r="E16" i="6"/>
  <c r="E28" i="6"/>
  <c r="E11" i="6"/>
  <c r="E27" i="6"/>
  <c r="E43" i="6"/>
  <c r="E20" i="6"/>
  <c r="E31" i="6"/>
  <c r="E24" i="6"/>
  <c r="E19" i="6"/>
  <c r="E35" i="6"/>
  <c r="E8" i="6"/>
  <c r="E32" i="6"/>
  <c r="E36" i="6"/>
  <c r="E47" i="6"/>
  <c r="E23" i="6"/>
  <c r="E40" i="6"/>
  <c r="L23" i="5"/>
  <c r="D3" i="5"/>
  <c r="G3" i="5"/>
  <c r="H4" i="5"/>
  <c r="F4" i="5"/>
  <c r="D4" i="5"/>
  <c r="E5" i="5"/>
  <c r="G4" i="5"/>
  <c r="L47" i="4"/>
  <c r="L48" i="4" s="1"/>
  <c r="L49" i="4" s="1"/>
  <c r="L50" i="4" s="1"/>
  <c r="L51" i="4" s="1"/>
  <c r="L52" i="4" s="1"/>
  <c r="L46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3" i="4"/>
  <c r="P3" i="4"/>
  <c r="R4" i="4"/>
  <c r="P4" i="4" s="1"/>
  <c r="R5" i="4"/>
  <c r="P5" i="4" s="1"/>
  <c r="R6" i="4"/>
  <c r="P6" i="4" s="1"/>
  <c r="R7" i="4"/>
  <c r="P7" i="4" s="1"/>
  <c r="M23" i="1"/>
  <c r="G4" i="1" l="1"/>
  <c r="H4" i="1" s="1"/>
  <c r="H5" i="5"/>
  <c r="F5" i="5"/>
  <c r="G5" i="5"/>
  <c r="E6" i="5"/>
  <c r="H6" i="5" s="1"/>
  <c r="B3" i="1"/>
  <c r="C3" i="1" s="1"/>
  <c r="O18" i="1"/>
  <c r="B23" i="1"/>
  <c r="G5" i="1" l="1"/>
  <c r="H5" i="1" s="1"/>
  <c r="F6" i="5"/>
  <c r="G6" i="5" s="1"/>
  <c r="E7" i="5"/>
  <c r="H7" i="5" s="1"/>
  <c r="D20" i="3"/>
  <c r="D19" i="3"/>
  <c r="G6" i="1" l="1"/>
  <c r="H6" i="1" s="1"/>
  <c r="F7" i="5"/>
  <c r="G7" i="5" s="1"/>
  <c r="E8" i="5"/>
  <c r="H8" i="5" s="1"/>
  <c r="D18" i="3"/>
  <c r="D16" i="3"/>
  <c r="E16" i="3" s="1"/>
  <c r="D17" i="3"/>
  <c r="E17" i="3" s="1"/>
  <c r="D11" i="3"/>
  <c r="D12" i="3"/>
  <c r="E12" i="3"/>
  <c r="D13" i="3"/>
  <c r="E13" i="3" s="1"/>
  <c r="D14" i="3"/>
  <c r="D15" i="3"/>
  <c r="D10" i="3"/>
  <c r="E10" i="3"/>
  <c r="E6" i="3"/>
  <c r="E7" i="3"/>
  <c r="D4" i="3"/>
  <c r="E4" i="3" s="1"/>
  <c r="D5" i="3"/>
  <c r="E5" i="3" s="1"/>
  <c r="D6" i="3"/>
  <c r="D7" i="3"/>
  <c r="D8" i="3"/>
  <c r="E8" i="3" s="1"/>
  <c r="D9" i="3"/>
  <c r="E9" i="3" s="1"/>
  <c r="M4" i="3"/>
  <c r="E19" i="3" s="1"/>
  <c r="D3" i="3"/>
  <c r="E3" i="3" s="1"/>
  <c r="B4" i="3"/>
  <c r="B5" i="3" s="1"/>
  <c r="G7" i="1" l="1"/>
  <c r="H7" i="1" s="1"/>
  <c r="E15" i="3"/>
  <c r="E18" i="3"/>
  <c r="E14" i="3"/>
  <c r="E11" i="3"/>
  <c r="E20" i="3"/>
  <c r="F8" i="5"/>
  <c r="G8" i="5" s="1"/>
  <c r="E9" i="5"/>
  <c r="H9" i="5" s="1"/>
  <c r="D22" i="2"/>
  <c r="E22" i="2" s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C22" i="2"/>
  <c r="G9" i="1" l="1"/>
  <c r="H9" i="1" s="1"/>
  <c r="G8" i="1"/>
  <c r="H8" i="1" s="1"/>
  <c r="F9" i="5"/>
  <c r="G9" i="5" s="1"/>
  <c r="E10" i="5"/>
  <c r="H10" i="5" s="1"/>
  <c r="B23" i="2"/>
  <c r="C23" i="2" s="1"/>
  <c r="D23" i="2" s="1"/>
  <c r="E23" i="2" s="1"/>
  <c r="N12" i="1"/>
  <c r="D4" i="1" l="1"/>
  <c r="G10" i="1"/>
  <c r="H10" i="1" s="1"/>
  <c r="N23" i="1"/>
  <c r="D3" i="1"/>
  <c r="F10" i="5"/>
  <c r="G10" i="5" s="1"/>
  <c r="E11" i="5"/>
  <c r="H11" i="5" s="1"/>
  <c r="I5" i="1"/>
  <c r="I3" i="1"/>
  <c r="I4" i="1"/>
  <c r="B24" i="2"/>
  <c r="G11" i="1" l="1"/>
  <c r="H11" i="1" s="1"/>
  <c r="F11" i="5"/>
  <c r="G11" i="5" s="1"/>
  <c r="E12" i="5"/>
  <c r="H12" i="5" s="1"/>
  <c r="I6" i="1"/>
  <c r="C24" i="2"/>
  <c r="D24" i="2" s="1"/>
  <c r="E24" i="2" s="1"/>
  <c r="B25" i="2"/>
  <c r="G12" i="1" l="1"/>
  <c r="H12" i="1" s="1"/>
  <c r="F12" i="5"/>
  <c r="G12" i="5" s="1"/>
  <c r="E13" i="5"/>
  <c r="H13" i="5" s="1"/>
  <c r="I7" i="1"/>
  <c r="B26" i="2"/>
  <c r="C25" i="2"/>
  <c r="D25" i="2" s="1"/>
  <c r="E25" i="2" s="1"/>
  <c r="G13" i="1" l="1"/>
  <c r="H13" i="1" s="1"/>
  <c r="F13" i="5"/>
  <c r="G13" i="5" s="1"/>
  <c r="E14" i="5"/>
  <c r="H14" i="5" s="1"/>
  <c r="I8" i="1"/>
  <c r="B27" i="2"/>
  <c r="C26" i="2"/>
  <c r="D26" i="2" s="1"/>
  <c r="E26" i="2" s="1"/>
  <c r="G14" i="1" l="1"/>
  <c r="H14" i="1" s="1"/>
  <c r="F14" i="5"/>
  <c r="G14" i="5" s="1"/>
  <c r="E15" i="5"/>
  <c r="H15" i="5" s="1"/>
  <c r="I9" i="1"/>
  <c r="B28" i="2"/>
  <c r="C27" i="2"/>
  <c r="D27" i="2" s="1"/>
  <c r="E27" i="2" s="1"/>
  <c r="G15" i="1" l="1"/>
  <c r="H15" i="1" s="1"/>
  <c r="C28" i="2"/>
  <c r="D28" i="2" s="1"/>
  <c r="E28" i="2" s="1"/>
  <c r="B29" i="2"/>
  <c r="F15" i="5"/>
  <c r="G15" i="5" s="1"/>
  <c r="E16" i="5"/>
  <c r="H16" i="5" s="1"/>
  <c r="I10" i="1"/>
  <c r="G16" i="1" l="1"/>
  <c r="H16" i="1" s="1"/>
  <c r="B30" i="2"/>
  <c r="C29" i="2"/>
  <c r="D29" i="2" s="1"/>
  <c r="E29" i="2" s="1"/>
  <c r="F16" i="5"/>
  <c r="G16" i="5" s="1"/>
  <c r="E17" i="5"/>
  <c r="H17" i="5" s="1"/>
  <c r="I11" i="1"/>
  <c r="G17" i="1" l="1"/>
  <c r="H17" i="1" s="1"/>
  <c r="C30" i="2"/>
  <c r="D30" i="2" s="1"/>
  <c r="E30" i="2" s="1"/>
  <c r="B31" i="2"/>
  <c r="F17" i="5"/>
  <c r="G17" i="5" s="1"/>
  <c r="E18" i="5"/>
  <c r="H18" i="5" s="1"/>
  <c r="I12" i="1"/>
  <c r="G18" i="1" l="1"/>
  <c r="H18" i="1" s="1"/>
  <c r="B32" i="2"/>
  <c r="C31" i="2"/>
  <c r="D31" i="2" s="1"/>
  <c r="E31" i="2" s="1"/>
  <c r="F18" i="5"/>
  <c r="G18" i="5" s="1"/>
  <c r="E19" i="5"/>
  <c r="H19" i="5" s="1"/>
  <c r="I13" i="1"/>
  <c r="G19" i="1" l="1"/>
  <c r="H19" i="1" s="1"/>
  <c r="C32" i="2"/>
  <c r="D32" i="2" s="1"/>
  <c r="E32" i="2" s="1"/>
  <c r="B33" i="2"/>
  <c r="F19" i="5"/>
  <c r="G19" i="5" s="1"/>
  <c r="E20" i="5"/>
  <c r="H20" i="5" s="1"/>
  <c r="I14" i="1"/>
  <c r="G20" i="1" l="1"/>
  <c r="H20" i="1" s="1"/>
  <c r="C33" i="2"/>
  <c r="D33" i="2" s="1"/>
  <c r="E33" i="2" s="1"/>
  <c r="B34" i="2"/>
  <c r="F20" i="5"/>
  <c r="G20" i="5" s="1"/>
  <c r="E21" i="5"/>
  <c r="H21" i="5" s="1"/>
  <c r="I15" i="1"/>
  <c r="G21" i="1" l="1"/>
  <c r="H21" i="1" s="1"/>
  <c r="B35" i="2"/>
  <c r="C34" i="2"/>
  <c r="D34" i="2" s="1"/>
  <c r="E34" i="2" s="1"/>
  <c r="F21" i="5"/>
  <c r="G21" i="5" s="1"/>
  <c r="E22" i="5"/>
  <c r="H22" i="5" s="1"/>
  <c r="I16" i="1"/>
  <c r="G22" i="1" l="1"/>
  <c r="H22" i="1" s="1"/>
  <c r="B36" i="2"/>
  <c r="C35" i="2"/>
  <c r="D35" i="2" s="1"/>
  <c r="E35" i="2" s="1"/>
  <c r="F22" i="5"/>
  <c r="G22" i="5" s="1"/>
  <c r="E23" i="5"/>
  <c r="H23" i="5" s="1"/>
  <c r="I17" i="1"/>
  <c r="G23" i="1" l="1"/>
  <c r="H23" i="1" s="1"/>
  <c r="C36" i="2"/>
  <c r="D36" i="2" s="1"/>
  <c r="E36" i="2" s="1"/>
  <c r="B37" i="2"/>
  <c r="F23" i="5"/>
  <c r="G23" i="5" s="1"/>
  <c r="E24" i="5"/>
  <c r="H24" i="5" s="1"/>
  <c r="I18" i="1"/>
  <c r="G24" i="1" l="1"/>
  <c r="H24" i="1" s="1"/>
  <c r="C37" i="2"/>
  <c r="D37" i="2" s="1"/>
  <c r="E37" i="2" s="1"/>
  <c r="B38" i="2"/>
  <c r="F24" i="5"/>
  <c r="G24" i="5" s="1"/>
  <c r="E25" i="5"/>
  <c r="H25" i="5" s="1"/>
  <c r="I19" i="1"/>
  <c r="G25" i="1" l="1"/>
  <c r="H25" i="1" s="1"/>
  <c r="C38" i="2"/>
  <c r="D38" i="2" s="1"/>
  <c r="E38" i="2" s="1"/>
  <c r="B39" i="2"/>
  <c r="F25" i="5"/>
  <c r="G25" i="5" s="1"/>
  <c r="E26" i="5"/>
  <c r="H26" i="5" s="1"/>
  <c r="I20" i="1"/>
  <c r="G26" i="1" l="1"/>
  <c r="H26" i="1" s="1"/>
  <c r="C39" i="2"/>
  <c r="D39" i="2" s="1"/>
  <c r="E39" i="2" s="1"/>
  <c r="B40" i="2"/>
  <c r="F26" i="5"/>
  <c r="G26" i="5" s="1"/>
  <c r="E27" i="5"/>
  <c r="H27" i="5" s="1"/>
  <c r="I21" i="1"/>
  <c r="G27" i="1" l="1"/>
  <c r="H27" i="1" s="1"/>
  <c r="B41" i="2"/>
  <c r="C40" i="2"/>
  <c r="D40" i="2" s="1"/>
  <c r="E40" i="2" s="1"/>
  <c r="F27" i="5"/>
  <c r="G27" i="5" s="1"/>
  <c r="E28" i="5"/>
  <c r="H28" i="5" s="1"/>
  <c r="I22" i="1"/>
  <c r="G28" i="1" l="1"/>
  <c r="H28" i="1" s="1"/>
  <c r="B42" i="2"/>
  <c r="C41" i="2"/>
  <c r="D41" i="2" s="1"/>
  <c r="E41" i="2" s="1"/>
  <c r="F28" i="5"/>
  <c r="G28" i="5" s="1"/>
  <c r="E29" i="5"/>
  <c r="H29" i="5" s="1"/>
  <c r="I23" i="1"/>
  <c r="G29" i="1" l="1"/>
  <c r="H29" i="1" s="1"/>
  <c r="C42" i="2"/>
  <c r="D42" i="2" s="1"/>
  <c r="E42" i="2" s="1"/>
  <c r="B43" i="2"/>
  <c r="F29" i="5"/>
  <c r="G29" i="5" s="1"/>
  <c r="E30" i="5"/>
  <c r="H30" i="5" s="1"/>
  <c r="I24" i="1"/>
  <c r="G30" i="1" l="1"/>
  <c r="H30" i="1" s="1"/>
  <c r="B44" i="2"/>
  <c r="C43" i="2"/>
  <c r="D43" i="2" s="1"/>
  <c r="E43" i="2" s="1"/>
  <c r="F30" i="5"/>
  <c r="G30" i="5" s="1"/>
  <c r="E31" i="5"/>
  <c r="H31" i="5" s="1"/>
  <c r="I25" i="1"/>
  <c r="G31" i="1" l="1"/>
  <c r="H31" i="1" s="1"/>
  <c r="B45" i="2"/>
  <c r="C44" i="2"/>
  <c r="D44" i="2" s="1"/>
  <c r="E44" i="2" s="1"/>
  <c r="F31" i="5"/>
  <c r="G31" i="5" s="1"/>
  <c r="E32" i="5"/>
  <c r="H32" i="5" s="1"/>
  <c r="I26" i="1"/>
  <c r="G32" i="1" l="1"/>
  <c r="H32" i="1" s="1"/>
  <c r="C45" i="2"/>
  <c r="D45" i="2" s="1"/>
  <c r="E45" i="2" s="1"/>
  <c r="B46" i="2"/>
  <c r="F32" i="5"/>
  <c r="G32" i="5" s="1"/>
  <c r="E33" i="5"/>
  <c r="H33" i="5" s="1"/>
  <c r="I27" i="1"/>
  <c r="G33" i="1" l="1"/>
  <c r="H33" i="1" s="1"/>
  <c r="B47" i="2"/>
  <c r="C46" i="2"/>
  <c r="D46" i="2" s="1"/>
  <c r="E46" i="2" s="1"/>
  <c r="F33" i="5"/>
  <c r="G33" i="5" s="1"/>
  <c r="E34" i="5"/>
  <c r="H34" i="5" s="1"/>
  <c r="I28" i="1"/>
  <c r="G34" i="1" l="1"/>
  <c r="H34" i="1" s="1"/>
  <c r="B48" i="2"/>
  <c r="C47" i="2"/>
  <c r="D47" i="2" s="1"/>
  <c r="E47" i="2" s="1"/>
  <c r="F34" i="5"/>
  <c r="G34" i="5" s="1"/>
  <c r="E35" i="5"/>
  <c r="H35" i="5" s="1"/>
  <c r="I29" i="1"/>
  <c r="G35" i="1" l="1"/>
  <c r="H35" i="1" s="1"/>
  <c r="C48" i="2"/>
  <c r="D48" i="2" s="1"/>
  <c r="E48" i="2" s="1"/>
  <c r="B49" i="2"/>
  <c r="F35" i="5"/>
  <c r="G35" i="5" s="1"/>
  <c r="E36" i="5"/>
  <c r="H36" i="5" s="1"/>
  <c r="I30" i="1"/>
  <c r="G36" i="1" l="1"/>
  <c r="H36" i="1" s="1"/>
  <c r="C49" i="2"/>
  <c r="D49" i="2" s="1"/>
  <c r="E49" i="2" s="1"/>
  <c r="B50" i="2"/>
  <c r="F36" i="5"/>
  <c r="G36" i="5" s="1"/>
  <c r="E37" i="5"/>
  <c r="H37" i="5" s="1"/>
  <c r="I31" i="1"/>
  <c r="G37" i="1" l="1"/>
  <c r="H37" i="1" s="1"/>
  <c r="B51" i="2"/>
  <c r="C50" i="2"/>
  <c r="D50" i="2" s="1"/>
  <c r="E50" i="2" s="1"/>
  <c r="F37" i="5"/>
  <c r="G37" i="5" s="1"/>
  <c r="E38" i="5"/>
  <c r="H38" i="5" s="1"/>
  <c r="I32" i="1"/>
  <c r="G38" i="1" l="1"/>
  <c r="H38" i="1" s="1"/>
  <c r="B52" i="2"/>
  <c r="C51" i="2"/>
  <c r="D51" i="2" s="1"/>
  <c r="E51" i="2" s="1"/>
  <c r="F38" i="5"/>
  <c r="G38" i="5" s="1"/>
  <c r="E39" i="5"/>
  <c r="H39" i="5" s="1"/>
  <c r="I33" i="1"/>
  <c r="G39" i="1" l="1"/>
  <c r="H39" i="1" s="1"/>
  <c r="C52" i="2"/>
  <c r="D52" i="2" s="1"/>
  <c r="E52" i="2" s="1"/>
  <c r="B53" i="2"/>
  <c r="F39" i="5"/>
  <c r="G39" i="5" s="1"/>
  <c r="E40" i="5"/>
  <c r="H40" i="5" s="1"/>
  <c r="I34" i="1"/>
  <c r="G40" i="1" l="1"/>
  <c r="H40" i="1" s="1"/>
  <c r="C53" i="2"/>
  <c r="D53" i="2" s="1"/>
  <c r="E53" i="2" s="1"/>
  <c r="B54" i="2"/>
  <c r="F40" i="5"/>
  <c r="G40" i="5" s="1"/>
  <c r="E41" i="5"/>
  <c r="H41" i="5" s="1"/>
  <c r="I35" i="1"/>
  <c r="G41" i="1" l="1"/>
  <c r="H41" i="1" s="1"/>
  <c r="C54" i="2"/>
  <c r="D54" i="2" s="1"/>
  <c r="E54" i="2" s="1"/>
  <c r="B55" i="2"/>
  <c r="F41" i="5"/>
  <c r="G41" i="5" s="1"/>
  <c r="E42" i="5"/>
  <c r="H42" i="5" s="1"/>
  <c r="I36" i="1"/>
  <c r="G42" i="1" l="1"/>
  <c r="H42" i="1" s="1"/>
  <c r="C55" i="2"/>
  <c r="D55" i="2" s="1"/>
  <c r="E55" i="2" s="1"/>
  <c r="B56" i="2"/>
  <c r="F42" i="5"/>
  <c r="G42" i="5" s="1"/>
  <c r="E43" i="5"/>
  <c r="H43" i="5" s="1"/>
  <c r="I37" i="1"/>
  <c r="G43" i="1" l="1"/>
  <c r="H43" i="1" s="1"/>
  <c r="C56" i="2"/>
  <c r="D56" i="2" s="1"/>
  <c r="E56" i="2" s="1"/>
  <c r="B57" i="2"/>
  <c r="F43" i="5"/>
  <c r="G43" i="5" s="1"/>
  <c r="E44" i="5"/>
  <c r="H44" i="5" s="1"/>
  <c r="I38" i="1"/>
  <c r="G44" i="1" l="1"/>
  <c r="H44" i="1" s="1"/>
  <c r="C57" i="2"/>
  <c r="D57" i="2" s="1"/>
  <c r="E57" i="2" s="1"/>
  <c r="B58" i="2"/>
  <c r="F44" i="5"/>
  <c r="G44" i="5" s="1"/>
  <c r="E45" i="5"/>
  <c r="H45" i="5" s="1"/>
  <c r="I39" i="1"/>
  <c r="G45" i="1" l="1"/>
  <c r="H45" i="1" s="1"/>
  <c r="B59" i="2"/>
  <c r="C58" i="2"/>
  <c r="D58" i="2" s="1"/>
  <c r="E58" i="2" s="1"/>
  <c r="F45" i="5"/>
  <c r="G45" i="5" s="1"/>
  <c r="E46" i="5"/>
  <c r="H46" i="5" s="1"/>
  <c r="I40" i="1"/>
  <c r="G46" i="1" l="1"/>
  <c r="H46" i="1" s="1"/>
  <c r="C59" i="2"/>
  <c r="D59" i="2" s="1"/>
  <c r="E59" i="2" s="1"/>
  <c r="B60" i="2"/>
  <c r="F46" i="5"/>
  <c r="G46" i="5" s="1"/>
  <c r="E47" i="5"/>
  <c r="H47" i="5" s="1"/>
  <c r="I41" i="1"/>
  <c r="G47" i="1" l="1"/>
  <c r="H47" i="1" s="1"/>
  <c r="C60" i="2"/>
  <c r="D60" i="2" s="1"/>
  <c r="E60" i="2" s="1"/>
  <c r="B61" i="2"/>
  <c r="F47" i="5"/>
  <c r="G47" i="5" s="1"/>
  <c r="E48" i="5"/>
  <c r="H48" i="5" s="1"/>
  <c r="I42" i="1"/>
  <c r="G48" i="1" l="1"/>
  <c r="H48" i="1" s="1"/>
  <c r="C61" i="2"/>
  <c r="D61" i="2" s="1"/>
  <c r="E61" i="2" s="1"/>
  <c r="B62" i="2"/>
  <c r="F48" i="5"/>
  <c r="G48" i="5" s="1"/>
  <c r="E49" i="5"/>
  <c r="H49" i="5" s="1"/>
  <c r="I43" i="1"/>
  <c r="G49" i="1" l="1"/>
  <c r="H49" i="1" s="1"/>
  <c r="C62" i="2"/>
  <c r="D62" i="2" s="1"/>
  <c r="E62" i="2" s="1"/>
  <c r="B63" i="2"/>
  <c r="F49" i="5"/>
  <c r="G49" i="5" s="1"/>
  <c r="E50" i="5"/>
  <c r="H50" i="5" s="1"/>
  <c r="I44" i="1"/>
  <c r="G50" i="1" l="1"/>
  <c r="H50" i="1" s="1"/>
  <c r="B64" i="2"/>
  <c r="C63" i="2"/>
  <c r="D63" i="2" s="1"/>
  <c r="E63" i="2" s="1"/>
  <c r="F50" i="5"/>
  <c r="G50" i="5" s="1"/>
  <c r="E51" i="5"/>
  <c r="H51" i="5" s="1"/>
  <c r="I45" i="1"/>
  <c r="G51" i="1" l="1"/>
  <c r="H51" i="1" s="1"/>
  <c r="B65" i="2"/>
  <c r="C64" i="2"/>
  <c r="D64" i="2" s="1"/>
  <c r="E64" i="2" s="1"/>
  <c r="F51" i="5"/>
  <c r="G51" i="5" s="1"/>
  <c r="E52" i="5"/>
  <c r="H52" i="5" s="1"/>
  <c r="I46" i="1"/>
  <c r="G52" i="1" l="1"/>
  <c r="H52" i="1" s="1"/>
  <c r="C65" i="2"/>
  <c r="D65" i="2" s="1"/>
  <c r="E65" i="2" s="1"/>
  <c r="B66" i="2"/>
  <c r="F52" i="5"/>
  <c r="G52" i="5" s="1"/>
  <c r="E53" i="5"/>
  <c r="H53" i="5" s="1"/>
  <c r="I47" i="1"/>
  <c r="G53" i="1" l="1"/>
  <c r="H53" i="1" s="1"/>
  <c r="B67" i="2"/>
  <c r="C66" i="2"/>
  <c r="D66" i="2" s="1"/>
  <c r="E66" i="2" s="1"/>
  <c r="F53" i="5"/>
  <c r="G53" i="5" s="1"/>
  <c r="E54" i="5"/>
  <c r="H54" i="5" s="1"/>
  <c r="I48" i="1"/>
  <c r="G54" i="1" l="1"/>
  <c r="H54" i="1" s="1"/>
  <c r="C67" i="2"/>
  <c r="D67" i="2" s="1"/>
  <c r="E67" i="2" s="1"/>
  <c r="B68" i="2"/>
  <c r="F54" i="5"/>
  <c r="G54" i="5" s="1"/>
  <c r="E55" i="5"/>
  <c r="H55" i="5" s="1"/>
  <c r="I49" i="1"/>
  <c r="G55" i="1" l="1"/>
  <c r="H55" i="1" s="1"/>
  <c r="C68" i="2"/>
  <c r="D68" i="2" s="1"/>
  <c r="E68" i="2" s="1"/>
  <c r="B69" i="2"/>
  <c r="F55" i="5"/>
  <c r="G55" i="5" s="1"/>
  <c r="E56" i="5"/>
  <c r="H56" i="5" s="1"/>
  <c r="I50" i="1"/>
  <c r="G56" i="1" l="1"/>
  <c r="H56" i="1" s="1"/>
  <c r="C69" i="2"/>
  <c r="D69" i="2" s="1"/>
  <c r="E69" i="2" s="1"/>
  <c r="B70" i="2"/>
  <c r="F56" i="5"/>
  <c r="G56" i="5" s="1"/>
  <c r="E57" i="5"/>
  <c r="H57" i="5" s="1"/>
  <c r="I51" i="1"/>
  <c r="G57" i="1" l="1"/>
  <c r="H57" i="1" s="1"/>
  <c r="B71" i="2"/>
  <c r="C70" i="2"/>
  <c r="D70" i="2" s="1"/>
  <c r="E70" i="2" s="1"/>
  <c r="F57" i="5"/>
  <c r="G57" i="5" s="1"/>
  <c r="E58" i="5"/>
  <c r="H58" i="5" s="1"/>
  <c r="I52" i="1"/>
  <c r="G58" i="1" l="1"/>
  <c r="H58" i="1" s="1"/>
  <c r="B72" i="2"/>
  <c r="C71" i="2"/>
  <c r="D71" i="2" s="1"/>
  <c r="E71" i="2" s="1"/>
  <c r="F58" i="5"/>
  <c r="G58" i="5" s="1"/>
  <c r="E59" i="5"/>
  <c r="H59" i="5" s="1"/>
  <c r="I53" i="1"/>
  <c r="G59" i="1" l="1"/>
  <c r="H59" i="1" s="1"/>
  <c r="B73" i="2"/>
  <c r="C72" i="2"/>
  <c r="D72" i="2" s="1"/>
  <c r="E72" i="2" s="1"/>
  <c r="F59" i="5"/>
  <c r="G59" i="5" s="1"/>
  <c r="E60" i="5"/>
  <c r="H60" i="5" s="1"/>
  <c r="I54" i="1"/>
  <c r="G60" i="1" l="1"/>
  <c r="H60" i="1" s="1"/>
  <c r="C73" i="2"/>
  <c r="D73" i="2" s="1"/>
  <c r="E73" i="2" s="1"/>
  <c r="B74" i="2"/>
  <c r="F60" i="5"/>
  <c r="G60" i="5" s="1"/>
  <c r="E61" i="5"/>
  <c r="H61" i="5" s="1"/>
  <c r="I55" i="1"/>
  <c r="G61" i="1" l="1"/>
  <c r="H61" i="1" s="1"/>
  <c r="B75" i="2"/>
  <c r="C74" i="2"/>
  <c r="D74" i="2" s="1"/>
  <c r="E74" i="2" s="1"/>
  <c r="F61" i="5"/>
  <c r="G61" i="5" s="1"/>
  <c r="E62" i="5"/>
  <c r="H62" i="5" s="1"/>
  <c r="I56" i="1"/>
  <c r="G62" i="1" l="1"/>
  <c r="H62" i="1" s="1"/>
  <c r="B76" i="2"/>
  <c r="C75" i="2"/>
  <c r="D75" i="2" s="1"/>
  <c r="E75" i="2" s="1"/>
  <c r="F62" i="5"/>
  <c r="G62" i="5" s="1"/>
  <c r="E63" i="5"/>
  <c r="H63" i="5" s="1"/>
  <c r="I57" i="1"/>
  <c r="G63" i="1" l="1"/>
  <c r="H63" i="1" s="1"/>
  <c r="B77" i="2"/>
  <c r="C76" i="2"/>
  <c r="D76" i="2" s="1"/>
  <c r="E76" i="2" s="1"/>
  <c r="F63" i="5"/>
  <c r="G63" i="5" s="1"/>
  <c r="E64" i="5"/>
  <c r="H64" i="5" s="1"/>
  <c r="I58" i="1"/>
  <c r="G64" i="1" l="1"/>
  <c r="H64" i="1" s="1"/>
  <c r="C77" i="2"/>
  <c r="D77" i="2" s="1"/>
  <c r="E77" i="2" s="1"/>
  <c r="B78" i="2"/>
  <c r="F64" i="5"/>
  <c r="G64" i="5" s="1"/>
  <c r="E65" i="5"/>
  <c r="H65" i="5" s="1"/>
  <c r="I59" i="1"/>
  <c r="G65" i="1" l="1"/>
  <c r="H65" i="1" s="1"/>
  <c r="C78" i="2"/>
  <c r="D78" i="2" s="1"/>
  <c r="E78" i="2" s="1"/>
  <c r="B79" i="2"/>
  <c r="F65" i="5"/>
  <c r="G65" i="5" s="1"/>
  <c r="E66" i="5"/>
  <c r="H66" i="5" s="1"/>
  <c r="I60" i="1"/>
  <c r="G66" i="1" l="1"/>
  <c r="H66" i="1" s="1"/>
  <c r="B80" i="2"/>
  <c r="C79" i="2"/>
  <c r="D79" i="2" s="1"/>
  <c r="E79" i="2" s="1"/>
  <c r="F66" i="5"/>
  <c r="G66" i="5" s="1"/>
  <c r="E67" i="5"/>
  <c r="H67" i="5" s="1"/>
  <c r="I61" i="1"/>
  <c r="G67" i="1" l="1"/>
  <c r="H67" i="1" s="1"/>
  <c r="C80" i="2"/>
  <c r="D80" i="2" s="1"/>
  <c r="E80" i="2" s="1"/>
  <c r="B81" i="2"/>
  <c r="F67" i="5"/>
  <c r="G67" i="5" s="1"/>
  <c r="E68" i="5"/>
  <c r="H68" i="5" s="1"/>
  <c r="I62" i="1"/>
  <c r="G68" i="1" l="1"/>
  <c r="H68" i="1" s="1"/>
  <c r="C81" i="2"/>
  <c r="D81" i="2" s="1"/>
  <c r="E81" i="2" s="1"/>
  <c r="B82" i="2"/>
  <c r="F68" i="5"/>
  <c r="G68" i="5" s="1"/>
  <c r="E69" i="5"/>
  <c r="H69" i="5" s="1"/>
  <c r="I63" i="1"/>
  <c r="G69" i="1" l="1"/>
  <c r="H69" i="1" s="1"/>
  <c r="B83" i="2"/>
  <c r="C82" i="2"/>
  <c r="D82" i="2" s="1"/>
  <c r="E82" i="2" s="1"/>
  <c r="F69" i="5"/>
  <c r="G69" i="5" s="1"/>
  <c r="E70" i="5"/>
  <c r="H70" i="5" s="1"/>
  <c r="I64" i="1"/>
  <c r="G70" i="1" l="1"/>
  <c r="H70" i="1" s="1"/>
  <c r="B84" i="2"/>
  <c r="C83" i="2"/>
  <c r="D83" i="2" s="1"/>
  <c r="E83" i="2" s="1"/>
  <c r="F70" i="5"/>
  <c r="G70" i="5" s="1"/>
  <c r="E71" i="5"/>
  <c r="H71" i="5" s="1"/>
  <c r="I65" i="1"/>
  <c r="G71" i="1" l="1"/>
  <c r="H71" i="1" s="1"/>
  <c r="C84" i="2"/>
  <c r="D84" i="2" s="1"/>
  <c r="E84" i="2" s="1"/>
  <c r="B85" i="2"/>
  <c r="F71" i="5"/>
  <c r="G71" i="5" s="1"/>
  <c r="E72" i="5"/>
  <c r="H72" i="5" s="1"/>
  <c r="I66" i="1"/>
  <c r="G72" i="1" l="1"/>
  <c r="H72" i="1" s="1"/>
  <c r="C85" i="2"/>
  <c r="D85" i="2" s="1"/>
  <c r="E85" i="2" s="1"/>
  <c r="B86" i="2"/>
  <c r="F72" i="5"/>
  <c r="G72" i="5" s="1"/>
  <c r="E73" i="5"/>
  <c r="H73" i="5" s="1"/>
  <c r="I67" i="1"/>
  <c r="G73" i="1" l="1"/>
  <c r="H73" i="1" s="1"/>
  <c r="C86" i="2"/>
  <c r="D86" i="2" s="1"/>
  <c r="E86" i="2" s="1"/>
  <c r="B87" i="2"/>
  <c r="F73" i="5"/>
  <c r="G73" i="5" s="1"/>
  <c r="E74" i="5"/>
  <c r="H74" i="5" s="1"/>
  <c r="I68" i="1"/>
  <c r="G74" i="1" l="1"/>
  <c r="H74" i="1" s="1"/>
  <c r="B88" i="2"/>
  <c r="C87" i="2"/>
  <c r="D87" i="2" s="1"/>
  <c r="E87" i="2" s="1"/>
  <c r="F74" i="5"/>
  <c r="G74" i="5" s="1"/>
  <c r="E75" i="5"/>
  <c r="H75" i="5" s="1"/>
  <c r="I69" i="1"/>
  <c r="G75" i="1" l="1"/>
  <c r="H75" i="1" s="1"/>
  <c r="C88" i="2"/>
  <c r="D88" i="2" s="1"/>
  <c r="E88" i="2" s="1"/>
  <c r="B89" i="2"/>
  <c r="F75" i="5"/>
  <c r="G75" i="5" s="1"/>
  <c r="E76" i="5"/>
  <c r="H76" i="5" s="1"/>
  <c r="I70" i="1"/>
  <c r="G76" i="1" l="1"/>
  <c r="H76" i="1" s="1"/>
  <c r="C89" i="2"/>
  <c r="D89" i="2" s="1"/>
  <c r="E89" i="2" s="1"/>
  <c r="B90" i="2"/>
  <c r="F76" i="5"/>
  <c r="G76" i="5" s="1"/>
  <c r="E77" i="5"/>
  <c r="H77" i="5" s="1"/>
  <c r="I71" i="1"/>
  <c r="G77" i="1" l="1"/>
  <c r="H77" i="1" s="1"/>
  <c r="B91" i="2"/>
  <c r="C90" i="2"/>
  <c r="D90" i="2" s="1"/>
  <c r="E90" i="2" s="1"/>
  <c r="F77" i="5"/>
  <c r="G77" i="5" s="1"/>
  <c r="E78" i="5"/>
  <c r="H78" i="5" s="1"/>
  <c r="I72" i="1"/>
  <c r="G78" i="1" l="1"/>
  <c r="H78" i="1" s="1"/>
  <c r="B92" i="2"/>
  <c r="C91" i="2"/>
  <c r="D91" i="2" s="1"/>
  <c r="E91" i="2" s="1"/>
  <c r="F78" i="5"/>
  <c r="G78" i="5" s="1"/>
  <c r="E79" i="5"/>
  <c r="H79" i="5" s="1"/>
  <c r="I73" i="1"/>
  <c r="G79" i="1" l="1"/>
  <c r="H79" i="1" s="1"/>
  <c r="C92" i="2"/>
  <c r="D92" i="2" s="1"/>
  <c r="E92" i="2" s="1"/>
  <c r="B93" i="2"/>
  <c r="F79" i="5"/>
  <c r="G79" i="5" s="1"/>
  <c r="E80" i="5"/>
  <c r="H80" i="5" s="1"/>
  <c r="I74" i="1"/>
  <c r="G80" i="1" l="1"/>
  <c r="H80" i="1" s="1"/>
  <c r="C93" i="2"/>
  <c r="D93" i="2" s="1"/>
  <c r="E93" i="2" s="1"/>
  <c r="B94" i="2"/>
  <c r="F80" i="5"/>
  <c r="G80" i="5" s="1"/>
  <c r="E81" i="5"/>
  <c r="H81" i="5" s="1"/>
  <c r="I75" i="1"/>
  <c r="G81" i="1" l="1"/>
  <c r="H81" i="1" s="1"/>
  <c r="B95" i="2"/>
  <c r="C94" i="2"/>
  <c r="D94" i="2" s="1"/>
  <c r="E94" i="2" s="1"/>
  <c r="F81" i="5"/>
  <c r="G81" i="5" s="1"/>
  <c r="E82" i="5"/>
  <c r="H82" i="5" s="1"/>
  <c r="I76" i="1"/>
  <c r="G82" i="1" l="1"/>
  <c r="H82" i="1" s="1"/>
  <c r="C95" i="2"/>
  <c r="D95" i="2" s="1"/>
  <c r="E95" i="2" s="1"/>
  <c r="B96" i="2"/>
  <c r="F82" i="5"/>
  <c r="G82" i="5" s="1"/>
  <c r="E83" i="5"/>
  <c r="H83" i="5" s="1"/>
  <c r="I77" i="1"/>
  <c r="G83" i="1" l="1"/>
  <c r="H83" i="1" s="1"/>
  <c r="B97" i="2"/>
  <c r="C96" i="2"/>
  <c r="D96" i="2" s="1"/>
  <c r="E96" i="2" s="1"/>
  <c r="F83" i="5"/>
  <c r="G83" i="5" s="1"/>
  <c r="E84" i="5"/>
  <c r="H84" i="5" s="1"/>
  <c r="I78" i="1"/>
  <c r="G84" i="1" l="1"/>
  <c r="H84" i="1" s="1"/>
  <c r="C97" i="2"/>
  <c r="D97" i="2" s="1"/>
  <c r="E97" i="2" s="1"/>
  <c r="B98" i="2"/>
  <c r="F84" i="5"/>
  <c r="G84" i="5" s="1"/>
  <c r="E85" i="5"/>
  <c r="H85" i="5" s="1"/>
  <c r="I79" i="1"/>
  <c r="G85" i="1" l="1"/>
  <c r="H85" i="1" s="1"/>
  <c r="B99" i="2"/>
  <c r="C98" i="2"/>
  <c r="D98" i="2" s="1"/>
  <c r="E98" i="2" s="1"/>
  <c r="F85" i="5"/>
  <c r="G85" i="5" s="1"/>
  <c r="E86" i="5"/>
  <c r="H86" i="5" s="1"/>
  <c r="I80" i="1"/>
  <c r="G86" i="1" l="1"/>
  <c r="H86" i="1" s="1"/>
  <c r="B100" i="2"/>
  <c r="C99" i="2"/>
  <c r="D99" i="2" s="1"/>
  <c r="E99" i="2" s="1"/>
  <c r="F86" i="5"/>
  <c r="G86" i="5" s="1"/>
  <c r="E87" i="5"/>
  <c r="H87" i="5" s="1"/>
  <c r="I81" i="1"/>
  <c r="G87" i="1" l="1"/>
  <c r="H87" i="1" s="1"/>
  <c r="B101" i="2"/>
  <c r="C100" i="2"/>
  <c r="D100" i="2" s="1"/>
  <c r="E100" i="2" s="1"/>
  <c r="F87" i="5"/>
  <c r="G87" i="5" s="1"/>
  <c r="E88" i="5"/>
  <c r="H88" i="5" s="1"/>
  <c r="I82" i="1"/>
  <c r="G88" i="1" l="1"/>
  <c r="H88" i="1" s="1"/>
  <c r="C101" i="2"/>
  <c r="D101" i="2" s="1"/>
  <c r="E101" i="2" s="1"/>
  <c r="B102" i="2"/>
  <c r="F88" i="5"/>
  <c r="G88" i="5" s="1"/>
  <c r="E89" i="5"/>
  <c r="H89" i="5" s="1"/>
  <c r="I83" i="1"/>
  <c r="G89" i="1" l="1"/>
  <c r="H89" i="1" s="1"/>
  <c r="C102" i="2"/>
  <c r="D102" i="2" s="1"/>
  <c r="E102" i="2" s="1"/>
  <c r="B103" i="2"/>
  <c r="F89" i="5"/>
  <c r="G89" i="5" s="1"/>
  <c r="E90" i="5"/>
  <c r="H90" i="5" s="1"/>
  <c r="I84" i="1"/>
  <c r="G90" i="1" l="1"/>
  <c r="H90" i="1" s="1"/>
  <c r="B104" i="2"/>
  <c r="C103" i="2"/>
  <c r="D103" i="2" s="1"/>
  <c r="E103" i="2" s="1"/>
  <c r="F90" i="5"/>
  <c r="G90" i="5" s="1"/>
  <c r="E91" i="5"/>
  <c r="H91" i="5" s="1"/>
  <c r="I85" i="1"/>
  <c r="G91" i="1" l="1"/>
  <c r="H91" i="1" s="1"/>
  <c r="C104" i="2"/>
  <c r="D104" i="2" s="1"/>
  <c r="E104" i="2" s="1"/>
  <c r="B105" i="2"/>
  <c r="F91" i="5"/>
  <c r="G91" i="5" s="1"/>
  <c r="E92" i="5"/>
  <c r="H92" i="5" s="1"/>
  <c r="I86" i="1"/>
  <c r="G92" i="1" l="1"/>
  <c r="H92" i="1" s="1"/>
  <c r="C105" i="2"/>
  <c r="D105" i="2" s="1"/>
  <c r="E105" i="2" s="1"/>
  <c r="B106" i="2"/>
  <c r="F92" i="5"/>
  <c r="G92" i="5" s="1"/>
  <c r="E93" i="5"/>
  <c r="H93" i="5" s="1"/>
  <c r="I87" i="1"/>
  <c r="G93" i="1" l="1"/>
  <c r="H93" i="1" s="1"/>
  <c r="C106" i="2"/>
  <c r="D106" i="2" s="1"/>
  <c r="E106" i="2" s="1"/>
  <c r="B107" i="2"/>
  <c r="F93" i="5"/>
  <c r="G93" i="5" s="1"/>
  <c r="E94" i="5"/>
  <c r="H94" i="5" s="1"/>
  <c r="I88" i="1"/>
  <c r="G94" i="1" l="1"/>
  <c r="H94" i="1" s="1"/>
  <c r="B108" i="2"/>
  <c r="C107" i="2"/>
  <c r="D107" i="2" s="1"/>
  <c r="E107" i="2" s="1"/>
  <c r="F94" i="5"/>
  <c r="G94" i="5" s="1"/>
  <c r="E95" i="5"/>
  <c r="H95" i="5" s="1"/>
  <c r="I89" i="1"/>
  <c r="G95" i="1" l="1"/>
  <c r="H95" i="1" s="1"/>
  <c r="C108" i="2"/>
  <c r="D108" i="2" s="1"/>
  <c r="E108" i="2" s="1"/>
  <c r="B109" i="2"/>
  <c r="F95" i="5"/>
  <c r="G95" i="5" s="1"/>
  <c r="E96" i="5"/>
  <c r="H96" i="5" s="1"/>
  <c r="I90" i="1"/>
  <c r="G96" i="1" l="1"/>
  <c r="H96" i="1" s="1"/>
  <c r="B110" i="2"/>
  <c r="C109" i="2"/>
  <c r="D109" i="2" s="1"/>
  <c r="E109" i="2" s="1"/>
  <c r="F96" i="5"/>
  <c r="G96" i="5" s="1"/>
  <c r="E97" i="5"/>
  <c r="H97" i="5" s="1"/>
  <c r="I91" i="1"/>
  <c r="G97" i="1" l="1"/>
  <c r="H97" i="1" s="1"/>
  <c r="B111" i="2"/>
  <c r="C110" i="2"/>
  <c r="D110" i="2" s="1"/>
  <c r="E110" i="2" s="1"/>
  <c r="F97" i="5"/>
  <c r="G97" i="5" s="1"/>
  <c r="E98" i="5"/>
  <c r="H98" i="5" s="1"/>
  <c r="I92" i="1"/>
  <c r="G98" i="1" l="1"/>
  <c r="H98" i="1" s="1"/>
  <c r="C111" i="2"/>
  <c r="D111" i="2" s="1"/>
  <c r="E111" i="2" s="1"/>
  <c r="B112" i="2"/>
  <c r="F98" i="5"/>
  <c r="G98" i="5" s="1"/>
  <c r="E99" i="5"/>
  <c r="H99" i="5" s="1"/>
  <c r="I93" i="1"/>
  <c r="G99" i="1" l="1"/>
  <c r="H99" i="1" s="1"/>
  <c r="C112" i="2"/>
  <c r="D112" i="2" s="1"/>
  <c r="E112" i="2" s="1"/>
  <c r="B113" i="2"/>
  <c r="F99" i="5"/>
  <c r="G99" i="5" s="1"/>
  <c r="E100" i="5"/>
  <c r="H100" i="5" s="1"/>
  <c r="I94" i="1"/>
  <c r="G100" i="1" l="1"/>
  <c r="H100" i="1" s="1"/>
  <c r="B114" i="2"/>
  <c r="C113" i="2"/>
  <c r="D113" i="2" s="1"/>
  <c r="E113" i="2" s="1"/>
  <c r="F100" i="5"/>
  <c r="G100" i="5" s="1"/>
  <c r="E101" i="5"/>
  <c r="H101" i="5" s="1"/>
  <c r="I95" i="1"/>
  <c r="G101" i="1" l="1"/>
  <c r="H101" i="1" s="1"/>
  <c r="B115" i="2"/>
  <c r="C114" i="2"/>
  <c r="D114" i="2" s="1"/>
  <c r="E114" i="2" s="1"/>
  <c r="F101" i="5"/>
  <c r="G101" i="5" s="1"/>
  <c r="E102" i="5"/>
  <c r="H102" i="5" s="1"/>
  <c r="I96" i="1"/>
  <c r="G102" i="1" l="1"/>
  <c r="H102" i="1" s="1"/>
  <c r="C115" i="2"/>
  <c r="D115" i="2" s="1"/>
  <c r="E115" i="2" s="1"/>
  <c r="B116" i="2"/>
  <c r="F102" i="5"/>
  <c r="G102" i="5" s="1"/>
  <c r="E103" i="5"/>
  <c r="H103" i="5" s="1"/>
  <c r="I97" i="1"/>
  <c r="G103" i="1" l="1"/>
  <c r="H103" i="1" s="1"/>
  <c r="C116" i="2"/>
  <c r="D116" i="2" s="1"/>
  <c r="E116" i="2" s="1"/>
  <c r="B117" i="2"/>
  <c r="F103" i="5"/>
  <c r="G103" i="5" s="1"/>
  <c r="E104" i="5"/>
  <c r="H104" i="5" s="1"/>
  <c r="I98" i="1"/>
  <c r="G104" i="1" l="1"/>
  <c r="H104" i="1" s="1"/>
  <c r="B118" i="2"/>
  <c r="C117" i="2"/>
  <c r="D117" i="2" s="1"/>
  <c r="E117" i="2" s="1"/>
  <c r="F104" i="5"/>
  <c r="G104" i="5" s="1"/>
  <c r="E105" i="5"/>
  <c r="H105" i="5" s="1"/>
  <c r="I99" i="1"/>
  <c r="G105" i="1" l="1"/>
  <c r="H105" i="1" s="1"/>
  <c r="B119" i="2"/>
  <c r="C118" i="2"/>
  <c r="D118" i="2" s="1"/>
  <c r="E118" i="2" s="1"/>
  <c r="F105" i="5"/>
  <c r="G105" i="5" s="1"/>
  <c r="E106" i="5"/>
  <c r="H106" i="5" s="1"/>
  <c r="I100" i="1"/>
  <c r="G106" i="1" l="1"/>
  <c r="H106" i="1" s="1"/>
  <c r="C119" i="2"/>
  <c r="D119" i="2" s="1"/>
  <c r="E119" i="2" s="1"/>
  <c r="B120" i="2"/>
  <c r="F106" i="5"/>
  <c r="G106" i="5" s="1"/>
  <c r="E107" i="5"/>
  <c r="H107" i="5" s="1"/>
  <c r="I101" i="1"/>
  <c r="G107" i="1" l="1"/>
  <c r="H107" i="1" s="1"/>
  <c r="B121" i="2"/>
  <c r="C120" i="2"/>
  <c r="D120" i="2" s="1"/>
  <c r="E120" i="2" s="1"/>
  <c r="F107" i="5"/>
  <c r="G107" i="5" s="1"/>
  <c r="E108" i="5"/>
  <c r="H108" i="5" s="1"/>
  <c r="I102" i="1"/>
  <c r="G108" i="1" l="1"/>
  <c r="H108" i="1" s="1"/>
  <c r="C121" i="2"/>
  <c r="D121" i="2" s="1"/>
  <c r="E121" i="2" s="1"/>
  <c r="B122" i="2"/>
  <c r="F108" i="5"/>
  <c r="G108" i="5" s="1"/>
  <c r="E109" i="5"/>
  <c r="H109" i="5" s="1"/>
  <c r="I103" i="1"/>
  <c r="G109" i="1" l="1"/>
  <c r="H109" i="1" s="1"/>
  <c r="B123" i="2"/>
  <c r="C122" i="2"/>
  <c r="D122" i="2" s="1"/>
  <c r="E122" i="2" s="1"/>
  <c r="F109" i="5"/>
  <c r="G109" i="5" s="1"/>
  <c r="E110" i="5"/>
  <c r="H110" i="5" s="1"/>
  <c r="I104" i="1"/>
  <c r="G110" i="1" l="1"/>
  <c r="H110" i="1" s="1"/>
  <c r="B124" i="2"/>
  <c r="C123" i="2"/>
  <c r="D123" i="2" s="1"/>
  <c r="E123" i="2" s="1"/>
  <c r="F110" i="5"/>
  <c r="G110" i="5" s="1"/>
  <c r="E111" i="5"/>
  <c r="H111" i="5" s="1"/>
  <c r="I105" i="1"/>
  <c r="G111" i="1" l="1"/>
  <c r="H111" i="1" s="1"/>
  <c r="B125" i="2"/>
  <c r="C124" i="2"/>
  <c r="D124" i="2" s="1"/>
  <c r="E124" i="2" s="1"/>
  <c r="F111" i="5"/>
  <c r="G111" i="5" s="1"/>
  <c r="E112" i="5"/>
  <c r="H112" i="5" s="1"/>
  <c r="I106" i="1"/>
  <c r="G112" i="1" l="1"/>
  <c r="H112" i="1" s="1"/>
  <c r="B126" i="2"/>
  <c r="C125" i="2"/>
  <c r="D125" i="2" s="1"/>
  <c r="E125" i="2" s="1"/>
  <c r="F112" i="5"/>
  <c r="G112" i="5" s="1"/>
  <c r="E113" i="5"/>
  <c r="H113" i="5" s="1"/>
  <c r="I107" i="1"/>
  <c r="G113" i="1" l="1"/>
  <c r="H113" i="1" s="1"/>
  <c r="B127" i="2"/>
  <c r="C126" i="2"/>
  <c r="D126" i="2" s="1"/>
  <c r="E126" i="2" s="1"/>
  <c r="F113" i="5"/>
  <c r="G113" i="5" s="1"/>
  <c r="E114" i="5"/>
  <c r="H114" i="5" s="1"/>
  <c r="I108" i="1"/>
  <c r="G114" i="1" l="1"/>
  <c r="H114" i="1" s="1"/>
  <c r="C127" i="2"/>
  <c r="D127" i="2" s="1"/>
  <c r="E127" i="2" s="1"/>
  <c r="B128" i="2"/>
  <c r="F114" i="5"/>
  <c r="G114" i="5" s="1"/>
  <c r="E115" i="5"/>
  <c r="H115" i="5" s="1"/>
  <c r="I109" i="1"/>
  <c r="G115" i="1" l="1"/>
  <c r="H115" i="1" s="1"/>
  <c r="C128" i="2"/>
  <c r="D128" i="2" s="1"/>
  <c r="E128" i="2" s="1"/>
  <c r="B129" i="2"/>
  <c r="F115" i="5"/>
  <c r="G115" i="5" s="1"/>
  <c r="E116" i="5"/>
  <c r="H116" i="5" s="1"/>
  <c r="I110" i="1"/>
  <c r="G118" i="1" l="1"/>
  <c r="G116" i="1"/>
  <c r="H116" i="1" s="1"/>
  <c r="C129" i="2"/>
  <c r="D129" i="2" s="1"/>
  <c r="E129" i="2" s="1"/>
  <c r="B130" i="2"/>
  <c r="F116" i="5"/>
  <c r="G116" i="5" s="1"/>
  <c r="E117" i="5"/>
  <c r="I111" i="1"/>
  <c r="G119" i="1" l="1"/>
  <c r="H118" i="1"/>
  <c r="I118" i="1"/>
  <c r="G117" i="1"/>
  <c r="H117" i="1" s="1"/>
  <c r="B131" i="2"/>
  <c r="C130" i="2"/>
  <c r="D130" i="2" s="1"/>
  <c r="E130" i="2" s="1"/>
  <c r="H117" i="5"/>
  <c r="E118" i="5"/>
  <c r="F117" i="5"/>
  <c r="G117" i="5" s="1"/>
  <c r="I112" i="1"/>
  <c r="G120" i="1" l="1"/>
  <c r="H119" i="1"/>
  <c r="I119" i="1"/>
  <c r="F118" i="5"/>
  <c r="G118" i="5" s="1"/>
  <c r="E119" i="5"/>
  <c r="H118" i="5"/>
  <c r="C131" i="2"/>
  <c r="D131" i="2" s="1"/>
  <c r="E131" i="2" s="1"/>
  <c r="B132" i="2"/>
  <c r="I113" i="1"/>
  <c r="H120" i="1" l="1"/>
  <c r="I120" i="1"/>
  <c r="G121" i="1"/>
  <c r="H119" i="5"/>
  <c r="F119" i="5"/>
  <c r="G119" i="5" s="1"/>
  <c r="E120" i="5"/>
  <c r="C132" i="2"/>
  <c r="D132" i="2" s="1"/>
  <c r="E132" i="2" s="1"/>
  <c r="B133" i="2"/>
  <c r="I114" i="1"/>
  <c r="G122" i="1" l="1"/>
  <c r="H121" i="1"/>
  <c r="I121" i="1"/>
  <c r="E121" i="5"/>
  <c r="H120" i="5"/>
  <c r="F120" i="5"/>
  <c r="G120" i="5" s="1"/>
  <c r="C133" i="2"/>
  <c r="D133" i="2" s="1"/>
  <c r="E133" i="2" s="1"/>
  <c r="B134" i="2"/>
  <c r="I115" i="1"/>
  <c r="G123" i="1" l="1"/>
  <c r="H122" i="1"/>
  <c r="I122" i="1"/>
  <c r="B135" i="2"/>
  <c r="C134" i="2"/>
  <c r="D134" i="2" s="1"/>
  <c r="E134" i="2" s="1"/>
  <c r="E122" i="5"/>
  <c r="H121" i="5"/>
  <c r="F121" i="5"/>
  <c r="G121" i="5" s="1"/>
  <c r="I116" i="1"/>
  <c r="H123" i="1" l="1"/>
  <c r="I123" i="1"/>
  <c r="G124" i="1"/>
  <c r="E123" i="5"/>
  <c r="H122" i="5"/>
  <c r="F122" i="5"/>
  <c r="G122" i="5" s="1"/>
  <c r="B136" i="2"/>
  <c r="C135" i="2"/>
  <c r="D135" i="2" s="1"/>
  <c r="E135" i="2" s="1"/>
  <c r="I117" i="1"/>
  <c r="H124" i="1" l="1"/>
  <c r="I124" i="1"/>
  <c r="G125" i="1"/>
  <c r="C136" i="2"/>
  <c r="D136" i="2" s="1"/>
  <c r="E136" i="2" s="1"/>
  <c r="B137" i="2"/>
  <c r="E124" i="5"/>
  <c r="H123" i="5"/>
  <c r="F123" i="5"/>
  <c r="G123" i="5" s="1"/>
  <c r="G126" i="1" l="1"/>
  <c r="I125" i="1"/>
  <c r="H125" i="1"/>
  <c r="E125" i="5"/>
  <c r="H124" i="5"/>
  <c r="F124" i="5"/>
  <c r="G124" i="5" s="1"/>
  <c r="C137" i="2"/>
  <c r="D137" i="2" s="1"/>
  <c r="E137" i="2" s="1"/>
  <c r="B138" i="2"/>
  <c r="I126" i="1" l="1"/>
  <c r="H126" i="1"/>
  <c r="G127" i="1"/>
  <c r="C138" i="2"/>
  <c r="D138" i="2" s="1"/>
  <c r="E138" i="2" s="1"/>
  <c r="B139" i="2"/>
  <c r="E126" i="5"/>
  <c r="H125" i="5"/>
  <c r="F125" i="5"/>
  <c r="G125" i="5" s="1"/>
  <c r="G128" i="1" l="1"/>
  <c r="I127" i="1"/>
  <c r="H127" i="1"/>
  <c r="E127" i="5"/>
  <c r="H126" i="5"/>
  <c r="F126" i="5"/>
  <c r="G126" i="5" s="1"/>
  <c r="B140" i="2"/>
  <c r="C139" i="2"/>
  <c r="D139" i="2" s="1"/>
  <c r="E139" i="2" s="1"/>
  <c r="I128" i="1" l="1"/>
  <c r="H128" i="1"/>
  <c r="G129" i="1"/>
  <c r="B141" i="2"/>
  <c r="C140" i="2"/>
  <c r="D140" i="2" s="1"/>
  <c r="E140" i="2" s="1"/>
  <c r="E128" i="5"/>
  <c r="H127" i="5"/>
  <c r="F127" i="5"/>
  <c r="G127" i="5" s="1"/>
  <c r="G130" i="1" l="1"/>
  <c r="I129" i="1"/>
  <c r="H129" i="1"/>
  <c r="E129" i="5"/>
  <c r="H128" i="5"/>
  <c r="F128" i="5"/>
  <c r="G128" i="5" s="1"/>
  <c r="C141" i="2"/>
  <c r="D141" i="2" s="1"/>
  <c r="E141" i="2" s="1"/>
  <c r="B142" i="2"/>
  <c r="I130" i="1" l="1"/>
  <c r="H130" i="1"/>
  <c r="G131" i="1"/>
  <c r="B143" i="2"/>
  <c r="C142" i="2"/>
  <c r="D142" i="2" s="1"/>
  <c r="E142" i="2" s="1"/>
  <c r="E130" i="5"/>
  <c r="H129" i="5"/>
  <c r="F129" i="5"/>
  <c r="G129" i="5" s="1"/>
  <c r="G132" i="1" l="1"/>
  <c r="I131" i="1"/>
  <c r="H131" i="1"/>
  <c r="E131" i="5"/>
  <c r="F130" i="5"/>
  <c r="G130" i="5" s="1"/>
  <c r="H130" i="5"/>
  <c r="B144" i="2"/>
  <c r="C143" i="2"/>
  <c r="D143" i="2" s="1"/>
  <c r="E143" i="2" s="1"/>
  <c r="G133" i="1" l="1"/>
  <c r="I132" i="1"/>
  <c r="H132" i="1"/>
  <c r="B145" i="2"/>
  <c r="C144" i="2"/>
  <c r="D144" i="2" s="1"/>
  <c r="E144" i="2" s="1"/>
  <c r="E132" i="5"/>
  <c r="H131" i="5"/>
  <c r="F131" i="5"/>
  <c r="G131" i="5" s="1"/>
  <c r="G134" i="1" l="1"/>
  <c r="I133" i="1"/>
  <c r="H133" i="1"/>
  <c r="E133" i="5"/>
  <c r="H132" i="5"/>
  <c r="F132" i="5"/>
  <c r="G132" i="5" s="1"/>
  <c r="B146" i="2"/>
  <c r="C145" i="2"/>
  <c r="D145" i="2" s="1"/>
  <c r="E145" i="2" s="1"/>
  <c r="I134" i="1" l="1"/>
  <c r="H134" i="1"/>
  <c r="G135" i="1"/>
  <c r="B147" i="2"/>
  <c r="C146" i="2"/>
  <c r="D146" i="2" s="1"/>
  <c r="E146" i="2" s="1"/>
  <c r="E134" i="5"/>
  <c r="H133" i="5"/>
  <c r="F133" i="5"/>
  <c r="G133" i="5" s="1"/>
  <c r="I135" i="1" l="1"/>
  <c r="H135" i="1"/>
  <c r="G136" i="1"/>
  <c r="E135" i="5"/>
  <c r="F134" i="5"/>
  <c r="G134" i="5" s="1"/>
  <c r="H134" i="5"/>
  <c r="B148" i="2"/>
  <c r="C147" i="2"/>
  <c r="D147" i="2" s="1"/>
  <c r="E147" i="2" s="1"/>
  <c r="G137" i="1" l="1"/>
  <c r="I136" i="1"/>
  <c r="H136" i="1"/>
  <c r="C148" i="2"/>
  <c r="D148" i="2" s="1"/>
  <c r="E148" i="2" s="1"/>
  <c r="B149" i="2"/>
  <c r="E136" i="5"/>
  <c r="H135" i="5"/>
  <c r="F135" i="5"/>
  <c r="G135" i="5" s="1"/>
  <c r="I137" i="1" l="1"/>
  <c r="H137" i="1"/>
  <c r="G138" i="1"/>
  <c r="E137" i="5"/>
  <c r="H136" i="5"/>
  <c r="F136" i="5"/>
  <c r="G136" i="5" s="1"/>
  <c r="C149" i="2"/>
  <c r="D149" i="2" s="1"/>
  <c r="E149" i="2" s="1"/>
  <c r="B150" i="2"/>
  <c r="G139" i="1" l="1"/>
  <c r="I138" i="1"/>
  <c r="H138" i="1"/>
  <c r="B151" i="2"/>
  <c r="C150" i="2"/>
  <c r="D150" i="2" s="1"/>
  <c r="E150" i="2" s="1"/>
  <c r="E138" i="5"/>
  <c r="H137" i="5"/>
  <c r="F137" i="5"/>
  <c r="G137" i="5" s="1"/>
  <c r="I139" i="1" l="1"/>
  <c r="H139" i="1"/>
  <c r="G140" i="1"/>
  <c r="C151" i="2"/>
  <c r="D151" i="2" s="1"/>
  <c r="E151" i="2" s="1"/>
  <c r="B152" i="2"/>
  <c r="E139" i="5"/>
  <c r="H138" i="5"/>
  <c r="F138" i="5"/>
  <c r="G138" i="5" s="1"/>
  <c r="G141" i="1" l="1"/>
  <c r="I140" i="1"/>
  <c r="H140" i="1"/>
  <c r="E140" i="5"/>
  <c r="H139" i="5"/>
  <c r="F139" i="5"/>
  <c r="G139" i="5" s="1"/>
  <c r="C152" i="2"/>
  <c r="D152" i="2" s="1"/>
  <c r="E152" i="2" s="1"/>
  <c r="B153" i="2"/>
  <c r="I141" i="1" l="1"/>
  <c r="H141" i="1"/>
  <c r="G142" i="1"/>
  <c r="B154" i="2"/>
  <c r="C153" i="2"/>
  <c r="D153" i="2" s="1"/>
  <c r="E153" i="2" s="1"/>
  <c r="E141" i="5"/>
  <c r="H140" i="5"/>
  <c r="F140" i="5"/>
  <c r="G140" i="5" s="1"/>
  <c r="G143" i="1" l="1"/>
  <c r="I142" i="1"/>
  <c r="H142" i="1"/>
  <c r="C154" i="2"/>
  <c r="D154" i="2" s="1"/>
  <c r="E154" i="2" s="1"/>
  <c r="B155" i="2"/>
  <c r="E142" i="5"/>
  <c r="H141" i="5"/>
  <c r="F141" i="5"/>
  <c r="G141" i="5" s="1"/>
  <c r="G144" i="1" l="1"/>
  <c r="I143" i="1"/>
  <c r="H143" i="1"/>
  <c r="E143" i="5"/>
  <c r="H142" i="5"/>
  <c r="F142" i="5"/>
  <c r="G142" i="5" s="1"/>
  <c r="B156" i="2"/>
  <c r="C155" i="2"/>
  <c r="D155" i="2" s="1"/>
  <c r="E155" i="2" s="1"/>
  <c r="G145" i="1" l="1"/>
  <c r="I144" i="1"/>
  <c r="H144" i="1"/>
  <c r="E144" i="5"/>
  <c r="H143" i="5"/>
  <c r="F143" i="5"/>
  <c r="G143" i="5" s="1"/>
  <c r="B157" i="2"/>
  <c r="C156" i="2"/>
  <c r="D156" i="2" s="1"/>
  <c r="E156" i="2" s="1"/>
  <c r="G146" i="1" l="1"/>
  <c r="I145" i="1"/>
  <c r="H145" i="1"/>
  <c r="E145" i="5"/>
  <c r="H144" i="5"/>
  <c r="F144" i="5"/>
  <c r="G144" i="5" s="1"/>
  <c r="B158" i="2"/>
  <c r="C157" i="2"/>
  <c r="D157" i="2" s="1"/>
  <c r="E157" i="2" s="1"/>
  <c r="I146" i="1" l="1"/>
  <c r="H146" i="1"/>
  <c r="G147" i="1"/>
  <c r="E146" i="5"/>
  <c r="H145" i="5"/>
  <c r="F145" i="5"/>
  <c r="G145" i="5" s="1"/>
  <c r="C158" i="2"/>
  <c r="D158" i="2" s="1"/>
  <c r="E158" i="2" s="1"/>
  <c r="B159" i="2"/>
  <c r="I147" i="1" l="1"/>
  <c r="H147" i="1"/>
  <c r="G148" i="1"/>
  <c r="C159" i="2"/>
  <c r="D159" i="2" s="1"/>
  <c r="E159" i="2" s="1"/>
  <c r="B160" i="2"/>
  <c r="E147" i="5"/>
  <c r="H146" i="5"/>
  <c r="F146" i="5"/>
  <c r="G146" i="5" s="1"/>
  <c r="G149" i="1" l="1"/>
  <c r="I148" i="1"/>
  <c r="H148" i="1"/>
  <c r="E148" i="5"/>
  <c r="H147" i="5"/>
  <c r="F147" i="5"/>
  <c r="G147" i="5" s="1"/>
  <c r="B161" i="2"/>
  <c r="C160" i="2"/>
  <c r="D160" i="2" s="1"/>
  <c r="E160" i="2" s="1"/>
  <c r="G150" i="1" l="1"/>
  <c r="I149" i="1"/>
  <c r="H149" i="1"/>
  <c r="E149" i="5"/>
  <c r="H148" i="5"/>
  <c r="F148" i="5"/>
  <c r="G148" i="5" s="1"/>
  <c r="B162" i="2"/>
  <c r="C161" i="2"/>
  <c r="D161" i="2" s="1"/>
  <c r="E161" i="2" s="1"/>
  <c r="G151" i="1" l="1"/>
  <c r="I150" i="1"/>
  <c r="H150" i="1"/>
  <c r="E150" i="5"/>
  <c r="H149" i="5"/>
  <c r="F149" i="5"/>
  <c r="G149" i="5" s="1"/>
  <c r="B163" i="2"/>
  <c r="C162" i="2"/>
  <c r="D162" i="2" s="1"/>
  <c r="E162" i="2" s="1"/>
  <c r="I151" i="1" l="1"/>
  <c r="H151" i="1"/>
  <c r="G152" i="1"/>
  <c r="E151" i="5"/>
  <c r="F150" i="5"/>
  <c r="G150" i="5" s="1"/>
  <c r="H150" i="5"/>
  <c r="B164" i="2"/>
  <c r="C163" i="2"/>
  <c r="D163" i="2" s="1"/>
  <c r="E163" i="2" s="1"/>
  <c r="I152" i="1" l="1"/>
  <c r="H152" i="1"/>
  <c r="G153" i="1"/>
  <c r="E152" i="5"/>
  <c r="H151" i="5"/>
  <c r="F151" i="5"/>
  <c r="G151" i="5" s="1"/>
  <c r="B165" i="2"/>
  <c r="C164" i="2"/>
  <c r="D164" i="2" s="1"/>
  <c r="E164" i="2" s="1"/>
  <c r="G154" i="1" l="1"/>
  <c r="I153" i="1"/>
  <c r="H153" i="1"/>
  <c r="E153" i="5"/>
  <c r="H152" i="5"/>
  <c r="F152" i="5"/>
  <c r="G152" i="5" s="1"/>
  <c r="B166" i="2"/>
  <c r="C165" i="2"/>
  <c r="D165" i="2" s="1"/>
  <c r="E165" i="2" s="1"/>
  <c r="G155" i="1" l="1"/>
  <c r="I154" i="1"/>
  <c r="H154" i="1"/>
  <c r="E154" i="5"/>
  <c r="H153" i="5"/>
  <c r="F153" i="5"/>
  <c r="G153" i="5" s="1"/>
  <c r="C166" i="2"/>
  <c r="D166" i="2" s="1"/>
  <c r="E166" i="2" s="1"/>
  <c r="B167" i="2"/>
  <c r="I155" i="1" l="1"/>
  <c r="H155" i="1"/>
  <c r="G156" i="1"/>
  <c r="C167" i="2"/>
  <c r="D167" i="2" s="1"/>
  <c r="E167" i="2" s="1"/>
  <c r="B168" i="2"/>
  <c r="E155" i="5"/>
  <c r="H154" i="5"/>
  <c r="F154" i="5"/>
  <c r="G154" i="5" s="1"/>
  <c r="G157" i="1" l="1"/>
  <c r="I156" i="1"/>
  <c r="H156" i="1"/>
  <c r="E156" i="5"/>
  <c r="H155" i="5"/>
  <c r="F155" i="5"/>
  <c r="G155" i="5" s="1"/>
  <c r="B169" i="2"/>
  <c r="C168" i="2"/>
  <c r="D168" i="2" s="1"/>
  <c r="E168" i="2" s="1"/>
  <c r="I157" i="1" l="1"/>
  <c r="H157" i="1"/>
  <c r="G158" i="1"/>
  <c r="B170" i="2"/>
  <c r="C169" i="2"/>
  <c r="D169" i="2" s="1"/>
  <c r="E169" i="2" s="1"/>
  <c r="E157" i="5"/>
  <c r="H156" i="5"/>
  <c r="F156" i="5"/>
  <c r="G156" i="5" s="1"/>
  <c r="G159" i="1" l="1"/>
  <c r="I158" i="1"/>
  <c r="H158" i="1"/>
  <c r="E158" i="5"/>
  <c r="H157" i="5"/>
  <c r="F157" i="5"/>
  <c r="G157" i="5" s="1"/>
  <c r="B171" i="2"/>
  <c r="C170" i="2"/>
  <c r="D170" i="2" s="1"/>
  <c r="E170" i="2" s="1"/>
  <c r="I159" i="1" l="1"/>
  <c r="H159" i="1"/>
  <c r="G160" i="1"/>
  <c r="B172" i="2"/>
  <c r="C171" i="2"/>
  <c r="D171" i="2" s="1"/>
  <c r="E171" i="2" s="1"/>
  <c r="E159" i="5"/>
  <c r="H158" i="5"/>
  <c r="F158" i="5"/>
  <c r="G158" i="5" s="1"/>
  <c r="G161" i="1" l="1"/>
  <c r="I160" i="1"/>
  <c r="H160" i="1"/>
  <c r="E160" i="5"/>
  <c r="H159" i="5"/>
  <c r="F159" i="5"/>
  <c r="G159" i="5" s="1"/>
  <c r="B173" i="2"/>
  <c r="C172" i="2"/>
  <c r="D172" i="2" s="1"/>
  <c r="E172" i="2" s="1"/>
  <c r="I161" i="1" l="1"/>
  <c r="H161" i="1"/>
  <c r="G162" i="1"/>
  <c r="B174" i="2"/>
  <c r="C173" i="2"/>
  <c r="D173" i="2" s="1"/>
  <c r="E173" i="2" s="1"/>
  <c r="E161" i="5"/>
  <c r="H160" i="5"/>
  <c r="F160" i="5"/>
  <c r="G160" i="5" s="1"/>
  <c r="G163" i="1" l="1"/>
  <c r="I162" i="1"/>
  <c r="H162" i="1"/>
  <c r="E162" i="5"/>
  <c r="H161" i="5"/>
  <c r="F161" i="5"/>
  <c r="G161" i="5" s="1"/>
  <c r="C174" i="2"/>
  <c r="D174" i="2" s="1"/>
  <c r="E174" i="2" s="1"/>
  <c r="B175" i="2"/>
  <c r="I163" i="1" l="1"/>
  <c r="H163" i="1"/>
  <c r="G164" i="1"/>
  <c r="C175" i="2"/>
  <c r="D175" i="2" s="1"/>
  <c r="E175" i="2" s="1"/>
  <c r="B176" i="2"/>
  <c r="E163" i="5"/>
  <c r="F162" i="5"/>
  <c r="G162" i="5" s="1"/>
  <c r="H162" i="5"/>
  <c r="I164" i="1" l="1"/>
  <c r="H164" i="1"/>
  <c r="G165" i="1"/>
  <c r="B177" i="2"/>
  <c r="C176" i="2"/>
  <c r="D176" i="2" s="1"/>
  <c r="E176" i="2" s="1"/>
  <c r="E164" i="5"/>
  <c r="H163" i="5"/>
  <c r="F163" i="5"/>
  <c r="G163" i="5" s="1"/>
  <c r="G166" i="1" l="1"/>
  <c r="I165" i="1"/>
  <c r="H165" i="1"/>
  <c r="E165" i="5"/>
  <c r="H164" i="5"/>
  <c r="F164" i="5"/>
  <c r="G164" i="5" s="1"/>
  <c r="B178" i="2"/>
  <c r="C177" i="2"/>
  <c r="D177" i="2" s="1"/>
  <c r="E177" i="2" s="1"/>
  <c r="I166" i="1" l="1"/>
  <c r="H166" i="1"/>
  <c r="G167" i="1"/>
  <c r="B179" i="2"/>
  <c r="C178" i="2"/>
  <c r="D178" i="2" s="1"/>
  <c r="E178" i="2" s="1"/>
  <c r="E166" i="5"/>
  <c r="H165" i="5"/>
  <c r="F165" i="5"/>
  <c r="G165" i="5" s="1"/>
  <c r="I167" i="1" l="1"/>
  <c r="H167" i="1"/>
  <c r="G168" i="1"/>
  <c r="E167" i="5"/>
  <c r="H166" i="5"/>
  <c r="F166" i="5"/>
  <c r="G166" i="5" s="1"/>
  <c r="B180" i="2"/>
  <c r="C179" i="2"/>
  <c r="D179" i="2" s="1"/>
  <c r="E179" i="2" s="1"/>
  <c r="I168" i="1" l="1"/>
  <c r="H168" i="1"/>
  <c r="G169" i="1"/>
  <c r="B181" i="2"/>
  <c r="C180" i="2"/>
  <c r="D180" i="2" s="1"/>
  <c r="E180" i="2" s="1"/>
  <c r="E168" i="5"/>
  <c r="H167" i="5"/>
  <c r="F167" i="5"/>
  <c r="G167" i="5" s="1"/>
  <c r="I169" i="1" l="1"/>
  <c r="H169" i="1"/>
  <c r="G170" i="1"/>
  <c r="E169" i="5"/>
  <c r="H168" i="5"/>
  <c r="F168" i="5"/>
  <c r="G168" i="5" s="1"/>
  <c r="B182" i="2"/>
  <c r="C181" i="2"/>
  <c r="D181" i="2" s="1"/>
  <c r="E181" i="2" s="1"/>
  <c r="G171" i="1" l="1"/>
  <c r="I170" i="1"/>
  <c r="H170" i="1"/>
  <c r="C182" i="2"/>
  <c r="D182" i="2" s="1"/>
  <c r="E182" i="2" s="1"/>
  <c r="B183" i="2"/>
  <c r="E170" i="5"/>
  <c r="H169" i="5"/>
  <c r="F169" i="5"/>
  <c r="G169" i="5" s="1"/>
  <c r="G172" i="1" l="1"/>
  <c r="I171" i="1"/>
  <c r="H171" i="1"/>
  <c r="E171" i="5"/>
  <c r="H170" i="5"/>
  <c r="F170" i="5"/>
  <c r="G170" i="5" s="1"/>
  <c r="C183" i="2"/>
  <c r="D183" i="2" s="1"/>
  <c r="E183" i="2" s="1"/>
  <c r="B184" i="2"/>
  <c r="G173" i="1" l="1"/>
  <c r="I172" i="1"/>
  <c r="H172" i="1"/>
  <c r="B185" i="2"/>
  <c r="C184" i="2"/>
  <c r="D184" i="2" s="1"/>
  <c r="E184" i="2" s="1"/>
  <c r="E172" i="5"/>
  <c r="H171" i="5"/>
  <c r="F171" i="5"/>
  <c r="G171" i="5" s="1"/>
  <c r="I173" i="1" l="1"/>
  <c r="H173" i="1"/>
  <c r="G174" i="1"/>
  <c r="E173" i="5"/>
  <c r="H172" i="5"/>
  <c r="F172" i="5"/>
  <c r="G172" i="5" s="1"/>
  <c r="B186" i="2"/>
  <c r="C185" i="2"/>
  <c r="D185" i="2" s="1"/>
  <c r="E185" i="2" s="1"/>
  <c r="I174" i="1" l="1"/>
  <c r="H174" i="1"/>
  <c r="G175" i="1"/>
  <c r="B187" i="2"/>
  <c r="C186" i="2"/>
  <c r="D186" i="2" s="1"/>
  <c r="E186" i="2" s="1"/>
  <c r="E174" i="5"/>
  <c r="H173" i="5"/>
  <c r="F173" i="5"/>
  <c r="G173" i="5" s="1"/>
  <c r="G176" i="1" l="1"/>
  <c r="I175" i="1"/>
  <c r="H175" i="1"/>
  <c r="E175" i="5"/>
  <c r="F174" i="5"/>
  <c r="G174" i="5" s="1"/>
  <c r="H174" i="5"/>
  <c r="B188" i="2"/>
  <c r="C187" i="2"/>
  <c r="D187" i="2" s="1"/>
  <c r="E187" i="2" s="1"/>
  <c r="G177" i="1" l="1"/>
  <c r="I176" i="1"/>
  <c r="H176" i="1"/>
  <c r="B189" i="2"/>
  <c r="C188" i="2"/>
  <c r="D188" i="2" s="1"/>
  <c r="E188" i="2" s="1"/>
  <c r="E176" i="5"/>
  <c r="H175" i="5"/>
  <c r="F175" i="5"/>
  <c r="G175" i="5" s="1"/>
  <c r="G178" i="1" l="1"/>
  <c r="I177" i="1"/>
  <c r="H177" i="1"/>
  <c r="E177" i="5"/>
  <c r="H176" i="5"/>
  <c r="F176" i="5"/>
  <c r="G176" i="5" s="1"/>
  <c r="B190" i="2"/>
  <c r="C189" i="2"/>
  <c r="D189" i="2" s="1"/>
  <c r="E189" i="2" s="1"/>
  <c r="I178" i="1" l="1"/>
  <c r="H178" i="1"/>
  <c r="G179" i="1"/>
  <c r="C190" i="2"/>
  <c r="D190" i="2" s="1"/>
  <c r="E190" i="2" s="1"/>
  <c r="B191" i="2"/>
  <c r="E178" i="5"/>
  <c r="H177" i="5"/>
  <c r="F177" i="5"/>
  <c r="G177" i="5" s="1"/>
  <c r="I179" i="1" l="1"/>
  <c r="H179" i="1"/>
  <c r="G180" i="1"/>
  <c r="E179" i="5"/>
  <c r="H178" i="5"/>
  <c r="F178" i="5"/>
  <c r="G178" i="5" s="1"/>
  <c r="C191" i="2"/>
  <c r="D191" i="2" s="1"/>
  <c r="E191" i="2" s="1"/>
  <c r="B192" i="2"/>
  <c r="G181" i="1" l="1"/>
  <c r="I180" i="1"/>
  <c r="H180" i="1"/>
  <c r="B193" i="2"/>
  <c r="C192" i="2"/>
  <c r="D192" i="2" s="1"/>
  <c r="E192" i="2" s="1"/>
  <c r="E180" i="5"/>
  <c r="H179" i="5"/>
  <c r="F179" i="5"/>
  <c r="G179" i="5" s="1"/>
  <c r="I181" i="1" l="1"/>
  <c r="H181" i="1"/>
  <c r="G182" i="1"/>
  <c r="E181" i="5"/>
  <c r="H180" i="5"/>
  <c r="F180" i="5"/>
  <c r="G180" i="5" s="1"/>
  <c r="B194" i="2"/>
  <c r="C193" i="2"/>
  <c r="D193" i="2" s="1"/>
  <c r="E193" i="2" s="1"/>
  <c r="I182" i="1" l="1"/>
  <c r="H182" i="1"/>
  <c r="G183" i="1"/>
  <c r="B195" i="2"/>
  <c r="C194" i="2"/>
  <c r="D194" i="2" s="1"/>
  <c r="E194" i="2" s="1"/>
  <c r="E182" i="5"/>
  <c r="H181" i="5"/>
  <c r="F181" i="5"/>
  <c r="G181" i="5" s="1"/>
  <c r="I183" i="1" l="1"/>
  <c r="H183" i="1"/>
  <c r="G184" i="1"/>
  <c r="E183" i="5"/>
  <c r="F182" i="5"/>
  <c r="G182" i="5" s="1"/>
  <c r="H182" i="5"/>
  <c r="B196" i="2"/>
  <c r="C195" i="2"/>
  <c r="D195" i="2" s="1"/>
  <c r="E195" i="2" s="1"/>
  <c r="I184" i="1" l="1"/>
  <c r="H184" i="1"/>
  <c r="G185" i="1"/>
  <c r="B197" i="2"/>
  <c r="C196" i="2"/>
  <c r="D196" i="2" s="1"/>
  <c r="E196" i="2" s="1"/>
  <c r="E184" i="5"/>
  <c r="H183" i="5"/>
  <c r="F183" i="5"/>
  <c r="G183" i="5" s="1"/>
  <c r="I185" i="1" l="1"/>
  <c r="H185" i="1"/>
  <c r="G186" i="1"/>
  <c r="E185" i="5"/>
  <c r="H184" i="5"/>
  <c r="F184" i="5"/>
  <c r="G184" i="5" s="1"/>
  <c r="B198" i="2"/>
  <c r="C197" i="2"/>
  <c r="D197" i="2" s="1"/>
  <c r="E197" i="2" s="1"/>
  <c r="I186" i="1" l="1"/>
  <c r="H186" i="1"/>
  <c r="G187" i="1"/>
  <c r="C198" i="2"/>
  <c r="D198" i="2" s="1"/>
  <c r="E198" i="2" s="1"/>
  <c r="B199" i="2"/>
  <c r="E186" i="5"/>
  <c r="H185" i="5"/>
  <c r="F185" i="5"/>
  <c r="G185" i="5" s="1"/>
  <c r="I187" i="1" l="1"/>
  <c r="H187" i="1"/>
  <c r="G188" i="1"/>
  <c r="E187" i="5"/>
  <c r="H186" i="5"/>
  <c r="F186" i="5"/>
  <c r="G186" i="5" s="1"/>
  <c r="C199" i="2"/>
  <c r="D199" i="2" s="1"/>
  <c r="E199" i="2" s="1"/>
  <c r="B200" i="2"/>
  <c r="I188" i="1" l="1"/>
  <c r="H188" i="1"/>
  <c r="G189" i="1"/>
  <c r="B201" i="2"/>
  <c r="C200" i="2"/>
  <c r="D200" i="2" s="1"/>
  <c r="E200" i="2" s="1"/>
  <c r="E188" i="5"/>
  <c r="H187" i="5"/>
  <c r="F187" i="5"/>
  <c r="G187" i="5" s="1"/>
  <c r="G190" i="1" l="1"/>
  <c r="I189" i="1"/>
  <c r="H189" i="1"/>
  <c r="E189" i="5"/>
  <c r="H188" i="5"/>
  <c r="F188" i="5"/>
  <c r="G188" i="5" s="1"/>
  <c r="B202" i="2"/>
  <c r="C201" i="2"/>
  <c r="D201" i="2" s="1"/>
  <c r="E201" i="2" s="1"/>
  <c r="I190" i="1" l="1"/>
  <c r="H190" i="1"/>
  <c r="G191" i="1"/>
  <c r="B203" i="2"/>
  <c r="C202" i="2"/>
  <c r="D202" i="2" s="1"/>
  <c r="E202" i="2" s="1"/>
  <c r="E190" i="5"/>
  <c r="H189" i="5"/>
  <c r="F189" i="5"/>
  <c r="G189" i="5" s="1"/>
  <c r="I191" i="1" l="1"/>
  <c r="H191" i="1"/>
  <c r="G192" i="1"/>
  <c r="E191" i="5"/>
  <c r="F190" i="5"/>
  <c r="G190" i="5" s="1"/>
  <c r="H190" i="5"/>
  <c r="B204" i="2"/>
  <c r="C203" i="2"/>
  <c r="D203" i="2" s="1"/>
  <c r="E203" i="2" s="1"/>
  <c r="G193" i="1" l="1"/>
  <c r="I192" i="1"/>
  <c r="H192" i="1"/>
  <c r="B205" i="2"/>
  <c r="C204" i="2"/>
  <c r="D204" i="2" s="1"/>
  <c r="E204" i="2" s="1"/>
  <c r="E192" i="5"/>
  <c r="H191" i="5"/>
  <c r="F191" i="5"/>
  <c r="G191" i="5" s="1"/>
  <c r="I193" i="1" l="1"/>
  <c r="H193" i="1"/>
  <c r="G194" i="1"/>
  <c r="E193" i="5"/>
  <c r="H192" i="5"/>
  <c r="F192" i="5"/>
  <c r="G192" i="5" s="1"/>
  <c r="B206" i="2"/>
  <c r="C205" i="2"/>
  <c r="D205" i="2" s="1"/>
  <c r="E205" i="2" s="1"/>
  <c r="I194" i="1" l="1"/>
  <c r="H194" i="1"/>
  <c r="G195" i="1"/>
  <c r="C206" i="2"/>
  <c r="D206" i="2" s="1"/>
  <c r="E206" i="2" s="1"/>
  <c r="B207" i="2"/>
  <c r="E194" i="5"/>
  <c r="H193" i="5"/>
  <c r="F193" i="5"/>
  <c r="G193" i="5" s="1"/>
  <c r="G196" i="1" l="1"/>
  <c r="I195" i="1"/>
  <c r="H195" i="1"/>
  <c r="E195" i="5"/>
  <c r="H194" i="5"/>
  <c r="F194" i="5"/>
  <c r="G194" i="5" s="1"/>
  <c r="C207" i="2"/>
  <c r="D207" i="2" s="1"/>
  <c r="E207" i="2" s="1"/>
  <c r="B208" i="2"/>
  <c r="I196" i="1" l="1"/>
  <c r="H196" i="1"/>
  <c r="G197" i="1"/>
  <c r="B209" i="2"/>
  <c r="C208" i="2"/>
  <c r="D208" i="2" s="1"/>
  <c r="E208" i="2" s="1"/>
  <c r="E196" i="5"/>
  <c r="H195" i="5"/>
  <c r="F195" i="5"/>
  <c r="G195" i="5" s="1"/>
  <c r="G198" i="1" l="1"/>
  <c r="I197" i="1"/>
  <c r="H197" i="1"/>
  <c r="E197" i="5"/>
  <c r="H196" i="5"/>
  <c r="F196" i="5"/>
  <c r="G196" i="5" s="1"/>
  <c r="B210" i="2"/>
  <c r="C209" i="2"/>
  <c r="D209" i="2" s="1"/>
  <c r="E209" i="2" s="1"/>
  <c r="I198" i="1" l="1"/>
  <c r="H198" i="1"/>
  <c r="G199" i="1"/>
  <c r="B211" i="2"/>
  <c r="C210" i="2"/>
  <c r="D210" i="2" s="1"/>
  <c r="E210" i="2" s="1"/>
  <c r="E198" i="5"/>
  <c r="H197" i="5"/>
  <c r="F197" i="5"/>
  <c r="G197" i="5" s="1"/>
  <c r="I199" i="1" l="1"/>
  <c r="H199" i="1"/>
  <c r="G200" i="1"/>
  <c r="E199" i="5"/>
  <c r="F198" i="5"/>
  <c r="G198" i="5" s="1"/>
  <c r="H198" i="5"/>
  <c r="B212" i="2"/>
  <c r="C211" i="2"/>
  <c r="D211" i="2" s="1"/>
  <c r="E211" i="2" s="1"/>
  <c r="G201" i="1" l="1"/>
  <c r="I200" i="1"/>
  <c r="H200" i="1"/>
  <c r="B213" i="2"/>
  <c r="C212" i="2"/>
  <c r="D212" i="2" s="1"/>
  <c r="E212" i="2" s="1"/>
  <c r="E200" i="5"/>
  <c r="H199" i="5"/>
  <c r="F199" i="5"/>
  <c r="G199" i="5" s="1"/>
  <c r="I201" i="1" l="1"/>
  <c r="H201" i="1"/>
  <c r="G202" i="1"/>
  <c r="C213" i="2"/>
  <c r="D213" i="2" s="1"/>
  <c r="E213" i="2" s="1"/>
  <c r="B214" i="2"/>
  <c r="E201" i="5"/>
  <c r="H200" i="5"/>
  <c r="F200" i="5"/>
  <c r="G200" i="5" s="1"/>
  <c r="G203" i="1" l="1"/>
  <c r="I202" i="1"/>
  <c r="H202" i="1"/>
  <c r="E202" i="5"/>
  <c r="H201" i="5"/>
  <c r="F201" i="5"/>
  <c r="G201" i="5" s="1"/>
  <c r="C214" i="2"/>
  <c r="D214" i="2" s="1"/>
  <c r="E214" i="2" s="1"/>
  <c r="B215" i="2"/>
  <c r="I203" i="1" l="1"/>
  <c r="H203" i="1"/>
  <c r="G204" i="1"/>
  <c r="C215" i="2"/>
  <c r="D215" i="2" s="1"/>
  <c r="E215" i="2" s="1"/>
  <c r="B216" i="2"/>
  <c r="E203" i="5"/>
  <c r="H202" i="5"/>
  <c r="F202" i="5"/>
  <c r="G202" i="5" s="1"/>
  <c r="I204" i="1" l="1"/>
  <c r="H204" i="1"/>
  <c r="G205" i="1"/>
  <c r="E204" i="5"/>
  <c r="H203" i="5"/>
  <c r="F203" i="5"/>
  <c r="G203" i="5" s="1"/>
  <c r="B217" i="2"/>
  <c r="C216" i="2"/>
  <c r="D216" i="2" s="1"/>
  <c r="E216" i="2" s="1"/>
  <c r="I205" i="1" l="1"/>
  <c r="H205" i="1"/>
  <c r="G206" i="1"/>
  <c r="B218" i="2"/>
  <c r="C217" i="2"/>
  <c r="D217" i="2" s="1"/>
  <c r="E217" i="2" s="1"/>
  <c r="E205" i="5"/>
  <c r="H204" i="5"/>
  <c r="F204" i="5"/>
  <c r="G204" i="5" s="1"/>
  <c r="I206" i="1" l="1"/>
  <c r="H206" i="1"/>
  <c r="G207" i="1"/>
  <c r="E206" i="5"/>
  <c r="H205" i="5"/>
  <c r="F205" i="5"/>
  <c r="G205" i="5" s="1"/>
  <c r="B219" i="2"/>
  <c r="C218" i="2"/>
  <c r="D218" i="2" s="1"/>
  <c r="E218" i="2" s="1"/>
  <c r="I207" i="1" l="1"/>
  <c r="H207" i="1"/>
  <c r="G208" i="1"/>
  <c r="B220" i="2"/>
  <c r="C219" i="2"/>
  <c r="D219" i="2" s="1"/>
  <c r="E219" i="2" s="1"/>
  <c r="E207" i="5"/>
  <c r="H206" i="5"/>
  <c r="F206" i="5"/>
  <c r="G206" i="5" s="1"/>
  <c r="I208" i="1" l="1"/>
  <c r="H208" i="1"/>
  <c r="G209" i="1"/>
  <c r="E208" i="5"/>
  <c r="H207" i="5"/>
  <c r="F207" i="5"/>
  <c r="G207" i="5" s="1"/>
  <c r="B221" i="2"/>
  <c r="C220" i="2"/>
  <c r="D220" i="2" s="1"/>
  <c r="E220" i="2" s="1"/>
  <c r="I209" i="1" l="1"/>
  <c r="H209" i="1"/>
  <c r="G210" i="1"/>
  <c r="B222" i="2"/>
  <c r="C221" i="2"/>
  <c r="D221" i="2" s="1"/>
  <c r="E221" i="2" s="1"/>
  <c r="E209" i="5"/>
  <c r="H208" i="5"/>
  <c r="F208" i="5"/>
  <c r="G208" i="5" s="1"/>
  <c r="G211" i="1" l="1"/>
  <c r="I210" i="1"/>
  <c r="H210" i="1"/>
  <c r="E210" i="5"/>
  <c r="H209" i="5"/>
  <c r="F209" i="5"/>
  <c r="G209" i="5" s="1"/>
  <c r="B223" i="2"/>
  <c r="C222" i="2"/>
  <c r="D222" i="2" s="1"/>
  <c r="E222" i="2" s="1"/>
  <c r="I211" i="1" l="1"/>
  <c r="H211" i="1"/>
  <c r="G212" i="1"/>
  <c r="B224" i="2"/>
  <c r="C223" i="2"/>
  <c r="D223" i="2" s="1"/>
  <c r="E223" i="2" s="1"/>
  <c r="E211" i="5"/>
  <c r="F210" i="5"/>
  <c r="G210" i="5" s="1"/>
  <c r="H210" i="5"/>
  <c r="I212" i="1" l="1"/>
  <c r="H212" i="1"/>
  <c r="G213" i="1"/>
  <c r="H211" i="5"/>
  <c r="E212" i="5"/>
  <c r="F211" i="5"/>
  <c r="G211" i="5" s="1"/>
  <c r="B225" i="2"/>
  <c r="C224" i="2"/>
  <c r="D224" i="2" s="1"/>
  <c r="E224" i="2" s="1"/>
  <c r="I213" i="1" l="1"/>
  <c r="H213" i="1"/>
  <c r="G214" i="1"/>
  <c r="B226" i="2"/>
  <c r="C225" i="2"/>
  <c r="D225" i="2" s="1"/>
  <c r="E225" i="2" s="1"/>
  <c r="H212" i="5"/>
  <c r="F212" i="5"/>
  <c r="G212" i="5" s="1"/>
  <c r="E213" i="5"/>
  <c r="G215" i="1" l="1"/>
  <c r="I214" i="1"/>
  <c r="H214" i="1"/>
  <c r="H213" i="5"/>
  <c r="E214" i="5"/>
  <c r="F213" i="5"/>
  <c r="G213" i="5" s="1"/>
  <c r="B227" i="2"/>
  <c r="C226" i="2"/>
  <c r="D226" i="2" s="1"/>
  <c r="E226" i="2" s="1"/>
  <c r="I215" i="1" l="1"/>
  <c r="H215" i="1"/>
  <c r="G216" i="1"/>
  <c r="B228" i="2"/>
  <c r="C227" i="2"/>
  <c r="D227" i="2" s="1"/>
  <c r="E227" i="2" s="1"/>
  <c r="F214" i="5"/>
  <c r="G214" i="5" s="1"/>
  <c r="E215" i="5"/>
  <c r="H214" i="5"/>
  <c r="I216" i="1" l="1"/>
  <c r="H216" i="1"/>
  <c r="G217" i="1"/>
  <c r="E216" i="5"/>
  <c r="H215" i="5"/>
  <c r="F215" i="5"/>
  <c r="G215" i="5" s="1"/>
  <c r="B229" i="2"/>
  <c r="C228" i="2"/>
  <c r="D228" i="2" s="1"/>
  <c r="E228" i="2" s="1"/>
  <c r="I217" i="1" l="1"/>
  <c r="H217" i="1"/>
  <c r="G218" i="1"/>
  <c r="C229" i="2"/>
  <c r="D229" i="2" s="1"/>
  <c r="E229" i="2" s="1"/>
  <c r="B230" i="2"/>
  <c r="E217" i="5"/>
  <c r="H216" i="5"/>
  <c r="F216" i="5"/>
  <c r="G216" i="5" s="1"/>
  <c r="G219" i="1" l="1"/>
  <c r="I218" i="1"/>
  <c r="H218" i="1"/>
  <c r="E218" i="5"/>
  <c r="H217" i="5"/>
  <c r="F217" i="5"/>
  <c r="G217" i="5" s="1"/>
  <c r="C230" i="2"/>
  <c r="D230" i="2" s="1"/>
  <c r="E230" i="2" s="1"/>
  <c r="B231" i="2"/>
  <c r="I219" i="1" l="1"/>
  <c r="H219" i="1"/>
  <c r="G220" i="1"/>
  <c r="B232" i="2"/>
  <c r="C231" i="2"/>
  <c r="D231" i="2" s="1"/>
  <c r="E231" i="2" s="1"/>
  <c r="E219" i="5"/>
  <c r="F218" i="5"/>
  <c r="G218" i="5" s="1"/>
  <c r="H218" i="5"/>
  <c r="G221" i="1" l="1"/>
  <c r="I220" i="1"/>
  <c r="H220" i="1"/>
  <c r="E220" i="5"/>
  <c r="H219" i="5"/>
  <c r="F219" i="5"/>
  <c r="G219" i="5" s="1"/>
  <c r="C232" i="2"/>
  <c r="D232" i="2" s="1"/>
  <c r="E232" i="2" s="1"/>
  <c r="B233" i="2"/>
  <c r="I221" i="1" l="1"/>
  <c r="H221" i="1"/>
  <c r="G222" i="1"/>
  <c r="B234" i="2"/>
  <c r="C233" i="2"/>
  <c r="D233" i="2" s="1"/>
  <c r="E233" i="2" s="1"/>
  <c r="E221" i="5"/>
  <c r="H220" i="5"/>
  <c r="F220" i="5"/>
  <c r="G220" i="5" s="1"/>
  <c r="I222" i="1" l="1"/>
  <c r="H222" i="1"/>
  <c r="G223" i="1"/>
  <c r="E222" i="5"/>
  <c r="H221" i="5"/>
  <c r="F221" i="5"/>
  <c r="G221" i="5" s="1"/>
  <c r="B235" i="2"/>
  <c r="C234" i="2"/>
  <c r="D234" i="2" s="1"/>
  <c r="E234" i="2" s="1"/>
  <c r="I223" i="1" l="1"/>
  <c r="H223" i="1"/>
  <c r="G224" i="1"/>
  <c r="C235" i="2"/>
  <c r="D235" i="2" s="1"/>
  <c r="E235" i="2" s="1"/>
  <c r="B236" i="2"/>
  <c r="E223" i="5"/>
  <c r="F222" i="5"/>
  <c r="G222" i="5" s="1"/>
  <c r="H222" i="5"/>
  <c r="I224" i="1" l="1"/>
  <c r="H224" i="1"/>
  <c r="G225" i="1"/>
  <c r="E224" i="5"/>
  <c r="H223" i="5"/>
  <c r="F223" i="5"/>
  <c r="G223" i="5" s="1"/>
  <c r="C236" i="2"/>
  <c r="D236" i="2" s="1"/>
  <c r="E236" i="2" s="1"/>
  <c r="B237" i="2"/>
  <c r="G226" i="1" l="1"/>
  <c r="I225" i="1"/>
  <c r="H225" i="1"/>
  <c r="C237" i="2"/>
  <c r="D237" i="2" s="1"/>
  <c r="E237" i="2" s="1"/>
  <c r="B238" i="2"/>
  <c r="E225" i="5"/>
  <c r="H224" i="5"/>
  <c r="F224" i="5"/>
  <c r="G224" i="5" s="1"/>
  <c r="I226" i="1" l="1"/>
  <c r="H226" i="1"/>
  <c r="G227" i="1"/>
  <c r="E226" i="5"/>
  <c r="H225" i="5"/>
  <c r="F225" i="5"/>
  <c r="G225" i="5" s="1"/>
  <c r="C238" i="2"/>
  <c r="D238" i="2" s="1"/>
  <c r="E238" i="2" s="1"/>
  <c r="B239" i="2"/>
  <c r="I227" i="1" l="1"/>
  <c r="H227" i="1"/>
  <c r="G228" i="1"/>
  <c r="C239" i="2"/>
  <c r="D239" i="2" s="1"/>
  <c r="E239" i="2" s="1"/>
  <c r="B240" i="2"/>
  <c r="E227" i="5"/>
  <c r="H226" i="5"/>
  <c r="F226" i="5"/>
  <c r="G226" i="5" s="1"/>
  <c r="I228" i="1" l="1"/>
  <c r="H228" i="1"/>
  <c r="G229" i="1"/>
  <c r="E228" i="5"/>
  <c r="H227" i="5"/>
  <c r="F227" i="5"/>
  <c r="G227" i="5" s="1"/>
  <c r="B241" i="2"/>
  <c r="C240" i="2"/>
  <c r="D240" i="2" s="1"/>
  <c r="E240" i="2" s="1"/>
  <c r="I229" i="1" l="1"/>
  <c r="H229" i="1"/>
  <c r="G230" i="1"/>
  <c r="C241" i="2"/>
  <c r="D241" i="2" s="1"/>
  <c r="E241" i="2" s="1"/>
  <c r="B242" i="2"/>
  <c r="E229" i="5"/>
  <c r="H228" i="5"/>
  <c r="F228" i="5"/>
  <c r="G228" i="5" s="1"/>
  <c r="I230" i="1" l="1"/>
  <c r="H230" i="1"/>
  <c r="G231" i="1"/>
  <c r="E230" i="5"/>
  <c r="H229" i="5"/>
  <c r="F229" i="5"/>
  <c r="G229" i="5" s="1"/>
  <c r="B243" i="2"/>
  <c r="C242" i="2"/>
  <c r="D242" i="2" s="1"/>
  <c r="E242" i="2" s="1"/>
  <c r="G232" i="1" l="1"/>
  <c r="I231" i="1"/>
  <c r="H231" i="1"/>
  <c r="B244" i="2"/>
  <c r="C243" i="2"/>
  <c r="D243" i="2" s="1"/>
  <c r="E243" i="2" s="1"/>
  <c r="E231" i="5"/>
  <c r="F230" i="5"/>
  <c r="G230" i="5" s="1"/>
  <c r="H230" i="5"/>
  <c r="I232" i="1" l="1"/>
  <c r="H232" i="1"/>
  <c r="G233" i="1"/>
  <c r="H231" i="5"/>
  <c r="F231" i="5"/>
  <c r="G231" i="5" s="1"/>
  <c r="E232" i="5"/>
  <c r="B245" i="2"/>
  <c r="C244" i="2"/>
  <c r="D244" i="2" s="1"/>
  <c r="E244" i="2" s="1"/>
  <c r="I233" i="1" l="1"/>
  <c r="H233" i="1"/>
  <c r="G234" i="1"/>
  <c r="C245" i="2"/>
  <c r="D245" i="2" s="1"/>
  <c r="E245" i="2" s="1"/>
  <c r="B246" i="2"/>
  <c r="F232" i="5"/>
  <c r="G232" i="5" s="1"/>
  <c r="H232" i="5"/>
  <c r="E233" i="5"/>
  <c r="I234" i="1" l="1"/>
  <c r="H234" i="1"/>
  <c r="G235" i="1"/>
  <c r="C246" i="2"/>
  <c r="D246" i="2" s="1"/>
  <c r="E246" i="2" s="1"/>
  <c r="B247" i="2"/>
  <c r="E234" i="5"/>
  <c r="H233" i="5"/>
  <c r="F233" i="5"/>
  <c r="G233" i="5" s="1"/>
  <c r="G236" i="1" l="1"/>
  <c r="I235" i="1"/>
  <c r="H235" i="1"/>
  <c r="H234" i="5"/>
  <c r="E235" i="5"/>
  <c r="F234" i="5"/>
  <c r="G234" i="5" s="1"/>
  <c r="C247" i="2"/>
  <c r="D247" i="2" s="1"/>
  <c r="E247" i="2" s="1"/>
  <c r="B248" i="2"/>
  <c r="I236" i="1" l="1"/>
  <c r="H236" i="1"/>
  <c r="G237" i="1"/>
  <c r="H235" i="5"/>
  <c r="F235" i="5"/>
  <c r="G235" i="5" s="1"/>
  <c r="B249" i="2"/>
  <c r="C248" i="2"/>
  <c r="D248" i="2" s="1"/>
  <c r="E248" i="2" s="1"/>
  <c r="I237" i="1" l="1"/>
  <c r="H237" i="1"/>
  <c r="G238" i="1"/>
  <c r="B250" i="2"/>
  <c r="C249" i="2"/>
  <c r="D249" i="2" s="1"/>
  <c r="E249" i="2" s="1"/>
  <c r="G239" i="1" l="1"/>
  <c r="I238" i="1"/>
  <c r="H238" i="1"/>
  <c r="C250" i="2"/>
  <c r="D250" i="2" s="1"/>
  <c r="E250" i="2" s="1"/>
  <c r="B251" i="2"/>
  <c r="I239" i="1" l="1"/>
  <c r="H239" i="1"/>
  <c r="G240" i="1"/>
  <c r="B252" i="2"/>
  <c r="C251" i="2"/>
  <c r="D251" i="2" s="1"/>
  <c r="E251" i="2" s="1"/>
  <c r="I240" i="1" l="1"/>
  <c r="H240" i="1"/>
  <c r="G241" i="1"/>
  <c r="B253" i="2"/>
  <c r="C252" i="2"/>
  <c r="D252" i="2" s="1"/>
  <c r="E252" i="2" s="1"/>
  <c r="G242" i="1" l="1"/>
  <c r="I241" i="1"/>
  <c r="H241" i="1"/>
  <c r="B254" i="2"/>
  <c r="C253" i="2"/>
  <c r="D253" i="2" s="1"/>
  <c r="E253" i="2" s="1"/>
  <c r="G243" i="1" l="1"/>
  <c r="I242" i="1"/>
  <c r="H242" i="1"/>
  <c r="B255" i="2"/>
  <c r="C254" i="2"/>
  <c r="D254" i="2" s="1"/>
  <c r="E254" i="2" s="1"/>
  <c r="I243" i="1" l="1"/>
  <c r="H243" i="1"/>
  <c r="G244" i="1"/>
  <c r="B256" i="2"/>
  <c r="C255" i="2"/>
  <c r="D255" i="2" s="1"/>
  <c r="E255" i="2" s="1"/>
  <c r="G245" i="1" l="1"/>
  <c r="I244" i="1"/>
  <c r="H244" i="1"/>
  <c r="B257" i="2"/>
  <c r="C256" i="2"/>
  <c r="D256" i="2" s="1"/>
  <c r="E256" i="2" s="1"/>
  <c r="I245" i="1" l="1"/>
  <c r="H245" i="1"/>
  <c r="G246" i="1"/>
  <c r="B258" i="2"/>
  <c r="C257" i="2"/>
  <c r="D257" i="2" s="1"/>
  <c r="E257" i="2" s="1"/>
  <c r="G247" i="1" l="1"/>
  <c r="I246" i="1"/>
  <c r="H246" i="1"/>
  <c r="C258" i="2"/>
  <c r="D258" i="2" s="1"/>
  <c r="E258" i="2" s="1"/>
  <c r="B259" i="2"/>
  <c r="I247" i="1" l="1"/>
  <c r="H247" i="1"/>
  <c r="G248" i="1"/>
  <c r="B260" i="2"/>
  <c r="C259" i="2"/>
  <c r="D259" i="2" s="1"/>
  <c r="E259" i="2" s="1"/>
  <c r="G249" i="1" l="1"/>
  <c r="I248" i="1"/>
  <c r="H248" i="1"/>
  <c r="B261" i="2"/>
  <c r="C260" i="2"/>
  <c r="D260" i="2" s="1"/>
  <c r="E260" i="2" s="1"/>
  <c r="I249" i="1" l="1"/>
  <c r="H249" i="1"/>
  <c r="G250" i="1"/>
  <c r="B262" i="2"/>
  <c r="C261" i="2"/>
  <c r="D261" i="2" s="1"/>
  <c r="E261" i="2" s="1"/>
  <c r="I250" i="1" l="1"/>
  <c r="H250" i="1"/>
  <c r="G251" i="1"/>
  <c r="B263" i="2"/>
  <c r="C262" i="2"/>
  <c r="D262" i="2" s="1"/>
  <c r="E262" i="2" s="1"/>
  <c r="G252" i="1" l="1"/>
  <c r="I251" i="1"/>
  <c r="H251" i="1"/>
  <c r="B264" i="2"/>
  <c r="C263" i="2"/>
  <c r="D263" i="2" s="1"/>
  <c r="E263" i="2" s="1"/>
  <c r="I252" i="1" l="1"/>
  <c r="H252" i="1"/>
  <c r="G253" i="1"/>
  <c r="C264" i="2"/>
  <c r="D264" i="2" s="1"/>
  <c r="E264" i="2" s="1"/>
  <c r="B265" i="2"/>
  <c r="G254" i="1" l="1"/>
  <c r="I253" i="1"/>
  <c r="H253" i="1"/>
  <c r="C265" i="2"/>
  <c r="D265" i="2" s="1"/>
  <c r="E265" i="2" s="1"/>
  <c r="B266" i="2"/>
  <c r="I254" i="1" l="1"/>
  <c r="H254" i="1"/>
  <c r="G255" i="1"/>
  <c r="C266" i="2"/>
  <c r="D266" i="2" s="1"/>
  <c r="E266" i="2" s="1"/>
  <c r="B267" i="2"/>
  <c r="G256" i="1" l="1"/>
  <c r="I255" i="1"/>
  <c r="H255" i="1"/>
  <c r="C267" i="2"/>
  <c r="D267" i="2" s="1"/>
  <c r="E267" i="2" s="1"/>
  <c r="B268" i="2"/>
  <c r="I256" i="1" l="1"/>
  <c r="H256" i="1"/>
  <c r="G257" i="1"/>
  <c r="C268" i="2"/>
  <c r="D268" i="2" s="1"/>
  <c r="E268" i="2" s="1"/>
  <c r="B269" i="2"/>
  <c r="G258" i="1" l="1"/>
  <c r="I257" i="1"/>
  <c r="H257" i="1"/>
  <c r="C269" i="2"/>
  <c r="D269" i="2" s="1"/>
  <c r="E269" i="2" s="1"/>
  <c r="B270" i="2"/>
  <c r="I258" i="1" l="1"/>
  <c r="H258" i="1"/>
  <c r="G259" i="1"/>
  <c r="B271" i="2"/>
  <c r="C270" i="2"/>
  <c r="D270" i="2" s="1"/>
  <c r="E270" i="2" s="1"/>
  <c r="G260" i="1" l="1"/>
  <c r="I259" i="1"/>
  <c r="H259" i="1"/>
  <c r="B272" i="2"/>
  <c r="C271" i="2"/>
  <c r="D271" i="2" s="1"/>
  <c r="E271" i="2" s="1"/>
  <c r="G261" i="1" l="1"/>
  <c r="I260" i="1"/>
  <c r="H260" i="1"/>
  <c r="C272" i="2"/>
  <c r="D272" i="2" s="1"/>
  <c r="E272" i="2" s="1"/>
  <c r="B273" i="2"/>
  <c r="G262" i="1" l="1"/>
  <c r="I261" i="1"/>
  <c r="H261" i="1"/>
  <c r="C273" i="2"/>
  <c r="D273" i="2" s="1"/>
  <c r="E273" i="2" s="1"/>
  <c r="B274" i="2"/>
  <c r="I262" i="1" l="1"/>
  <c r="H262" i="1"/>
  <c r="G263" i="1"/>
  <c r="B275" i="2"/>
  <c r="C274" i="2"/>
  <c r="D274" i="2" s="1"/>
  <c r="E274" i="2" s="1"/>
  <c r="G264" i="1" l="1"/>
  <c r="I263" i="1"/>
  <c r="H263" i="1"/>
  <c r="B276" i="2"/>
  <c r="C275" i="2"/>
  <c r="D275" i="2" s="1"/>
  <c r="E275" i="2" s="1"/>
  <c r="I264" i="1" l="1"/>
  <c r="H264" i="1"/>
  <c r="G265" i="1"/>
  <c r="C276" i="2"/>
  <c r="D276" i="2" s="1"/>
  <c r="E276" i="2" s="1"/>
  <c r="B277" i="2"/>
  <c r="G266" i="1" l="1"/>
  <c r="I265" i="1"/>
  <c r="H265" i="1"/>
  <c r="C277" i="2"/>
  <c r="D277" i="2" s="1"/>
  <c r="E277" i="2" s="1"/>
  <c r="B278" i="2"/>
  <c r="I266" i="1" l="1"/>
  <c r="H266" i="1"/>
  <c r="G267" i="1"/>
  <c r="B279" i="2"/>
  <c r="C278" i="2"/>
  <c r="D278" i="2" s="1"/>
  <c r="E278" i="2" s="1"/>
  <c r="I267" i="1" l="1"/>
  <c r="H267" i="1"/>
  <c r="G268" i="1"/>
  <c r="B280" i="2"/>
  <c r="C279" i="2"/>
  <c r="D279" i="2" s="1"/>
  <c r="E279" i="2" s="1"/>
  <c r="G269" i="1" l="1"/>
  <c r="I268" i="1"/>
  <c r="H268" i="1"/>
  <c r="C280" i="2"/>
  <c r="D280" i="2" s="1"/>
  <c r="E280" i="2" s="1"/>
  <c r="B281" i="2"/>
  <c r="G270" i="1" l="1"/>
  <c r="I269" i="1"/>
  <c r="H269" i="1"/>
  <c r="C281" i="2"/>
  <c r="D281" i="2" s="1"/>
  <c r="E281" i="2" s="1"/>
  <c r="B282" i="2"/>
  <c r="G271" i="1" l="1"/>
  <c r="I270" i="1"/>
  <c r="H270" i="1"/>
  <c r="B283" i="2"/>
  <c r="C282" i="2"/>
  <c r="D282" i="2" s="1"/>
  <c r="E282" i="2" s="1"/>
  <c r="G272" i="1" l="1"/>
  <c r="I271" i="1"/>
  <c r="H271" i="1"/>
  <c r="C283" i="2"/>
  <c r="D283" i="2" s="1"/>
  <c r="E283" i="2" s="1"/>
  <c r="B284" i="2"/>
  <c r="I272" i="1" l="1"/>
  <c r="H272" i="1"/>
  <c r="G273" i="1"/>
  <c r="C284" i="2"/>
  <c r="D284" i="2" s="1"/>
  <c r="E284" i="2" s="1"/>
  <c r="B285" i="2"/>
  <c r="I273" i="1" l="1"/>
  <c r="H273" i="1"/>
  <c r="G274" i="1"/>
  <c r="C285" i="2"/>
  <c r="D285" i="2" s="1"/>
  <c r="E285" i="2" s="1"/>
  <c r="B286" i="2"/>
  <c r="G275" i="1" l="1"/>
  <c r="I274" i="1"/>
  <c r="H274" i="1"/>
  <c r="C286" i="2"/>
  <c r="D286" i="2" s="1"/>
  <c r="E286" i="2" s="1"/>
  <c r="B287" i="2"/>
  <c r="I275" i="1" l="1"/>
  <c r="H275" i="1"/>
  <c r="G276" i="1"/>
  <c r="B288" i="2"/>
  <c r="C287" i="2"/>
  <c r="D287" i="2" s="1"/>
  <c r="E287" i="2" s="1"/>
  <c r="I276" i="1" l="1"/>
  <c r="H276" i="1"/>
  <c r="G277" i="1"/>
  <c r="C288" i="2"/>
  <c r="D288" i="2" s="1"/>
  <c r="E288" i="2" s="1"/>
  <c r="B289" i="2"/>
  <c r="I277" i="1" l="1"/>
  <c r="H277" i="1"/>
  <c r="G278" i="1"/>
  <c r="C289" i="2"/>
  <c r="D289" i="2" s="1"/>
  <c r="E289" i="2" s="1"/>
  <c r="B290" i="2"/>
  <c r="I278" i="1" l="1"/>
  <c r="H278" i="1"/>
  <c r="G279" i="1"/>
  <c r="C290" i="2"/>
  <c r="D290" i="2" s="1"/>
  <c r="E290" i="2" s="1"/>
  <c r="B291" i="2"/>
  <c r="G280" i="1" l="1"/>
  <c r="I279" i="1"/>
  <c r="H279" i="1"/>
  <c r="C291" i="2"/>
  <c r="D291" i="2" s="1"/>
  <c r="E291" i="2" s="1"/>
  <c r="B292" i="2"/>
  <c r="I280" i="1" l="1"/>
  <c r="H280" i="1"/>
  <c r="G281" i="1"/>
  <c r="C292" i="2"/>
  <c r="D292" i="2" s="1"/>
  <c r="E292" i="2" s="1"/>
  <c r="B293" i="2"/>
  <c r="G282" i="1" l="1"/>
  <c r="I281" i="1"/>
  <c r="H281" i="1"/>
  <c r="C293" i="2"/>
  <c r="D293" i="2" s="1"/>
  <c r="E293" i="2" s="1"/>
  <c r="B294" i="2"/>
  <c r="I282" i="1" l="1"/>
  <c r="H282" i="1"/>
  <c r="G283" i="1"/>
  <c r="B295" i="2"/>
  <c r="C294" i="2"/>
  <c r="D294" i="2" s="1"/>
  <c r="E294" i="2" s="1"/>
  <c r="I283" i="1" l="1"/>
  <c r="H283" i="1"/>
  <c r="G284" i="1"/>
  <c r="B296" i="2"/>
  <c r="C295" i="2"/>
  <c r="D295" i="2" s="1"/>
  <c r="E295" i="2" s="1"/>
  <c r="I284" i="1" l="1"/>
  <c r="H284" i="1"/>
  <c r="G285" i="1"/>
  <c r="C296" i="2"/>
  <c r="D296" i="2" s="1"/>
  <c r="E296" i="2" s="1"/>
  <c r="B297" i="2"/>
  <c r="G286" i="1" l="1"/>
  <c r="I285" i="1"/>
  <c r="H285" i="1"/>
  <c r="C297" i="2"/>
  <c r="D297" i="2" s="1"/>
  <c r="E297" i="2" s="1"/>
  <c r="B298" i="2"/>
  <c r="I286" i="1" l="1"/>
  <c r="H286" i="1"/>
  <c r="G287" i="1"/>
  <c r="B299" i="2"/>
  <c r="C298" i="2"/>
  <c r="D298" i="2" s="1"/>
  <c r="E298" i="2" s="1"/>
  <c r="I287" i="1" l="1"/>
  <c r="H287" i="1"/>
  <c r="G288" i="1"/>
  <c r="C299" i="2"/>
  <c r="D299" i="2" s="1"/>
  <c r="E299" i="2" s="1"/>
  <c r="B300" i="2"/>
  <c r="I288" i="1" l="1"/>
  <c r="H288" i="1"/>
  <c r="G289" i="1"/>
  <c r="B301" i="2"/>
  <c r="C300" i="2"/>
  <c r="D300" i="2" s="1"/>
  <c r="E300" i="2" s="1"/>
  <c r="I289" i="1" l="1"/>
  <c r="H289" i="1"/>
  <c r="G290" i="1"/>
  <c r="C301" i="2"/>
  <c r="D301" i="2" s="1"/>
  <c r="E301" i="2" s="1"/>
  <c r="B302" i="2"/>
  <c r="I290" i="1" l="1"/>
  <c r="H290" i="1"/>
  <c r="G291" i="1"/>
  <c r="B303" i="2"/>
  <c r="C302" i="2"/>
  <c r="D302" i="2" s="1"/>
  <c r="E302" i="2" s="1"/>
  <c r="I291" i="1" l="1"/>
  <c r="H291" i="1"/>
  <c r="G292" i="1"/>
  <c r="B304" i="2"/>
  <c r="C303" i="2"/>
  <c r="D303" i="2" s="1"/>
  <c r="E303" i="2" s="1"/>
  <c r="I292" i="1" l="1"/>
  <c r="H292" i="1"/>
  <c r="G293" i="1"/>
  <c r="C304" i="2"/>
  <c r="D304" i="2" s="1"/>
  <c r="E304" i="2" s="1"/>
  <c r="B305" i="2"/>
  <c r="G294" i="1" l="1"/>
  <c r="I293" i="1"/>
  <c r="H293" i="1"/>
  <c r="B306" i="2"/>
  <c r="C305" i="2"/>
  <c r="D305" i="2" s="1"/>
  <c r="E305" i="2" s="1"/>
  <c r="G295" i="1" l="1"/>
  <c r="I294" i="1"/>
  <c r="H294" i="1"/>
  <c r="B307" i="2"/>
  <c r="C306" i="2"/>
  <c r="D306" i="2" s="1"/>
  <c r="E306" i="2" s="1"/>
  <c r="G296" i="1" l="1"/>
  <c r="I295" i="1"/>
  <c r="H295" i="1"/>
  <c r="C307" i="2"/>
  <c r="D307" i="2" s="1"/>
  <c r="E307" i="2" s="1"/>
  <c r="B308" i="2"/>
  <c r="I296" i="1" l="1"/>
  <c r="H296" i="1"/>
  <c r="G297" i="1"/>
  <c r="C308" i="2"/>
  <c r="D308" i="2" s="1"/>
  <c r="E308" i="2" s="1"/>
  <c r="B309" i="2"/>
  <c r="I297" i="1" l="1"/>
  <c r="H297" i="1"/>
  <c r="G298" i="1"/>
  <c r="C309" i="2"/>
  <c r="D309" i="2" s="1"/>
  <c r="E309" i="2" s="1"/>
  <c r="B310" i="2"/>
  <c r="G299" i="1" l="1"/>
  <c r="I298" i="1"/>
  <c r="H298" i="1"/>
  <c r="C310" i="2"/>
  <c r="D310" i="2" s="1"/>
  <c r="E310" i="2" s="1"/>
  <c r="B311" i="2"/>
  <c r="I299" i="1" l="1"/>
  <c r="H299" i="1"/>
  <c r="G300" i="1"/>
  <c r="C311" i="2"/>
  <c r="D311" i="2" s="1"/>
  <c r="E311" i="2" s="1"/>
  <c r="B312" i="2"/>
  <c r="G301" i="1" l="1"/>
  <c r="I300" i="1"/>
  <c r="H300" i="1"/>
  <c r="C312" i="2"/>
  <c r="D312" i="2" s="1"/>
  <c r="E312" i="2" s="1"/>
  <c r="B313" i="2"/>
  <c r="C313" i="2" s="1"/>
  <c r="D313" i="2" s="1"/>
  <c r="E313" i="2" s="1"/>
  <c r="I301" i="1" l="1"/>
  <c r="H301" i="1"/>
  <c r="G302" i="1"/>
  <c r="I302" i="1" l="1"/>
  <c r="H302" i="1"/>
  <c r="G303" i="1"/>
  <c r="I303" i="1" l="1"/>
  <c r="H303" i="1"/>
</calcChain>
</file>

<file path=xl/connections.xml><?xml version="1.0" encoding="utf-8"?>
<connections xmlns="http://schemas.openxmlformats.org/spreadsheetml/2006/main">
  <connection id="1" name="Z Curve Termistor" type="6" refreshedVersion="4" background="1" saveData="1">
    <textPr codePage="1255" sourceFile="E:\MARVIN\Z Curve Termistor.txt">
      <textFields count="5">
        <textField/>
        <textField/>
        <textField/>
        <textField/>
        <textField/>
      </textFields>
    </textPr>
  </connection>
  <connection id="2" name="Z Curve Termistor1" type="6" refreshedVersion="4" background="1" saveData="1">
    <textPr codePage="1255" sourceFile="E:\MARVIN\Z Curve Termistor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<sst xmlns="http://schemas.openxmlformats.org/spreadsheetml/2006/main" count="164" uniqueCount="67">
  <si>
    <t>B</t>
  </si>
  <si>
    <t>Rinf</t>
  </si>
  <si>
    <t>Ro</t>
  </si>
  <si>
    <t>constants</t>
  </si>
  <si>
    <t>Calculated temp</t>
  </si>
  <si>
    <t>T0</t>
  </si>
  <si>
    <t>B25/100</t>
  </si>
  <si>
    <t>Temp K</t>
  </si>
  <si>
    <t>Temp C</t>
  </si>
  <si>
    <t>R Kohm</t>
  </si>
  <si>
    <t>Vout</t>
  </si>
  <si>
    <t xml:space="preserve">ADC </t>
  </si>
  <si>
    <t>Vout vs Temperature C</t>
  </si>
  <si>
    <t>ADC out</t>
  </si>
  <si>
    <t>Enter ADC value</t>
  </si>
  <si>
    <t xml:space="preserve"> R value</t>
  </si>
  <si>
    <t>To (K)</t>
  </si>
  <si>
    <t xml:space="preserve"> C</t>
  </si>
  <si>
    <t>ohm</t>
  </si>
  <si>
    <t>Ambient</t>
  </si>
  <si>
    <t>ADC</t>
  </si>
  <si>
    <t>EMD</t>
  </si>
  <si>
    <t>DMM</t>
  </si>
  <si>
    <t>resistance</t>
  </si>
  <si>
    <t>calc temp</t>
  </si>
  <si>
    <t>poly</t>
  </si>
  <si>
    <t>Termistor [ohm]</t>
  </si>
  <si>
    <t>Rt</t>
  </si>
  <si>
    <t>V2</t>
  </si>
  <si>
    <t>x</t>
  </si>
  <si>
    <t>x^2</t>
  </si>
  <si>
    <t>x^3</t>
  </si>
  <si>
    <t>x^4</t>
  </si>
  <si>
    <t>x^5</t>
  </si>
  <si>
    <t>ERR</t>
  </si>
  <si>
    <t>5th order</t>
  </si>
  <si>
    <t>real value</t>
  </si>
  <si>
    <r>
      <t>y = -103264x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+ 139905x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- 72708x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+ 18055x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- 2354x + 174.95</t>
    </r>
  </si>
  <si>
    <r>
      <t>y = 353127x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- 631684x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+ 441312x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- 154272x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+ 28620x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- 2929x + 183.75</t>
    </r>
  </si>
  <si>
    <t>6th order</t>
  </si>
  <si>
    <t>Enter Vt</t>
  </si>
  <si>
    <t>ADC value</t>
  </si>
  <si>
    <t>V termistor</t>
  </si>
  <si>
    <t>Rt/R0</t>
  </si>
  <si>
    <t>MAX</t>
  </si>
  <si>
    <t xml:space="preserve">TEMP </t>
  </si>
  <si>
    <t xml:space="preserve">(°C) </t>
  </si>
  <si>
    <t xml:space="preserve">RT/R25 </t>
  </si>
  <si>
    <t xml:space="preserve">DEV </t>
  </si>
  <si>
    <t>NTC</t>
  </si>
  <si>
    <t>R0</t>
  </si>
  <si>
    <t>volt</t>
  </si>
  <si>
    <t>POLY-1</t>
  </si>
  <si>
    <t>ERR-1</t>
  </si>
  <si>
    <t>ADC,R141=1K</t>
  </si>
  <si>
    <t>TEMP</t>
  </si>
  <si>
    <t>POLY</t>
  </si>
  <si>
    <t>Temp Err(K)</t>
  </si>
  <si>
    <t>Max Rt</t>
  </si>
  <si>
    <t>Temp coeff ( %/K)</t>
  </si>
  <si>
    <t>Poly on Max Rt</t>
  </si>
  <si>
    <t>Temp Err</t>
  </si>
  <si>
    <t>Counts</t>
  </si>
  <si>
    <t>Ambient Offset</t>
  </si>
  <si>
    <t>Motor Offset</t>
  </si>
  <si>
    <t>Offset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</si>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</sst>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6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sz val="11"/>
      <color rgb="FF333333"/>
      <name val="Inherit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11" fontId="0" fillId="2" borderId="7" xfId="0" applyNumberFormat="1" applyFill="1" applyBorder="1"/>
    <xf numFmtId="0" fontId="0" fillId="2" borderId="7" xfId="0" applyFill="1" applyBorder="1"/>
    <xf numFmtId="11" fontId="0" fillId="2" borderId="8" xfId="0" applyNumberFormat="1" applyFill="1" applyBorder="1"/>
    <xf numFmtId="0" fontId="0" fillId="3" borderId="4" xfId="0" applyFill="1" applyBorder="1"/>
    <xf numFmtId="0" fontId="0" fillId="3" borderId="5" xfId="0" applyFill="1" applyBorder="1"/>
    <xf numFmtId="164" fontId="0" fillId="3" borderId="8" xfId="0" applyNumberFormat="1" applyFill="1" applyBorder="1"/>
    <xf numFmtId="11" fontId="0" fillId="0" borderId="0" xfId="0" applyNumberFormat="1"/>
    <xf numFmtId="164" fontId="0" fillId="4" borderId="1" xfId="0" applyNumberFormat="1" applyFill="1" applyBorder="1"/>
    <xf numFmtId="164" fontId="0" fillId="3" borderId="4" xfId="0" applyNumberFormat="1" applyFill="1" applyBorder="1"/>
    <xf numFmtId="164" fontId="0" fillId="3" borderId="6" xfId="0" applyNumberFormat="1" applyFill="1" applyBorder="1"/>
    <xf numFmtId="0" fontId="0" fillId="0" borderId="13" xfId="0" applyBorder="1"/>
    <xf numFmtId="0" fontId="0" fillId="4" borderId="9" xfId="0" applyFill="1" applyBorder="1"/>
    <xf numFmtId="0" fontId="0" fillId="3" borderId="13" xfId="0" applyFill="1" applyBorder="1"/>
    <xf numFmtId="164" fontId="0" fillId="4" borderId="10" xfId="0" applyNumberFormat="1" applyFill="1" applyBorder="1"/>
    <xf numFmtId="164" fontId="0" fillId="3" borderId="11" xfId="0" applyNumberFormat="1" applyFill="1" applyBorder="1"/>
    <xf numFmtId="164" fontId="0" fillId="3" borderId="12" xfId="0" applyNumberFormat="1" applyFill="1" applyBorder="1"/>
    <xf numFmtId="164" fontId="0" fillId="0" borderId="13" xfId="0" applyNumberFormat="1" applyBorder="1"/>
    <xf numFmtId="0" fontId="0" fillId="2" borderId="0" xfId="0" applyFill="1"/>
    <xf numFmtId="0" fontId="1" fillId="2" borderId="0" xfId="0" applyFont="1" applyFill="1" applyAlignment="1">
      <alignment horizontal="center" vertical="center" readingOrder="1"/>
    </xf>
    <xf numFmtId="0" fontId="3" fillId="0" borderId="0" xfId="0" applyFont="1"/>
    <xf numFmtId="164" fontId="0" fillId="2" borderId="6" xfId="0" applyNumberFormat="1" applyFill="1" applyBorder="1"/>
    <xf numFmtId="0" fontId="0" fillId="0" borderId="0" xfId="0" applyFill="1" applyBorder="1"/>
    <xf numFmtId="164" fontId="0" fillId="0" borderId="0" xfId="0" applyNumberFormat="1" applyFill="1" applyBorder="1"/>
    <xf numFmtId="164" fontId="0" fillId="3" borderId="14" xfId="0" applyNumberFormat="1" applyFill="1" applyBorder="1"/>
    <xf numFmtId="164" fontId="0" fillId="3" borderId="15" xfId="0" applyNumberFormat="1" applyFill="1" applyBorder="1"/>
    <xf numFmtId="164" fontId="0" fillId="3" borderId="16" xfId="0" applyNumberFormat="1" applyFill="1" applyBorder="1"/>
    <xf numFmtId="164" fontId="0" fillId="3" borderId="18" xfId="0" applyNumberFormat="1" applyFill="1" applyBorder="1"/>
    <xf numFmtId="164" fontId="0" fillId="3" borderId="19" xfId="0" applyNumberFormat="1" applyFill="1" applyBorder="1"/>
    <xf numFmtId="164" fontId="0" fillId="3" borderId="20" xfId="0" applyNumberFormat="1" applyFill="1" applyBorder="1"/>
    <xf numFmtId="0" fontId="0" fillId="3" borderId="21" xfId="0" applyFill="1" applyBorder="1"/>
    <xf numFmtId="0" fontId="0" fillId="3" borderId="22" xfId="0" applyFill="1" applyBorder="1"/>
    <xf numFmtId="164" fontId="0" fillId="4" borderId="23" xfId="0" applyNumberFormat="1" applyFill="1" applyBorder="1"/>
    <xf numFmtId="0" fontId="0" fillId="4" borderId="24" xfId="0" applyFill="1" applyBorder="1"/>
    <xf numFmtId="0" fontId="0" fillId="4" borderId="25" xfId="0" applyFill="1" applyBorder="1"/>
    <xf numFmtId="0" fontId="0" fillId="3" borderId="17" xfId="0" applyFill="1" applyBorder="1"/>
    <xf numFmtId="0" fontId="0" fillId="3" borderId="18" xfId="0" applyFill="1" applyBorder="1"/>
    <xf numFmtId="0" fontId="0" fillId="0" borderId="0" xfId="0" applyBorder="1"/>
    <xf numFmtId="164" fontId="0" fillId="3" borderId="10" xfId="0" applyNumberFormat="1" applyFill="1" applyBorder="1"/>
    <xf numFmtId="164" fontId="0" fillId="3" borderId="21" xfId="0" applyNumberFormat="1" applyFill="1" applyBorder="1"/>
    <xf numFmtId="0" fontId="0" fillId="3" borderId="26" xfId="0" applyFill="1" applyBorder="1"/>
    <xf numFmtId="0" fontId="0" fillId="3" borderId="27" xfId="0" applyFill="1" applyBorder="1"/>
    <xf numFmtId="164" fontId="0" fillId="3" borderId="28" xfId="0" applyNumberFormat="1" applyFill="1" applyBorder="1"/>
    <xf numFmtId="164" fontId="0" fillId="3" borderId="29" xfId="0" applyNumberFormat="1" applyFill="1" applyBorder="1"/>
    <xf numFmtId="164" fontId="0" fillId="0" borderId="0" xfId="0" applyNumberFormat="1" applyBorder="1"/>
    <xf numFmtId="0" fontId="0" fillId="0" borderId="0" xfId="0" applyAlignment="1">
      <alignment horizontal="left"/>
    </xf>
    <xf numFmtId="2" fontId="0" fillId="3" borderId="0" xfId="0" applyNumberFormat="1" applyFill="1" applyAlignment="1">
      <alignment horizontal="left"/>
    </xf>
    <xf numFmtId="0" fontId="0" fillId="0" borderId="0" xfId="0" applyFill="1"/>
    <xf numFmtId="165" fontId="0" fillId="0" borderId="0" xfId="0" applyNumberFormat="1" applyAlignment="1">
      <alignment horizontal="left"/>
    </xf>
    <xf numFmtId="165" fontId="0" fillId="6" borderId="0" xfId="0" applyNumberFormat="1" applyFill="1"/>
    <xf numFmtId="165" fontId="0" fillId="5" borderId="0" xfId="0" applyNumberFormat="1" applyFill="1"/>
    <xf numFmtId="16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 applyAlignment="1">
      <alignment horizontal="center"/>
    </xf>
    <xf numFmtId="166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165" fontId="0" fillId="7" borderId="0" xfId="0" applyNumberFormat="1" applyFill="1" applyAlignment="1">
      <alignment horizontal="left"/>
    </xf>
    <xf numFmtId="2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left"/>
    </xf>
    <xf numFmtId="0" fontId="0" fillId="5" borderId="0" xfId="0" applyFill="1"/>
    <xf numFmtId="0" fontId="4" fillId="0" borderId="0" xfId="0" applyFont="1" applyFill="1" applyBorder="1"/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6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Temp [C] Vs ADC</a:t>
            </a:r>
            <a:r>
              <a:rPr lang="en-US" baseline="0"/>
              <a:t> out</a:t>
            </a:r>
          </a:p>
        </c:rich>
      </c:tx>
      <c:layout>
        <c:manualLayout>
          <c:xMode val="edge"/>
          <c:yMode val="edge"/>
          <c:x val="0.2957550417485572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841743838623946"/>
          <c:y val="0.18515977582010171"/>
          <c:w val="0.76896196151581686"/>
          <c:h val="0.76598425196850395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6.4017361907431472E-2"/>
                  <c:y val="-0.58951274655024555"/>
                </c:manualLayout>
              </c:layout>
              <c:numFmt formatCode="General" sourceLinked="0"/>
            </c:trendlineLbl>
          </c:trendline>
          <c:xVal>
            <c:numRef>
              <c:f>tempVsADC!$F$3:$F$303</c:f>
              <c:numCache>
                <c:formatCode>0.000</c:formatCode>
                <c:ptCount val="3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</c:numCache>
            </c:numRef>
          </c:xVal>
          <c:yVal>
            <c:numRef>
              <c:f>tempVsADC!$I$3:$I$303</c:f>
              <c:numCache>
                <c:formatCode>0.000</c:formatCode>
                <c:ptCount val="301"/>
                <c:pt idx="0">
                  <c:v>161.46686348030602</c:v>
                </c:pt>
                <c:pt idx="1">
                  <c:v>130.72292936636455</c:v>
                </c:pt>
                <c:pt idx="2">
                  <c:v>114.62757235133893</c:v>
                </c:pt>
                <c:pt idx="3">
                  <c:v>103.93256398130222</c:v>
                </c:pt>
                <c:pt idx="4">
                  <c:v>96.010899349581507</c:v>
                </c:pt>
                <c:pt idx="5">
                  <c:v>89.762488089030569</c:v>
                </c:pt>
                <c:pt idx="6">
                  <c:v>84.626651288466405</c:v>
                </c:pt>
                <c:pt idx="7">
                  <c:v>80.280614381092846</c:v>
                </c:pt>
                <c:pt idx="8">
                  <c:v>76.522341512813568</c:v>
                </c:pt>
                <c:pt idx="9">
                  <c:v>73.217376900585066</c:v>
                </c:pt>
                <c:pt idx="10">
                  <c:v>70.271939131583906</c:v>
                </c:pt>
                <c:pt idx="11">
                  <c:v>67.618141184042088</c:v>
                </c:pt>
                <c:pt idx="12">
                  <c:v>65.205336272118302</c:v>
                </c:pt>
                <c:pt idx="13">
                  <c:v>62.994783972082587</c:v>
                </c:pt>
                <c:pt idx="14">
                  <c:v>60.956221237730233</c:v>
                </c:pt>
                <c:pt idx="15">
                  <c:v>59.065578818228857</c:v>
                </c:pt>
                <c:pt idx="16">
                  <c:v>57.303414146950502</c:v>
                </c:pt>
                <c:pt idx="17">
                  <c:v>55.653807760361929</c:v>
                </c:pt>
                <c:pt idx="18">
                  <c:v>54.103568465521903</c:v>
                </c:pt>
                <c:pt idx="19">
                  <c:v>52.641649455006529</c:v>
                </c:pt>
                <c:pt idx="20">
                  <c:v>51.258711812763124</c:v>
                </c:pt>
                <c:pt idx="21">
                  <c:v>49.946793071804734</c:v>
                </c:pt>
                <c:pt idx="22">
                  <c:v>48.699051989890791</c:v>
                </c:pt>
                <c:pt idx="23">
                  <c:v>47.509569514819418</c:v>
                </c:pt>
                <c:pt idx="24">
                  <c:v>46.373191777410682</c:v>
                </c:pt>
                <c:pt idx="25">
                  <c:v>45.285404935525776</c:v>
                </c:pt>
                <c:pt idx="26">
                  <c:v>44.242234448063016</c:v>
                </c:pt>
                <c:pt idx="27">
                  <c:v>43.240163294168553</c:v>
                </c:pt>
                <c:pt idx="28">
                  <c:v>42.27606503371004</c:v>
                </c:pt>
                <c:pt idx="29">
                  <c:v>41.347148603188487</c:v>
                </c:pt>
                <c:pt idx="30">
                  <c:v>40.450912471843083</c:v>
                </c:pt>
                <c:pt idx="31">
                  <c:v>39.585106323671766</c:v>
                </c:pt>
                <c:pt idx="32">
                  <c:v>38.747698835985602</c:v>
                </c:pt>
                <c:pt idx="33">
                  <c:v>37.936850431204903</c:v>
                </c:pt>
                <c:pt idx="34">
                  <c:v>37.150890112168952</c:v>
                </c:pt>
                <c:pt idx="35">
                  <c:v>36.388295671013623</c:v>
                </c:pt>
                <c:pt idx="36">
                  <c:v>35.647676701190846</c:v>
                </c:pt>
                <c:pt idx="37">
                  <c:v>34.927759951314101</c:v>
                </c:pt>
                <c:pt idx="38">
                  <c:v>34.227376645456218</c:v>
                </c:pt>
                <c:pt idx="39">
                  <c:v>33.545451462687765</c:v>
                </c:pt>
                <c:pt idx="40">
                  <c:v>32.880992923048154</c:v>
                </c:pt>
                <c:pt idx="41">
                  <c:v>32.233084970832124</c:v>
                </c:pt>
                <c:pt idx="42">
                  <c:v>31.600879581361539</c:v>
                </c:pt>
                <c:pt idx="43">
                  <c:v>30.98359024607231</c:v>
                </c:pt>
                <c:pt idx="44">
                  <c:v>30.3804862141385</c:v>
                </c:pt>
                <c:pt idx="45">
                  <c:v>29.790887388052909</c:v>
                </c:pt>
                <c:pt idx="46">
                  <c:v>29.214159786397659</c:v>
                </c:pt>
                <c:pt idx="47">
                  <c:v>28.649711500142644</c:v>
                </c:pt>
                <c:pt idx="48">
                  <c:v>28.096989079695106</c:v>
                </c:pt>
                <c:pt idx="49">
                  <c:v>27.555474299020887</c:v>
                </c:pt>
                <c:pt idx="50">
                  <c:v>27.024681250778599</c:v>
                </c:pt>
                <c:pt idx="51">
                  <c:v>26.50415373281885</c:v>
                </c:pt>
                <c:pt idx="52">
                  <c:v>25.993462891817614</c:v>
                </c:pt>
                <c:pt idx="53">
                  <c:v>25.492205094398628</c:v>
                </c:pt>
                <c:pt idx="54">
                  <c:v>25</c:v>
                </c:pt>
                <c:pt idx="55">
                  <c:v>24.516488813065905</c:v>
                </c:pt>
                <c:pt idx="56">
                  <c:v>24.041332694988569</c:v>
                </c:pt>
                <c:pt idx="57">
                  <c:v>23.5742113186663</c:v>
                </c:pt>
                <c:pt idx="58">
                  <c:v>23.114821550643683</c:v>
                </c:pt>
                <c:pt idx="59">
                  <c:v>22.662876247610086</c:v>
                </c:pt>
                <c:pt idx="60">
                  <c:v>22.218103155600772</c:v>
                </c:pt>
                <c:pt idx="61">
                  <c:v>21.780243901602034</c:v>
                </c:pt>
                <c:pt idx="62">
                  <c:v>21.349053068444107</c:v>
                </c:pt>
                <c:pt idx="63">
                  <c:v>20.924297344894228</c:v>
                </c:pt>
                <c:pt idx="64">
                  <c:v>20.505754743760463</c:v>
                </c:pt>
                <c:pt idx="65">
                  <c:v>20.093213881604299</c:v>
                </c:pt>
                <c:pt idx="66">
                  <c:v>19.686473314349826</c:v>
                </c:pt>
                <c:pt idx="67">
                  <c:v>19.285340923683066</c:v>
                </c:pt>
                <c:pt idx="68">
                  <c:v>18.889633349671158</c:v>
                </c:pt>
                <c:pt idx="69">
                  <c:v>18.499175465499434</c:v>
                </c:pt>
                <c:pt idx="70">
                  <c:v>18.113799890644941</c:v>
                </c:pt>
                <c:pt idx="71">
                  <c:v>17.733346539170611</c:v>
                </c:pt>
                <c:pt idx="72">
                  <c:v>17.357662200154493</c:v>
                </c:pt>
                <c:pt idx="73">
                  <c:v>16.986600147557681</c:v>
                </c:pt>
                <c:pt idx="74">
                  <c:v>16.620019777095877</c:v>
                </c:pt>
                <c:pt idx="75">
                  <c:v>16.257786267908273</c:v>
                </c:pt>
                <c:pt idx="76">
                  <c:v>15.899770267026611</c:v>
                </c:pt>
                <c:pt idx="77">
                  <c:v>15.545847594829411</c:v>
                </c:pt>
                <c:pt idx="78">
                  <c:v>15.195898969834332</c:v>
                </c:pt>
                <c:pt idx="79">
                  <c:v>14.84980975132828</c:v>
                </c:pt>
                <c:pt idx="80">
                  <c:v>14.507469698469322</c:v>
                </c:pt>
                <c:pt idx="81">
                  <c:v>14.1687727446145</c:v>
                </c:pt>
                <c:pt idx="82">
                  <c:v>13.833616785735103</c:v>
                </c:pt>
                <c:pt idx="83">
                  <c:v>13.501903481879935</c:v>
                </c:pt>
                <c:pt idx="84">
                  <c:v>13.173538070733628</c:v>
                </c:pt>
                <c:pt idx="85">
                  <c:v>12.848429192398271</c:v>
                </c:pt>
                <c:pt idx="86">
                  <c:v>12.526488724598096</c:v>
                </c:pt>
                <c:pt idx="87">
                  <c:v>12.207631627572255</c:v>
                </c:pt>
                <c:pt idx="88">
                  <c:v>11.891775797981381</c:v>
                </c:pt>
                <c:pt idx="89">
                  <c:v>11.578841931205602</c:v>
                </c:pt>
                <c:pt idx="90">
                  <c:v>11.268753391463065</c:v>
                </c:pt>
                <c:pt idx="91">
                  <c:v>10.961436089221252</c:v>
                </c:pt>
                <c:pt idx="92">
                  <c:v>10.656818365414665</c:v>
                </c:pt>
                <c:pt idx="93">
                  <c:v>10.354830882019598</c:v>
                </c:pt>
                <c:pt idx="94">
                  <c:v>10.05540651857126</c:v>
                </c:pt>
                <c:pt idx="95">
                  <c:v>9.7584802742389343</c:v>
                </c:pt>
                <c:pt idx="96">
                  <c:v>9.4639891751032792</c:v>
                </c:pt>
                <c:pt idx="97">
                  <c:v>9.1718721863071551</c:v>
                </c:pt>
                <c:pt idx="98">
                  <c:v>8.8820701287735915</c:v>
                </c:pt>
                <c:pt idx="99">
                  <c:v>8.5945256002078736</c:v>
                </c:pt>
                <c:pt idx="100">
                  <c:v>8.3091829001199358</c:v>
                </c:pt>
                <c:pt idx="101">
                  <c:v>8.0259879586232614</c:v>
                </c:pt>
                <c:pt idx="102">
                  <c:v>7.7448882687806417</c:v>
                </c:pt>
                <c:pt idx="103">
                  <c:v>7.4658328222872115</c:v>
                </c:pt>
                <c:pt idx="104">
                  <c:v>7.1887720482909003</c:v>
                </c:pt>
                <c:pt idx="105">
                  <c:v>6.9136577551682308</c:v>
                </c:pt>
                <c:pt idx="106">
                  <c:v>6.6404430750821462</c:v>
                </c:pt>
                <c:pt idx="107">
                  <c:v>6.3690824111623101</c:v>
                </c:pt>
                <c:pt idx="108">
                  <c:v>6.0995313871581516</c:v>
                </c:pt>
                <c:pt idx="109">
                  <c:v>5.8317467994237404</c:v>
                </c:pt>
                <c:pt idx="110">
                  <c:v>5.5656865711051751</c:v>
                </c:pt>
                <c:pt idx="111">
                  <c:v>5.3013097084055971</c:v>
                </c:pt>
                <c:pt idx="112">
                  <c:v>5.0385762588153966</c:v>
                </c:pt>
                <c:pt idx="113">
                  <c:v>4.7774472711979001</c:v>
                </c:pt>
                <c:pt idx="114">
                  <c:v>4.5178847576311796</c:v>
                </c:pt>
                <c:pt idx="115">
                  <c:v>4.2598516569104845</c:v>
                </c:pt>
                <c:pt idx="116">
                  <c:v>4.0033117996223382</c:v>
                </c:pt>
                <c:pt idx="117">
                  <c:v>3.7482298747071354</c:v>
                </c:pt>
                <c:pt idx="118">
                  <c:v>3.4945713974314572</c:v>
                </c:pt>
                <c:pt idx="119">
                  <c:v>3.2423026786964328</c:v>
                </c:pt>
                <c:pt idx="120">
                  <c:v>2.9913907956124604</c:v>
                </c:pt>
                <c:pt idx="121">
                  <c:v>2.7418035632748001</c:v>
                </c:pt>
                <c:pt idx="122">
                  <c:v>2.4935095076784819</c:v>
                </c:pt>
                <c:pt idx="123">
                  <c:v>2.2464778397143732</c:v>
                </c:pt>
                <c:pt idx="124">
                  <c:v>2.0006784301917264</c:v>
                </c:pt>
                <c:pt idx="125">
                  <c:v>1.7560817858347377</c:v>
                </c:pt>
                <c:pt idx="126">
                  <c:v>1.5126590262052559</c:v>
                </c:pt>
                <c:pt idx="127">
                  <c:v>1.2703818615049158</c:v>
                </c:pt>
                <c:pt idx="128">
                  <c:v>1.0292225712123582</c:v>
                </c:pt>
                <c:pt idx="129">
                  <c:v>0.7891539835162007</c:v>
                </c:pt>
                <c:pt idx="130">
                  <c:v>0.5501494555020372</c:v>
                </c:pt>
                <c:pt idx="131">
                  <c:v>0.31218285405867618</c:v>
                </c:pt>
                <c:pt idx="132">
                  <c:v>7.522853746763758E-2</c:v>
                </c:pt>
                <c:pt idx="133">
                  <c:v>-0.16073866235791456</c:v>
                </c:pt>
                <c:pt idx="134">
                  <c:v>-0.39574345701504399</c:v>
                </c:pt>
                <c:pt idx="135">
                  <c:v>-0.62981011816475529</c:v>
                </c:pt>
                <c:pt idx="136">
                  <c:v>-0.86296249352568566</c:v>
                </c:pt>
                <c:pt idx="137">
                  <c:v>-1.0952240223340937</c:v>
                </c:pt>
                <c:pt idx="138">
                  <c:v>-1.3266177502976575</c:v>
                </c:pt>
                <c:pt idx="139">
                  <c:v>-1.5571663440647967</c:v>
                </c:pt>
                <c:pt idx="140">
                  <c:v>-1.7868921052357791</c:v>
                </c:pt>
                <c:pt idx="141">
                  <c:v>-2.0158169839354514</c:v>
                </c:pt>
                <c:pt idx="142">
                  <c:v>-2.2439625919701598</c:v>
                </c:pt>
                <c:pt idx="143">
                  <c:v>-2.471350215587961</c:v>
                </c:pt>
                <c:pt idx="144">
                  <c:v>-2.6980008278627565</c:v>
                </c:pt>
                <c:pt idx="145">
                  <c:v>-2.9239351007191772</c:v>
                </c:pt>
                <c:pt idx="146">
                  <c:v>-3.1491734166171454</c:v>
                </c:pt>
                <c:pt idx="147">
                  <c:v>-3.3737358799119193</c:v>
                </c:pt>
                <c:pt idx="148">
                  <c:v>-3.5976423279068399</c:v>
                </c:pt>
                <c:pt idx="149">
                  <c:v>-3.8209123416127682</c:v>
                </c:pt>
                <c:pt idx="150">
                  <c:v>-4.0435652562308633</c:v>
                </c:pt>
                <c:pt idx="151">
                  <c:v>-4.2656201713709265</c:v>
                </c:pt>
                <c:pt idx="152">
                  <c:v>-4.4870959610209411</c:v>
                </c:pt>
                <c:pt idx="153">
                  <c:v>-4.7080112832795749</c:v>
                </c:pt>
                <c:pt idx="154">
                  <c:v>-4.9283845898646064</c:v>
                </c:pt>
                <c:pt idx="155">
                  <c:v>-5.1482341354104619</c:v>
                </c:pt>
                <c:pt idx="156">
                  <c:v>-5.3675779865646973</c:v>
                </c:pt>
                <c:pt idx="157">
                  <c:v>-5.5864340308972942</c:v>
                </c:pt>
                <c:pt idx="158">
                  <c:v>-5.8048199856314113</c:v>
                </c:pt>
                <c:pt idx="159">
                  <c:v>-6.0227534062081531</c:v>
                </c:pt>
                <c:pt idx="160">
                  <c:v>-6.240251694694166</c:v>
                </c:pt>
                <c:pt idx="161">
                  <c:v>-6.4573321080437722</c:v>
                </c:pt>
                <c:pt idx="162">
                  <c:v>-6.6740117662236571</c:v>
                </c:pt>
                <c:pt idx="163">
                  <c:v>-6.8903076602107944</c:v>
                </c:pt>
                <c:pt idx="164">
                  <c:v>-7.1062366598729909</c:v>
                </c:pt>
                <c:pt idx="165">
                  <c:v>-7.3218155217402909</c:v>
                </c:pt>
                <c:pt idx="166">
                  <c:v>-7.5370608966766213</c:v>
                </c:pt>
                <c:pt idx="167">
                  <c:v>-7.7519893374605999</c:v>
                </c:pt>
                <c:pt idx="168">
                  <c:v>-7.9666173062836378</c:v>
                </c:pt>
                <c:pt idx="169">
                  <c:v>-8.1809611821740305</c:v>
                </c:pt>
                <c:pt idx="170">
                  <c:v>-8.3950372683552814</c:v>
                </c:pt>
                <c:pt idx="171">
                  <c:v>-8.6088617995466166</c:v>
                </c:pt>
                <c:pt idx="172">
                  <c:v>-8.8224509492143284</c:v>
                </c:pt>
                <c:pt idx="173">
                  <c:v>-9.0358208367813972</c:v>
                </c:pt>
                <c:pt idx="174">
                  <c:v>-9.2489875348036321</c:v>
                </c:pt>
                <c:pt idx="175">
                  <c:v>-9.4619670761207431</c:v>
                </c:pt>
                <c:pt idx="176">
                  <c:v>-9.6747754609891103</c:v>
                </c:pt>
                <c:pt idx="177">
                  <c:v>-9.8874286642055154</c:v>
                </c:pt>
                <c:pt idx="178">
                  <c:v>-10.099942642228882</c:v>
                </c:pt>
                <c:pt idx="179">
                  <c:v>-10.312333340308157</c:v>
                </c:pt>
                <c:pt idx="180">
                  <c:v>-10.524616699624744</c:v>
                </c:pt>
                <c:pt idx="181">
                  <c:v>-10.736808664457101</c:v>
                </c:pt>
                <c:pt idx="182">
                  <c:v>-10.948925189375814</c:v>
                </c:pt>
                <c:pt idx="183">
                  <c:v>-11.160982246477488</c:v>
                </c:pt>
                <c:pt idx="184">
                  <c:v>-11.372995832665765</c:v>
                </c:pt>
                <c:pt idx="185">
                  <c:v>-11.584981976988047</c:v>
                </c:pt>
                <c:pt idx="186">
                  <c:v>-11.796956748036337</c:v>
                </c:pt>
                <c:pt idx="187">
                  <c:v>-12.00893626142124</c:v>
                </c:pt>
                <c:pt idx="188">
                  <c:v>-12.22093668732856</c:v>
                </c:pt>
                <c:pt idx="189">
                  <c:v>-12.432974258166723</c:v>
                </c:pt>
                <c:pt idx="190">
                  <c:v>-12.645065276315108</c:v>
                </c:pt>
                <c:pt idx="191">
                  <c:v>-12.857226121983899</c:v>
                </c:pt>
                <c:pt idx="192">
                  <c:v>-13.069473261193195</c:v>
                </c:pt>
                <c:pt idx="193">
                  <c:v>-13.281823253884454</c:v>
                </c:pt>
                <c:pt idx="194">
                  <c:v>-13.494292762172734</c:v>
                </c:pt>
                <c:pt idx="195">
                  <c:v>-13.706898558752016</c:v>
                </c:pt>
                <c:pt idx="196">
                  <c:v>-13.919657535464694</c:v>
                </c:pt>
                <c:pt idx="197">
                  <c:v>-14.13258671204693</c:v>
                </c:pt>
                <c:pt idx="198">
                  <c:v>-14.345703245062111</c:v>
                </c:pt>
                <c:pt idx="199">
                  <c:v>-14.559024437036271</c:v>
                </c:pt>
                <c:pt idx="200">
                  <c:v>-14.772567745806441</c:v>
                </c:pt>
                <c:pt idx="201">
                  <c:v>-14.986350794099167</c:v>
                </c:pt>
                <c:pt idx="202">
                  <c:v>-15.200391379350208</c:v>
                </c:pt>
                <c:pt idx="203">
                  <c:v>-15.414707483783161</c:v>
                </c:pt>
                <c:pt idx="204">
                  <c:v>-15.629317284761896</c:v>
                </c:pt>
                <c:pt idx="205">
                  <c:v>-15.844239165432612</c:v>
                </c:pt>
                <c:pt idx="206">
                  <c:v>-16.059491725674945</c:v>
                </c:pt>
                <c:pt idx="207">
                  <c:v>-16.275093793378005</c:v>
                </c:pt>
                <c:pt idx="208">
                  <c:v>-16.491064436062231</c:v>
                </c:pt>
                <c:pt idx="209">
                  <c:v>-16.70742297286688</c:v>
                </c:pt>
                <c:pt idx="210">
                  <c:v>-16.924188986923298</c:v>
                </c:pt>
                <c:pt idx="211">
                  <c:v>-17.141382338137817</c:v>
                </c:pt>
                <c:pt idx="212">
                  <c:v>-17.359023176406964</c:v>
                </c:pt>
                <c:pt idx="213">
                  <c:v>-17.577131955289786</c:v>
                </c:pt>
                <c:pt idx="214">
                  <c:v>-17.795729446163762</c:v>
                </c:pt>
                <c:pt idx="215">
                  <c:v>-18.014836752891853</c:v>
                </c:pt>
                <c:pt idx="216">
                  <c:v>-18.234475327030225</c:v>
                </c:pt>
                <c:pt idx="217">
                  <c:v>-18.454666983607154</c:v>
                </c:pt>
                <c:pt idx="218">
                  <c:v>-18.675433917506325</c:v>
                </c:pt>
                <c:pt idx="219">
                  <c:v>-18.896798720489244</c:v>
                </c:pt>
                <c:pt idx="220">
                  <c:v>-19.118784398893496</c:v>
                </c:pt>
                <c:pt idx="221">
                  <c:v>-19.341414392046119</c:v>
                </c:pt>
                <c:pt idx="222">
                  <c:v>-19.56471259143359</c:v>
                </c:pt>
                <c:pt idx="223">
                  <c:v>-19.78870336067294</c:v>
                </c:pt>
                <c:pt idx="224">
                  <c:v>-20.01341155633034</c:v>
                </c:pt>
                <c:pt idx="225">
                  <c:v>-20.238862549638071</c:v>
                </c:pt>
                <c:pt idx="226">
                  <c:v>-20.46508224916235</c:v>
                </c:pt>
                <c:pt idx="227">
                  <c:v>-20.692097124479631</c:v>
                </c:pt>
                <c:pt idx="228">
                  <c:v>-20.9199342309212</c:v>
                </c:pt>
                <c:pt idx="229">
                  <c:v>-21.148621235451543</c:v>
                </c:pt>
                <c:pt idx="230">
                  <c:v>-21.378186443749257</c:v>
                </c:pt>
                <c:pt idx="231">
                  <c:v>-21.608658828564216</c:v>
                </c:pt>
                <c:pt idx="232">
                  <c:v>-21.840068059430678</c:v>
                </c:pt>
                <c:pt idx="233">
                  <c:v>-22.072444533820487</c:v>
                </c:pt>
                <c:pt idx="234">
                  <c:v>-22.305819409827251</c:v>
                </c:pt>
                <c:pt idx="235">
                  <c:v>-22.540224640479181</c:v>
                </c:pt>
                <c:pt idx="236">
                  <c:v>-22.775693009784447</c:v>
                </c:pt>
                <c:pt idx="237">
                  <c:v>-23.012258170621607</c:v>
                </c:pt>
                <c:pt idx="238">
                  <c:v>-23.249954684595735</c:v>
                </c:pt>
                <c:pt idx="239">
                  <c:v>-23.488818063989584</c:v>
                </c:pt>
                <c:pt idx="240">
                  <c:v>-23.728884815949868</c:v>
                </c:pt>
                <c:pt idx="241">
                  <c:v>-23.970192489058917</c:v>
                </c:pt>
                <c:pt idx="242">
                  <c:v>-24.212779722454115</c:v>
                </c:pt>
                <c:pt idx="243">
                  <c:v>-24.456686297670274</c:v>
                </c:pt>
                <c:pt idx="244">
                  <c:v>-24.701953193394388</c:v>
                </c:pt>
                <c:pt idx="245">
                  <c:v>-24.948622643337103</c:v>
                </c:pt>
                <c:pt idx="246">
                  <c:v>-25.196738197443125</c:v>
                </c:pt>
                <c:pt idx="247">
                  <c:v>-25.446344786679589</c:v>
                </c:pt>
                <c:pt idx="248">
                  <c:v>-25.697488791664171</c:v>
                </c:pt>
                <c:pt idx="249">
                  <c:v>-25.950218115414032</c:v>
                </c:pt>
                <c:pt idx="250">
                  <c:v>-26.204582260523381</c:v>
                </c:pt>
                <c:pt idx="251">
                  <c:v>-26.460632411103745</c:v>
                </c:pt>
                <c:pt idx="252">
                  <c:v>-26.718421519850665</c:v>
                </c:pt>
                <c:pt idx="253">
                  <c:v>-26.978004400632244</c:v>
                </c:pt>
                <c:pt idx="254">
                  <c:v>-27.239437827033697</c:v>
                </c:pt>
                <c:pt idx="255">
                  <c:v>-27.502780637329465</c:v>
                </c:pt>
                <c:pt idx="256">
                  <c:v>-27.768093846399665</c:v>
                </c:pt>
                <c:pt idx="257">
                  <c:v>-28.035440765157858</c:v>
                </c:pt>
                <c:pt idx="258">
                  <c:v>-28.304887128109982</c:v>
                </c:pt>
                <c:pt idx="259">
                  <c:v>-28.576501229725864</c:v>
                </c:pt>
                <c:pt idx="260">
                  <c:v>-28.850354070371964</c:v>
                </c:pt>
                <c:pt idx="261">
                  <c:v>-29.126519512630495</c:v>
                </c:pt>
                <c:pt idx="262">
                  <c:v>-29.405074448912046</c:v>
                </c:pt>
                <c:pt idx="263">
                  <c:v>-29.686098981364751</c:v>
                </c:pt>
                <c:pt idx="264">
                  <c:v>-29.969676615188604</c:v>
                </c:pt>
                <c:pt idx="265">
                  <c:v>-30.255894466580344</c:v>
                </c:pt>
                <c:pt idx="266">
                  <c:v>-30.544843486669663</c:v>
                </c:pt>
                <c:pt idx="267">
                  <c:v>-30.836618702955406</c:v>
                </c:pt>
                <c:pt idx="268">
                  <c:v>-31.131319479921444</c:v>
                </c:pt>
                <c:pt idx="269">
                  <c:v>-31.429049800702217</c:v>
                </c:pt>
                <c:pt idx="270">
                  <c:v>-31.729918571884326</c:v>
                </c:pt>
                <c:pt idx="271">
                  <c:v>-32.034039953778063</c:v>
                </c:pt>
                <c:pt idx="272">
                  <c:v>-32.341533718771188</c:v>
                </c:pt>
                <c:pt idx="273">
                  <c:v>-32.652525640695899</c:v>
                </c:pt>
                <c:pt idx="274">
                  <c:v>-32.967147918505844</c:v>
                </c:pt>
                <c:pt idx="275">
                  <c:v>-33.285539637974807</c:v>
                </c:pt>
                <c:pt idx="276">
                  <c:v>-33.60784727560943</c:v>
                </c:pt>
                <c:pt idx="277">
                  <c:v>-33.934225249516516</c:v>
                </c:pt>
                <c:pt idx="278">
                  <c:v>-34.264836522602536</c:v>
                </c:pt>
                <c:pt idx="279">
                  <c:v>-34.599853264215113</c:v>
                </c:pt>
                <c:pt idx="280">
                  <c:v>-34.939457577189614</c:v>
                </c:pt>
                <c:pt idx="281">
                  <c:v>-35.283842298251415</c:v>
                </c:pt>
                <c:pt idx="282">
                  <c:v>-35.633211880880481</c:v>
                </c:pt>
                <c:pt idx="283">
                  <c:v>-35.987783371094906</c:v>
                </c:pt>
                <c:pt idx="284">
                  <c:v>-36.3477874881942</c:v>
                </c:pt>
                <c:pt idx="285">
                  <c:v>-36.713469824368701</c:v>
                </c:pt>
                <c:pt idx="286">
                  <c:v>-37.085092179287528</c:v>
                </c:pt>
                <c:pt idx="287">
                  <c:v>-37.462934048389144</c:v>
                </c:pt>
                <c:pt idx="288">
                  <c:v>-37.847294286711815</c:v>
                </c:pt>
                <c:pt idx="289">
                  <c:v>-38.238492973818239</c:v>
                </c:pt>
                <c:pt idx="290">
                  <c:v>-38.636873509828689</c:v>
                </c:pt>
                <c:pt idx="291">
                  <c:v>-39.04280497795537</c:v>
                </c:pt>
                <c:pt idx="292">
                  <c:v>-39.456684815434159</c:v>
                </c:pt>
                <c:pt idx="293">
                  <c:v>-39.878941842670145</c:v>
                </c:pt>
                <c:pt idx="294">
                  <c:v>-40.310039710083544</c:v>
                </c:pt>
                <c:pt idx="295">
                  <c:v>-40.750480834037461</c:v>
                </c:pt>
                <c:pt idx="296">
                  <c:v>-41.200810907917031</c:v>
                </c:pt>
                <c:pt idx="297">
                  <c:v>-41.661624092693671</c:v>
                </c:pt>
                <c:pt idx="298">
                  <c:v>-42.133569014144797</c:v>
                </c:pt>
                <c:pt idx="299">
                  <c:v>-42.61735572265178</c:v>
                </c:pt>
                <c:pt idx="300">
                  <c:v>-43.113763807943229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61024"/>
        <c:axId val="88962560"/>
      </c:scatterChart>
      <c:valAx>
        <c:axId val="8896102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88962560"/>
        <c:crosses val="autoZero"/>
        <c:crossBetween val="midCat"/>
      </c:valAx>
      <c:valAx>
        <c:axId val="889625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8896102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56184486373165621"/>
          <c:y val="0.36500194901379895"/>
          <c:w val="0.33954010465672924"/>
          <c:h val="0.265485824172968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ADCvsTemp!$C$21</c:f>
              <c:strCache>
                <c:ptCount val="1"/>
                <c:pt idx="0">
                  <c:v>R Kohm</c:v>
                </c:pt>
              </c:strCache>
            </c:strRef>
          </c:tx>
          <c:marker>
            <c:symbol val="none"/>
          </c:marker>
          <c:xVal>
            <c:numRef>
              <c:f>ADCvsTemp!$A$22:$A$192</c:f>
              <c:numCache>
                <c:formatCode>General</c:formatCode>
                <c:ptCount val="17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  <c:pt idx="166">
                  <c:v>126</c:v>
                </c:pt>
                <c:pt idx="167">
                  <c:v>127</c:v>
                </c:pt>
                <c:pt idx="168">
                  <c:v>128</c:v>
                </c:pt>
                <c:pt idx="169">
                  <c:v>129</c:v>
                </c:pt>
                <c:pt idx="170">
                  <c:v>130</c:v>
                </c:pt>
              </c:numCache>
            </c:numRef>
          </c:xVal>
          <c:yVal>
            <c:numRef>
              <c:f>ADCvsTemp!$C$22:$C$192</c:f>
              <c:numCache>
                <c:formatCode>General</c:formatCode>
                <c:ptCount val="171"/>
                <c:pt idx="0">
                  <c:v>128.01398517079073</c:v>
                </c:pt>
                <c:pt idx="1">
                  <c:v>119.98839266278473</c:v>
                </c:pt>
                <c:pt idx="2">
                  <c:v>112.5279370971373</c:v>
                </c:pt>
                <c:pt idx="3">
                  <c:v>105.58877238073858</c:v>
                </c:pt>
                <c:pt idx="4">
                  <c:v>99.130750685691496</c:v>
                </c:pt>
                <c:pt idx="5">
                  <c:v>93.117086688551737</c:v>
                </c:pt>
                <c:pt idx="6">
                  <c:v>87.514054367731305</c:v>
                </c:pt>
                <c:pt idx="7">
                  <c:v>82.290713008012091</c:v>
                </c:pt>
                <c:pt idx="8">
                  <c:v>77.418659425328741</c:v>
                </c:pt>
                <c:pt idx="9">
                  <c:v>72.871803747589411</c:v>
                </c:pt>
                <c:pt idx="10">
                  <c:v>68.6261663732529</c:v>
                </c:pt>
                <c:pt idx="11">
                  <c:v>64.659693983062382</c:v>
                </c:pt>
                <c:pt idx="12">
                  <c:v>60.952092705551934</c:v>
                </c:pt>
                <c:pt idx="13">
                  <c:v>57.484676737038193</c:v>
                </c:pt>
                <c:pt idx="14">
                  <c:v>54.240230894734296</c:v>
                </c:pt>
                <c:pt idx="15">
                  <c:v>51.202885739937408</c:v>
                </c:pt>
                <c:pt idx="16">
                  <c:v>48.358004049219197</c:v>
                </c:pt>
                <c:pt idx="17">
                  <c:v>45.692077537182655</c:v>
                </c:pt>
                <c:pt idx="18">
                  <c:v>43.192632846379411</c:v>
                </c:pt>
                <c:pt idx="19">
                  <c:v>40.848145919968772</c:v>
                </c:pt>
                <c:pt idx="20">
                  <c:v>38.647963961984409</c:v>
                </c:pt>
                <c:pt idx="21">
                  <c:v>36.582234269875329</c:v>
                </c:pt>
                <c:pt idx="22">
                  <c:v>34.641839295347268</c:v>
                </c:pt>
                <c:pt idx="23">
                  <c:v>32.818337353394718</c:v>
                </c:pt>
                <c:pt idx="24">
                  <c:v>31.103908456603996</c:v>
                </c:pt>
                <c:pt idx="25">
                  <c:v>29.491304803058888</c:v>
                </c:pt>
                <c:pt idx="26">
                  <c:v>27.973805492136741</c:v>
                </c:pt>
                <c:pt idx="27">
                  <c:v>26.54517508372161</c:v>
                </c:pt>
                <c:pt idx="28">
                  <c:v>25.199625653388686</c:v>
                </c:pt>
                <c:pt idx="29">
                  <c:v>23.9317820293825</c:v>
                </c:pt>
                <c:pt idx="30">
                  <c:v>22.736649927121242</c:v>
                </c:pt>
                <c:pt idx="31">
                  <c:v>21.609586723868237</c:v>
                </c:pt>
                <c:pt idx="32">
                  <c:v>20.546274640432383</c:v>
                </c:pt>
                <c:pt idx="33">
                  <c:v>19.542696118577492</c:v>
                </c:pt>
                <c:pt idx="34">
                  <c:v>18.595111202484322</c:v>
                </c:pt>
                <c:pt idx="35">
                  <c:v>17.700036750342623</c:v>
                </c:pt>
                <c:pt idx="36">
                  <c:v>16.854227318153757</c:v>
                </c:pt>
                <c:pt idx="37">
                  <c:v>16.054657572272241</c:v>
                </c:pt>
                <c:pt idx="38">
                  <c:v>15.298506100269417</c:v>
                </c:pt>
                <c:pt idx="39">
                  <c:v>14.583140501502582</c:v>
                </c:pt>
                <c:pt idx="40">
                  <c:v>13.906103649445624</c:v>
                </c:pt>
                <c:pt idx="41">
                  <c:v>13.265101027497673</c:v>
                </c:pt>
                <c:pt idx="42">
                  <c:v>12.657989048732478</c:v>
                </c:pt>
                <c:pt idx="43">
                  <c:v>12.082764277976329</c:v>
                </c:pt>
                <c:pt idx="44">
                  <c:v>11.537553481786853</c:v>
                </c:pt>
                <c:pt idx="45">
                  <c:v>11.020604438420891</c:v>
                </c:pt>
                <c:pt idx="46">
                  <c:v>10.530277445793738</c:v>
                </c:pt>
                <c:pt idx="47">
                  <c:v>10.065037470801569</c:v>
                </c:pt>
                <c:pt idx="48">
                  <c:v>9.6234468882572379</c:v>
                </c:pt>
                <c:pt idx="49">
                  <c:v>9.2041587621240897</c:v>
                </c:pt>
                <c:pt idx="50">
                  <c:v>8.8059106257651312</c:v>
                </c:pt>
                <c:pt idx="51">
                  <c:v>8.4275187215944793</c:v>
                </c:pt>
                <c:pt idx="52">
                  <c:v>8.0678726638587595</c:v>
                </c:pt>
                <c:pt idx="53">
                  <c:v>7.7259304913190254</c:v>
                </c:pt>
                <c:pt idx="54">
                  <c:v>7.4007140793767858</c:v>
                </c:pt>
                <c:pt idx="55">
                  <c:v>7.0913048837161261</c:v>
                </c:pt>
                <c:pt idx="56">
                  <c:v>6.796839989840409</c:v>
                </c:pt>
                <c:pt idx="57">
                  <c:v>6.516508444986794</c:v>
                </c:pt>
                <c:pt idx="58">
                  <c:v>6.2495478508243236</c:v>
                </c:pt>
                <c:pt idx="59">
                  <c:v>5.9952411970967159</c:v>
                </c:pt>
                <c:pt idx="60">
                  <c:v>5.7529139179763833</c:v>
                </c:pt>
                <c:pt idx="61">
                  <c:v>5.5219311543633305</c:v>
                </c:pt>
                <c:pt idx="62">
                  <c:v>5.3016952067054497</c:v>
                </c:pt>
                <c:pt idx="63">
                  <c:v>5.0916431641452293</c:v>
                </c:pt>
                <c:pt idx="64">
                  <c:v>4.8912446969232981</c:v>
                </c:pt>
                <c:pt idx="65">
                  <c:v>4.7</c:v>
                </c:pt>
                <c:pt idx="66">
                  <c:v>4.5174378768006713</c:v>
                </c:pt>
                <c:pt idx="67">
                  <c:v>4.3431139528569718</c:v>
                </c:pt>
                <c:pt idx="68">
                  <c:v>4.1766090099108286</c:v>
                </c:pt>
                <c:pt idx="69">
                  <c:v>4.0175274317771743</c:v>
                </c:pt>
                <c:pt idx="70">
                  <c:v>3.8654957539309218</c:v>
                </c:pt>
                <c:pt idx="71">
                  <c:v>3.7201613093988795</c:v>
                </c:pt>
                <c:pt idx="72">
                  <c:v>3.5811909641023596</c:v>
                </c:pt>
                <c:pt idx="73">
                  <c:v>3.4482699353157122</c:v>
                </c:pt>
                <c:pt idx="74">
                  <c:v>3.3211006873840363</c:v>
                </c:pt>
                <c:pt idx="75">
                  <c:v>3.1994018992827788</c:v>
                </c:pt>
                <c:pt idx="76">
                  <c:v>3.082907499006712</c:v>
                </c:pt>
                <c:pt idx="77">
                  <c:v>2.971365760148402</c:v>
                </c:pt>
                <c:pt idx="78">
                  <c:v>2.8645384563695506</c:v>
                </c:pt>
                <c:pt idx="79">
                  <c:v>2.7622000697849622</c:v>
                </c:pt>
                <c:pt idx="80">
                  <c:v>2.664137049570571</c:v>
                </c:pt>
                <c:pt idx="81">
                  <c:v>2.5701471173759591</c:v>
                </c:pt>
                <c:pt idx="82">
                  <c:v>2.480038616370011</c:v>
                </c:pt>
                <c:pt idx="83">
                  <c:v>2.3936299009775022</c:v>
                </c:pt>
                <c:pt idx="84">
                  <c:v>2.3107487645758815</c:v>
                </c:pt>
                <c:pt idx="85">
                  <c:v>2.2312319026170453</c:v>
                </c:pt>
                <c:pt idx="86">
                  <c:v>2.1549244088194062</c:v>
                </c:pt>
                <c:pt idx="87">
                  <c:v>2.0816793022425859</c:v>
                </c:pt>
                <c:pt idx="88">
                  <c:v>2.0113570832113221</c:v>
                </c:pt>
                <c:pt idx="89">
                  <c:v>1.9438253161982149</c:v>
                </c:pt>
                <c:pt idx="90">
                  <c:v>1.8789582379068916</c:v>
                </c:pt>
                <c:pt idx="91">
                  <c:v>1.816636388919719</c:v>
                </c:pt>
                <c:pt idx="92">
                  <c:v>1.7567462673875018</c:v>
                </c:pt>
                <c:pt idx="93">
                  <c:v>1.6991800033434932</c:v>
                </c:pt>
                <c:pt idx="94">
                  <c:v>1.6438350523215512</c:v>
                </c:pt>
                <c:pt idx="95">
                  <c:v>1.5906139070483478</c:v>
                </c:pt>
                <c:pt idx="96">
                  <c:v>1.5394238260632891</c:v>
                </c:pt>
                <c:pt idx="97">
                  <c:v>1.4901765781974436</c:v>
                </c:pt>
                <c:pt idx="98">
                  <c:v>1.4427882019147944</c:v>
                </c:pt>
                <c:pt idx="99">
                  <c:v>1.397178778586067</c:v>
                </c:pt>
                <c:pt idx="100">
                  <c:v>1.3532722188274833</c:v>
                </c:pt>
                <c:pt idx="101">
                  <c:v>1.3109960610945337</c:v>
                </c:pt>
                <c:pt idx="102">
                  <c:v>1.2702812817744562</c:v>
                </c:pt>
                <c:pt idx="103">
                  <c:v>1.2310621160710598</c:v>
                </c:pt>
                <c:pt idx="104">
                  <c:v>1.193275889021798</c:v>
                </c:pt>
                <c:pt idx="105">
                  <c:v>1.1568628560302177</c:v>
                </c:pt>
                <c:pt idx="106">
                  <c:v>1.1217660523370374</c:v>
                </c:pt>
                <c:pt idx="107">
                  <c:v>1.0879311508904259</c:v>
                </c:pt>
                <c:pt idx="108">
                  <c:v>1.055306328110923</c:v>
                </c:pt>
                <c:pt idx="109">
                  <c:v>1.023842137078786</c:v>
                </c:pt>
                <c:pt idx="110">
                  <c:v>0.9934913877017959</c:v>
                </c:pt>
                <c:pt idx="111">
                  <c:v>0.96420903344964615</c:v>
                </c:pt>
                <c:pt idx="112">
                  <c:v>0.9359520642673399</c:v>
                </c:pt>
                <c:pt idx="113">
                  <c:v>0.90867940530442415</c:v>
                </c:pt>
                <c:pt idx="114">
                  <c:v>0.88235182111977739</c:v>
                </c:pt>
                <c:pt idx="115">
                  <c:v>0.85693182504291709</c:v>
                </c:pt>
                <c:pt idx="116">
                  <c:v>0.83238359339271784</c:v>
                </c:pt>
                <c:pt idx="117">
                  <c:v>0.80867288427297612</c:v>
                </c:pt>
                <c:pt idx="118">
                  <c:v>0.78576696068159135</c:v>
                </c:pt>
                <c:pt idx="119">
                  <c:v>0.76363451768635404</c:v>
                </c:pt>
                <c:pt idx="120">
                  <c:v>0.74224561343545714</c:v>
                </c:pt>
                <c:pt idx="121">
                  <c:v>0.72157160378499141</c:v>
                </c:pt>
                <c:pt idx="122">
                  <c:v>0.70158508033894484</c:v>
                </c:pt>
                <c:pt idx="123">
                  <c:v>0.68225981170956851</c:v>
                </c:pt>
                <c:pt idx="124">
                  <c:v>0.66357068781759143</c:v>
                </c:pt>
                <c:pt idx="125">
                  <c:v>0.64549366706255851</c:v>
                </c:pt>
                <c:pt idx="126">
                  <c:v>0.62800572620375694</c:v>
                </c:pt>
                <c:pt idx="127">
                  <c:v>0.61108481280166094</c:v>
                </c:pt>
                <c:pt idx="128">
                  <c:v>0.59470980007873464</c:v>
                </c:pt>
                <c:pt idx="129">
                  <c:v>0.57886044406677872</c:v>
                </c:pt>
                <c:pt idx="130">
                  <c:v>0.56351734291579592</c:v>
                </c:pt>
                <c:pt idx="131">
                  <c:v>0.54866189824669032</c:v>
                </c:pt>
                <c:pt idx="132">
                  <c:v>0.53427627843697889</c:v>
                </c:pt>
                <c:pt idx="133">
                  <c:v>0.52034338373512823</c:v>
                </c:pt>
                <c:pt idx="134">
                  <c:v>0.50684681310516244</c:v>
                </c:pt>
                <c:pt idx="135">
                  <c:v>0.49377083270888406</c:v>
                </c:pt>
                <c:pt idx="136">
                  <c:v>0.48110034593833378</c:v>
                </c:pt>
                <c:pt idx="137">
                  <c:v>0.46882086491614183</c:v>
                </c:pt>
                <c:pt idx="138">
                  <c:v>0.45691848338609231</c:v>
                </c:pt>
                <c:pt idx="139">
                  <c:v>0.44537985092064092</c:v>
                </c:pt>
                <c:pt idx="140">
                  <c:v>0.43419214837626002</c:v>
                </c:pt>
                <c:pt idx="141">
                  <c:v>0.42334306453137804</c:v>
                </c:pt>
                <c:pt idx="142">
                  <c:v>0.41282077384533689</c:v>
                </c:pt>
                <c:pt idx="143">
                  <c:v>0.40261391528022655</c:v>
                </c:pt>
                <c:pt idx="144">
                  <c:v>0.39271157213069879</c:v>
                </c:pt>
                <c:pt idx="145">
                  <c:v>0.3831032528098931</c:v>
                </c:pt>
                <c:pt idx="146">
                  <c:v>0.37377887254247744</c:v>
                </c:pt>
                <c:pt idx="147">
                  <c:v>0.36472873591849897</c:v>
                </c:pt>
                <c:pt idx="148">
                  <c:v>0.35594352026427589</c:v>
                </c:pt>
                <c:pt idx="149">
                  <c:v>0.34741425978894924</c:v>
                </c:pt>
                <c:pt idx="150">
                  <c:v>0.3391323304675618</c:v>
                </c:pt>
                <c:pt idx="151">
                  <c:v>0.33108943562365561</c:v>
                </c:pt>
                <c:pt idx="152">
                  <c:v>0.3232775921763637</c:v>
                </c:pt>
                <c:pt idx="153">
                  <c:v>0.31568911751886819</c:v>
                </c:pt>
                <c:pt idx="154">
                  <c:v>0.30831661699686097</c:v>
                </c:pt>
                <c:pt idx="155">
                  <c:v>0.30115297195731699</c:v>
                </c:pt>
                <c:pt idx="156">
                  <c:v>0.29419132833946976</c:v>
                </c:pt>
                <c:pt idx="157">
                  <c:v>0.28742508578136605</c:v>
                </c:pt>
                <c:pt idx="158">
                  <c:v>0.2808478872167765</c:v>
                </c:pt>
                <c:pt idx="159">
                  <c:v>0.27445360893857285</c:v>
                </c:pt>
                <c:pt idx="160">
                  <c:v>0.26823635110592531</c:v>
                </c:pt>
                <c:pt idx="161">
                  <c:v>0.26219042867384862</c:v>
                </c:pt>
                <c:pt idx="162">
                  <c:v>0.25631036272476604</c:v>
                </c:pt>
                <c:pt idx="163">
                  <c:v>0.25059087218277515</c:v>
                </c:pt>
                <c:pt idx="164">
                  <c:v>0.24502686589233127</c:v>
                </c:pt>
                <c:pt idx="165">
                  <c:v>0.23961343504398241</c:v>
                </c:pt>
                <c:pt idx="166">
                  <c:v>0.23434584593068056</c:v>
                </c:pt>
                <c:pt idx="167">
                  <c:v>0.22921953301904618</c:v>
                </c:pt>
                <c:pt idx="168">
                  <c:v>0.22423009232074242</c:v>
                </c:pt>
                <c:pt idx="169">
                  <c:v>0.21937327504987789</c:v>
                </c:pt>
                <c:pt idx="170">
                  <c:v>0.21464498155305883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58432"/>
        <c:axId val="88259968"/>
      </c:scatterChart>
      <c:valAx>
        <c:axId val="882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59968"/>
        <c:crosses val="autoZero"/>
        <c:crossBetween val="midCat"/>
      </c:valAx>
      <c:valAx>
        <c:axId val="882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58432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marker>
            <c:symbol val="none"/>
          </c:marker>
          <c:trendline>
            <c:trendlineType val="power"/>
            <c:dispRSqr val="0"/>
            <c:dispEq val="1"/>
            <c:trendlineLbl>
              <c:numFmt formatCode="General" sourceLinked="0"/>
            </c:trendlineLbl>
          </c:trendline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xVal>
            <c:numRef>
              <c:f>ADCvsTemp!$A$22:$A$212</c:f>
              <c:numCache>
                <c:formatCode>General</c:formatCode>
                <c:ptCount val="1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  <c:pt idx="166">
                  <c:v>126</c:v>
                </c:pt>
                <c:pt idx="167">
                  <c:v>127</c:v>
                </c:pt>
                <c:pt idx="168">
                  <c:v>128</c:v>
                </c:pt>
                <c:pt idx="169">
                  <c:v>129</c:v>
                </c:pt>
                <c:pt idx="170">
                  <c:v>130</c:v>
                </c:pt>
                <c:pt idx="171">
                  <c:v>131</c:v>
                </c:pt>
                <c:pt idx="172">
                  <c:v>132</c:v>
                </c:pt>
                <c:pt idx="173">
                  <c:v>133</c:v>
                </c:pt>
                <c:pt idx="174">
                  <c:v>134</c:v>
                </c:pt>
                <c:pt idx="175">
                  <c:v>135</c:v>
                </c:pt>
                <c:pt idx="176">
                  <c:v>136</c:v>
                </c:pt>
                <c:pt idx="177">
                  <c:v>137</c:v>
                </c:pt>
                <c:pt idx="178">
                  <c:v>138</c:v>
                </c:pt>
                <c:pt idx="179">
                  <c:v>139</c:v>
                </c:pt>
                <c:pt idx="180">
                  <c:v>140</c:v>
                </c:pt>
                <c:pt idx="181">
                  <c:v>141</c:v>
                </c:pt>
                <c:pt idx="182">
                  <c:v>142</c:v>
                </c:pt>
                <c:pt idx="183">
                  <c:v>143</c:v>
                </c:pt>
                <c:pt idx="184">
                  <c:v>144</c:v>
                </c:pt>
                <c:pt idx="185">
                  <c:v>145</c:v>
                </c:pt>
                <c:pt idx="186">
                  <c:v>146</c:v>
                </c:pt>
                <c:pt idx="187">
                  <c:v>147</c:v>
                </c:pt>
                <c:pt idx="188">
                  <c:v>148</c:v>
                </c:pt>
                <c:pt idx="189">
                  <c:v>149</c:v>
                </c:pt>
                <c:pt idx="190">
                  <c:v>150</c:v>
                </c:pt>
              </c:numCache>
            </c:numRef>
          </c:xVal>
          <c:yVal>
            <c:numRef>
              <c:f>ADCvsTemp!$E$22:$E$212</c:f>
              <c:numCache>
                <c:formatCode>General</c:formatCode>
                <c:ptCount val="191"/>
                <c:pt idx="0">
                  <c:v>0.57875129741322362</c:v>
                </c:pt>
                <c:pt idx="1">
                  <c:v>0.57738362056180648</c:v>
                </c:pt>
                <c:pt idx="2">
                  <c:v>0.57594430073726122</c:v>
                </c:pt>
                <c:pt idx="3">
                  <c:v>0.57443076081883648</c:v>
                </c:pt>
                <c:pt idx="4">
                  <c:v>0.57284041595214419</c:v>
                </c:pt>
                <c:pt idx="5">
                  <c:v>0.57117068095701062</c:v>
                </c:pt>
                <c:pt idx="6">
                  <c:v>0.5694189782746738</c:v>
                </c:pt>
                <c:pt idx="7">
                  <c:v>0.5675827464508737</c:v>
                </c:pt>
                <c:pt idx="8">
                  <c:v>0.56565944914670396</c:v>
                </c:pt>
                <c:pt idx="9">
                  <c:v>0.56364658466398454</c:v>
                </c:pt>
                <c:pt idx="10">
                  <c:v>0.56154169596641224</c:v>
                </c:pt>
                <c:pt idx="11">
                  <c:v>0.55934238117185686</c:v>
                </c:pt>
                <c:pt idx="12">
                  <c:v>0.55704630448495174</c:v>
                </c:pt>
                <c:pt idx="13">
                  <c:v>0.55465120753260477</c:v>
                </c:pt>
                <c:pt idx="14">
                  <c:v>0.55215492105830999</c:v>
                </c:pt>
                <c:pt idx="15">
                  <c:v>0.54955537692421175</c:v>
                </c:pt>
                <c:pt idx="16">
                  <c:v>0.54685062036287624</c:v>
                </c:pt>
                <c:pt idx="17">
                  <c:v>0.54403882241371737</c:v>
                </c:pt>
                <c:pt idx="18">
                  <c:v>0.5411182924721335</c:v>
                </c:pt>
                <c:pt idx="19">
                  <c:v>0.53808749087273644</c:v>
                </c:pt>
                <c:pt idx="20">
                  <c:v>0.53494504142171229</c:v>
                </c:pt>
                <c:pt idx="21">
                  <c:v>0.53168974378749101</c:v>
                </c:pt>
                <c:pt idx="22">
                  <c:v>0.52832058565361717</c:v>
                </c:pt>
                <c:pt idx="23">
                  <c:v>0.52483675453318446</c:v>
                </c:pt>
                <c:pt idx="24">
                  <c:v>0.52123764914051296</c:v>
                </c:pt>
                <c:pt idx="25">
                  <c:v>0.51752289021307796</c:v>
                </c:pt>
                <c:pt idx="26">
                  <c:v>0.51369233067514397</c:v>
                </c:pt>
                <c:pt idx="27">
                  <c:v>0.50974606503423991</c:v>
                </c:pt>
                <c:pt idx="28">
                  <c:v>0.50568443790263995</c:v>
                </c:pt>
                <c:pt idx="29">
                  <c:v>0.50150805153845968</c:v>
                </c:pt>
                <c:pt idx="30">
                  <c:v>0.49721777230490455</c:v>
                </c:pt>
                <c:pt idx="31">
                  <c:v>0.49281473595167968</c:v>
                </c:pt>
                <c:pt idx="32">
                  <c:v>0.48830035162955415</c:v>
                </c:pt>
                <c:pt idx="33">
                  <c:v>0.48367630455760247</c:v>
                </c:pt>
                <c:pt idx="34">
                  <c:v>0.47894455727263247</c:v>
                </c:pt>
                <c:pt idx="35">
                  <c:v>0.47410734940169835</c:v>
                </c:pt>
                <c:pt idx="36">
                  <c:v>0.46916719591126826</c:v>
                </c:pt>
                <c:pt idx="37">
                  <c:v>0.46412688380041228</c:v>
                </c:pt>
                <c:pt idx="38">
                  <c:v>0.4589894672201536</c:v>
                </c:pt>
                <c:pt idx="39">
                  <c:v>0.45375826101665023</c:v>
                </c:pt>
                <c:pt idx="40">
                  <c:v>0.44843683271193518</c:v>
                </c:pt>
                <c:pt idx="41">
                  <c:v>0.44302899295229886</c:v>
                </c:pt>
                <c:pt idx="42">
                  <c:v>0.43753878447077815</c:v>
                </c:pt>
                <c:pt idx="43">
                  <c:v>0.43197046962635183</c:v>
                </c:pt>
                <c:pt idx="44">
                  <c:v>0.42632851659807591</c:v>
                </c:pt>
                <c:pt idx="45">
                  <c:v>0.42061758432723062</c:v>
                </c:pt>
                <c:pt idx="46">
                  <c:v>0.41484250631436642</c:v>
                </c:pt>
                <c:pt idx="47">
                  <c:v>0.40900827339065965</c:v>
                </c:pt>
                <c:pt idx="48">
                  <c:v>0.40312001559401778</c:v>
                </c:pt>
                <c:pt idx="49">
                  <c:v>0.39718298328972773</c:v>
                </c:pt>
                <c:pt idx="50">
                  <c:v>0.39120252768293118</c:v>
                </c:pt>
                <c:pt idx="51">
                  <c:v>0.38518408087575895</c:v>
                </c:pt>
                <c:pt idx="52">
                  <c:v>0.37913313562545131</c:v>
                </c:pt>
                <c:pt idx="53">
                  <c:v>0.37305522496121296</c:v>
                </c:pt>
                <c:pt idx="54">
                  <c:v>0.36695590181689203</c:v>
                </c:pt>
                <c:pt idx="55">
                  <c:v>0.36084071883388918</c:v>
                </c:pt>
                <c:pt idx="56">
                  <c:v>0.35471520848407095</c:v>
                </c:pt>
                <c:pt idx="57">
                  <c:v>0.34858486365599844</c:v>
                </c:pt>
                <c:pt idx="58">
                  <c:v>0.34245511883966057</c:v>
                </c:pt>
                <c:pt idx="59">
                  <c:v>0.3363313320352696</c:v>
                </c:pt>
                <c:pt idx="60">
                  <c:v>0.33021876750077234</c:v>
                </c:pt>
                <c:pt idx="61">
                  <c:v>0.32412257944074924</c:v>
                </c:pt>
                <c:pt idx="62">
                  <c:v>0.31804779672656058</c:v>
                </c:pt>
                <c:pt idx="63">
                  <c:v>0.3119993087241783</c:v>
                </c:pt>
                <c:pt idx="64">
                  <c:v>0.30598185229237179</c:v>
                </c:pt>
                <c:pt idx="65">
                  <c:v>0.3</c:v>
                </c:pt>
                <c:pt idx="66">
                  <c:v>0.29405814959733595</c:v>
                </c:pt>
                <c:pt idx="67">
                  <c:v>0.28816051476282861</c:v>
                </c:pt>
                <c:pt idx="68">
                  <c:v>0.28231111713364415</c:v>
                </c:pt>
                <c:pt idx="69">
                  <c:v>0.27651377961593537</c:v>
                </c:pt>
                <c:pt idx="70">
                  <c:v>0.27077212095915976</c:v>
                </c:pt>
                <c:pt idx="71">
                  <c:v>0.26508955156806591</c:v>
                </c:pt>
                <c:pt idx="72">
                  <c:v>0.25946927051625185</c:v>
                </c:pt>
                <c:pt idx="73">
                  <c:v>0.25391426371655462</c:v>
                </c:pt>
                <c:pt idx="74">
                  <c:v>0.24842730319600295</c:v>
                </c:pt>
                <c:pt idx="75">
                  <c:v>0.24301094741665949</c:v>
                </c:pt>
                <c:pt idx="76">
                  <c:v>0.23766754257841294</c:v>
                </c:pt>
                <c:pt idx="77">
                  <c:v>0.23239922483562461</c:v>
                </c:pt>
                <c:pt idx="78">
                  <c:v>0.22720792335644988</c:v>
                </c:pt>
                <c:pt idx="79">
                  <c:v>0.22209536415159881</c:v>
                </c:pt>
                <c:pt idx="80">
                  <c:v>0.21706307459820506</c:v>
                </c:pt>
                <c:pt idx="81">
                  <c:v>0.2121123885842584</c:v>
                </c:pt>
                <c:pt idx="82">
                  <c:v>0.20724445219965984</c:v>
                </c:pt>
                <c:pt idx="83">
                  <c:v>0.20246022990128029</c:v>
                </c:pt>
                <c:pt idx="84">
                  <c:v>0.19776051108135848</c:v>
                </c:pt>
                <c:pt idx="85">
                  <c:v>0.19314591697108788</c:v>
                </c:pt>
                <c:pt idx="86">
                  <c:v>0.18861690781420648</c:v>
                </c:pt>
                <c:pt idx="87">
                  <c:v>0.18417379024875535</c:v>
                </c:pt>
                <c:pt idx="88">
                  <c:v>0.1798167248388077</c:v>
                </c:pt>
                <c:pt idx="89">
                  <c:v>0.17554573370184814</c:v>
                </c:pt>
                <c:pt idx="90">
                  <c:v>0.1713607081814843</c:v>
                </c:pt>
                <c:pt idx="91">
                  <c:v>0.16726141651928514</c:v>
                </c:pt>
                <c:pt idx="92">
                  <c:v>0.16324751148367256</c:v>
                </c:pt>
                <c:pt idx="93">
                  <c:v>0.15931853791789188</c:v>
                </c:pt>
                <c:pt idx="94">
                  <c:v>0.15547394017314337</c:v>
                </c:pt>
                <c:pt idx="95">
                  <c:v>0.15171306939688067</c:v>
                </c:pt>
                <c:pt idx="96">
                  <c:v>0.14803519065008688</c:v>
                </c:pt>
                <c:pt idx="97">
                  <c:v>0.14443948983097127</c:v>
                </c:pt>
                <c:pt idx="98">
                  <c:v>0.14092508038597754</c:v>
                </c:pt>
                <c:pt idx="99">
                  <c:v>0.13749100979224416</c:v>
                </c:pt>
                <c:pt idx="100">
                  <c:v>0.13413626579869339</c:v>
                </c:pt>
                <c:pt idx="101">
                  <c:v>0.13085978241574323</c:v>
                </c:pt>
                <c:pt idx="102">
                  <c:v>0.12766044564623022</c:v>
                </c:pt>
                <c:pt idx="103">
                  <c:v>0.12453709895251185</c:v>
                </c:pt>
                <c:pt idx="104">
                  <c:v>0.12148854845686158</c:v>
                </c:pt>
                <c:pt idx="105">
                  <c:v>0.11851356787421923</c:v>
                </c:pt>
                <c:pt idx="106">
                  <c:v>0.11561090317808896</c:v>
                </c:pt>
                <c:pt idx="107">
                  <c:v>0.11277927700191009</c:v>
                </c:pt>
                <c:pt idx="108">
                  <c:v>0.11001739277957513</c:v>
                </c:pt>
                <c:pt idx="109">
                  <c:v>0.10732393862993361</c:v>
                </c:pt>
                <c:pt idx="110">
                  <c:v>0.10469759099112187</c:v>
                </c:pt>
                <c:pt idx="111">
                  <c:v>0.10213701801140117</c:v>
                </c:pt>
                <c:pt idx="112">
                  <c:v>9.9640882703889141E-2</c:v>
                </c:pt>
                <c:pt idx="113">
                  <c:v>9.7207845873134205E-2</c:v>
                </c:pt>
                <c:pt idx="114">
                  <c:v>9.4836568821932588E-2</c:v>
                </c:pt>
                <c:pt idx="115">
                  <c:v>9.2525715847122048E-2</c:v>
                </c:pt>
                <c:pt idx="116">
                  <c:v>9.0273956533327912E-2</c:v>
                </c:pt>
                <c:pt idx="117">
                  <c:v>8.807996785378587E-2</c:v>
                </c:pt>
                <c:pt idx="118">
                  <c:v>8.5942436087437679E-2</c:v>
                </c:pt>
                <c:pt idx="119">
                  <c:v>8.3860058561500361E-2</c:v>
                </c:pt>
                <c:pt idx="120">
                  <c:v>8.1831545228651589E-2</c:v>
                </c:pt>
                <c:pt idx="121">
                  <c:v>7.985562008786197E-2</c:v>
                </c:pt>
                <c:pt idx="122">
                  <c:v>7.793102245775467E-2</c:v>
                </c:pt>
                <c:pt idx="123">
                  <c:v>7.6056508111175217E-2</c:v>
                </c:pt>
                <c:pt idx="124">
                  <c:v>7.4230850279435184E-2</c:v>
                </c:pt>
                <c:pt idx="125">
                  <c:v>7.2452840534438623E-2</c:v>
                </c:pt>
                <c:pt idx="126">
                  <c:v>7.0721289556632927E-2</c:v>
                </c:pt>
                <c:pt idx="127">
                  <c:v>6.9035027796436901E-2</c:v>
                </c:pt>
                <c:pt idx="128">
                  <c:v>6.7392906036499792E-2</c:v>
                </c:pt>
                <c:pt idx="129">
                  <c:v>6.5793795861839158E-2</c:v>
                </c:pt>
                <c:pt idx="130">
                  <c:v>6.4236590044591119E-2</c:v>
                </c:pt>
                <c:pt idx="131">
                  <c:v>6.2720202849793419E-2</c:v>
                </c:pt>
                <c:pt idx="132">
                  <c:v>6.1243570268306957E-2</c:v>
                </c:pt>
                <c:pt idx="133">
                  <c:v>5.9805650182669624E-2</c:v>
                </c:pt>
                <c:pt idx="134">
                  <c:v>5.8405422471366923E-2</c:v>
                </c:pt>
                <c:pt idx="135">
                  <c:v>5.7041889056704986E-2</c:v>
                </c:pt>
                <c:pt idx="136">
                  <c:v>5.5714073901172799E-2</c:v>
                </c:pt>
                <c:pt idx="137">
                  <c:v>5.4421022956896131E-2</c:v>
                </c:pt>
                <c:pt idx="138">
                  <c:v>5.3161804072505842E-2</c:v>
                </c:pt>
                <c:pt idx="139">
                  <c:v>5.1935506861475078E-2</c:v>
                </c:pt>
                <c:pt idx="140">
                  <c:v>5.0741242535721341E-2</c:v>
                </c:pt>
                <c:pt idx="141">
                  <c:v>4.9578143708020501E-2</c:v>
                </c:pt>
                <c:pt idx="142">
                  <c:v>4.8445364166542722E-2</c:v>
                </c:pt>
                <c:pt idx="143">
                  <c:v>4.7342078624592436E-2</c:v>
                </c:pt>
                <c:pt idx="144">
                  <c:v>4.6267482448419356E-2</c:v>
                </c:pt>
                <c:pt idx="145">
                  <c:v>4.5220791365760717E-2</c:v>
                </c:pt>
                <c:pt idx="146">
                  <c:v>4.4201241157580402E-2</c:v>
                </c:pt>
                <c:pt idx="147">
                  <c:v>4.3208087335286048E-2</c:v>
                </c:pt>
                <c:pt idx="148">
                  <c:v>4.2240604805530414E-2</c:v>
                </c:pt>
                <c:pt idx="149">
                  <c:v>4.1298087524538861E-2</c:v>
                </c:pt>
                <c:pt idx="150">
                  <c:v>4.0379848143749182E-2</c:v>
                </c:pt>
                <c:pt idx="151">
                  <c:v>3.948521764840545E-2</c:v>
                </c:pt>
                <c:pt idx="152">
                  <c:v>3.8613544990608629E-2</c:v>
                </c:pt>
                <c:pt idx="153">
                  <c:v>3.7764196718200679E-2</c:v>
                </c:pt>
                <c:pt idx="154">
                  <c:v>3.6936556600737074E-2</c:v>
                </c:pt>
                <c:pt idx="155">
                  <c:v>3.6130025253691106E-2</c:v>
                </c:pt>
                <c:pt idx="156">
                  <c:v>3.5344019761928434E-2</c:v>
                </c:pt>
                <c:pt idx="157">
                  <c:v>3.4577973303392802E-2</c:v>
                </c:pt>
                <c:pt idx="158">
                  <c:v>3.3831334773852348E-2</c:v>
                </c:pt>
                <c:pt idx="159">
                  <c:v>3.3103568413472596E-2</c:v>
                </c:pt>
                <c:pt idx="160">
                  <c:v>3.2394153435902795E-2</c:v>
                </c:pt>
                <c:pt idx="161">
                  <c:v>3.170258366048874E-2</c:v>
                </c:pt>
                <c:pt idx="162">
                  <c:v>3.1028367148161113E-2</c:v>
                </c:pt>
                <c:pt idx="163">
                  <c:v>3.0371025841481419E-2</c:v>
                </c:pt>
                <c:pt idx="164">
                  <c:v>2.9730095209274391E-2</c:v>
                </c:pt>
                <c:pt idx="165">
                  <c:v>2.9105123896220299E-2</c:v>
                </c:pt>
                <c:pt idx="166">
                  <c:v>2.8495673377731789E-2</c:v>
                </c:pt>
                <c:pt idx="167">
                  <c:v>2.790131762039666E-2</c:v>
                </c:pt>
                <c:pt idx="168">
                  <c:v>2.7321642748224819E-2</c:v>
                </c:pt>
                <c:pt idx="169">
                  <c:v>2.675624671490134E-2</c:v>
                </c:pt>
                <c:pt idx="170">
                  <c:v>2.6204738982211855E-2</c:v>
                </c:pt>
                <c:pt idx="171">
                  <c:v>2.5666740204776061E-2</c:v>
                </c:pt>
                <c:pt idx="172">
                  <c:v>2.5141881921195319E-2</c:v>
                </c:pt>
                <c:pt idx="173">
                  <c:v>2.4629806251694659E-2</c:v>
                </c:pt>
                <c:pt idx="174">
                  <c:v>2.4130165602315668E-2</c:v>
                </c:pt>
                <c:pt idx="175">
                  <c:v>2.3642622375694991E-2</c:v>
                </c:pt>
                <c:pt idx="176">
                  <c:v>2.3166848688443667E-2</c:v>
                </c:pt>
                <c:pt idx="177">
                  <c:v>2.2702526095125228E-2</c:v>
                </c:pt>
                <c:pt idx="178">
                  <c:v>2.2249345318814211E-2</c:v>
                </c:pt>
                <c:pt idx="179">
                  <c:v>2.1807005988202888E-2</c:v>
                </c:pt>
                <c:pt idx="180">
                  <c:v>2.1375216381211402E-2</c:v>
                </c:pt>
                <c:pt idx="181">
                  <c:v>2.0953693175044429E-2</c:v>
                </c:pt>
                <c:pt idx="182">
                  <c:v>2.0542161202629208E-2</c:v>
                </c:pt>
                <c:pt idx="183">
                  <c:v>2.0140353215358436E-2</c:v>
                </c:pt>
                <c:pt idx="184">
                  <c:v>1.9748009652056614E-2</c:v>
                </c:pt>
                <c:pt idx="185">
                  <c:v>1.9364878414079228E-2</c:v>
                </c:pt>
                <c:pt idx="186">
                  <c:v>1.8990714646449854E-2</c:v>
                </c:pt>
                <c:pt idx="187">
                  <c:v>1.8625280524934708E-2</c:v>
                </c:pt>
                <c:pt idx="188">
                  <c:v>1.8268345048950061E-2</c:v>
                </c:pt>
                <c:pt idx="189">
                  <c:v>1.7919683840194281E-2</c:v>
                </c:pt>
                <c:pt idx="190">
                  <c:v>1.7579078946893371E-2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73120"/>
        <c:axId val="88374656"/>
      </c:scatterChart>
      <c:valAx>
        <c:axId val="8837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374656"/>
        <c:crosses val="autoZero"/>
        <c:crossBetween val="midCat"/>
      </c:valAx>
      <c:valAx>
        <c:axId val="8837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373120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mesurement!$E$2</c:f>
              <c:strCache>
                <c:ptCount val="1"/>
                <c:pt idx="0">
                  <c:v>calc temp</c:v>
                </c:pt>
              </c:strCache>
            </c:strRef>
          </c:tx>
          <c:marker>
            <c:symbol val="none"/>
          </c:marker>
          <c:xVal>
            <c:numRef>
              <c:f>mesurement!$B$3:$B$25</c:f>
              <c:numCache>
                <c:formatCode>General</c:formatCode>
                <c:ptCount val="23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-4.2</c:v>
                </c:pt>
                <c:pt idx="4">
                  <c:v>0.6</c:v>
                </c:pt>
                <c:pt idx="5">
                  <c:v>6</c:v>
                </c:pt>
                <c:pt idx="6">
                  <c:v>11</c:v>
                </c:pt>
                <c:pt idx="7">
                  <c:v>13.4</c:v>
                </c:pt>
                <c:pt idx="8">
                  <c:v>20.5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</c:numCache>
            </c:numRef>
          </c:xVal>
          <c:yVal>
            <c:numRef>
              <c:f>mesurement!$E$3:$E$25</c:f>
              <c:numCache>
                <c:formatCode>General</c:formatCode>
                <c:ptCount val="23"/>
                <c:pt idx="0">
                  <c:v>-13.231925781409302</c:v>
                </c:pt>
                <c:pt idx="1">
                  <c:v>-7.8818046412056333</c:v>
                </c:pt>
                <c:pt idx="2">
                  <c:v>-3.8110012265395312</c:v>
                </c:pt>
                <c:pt idx="3">
                  <c:v>0.734490482707713</c:v>
                </c:pt>
                <c:pt idx="4">
                  <c:v>5.1972272994352693</c:v>
                </c:pt>
                <c:pt idx="5">
                  <c:v>9.4949039999565343</c:v>
                </c:pt>
                <c:pt idx="6">
                  <c:v>14.955242964518163</c:v>
                </c:pt>
                <c:pt idx="7">
                  <c:v>19.563130452877829</c:v>
                </c:pt>
                <c:pt idx="8">
                  <c:v>23.935077491027073</c:v>
                </c:pt>
                <c:pt idx="9">
                  <c:v>33.993556768292649</c:v>
                </c:pt>
                <c:pt idx="10">
                  <c:v>34.535651180385344</c:v>
                </c:pt>
                <c:pt idx="11">
                  <c:v>44.334707841317822</c:v>
                </c:pt>
                <c:pt idx="12">
                  <c:v>52.465079317883522</c:v>
                </c:pt>
                <c:pt idx="13">
                  <c:v>63.422315566812131</c:v>
                </c:pt>
                <c:pt idx="14">
                  <c:v>72.590462542560033</c:v>
                </c:pt>
                <c:pt idx="15">
                  <c:v>81.280364129140764</c:v>
                </c:pt>
                <c:pt idx="16">
                  <c:v>92.296061184389828</c:v>
                </c:pt>
                <c:pt idx="17">
                  <c:v>99.49720157646135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mesurement!$F$2</c:f>
              <c:strCache>
                <c:ptCount val="1"/>
                <c:pt idx="0">
                  <c:v>EMD</c:v>
                </c:pt>
              </c:strCache>
            </c:strRef>
          </c:tx>
          <c:marker>
            <c:symbol val="none"/>
          </c:marker>
          <c:xVal>
            <c:numRef>
              <c:f>mesurement!$B$3:$B$25</c:f>
              <c:numCache>
                <c:formatCode>General</c:formatCode>
                <c:ptCount val="23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-4.2</c:v>
                </c:pt>
                <c:pt idx="4">
                  <c:v>0.6</c:v>
                </c:pt>
                <c:pt idx="5">
                  <c:v>6</c:v>
                </c:pt>
                <c:pt idx="6">
                  <c:v>11</c:v>
                </c:pt>
                <c:pt idx="7">
                  <c:v>13.4</c:v>
                </c:pt>
                <c:pt idx="8">
                  <c:v>20.5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</c:numCache>
            </c:numRef>
          </c:xVal>
          <c:yVal>
            <c:numRef>
              <c:f>mesurement!$F$3:$F$25</c:f>
              <c:numCache>
                <c:formatCode>General</c:formatCode>
                <c:ptCount val="23"/>
                <c:pt idx="0">
                  <c:v>-13.332800000000001</c:v>
                </c:pt>
                <c:pt idx="1">
                  <c:v>-6.7783499999999997</c:v>
                </c:pt>
                <c:pt idx="2">
                  <c:v>-2.0724999999999998</c:v>
                </c:pt>
                <c:pt idx="3">
                  <c:v>2.8</c:v>
                </c:pt>
                <c:pt idx="4">
                  <c:v>7.4569999999999999</c:v>
                </c:pt>
                <c:pt idx="5">
                  <c:v>11.26</c:v>
                </c:pt>
                <c:pt idx="6">
                  <c:v>15.711</c:v>
                </c:pt>
                <c:pt idx="7">
                  <c:v>19.128350000000001</c:v>
                </c:pt>
                <c:pt idx="8">
                  <c:v>22.56</c:v>
                </c:pt>
                <c:pt idx="9">
                  <c:v>31.08</c:v>
                </c:pt>
                <c:pt idx="10">
                  <c:v>31.670829999999999</c:v>
                </c:pt>
                <c:pt idx="11">
                  <c:v>43</c:v>
                </c:pt>
                <c:pt idx="12">
                  <c:v>51</c:v>
                </c:pt>
                <c:pt idx="13">
                  <c:v>61.173000000000002</c:v>
                </c:pt>
                <c:pt idx="14">
                  <c:v>71.599999999999994</c:v>
                </c:pt>
                <c:pt idx="15">
                  <c:v>82</c:v>
                </c:pt>
                <c:pt idx="16">
                  <c:v>94.411900000000003</c:v>
                </c:pt>
                <c:pt idx="17">
                  <c:v>102.85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mesurement!$G$2</c:f>
              <c:strCache>
                <c:ptCount val="1"/>
                <c:pt idx="0">
                  <c:v>DMM</c:v>
                </c:pt>
              </c:strCache>
            </c:strRef>
          </c:tx>
          <c:marker>
            <c:symbol val="none"/>
          </c:marker>
          <c:xVal>
            <c:numRef>
              <c:f>mesurement!$B$3:$B$25</c:f>
              <c:numCache>
                <c:formatCode>General</c:formatCode>
                <c:ptCount val="23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-4.2</c:v>
                </c:pt>
                <c:pt idx="4">
                  <c:v>0.6</c:v>
                </c:pt>
                <c:pt idx="5">
                  <c:v>6</c:v>
                </c:pt>
                <c:pt idx="6">
                  <c:v>11</c:v>
                </c:pt>
                <c:pt idx="7">
                  <c:v>13.4</c:v>
                </c:pt>
                <c:pt idx="8">
                  <c:v>20.5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</c:numCache>
            </c:numRef>
          </c:xVal>
          <c:yVal>
            <c:numRef>
              <c:f>mesurement!$G$3:$G$25</c:f>
              <c:numCache>
                <c:formatCode>General</c:formatCode>
                <c:ptCount val="23"/>
                <c:pt idx="0">
                  <c:v>-13</c:v>
                </c:pt>
                <c:pt idx="1">
                  <c:v>-8</c:v>
                </c:pt>
                <c:pt idx="2">
                  <c:v>-4</c:v>
                </c:pt>
                <c:pt idx="3">
                  <c:v>0</c:v>
                </c:pt>
                <c:pt idx="4">
                  <c:v>4</c:v>
                </c:pt>
                <c:pt idx="5">
                  <c:v>8</c:v>
                </c:pt>
                <c:pt idx="6">
                  <c:v>13</c:v>
                </c:pt>
                <c:pt idx="7">
                  <c:v>17</c:v>
                </c:pt>
                <c:pt idx="8">
                  <c:v>22</c:v>
                </c:pt>
                <c:pt idx="9">
                  <c:v>32</c:v>
                </c:pt>
                <c:pt idx="10">
                  <c:v>32</c:v>
                </c:pt>
                <c:pt idx="11">
                  <c:v>42</c:v>
                </c:pt>
                <c:pt idx="12">
                  <c:v>49</c:v>
                </c:pt>
                <c:pt idx="13">
                  <c:v>60</c:v>
                </c:pt>
                <c:pt idx="14">
                  <c:v>70</c:v>
                </c:pt>
                <c:pt idx="15">
                  <c:v>79</c:v>
                </c:pt>
                <c:pt idx="16">
                  <c:v>90</c:v>
                </c:pt>
                <c:pt idx="17">
                  <c:v>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6736"/>
        <c:axId val="88438272"/>
      </c:scatterChart>
      <c:valAx>
        <c:axId val="8843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438272"/>
        <c:crosses val="autoZero"/>
        <c:crossBetween val="midCat"/>
      </c:valAx>
      <c:valAx>
        <c:axId val="884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436736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Temp [C] Vs ADC</a:t>
            </a:r>
            <a:r>
              <a:rPr lang="en-US" baseline="0"/>
              <a:t> out</a:t>
            </a:r>
          </a:p>
        </c:rich>
      </c:tx>
      <c:layout>
        <c:manualLayout>
          <c:xMode val="edge"/>
          <c:yMode val="edge"/>
          <c:x val="0.2957550417485572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841743838623946"/>
          <c:y val="0.18515977582010171"/>
          <c:w val="0.76896196151581686"/>
          <c:h val="0.7659842519685039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Sheet2!$G$1:$G$2</c:f>
              <c:strCache>
                <c:ptCount val="1"/>
                <c:pt idx="0">
                  <c:v>Calculated temp  C</c:v>
                </c:pt>
              </c:strCache>
            </c:strRef>
          </c:tx>
          <c:marker>
            <c:symbol val="none"/>
          </c:marke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4641047227587117"/>
                  <c:y val="-0.59004876865639322"/>
                </c:manualLayout>
              </c:layout>
              <c:numFmt formatCode="General" sourceLinked="0"/>
            </c:trendlineLbl>
          </c:trendline>
          <c:xVal>
            <c:numRef>
              <c:f>Sheet2!$E$3:$E$235</c:f>
              <c:numCache>
                <c:formatCode>0.000</c:formatCode>
                <c:ptCount val="233"/>
                <c:pt idx="0">
                  <c:v>0.01</c:v>
                </c:pt>
                <c:pt idx="1">
                  <c:v>1.4200000000000001E-2</c:v>
                </c:pt>
                <c:pt idx="2">
                  <c:v>1.84E-2</c:v>
                </c:pt>
                <c:pt idx="3">
                  <c:v>2.2599999999999999E-2</c:v>
                </c:pt>
                <c:pt idx="4">
                  <c:v>2.6799999999999997E-2</c:v>
                </c:pt>
                <c:pt idx="5">
                  <c:v>3.0999999999999996E-2</c:v>
                </c:pt>
                <c:pt idx="6">
                  <c:v>3.5199999999999995E-2</c:v>
                </c:pt>
                <c:pt idx="7">
                  <c:v>3.9399999999999998E-2</c:v>
                </c:pt>
                <c:pt idx="8">
                  <c:v>4.36E-2</c:v>
                </c:pt>
                <c:pt idx="9">
                  <c:v>4.7800000000000002E-2</c:v>
                </c:pt>
                <c:pt idx="10">
                  <c:v>5.2000000000000005E-2</c:v>
                </c:pt>
                <c:pt idx="11">
                  <c:v>5.6200000000000007E-2</c:v>
                </c:pt>
                <c:pt idx="12">
                  <c:v>6.0400000000000009E-2</c:v>
                </c:pt>
                <c:pt idx="13">
                  <c:v>6.4600000000000005E-2</c:v>
                </c:pt>
                <c:pt idx="14">
                  <c:v>6.88E-2</c:v>
                </c:pt>
                <c:pt idx="15">
                  <c:v>7.2999999999999995E-2</c:v>
                </c:pt>
                <c:pt idx="16">
                  <c:v>7.7199999999999991E-2</c:v>
                </c:pt>
                <c:pt idx="17">
                  <c:v>8.1399999999999986E-2</c:v>
                </c:pt>
                <c:pt idx="18">
                  <c:v>8.5599999999999982E-2</c:v>
                </c:pt>
                <c:pt idx="19">
                  <c:v>8.9799999999999977E-2</c:v>
                </c:pt>
                <c:pt idx="20">
                  <c:v>9.3999999999999972E-2</c:v>
                </c:pt>
                <c:pt idx="21">
                  <c:v>9.8199999999999968E-2</c:v>
                </c:pt>
                <c:pt idx="22">
                  <c:v>0.10239999999999996</c:v>
                </c:pt>
                <c:pt idx="23">
                  <c:v>0.10659999999999996</c:v>
                </c:pt>
                <c:pt idx="24">
                  <c:v>0.11079999999999995</c:v>
                </c:pt>
                <c:pt idx="25">
                  <c:v>0.11499999999999995</c:v>
                </c:pt>
                <c:pt idx="26">
                  <c:v>0.11919999999999994</c:v>
                </c:pt>
                <c:pt idx="27">
                  <c:v>0.12339999999999994</c:v>
                </c:pt>
                <c:pt idx="28">
                  <c:v>0.12759999999999994</c:v>
                </c:pt>
                <c:pt idx="29">
                  <c:v>0.13179999999999994</c:v>
                </c:pt>
                <c:pt idx="30">
                  <c:v>0.13599999999999995</c:v>
                </c:pt>
                <c:pt idx="31">
                  <c:v>0.14019999999999996</c:v>
                </c:pt>
                <c:pt idx="32">
                  <c:v>0.14439999999999997</c:v>
                </c:pt>
                <c:pt idx="33">
                  <c:v>0.14859999999999998</c:v>
                </c:pt>
                <c:pt idx="34">
                  <c:v>0.15279999999999999</c:v>
                </c:pt>
                <c:pt idx="35">
                  <c:v>0.157</c:v>
                </c:pt>
                <c:pt idx="36">
                  <c:v>0.16120000000000001</c:v>
                </c:pt>
                <c:pt idx="37">
                  <c:v>0.16540000000000002</c:v>
                </c:pt>
                <c:pt idx="38">
                  <c:v>0.16960000000000003</c:v>
                </c:pt>
                <c:pt idx="39">
                  <c:v>0.17380000000000004</c:v>
                </c:pt>
                <c:pt idx="40">
                  <c:v>0.17800000000000005</c:v>
                </c:pt>
                <c:pt idx="41">
                  <c:v>0.18220000000000006</c:v>
                </c:pt>
                <c:pt idx="42">
                  <c:v>0.18640000000000007</c:v>
                </c:pt>
                <c:pt idx="43">
                  <c:v>0.19060000000000007</c:v>
                </c:pt>
                <c:pt idx="44">
                  <c:v>0.19480000000000008</c:v>
                </c:pt>
                <c:pt idx="45">
                  <c:v>0.19900000000000009</c:v>
                </c:pt>
                <c:pt idx="46">
                  <c:v>0.2032000000000001</c:v>
                </c:pt>
                <c:pt idx="47">
                  <c:v>0.20740000000000011</c:v>
                </c:pt>
                <c:pt idx="48">
                  <c:v>0.21160000000000012</c:v>
                </c:pt>
                <c:pt idx="49">
                  <c:v>0.21580000000000013</c:v>
                </c:pt>
                <c:pt idx="50">
                  <c:v>0.22000000000000014</c:v>
                </c:pt>
                <c:pt idx="51">
                  <c:v>0.22420000000000015</c:v>
                </c:pt>
                <c:pt idx="52">
                  <c:v>0.22840000000000016</c:v>
                </c:pt>
                <c:pt idx="53">
                  <c:v>0.23260000000000017</c:v>
                </c:pt>
                <c:pt idx="54">
                  <c:v>0.23680000000000018</c:v>
                </c:pt>
                <c:pt idx="55">
                  <c:v>0.24100000000000019</c:v>
                </c:pt>
                <c:pt idx="56">
                  <c:v>0.2452000000000002</c:v>
                </c:pt>
                <c:pt idx="57">
                  <c:v>0.2494000000000002</c:v>
                </c:pt>
                <c:pt idx="58">
                  <c:v>0.25360000000000021</c:v>
                </c:pt>
                <c:pt idx="59">
                  <c:v>0.2578000000000002</c:v>
                </c:pt>
                <c:pt idx="60">
                  <c:v>0.26200000000000018</c:v>
                </c:pt>
                <c:pt idx="61">
                  <c:v>0.26620000000000016</c:v>
                </c:pt>
                <c:pt idx="62">
                  <c:v>0.27040000000000014</c:v>
                </c:pt>
                <c:pt idx="63">
                  <c:v>0.27460000000000012</c:v>
                </c:pt>
                <c:pt idx="64">
                  <c:v>0.2788000000000001</c:v>
                </c:pt>
                <c:pt idx="65">
                  <c:v>0.28300000000000008</c:v>
                </c:pt>
                <c:pt idx="66">
                  <c:v>0.28720000000000007</c:v>
                </c:pt>
                <c:pt idx="67">
                  <c:v>0.29140000000000005</c:v>
                </c:pt>
                <c:pt idx="68">
                  <c:v>0.29560000000000003</c:v>
                </c:pt>
                <c:pt idx="69">
                  <c:v>0.29980000000000001</c:v>
                </c:pt>
                <c:pt idx="70">
                  <c:v>0.30399999999999999</c:v>
                </c:pt>
                <c:pt idx="71">
                  <c:v>0.30819999999999997</c:v>
                </c:pt>
                <c:pt idx="72">
                  <c:v>0.31239999999999996</c:v>
                </c:pt>
                <c:pt idx="73">
                  <c:v>0.31659999999999994</c:v>
                </c:pt>
                <c:pt idx="74">
                  <c:v>0.32079999999999992</c:v>
                </c:pt>
                <c:pt idx="75">
                  <c:v>0.3249999999999999</c:v>
                </c:pt>
                <c:pt idx="76">
                  <c:v>0.32919999999999988</c:v>
                </c:pt>
                <c:pt idx="77">
                  <c:v>0.33339999999999986</c:v>
                </c:pt>
                <c:pt idx="78">
                  <c:v>0.33759999999999984</c:v>
                </c:pt>
                <c:pt idx="79">
                  <c:v>0.34179999999999983</c:v>
                </c:pt>
                <c:pt idx="80">
                  <c:v>0.34599999999999981</c:v>
                </c:pt>
                <c:pt idx="81">
                  <c:v>0.35019999999999979</c:v>
                </c:pt>
                <c:pt idx="82">
                  <c:v>0.35439999999999977</c:v>
                </c:pt>
                <c:pt idx="83">
                  <c:v>0.35859999999999975</c:v>
                </c:pt>
                <c:pt idx="84">
                  <c:v>0.36279999999999973</c:v>
                </c:pt>
                <c:pt idx="85">
                  <c:v>0.36699999999999972</c:v>
                </c:pt>
                <c:pt idx="86">
                  <c:v>0.3711999999999997</c:v>
                </c:pt>
                <c:pt idx="87">
                  <c:v>0.37539999999999968</c:v>
                </c:pt>
                <c:pt idx="88">
                  <c:v>0.37959999999999966</c:v>
                </c:pt>
                <c:pt idx="89">
                  <c:v>0.38379999999999964</c:v>
                </c:pt>
                <c:pt idx="90">
                  <c:v>0.38799999999999962</c:v>
                </c:pt>
                <c:pt idx="91">
                  <c:v>0.3921999999999996</c:v>
                </c:pt>
                <c:pt idx="92">
                  <c:v>0.39639999999999959</c:v>
                </c:pt>
                <c:pt idx="93">
                  <c:v>0.40059999999999957</c:v>
                </c:pt>
                <c:pt idx="94">
                  <c:v>0.40479999999999955</c:v>
                </c:pt>
                <c:pt idx="95">
                  <c:v>0.40899999999999953</c:v>
                </c:pt>
                <c:pt idx="96">
                  <c:v>0.41319999999999951</c:v>
                </c:pt>
                <c:pt idx="97">
                  <c:v>0.41739999999999949</c:v>
                </c:pt>
                <c:pt idx="98">
                  <c:v>0.42159999999999948</c:v>
                </c:pt>
                <c:pt idx="99">
                  <c:v>0.42579999999999946</c:v>
                </c:pt>
                <c:pt idx="100">
                  <c:v>0.42999999999999944</c:v>
                </c:pt>
                <c:pt idx="101">
                  <c:v>0.43419999999999942</c:v>
                </c:pt>
                <c:pt idx="102">
                  <c:v>0.4383999999999994</c:v>
                </c:pt>
                <c:pt idx="103">
                  <c:v>0.44259999999999938</c:v>
                </c:pt>
                <c:pt idx="104">
                  <c:v>0.44679999999999936</c:v>
                </c:pt>
                <c:pt idx="105">
                  <c:v>0.45099999999999935</c:v>
                </c:pt>
                <c:pt idx="106">
                  <c:v>0.45519999999999933</c:v>
                </c:pt>
                <c:pt idx="107">
                  <c:v>0.45939999999999931</c:v>
                </c:pt>
                <c:pt idx="108">
                  <c:v>0.46359999999999929</c:v>
                </c:pt>
                <c:pt idx="109">
                  <c:v>0.46779999999999927</c:v>
                </c:pt>
                <c:pt idx="110">
                  <c:v>0.47199999999999925</c:v>
                </c:pt>
                <c:pt idx="111">
                  <c:v>0.47619999999999924</c:v>
                </c:pt>
                <c:pt idx="112">
                  <c:v>0.48039999999999922</c:v>
                </c:pt>
                <c:pt idx="113">
                  <c:v>0.4845999999999992</c:v>
                </c:pt>
                <c:pt idx="114">
                  <c:v>0.48879999999999918</c:v>
                </c:pt>
                <c:pt idx="115">
                  <c:v>0.49299999999999916</c:v>
                </c:pt>
                <c:pt idx="116">
                  <c:v>0.49719999999999914</c:v>
                </c:pt>
                <c:pt idx="117">
                  <c:v>0.50139999999999918</c:v>
                </c:pt>
                <c:pt idx="118">
                  <c:v>0.50559999999999916</c:v>
                </c:pt>
                <c:pt idx="119">
                  <c:v>0.50979999999999914</c:v>
                </c:pt>
                <c:pt idx="120">
                  <c:v>0.51399999999999912</c:v>
                </c:pt>
                <c:pt idx="121">
                  <c:v>0.51819999999999911</c:v>
                </c:pt>
                <c:pt idx="122">
                  <c:v>0.52239999999999909</c:v>
                </c:pt>
                <c:pt idx="123">
                  <c:v>0.52659999999999907</c:v>
                </c:pt>
                <c:pt idx="124">
                  <c:v>0.53079999999999905</c:v>
                </c:pt>
                <c:pt idx="125">
                  <c:v>0.53499999999999903</c:v>
                </c:pt>
                <c:pt idx="126">
                  <c:v>0.53919999999999901</c:v>
                </c:pt>
                <c:pt idx="127">
                  <c:v>0.54339999999999899</c:v>
                </c:pt>
                <c:pt idx="128">
                  <c:v>0.54759999999999898</c:v>
                </c:pt>
                <c:pt idx="129">
                  <c:v>0.55179999999999896</c:v>
                </c:pt>
                <c:pt idx="130">
                  <c:v>0.55599999999999894</c:v>
                </c:pt>
                <c:pt idx="131">
                  <c:v>0.56019999999999892</c:v>
                </c:pt>
                <c:pt idx="132">
                  <c:v>0.5643999999999989</c:v>
                </c:pt>
                <c:pt idx="133">
                  <c:v>0.56859999999999888</c:v>
                </c:pt>
                <c:pt idx="134">
                  <c:v>0.57279999999999887</c:v>
                </c:pt>
                <c:pt idx="135">
                  <c:v>0.57699999999999885</c:v>
                </c:pt>
                <c:pt idx="136">
                  <c:v>0.58119999999999883</c:v>
                </c:pt>
                <c:pt idx="137">
                  <c:v>0.58539999999999881</c:v>
                </c:pt>
                <c:pt idx="138">
                  <c:v>0.58959999999999879</c:v>
                </c:pt>
                <c:pt idx="139">
                  <c:v>0.59379999999999877</c:v>
                </c:pt>
                <c:pt idx="140">
                  <c:v>0.59799999999999875</c:v>
                </c:pt>
                <c:pt idx="141">
                  <c:v>0.60219999999999874</c:v>
                </c:pt>
                <c:pt idx="142">
                  <c:v>0.60639999999999872</c:v>
                </c:pt>
                <c:pt idx="143">
                  <c:v>0.6105999999999987</c:v>
                </c:pt>
                <c:pt idx="144">
                  <c:v>0.61479999999999868</c:v>
                </c:pt>
                <c:pt idx="145">
                  <c:v>0.61899999999999866</c:v>
                </c:pt>
                <c:pt idx="146">
                  <c:v>0.62319999999999864</c:v>
                </c:pt>
                <c:pt idx="147">
                  <c:v>0.62739999999999863</c:v>
                </c:pt>
                <c:pt idx="148">
                  <c:v>0.63159999999999861</c:v>
                </c:pt>
                <c:pt idx="149">
                  <c:v>0.63579999999999859</c:v>
                </c:pt>
                <c:pt idx="150">
                  <c:v>0.63999999999999857</c:v>
                </c:pt>
                <c:pt idx="151">
                  <c:v>0.64419999999999855</c:v>
                </c:pt>
                <c:pt idx="152">
                  <c:v>0.64839999999999853</c:v>
                </c:pt>
                <c:pt idx="153">
                  <c:v>0.65259999999999851</c:v>
                </c:pt>
                <c:pt idx="154">
                  <c:v>0.6567999999999985</c:v>
                </c:pt>
                <c:pt idx="155">
                  <c:v>0.66099999999999848</c:v>
                </c:pt>
                <c:pt idx="156">
                  <c:v>0.66519999999999846</c:v>
                </c:pt>
                <c:pt idx="157">
                  <c:v>0.66939999999999844</c:v>
                </c:pt>
                <c:pt idx="158">
                  <c:v>0.67359999999999842</c:v>
                </c:pt>
                <c:pt idx="159">
                  <c:v>0.6777999999999984</c:v>
                </c:pt>
                <c:pt idx="160">
                  <c:v>0.68199999999999839</c:v>
                </c:pt>
                <c:pt idx="161">
                  <c:v>0.68619999999999837</c:v>
                </c:pt>
                <c:pt idx="162">
                  <c:v>0.69039999999999835</c:v>
                </c:pt>
                <c:pt idx="163">
                  <c:v>0.69459999999999833</c:v>
                </c:pt>
                <c:pt idx="164">
                  <c:v>0.69879999999999831</c:v>
                </c:pt>
                <c:pt idx="165">
                  <c:v>0.70299999999999829</c:v>
                </c:pt>
                <c:pt idx="166">
                  <c:v>0.70719999999999827</c:v>
                </c:pt>
                <c:pt idx="167">
                  <c:v>0.71139999999999826</c:v>
                </c:pt>
                <c:pt idx="168">
                  <c:v>0.71559999999999824</c:v>
                </c:pt>
                <c:pt idx="169">
                  <c:v>0.71979999999999822</c:v>
                </c:pt>
                <c:pt idx="170">
                  <c:v>0.7239999999999982</c:v>
                </c:pt>
                <c:pt idx="171">
                  <c:v>0.72819999999999818</c:v>
                </c:pt>
                <c:pt idx="172">
                  <c:v>0.73239999999999816</c:v>
                </c:pt>
                <c:pt idx="173">
                  <c:v>0.73659999999999815</c:v>
                </c:pt>
                <c:pt idx="174">
                  <c:v>0.74079999999999813</c:v>
                </c:pt>
                <c:pt idx="175">
                  <c:v>0.74499999999999811</c:v>
                </c:pt>
                <c:pt idx="176">
                  <c:v>0.74919999999999809</c:v>
                </c:pt>
                <c:pt idx="177">
                  <c:v>0.75339999999999807</c:v>
                </c:pt>
                <c:pt idx="178">
                  <c:v>0.75759999999999805</c:v>
                </c:pt>
                <c:pt idx="179">
                  <c:v>0.76179999999999803</c:v>
                </c:pt>
                <c:pt idx="180">
                  <c:v>0.76599999999999802</c:v>
                </c:pt>
                <c:pt idx="181">
                  <c:v>0.770199999999998</c:v>
                </c:pt>
                <c:pt idx="182">
                  <c:v>0.77439999999999798</c:v>
                </c:pt>
                <c:pt idx="183">
                  <c:v>0.77859999999999796</c:v>
                </c:pt>
                <c:pt idx="184">
                  <c:v>0.78279999999999794</c:v>
                </c:pt>
                <c:pt idx="185">
                  <c:v>0.78699999999999792</c:v>
                </c:pt>
                <c:pt idx="186">
                  <c:v>0.7911999999999979</c:v>
                </c:pt>
                <c:pt idx="187">
                  <c:v>0.79539999999999789</c:v>
                </c:pt>
                <c:pt idx="188">
                  <c:v>0.79959999999999787</c:v>
                </c:pt>
                <c:pt idx="189">
                  <c:v>0.80379999999999785</c:v>
                </c:pt>
                <c:pt idx="190">
                  <c:v>0.80799999999999783</c:v>
                </c:pt>
                <c:pt idx="191">
                  <c:v>0.81219999999999781</c:v>
                </c:pt>
                <c:pt idx="192">
                  <c:v>0.81639999999999779</c:v>
                </c:pt>
                <c:pt idx="193">
                  <c:v>0.82059999999999778</c:v>
                </c:pt>
                <c:pt idx="194">
                  <c:v>0.82479999999999776</c:v>
                </c:pt>
                <c:pt idx="195">
                  <c:v>0.82899999999999774</c:v>
                </c:pt>
                <c:pt idx="196">
                  <c:v>0.83319999999999772</c:v>
                </c:pt>
                <c:pt idx="197">
                  <c:v>0.8373999999999977</c:v>
                </c:pt>
                <c:pt idx="198">
                  <c:v>0.84159999999999768</c:v>
                </c:pt>
                <c:pt idx="199">
                  <c:v>0.84579999999999766</c:v>
                </c:pt>
                <c:pt idx="200">
                  <c:v>0.84999999999999765</c:v>
                </c:pt>
                <c:pt idx="201">
                  <c:v>0.85419999999999763</c:v>
                </c:pt>
                <c:pt idx="202">
                  <c:v>0.85839999999999761</c:v>
                </c:pt>
                <c:pt idx="203">
                  <c:v>0.86259999999999759</c:v>
                </c:pt>
                <c:pt idx="204">
                  <c:v>0.86679999999999757</c:v>
                </c:pt>
                <c:pt idx="205">
                  <c:v>0.87099999999999755</c:v>
                </c:pt>
                <c:pt idx="206">
                  <c:v>0.87519999999999754</c:v>
                </c:pt>
                <c:pt idx="207">
                  <c:v>0.87939999999999752</c:v>
                </c:pt>
                <c:pt idx="208">
                  <c:v>0.8835999999999975</c:v>
                </c:pt>
                <c:pt idx="209">
                  <c:v>0.88779999999999748</c:v>
                </c:pt>
                <c:pt idx="210">
                  <c:v>0.89199999999999746</c:v>
                </c:pt>
                <c:pt idx="211">
                  <c:v>0.89619999999999744</c:v>
                </c:pt>
                <c:pt idx="212">
                  <c:v>0.90039999999999742</c:v>
                </c:pt>
                <c:pt idx="213">
                  <c:v>0.90459999999999741</c:v>
                </c:pt>
                <c:pt idx="214">
                  <c:v>0.90879999999999739</c:v>
                </c:pt>
                <c:pt idx="215">
                  <c:v>0.91299999999999737</c:v>
                </c:pt>
                <c:pt idx="216">
                  <c:v>0.91719999999999735</c:v>
                </c:pt>
                <c:pt idx="217">
                  <c:v>0.92139999999999733</c:v>
                </c:pt>
                <c:pt idx="218">
                  <c:v>0.92559999999999731</c:v>
                </c:pt>
                <c:pt idx="219">
                  <c:v>0.9297999999999973</c:v>
                </c:pt>
                <c:pt idx="220">
                  <c:v>0.93399999999999728</c:v>
                </c:pt>
                <c:pt idx="221">
                  <c:v>0.93819999999999726</c:v>
                </c:pt>
                <c:pt idx="222">
                  <c:v>0.94239999999999724</c:v>
                </c:pt>
                <c:pt idx="223">
                  <c:v>0.94659999999999722</c:v>
                </c:pt>
                <c:pt idx="224">
                  <c:v>0.9507999999999972</c:v>
                </c:pt>
                <c:pt idx="225">
                  <c:v>0.95499999999999718</c:v>
                </c:pt>
                <c:pt idx="226">
                  <c:v>0.95919999999999717</c:v>
                </c:pt>
                <c:pt idx="227">
                  <c:v>0.96339999999999715</c:v>
                </c:pt>
                <c:pt idx="228">
                  <c:v>0.96759999999999713</c:v>
                </c:pt>
                <c:pt idx="229">
                  <c:v>0.97179999999999711</c:v>
                </c:pt>
                <c:pt idx="230">
                  <c:v>0.97599999999999709</c:v>
                </c:pt>
                <c:pt idx="231">
                  <c:v>0.98019999999999707</c:v>
                </c:pt>
                <c:pt idx="232">
                  <c:v>0.98439999999999706</c:v>
                </c:pt>
              </c:numCache>
            </c:numRef>
          </c:xVal>
          <c:yVal>
            <c:numRef>
              <c:f>Sheet2!$G$3:$G$235</c:f>
              <c:numCache>
                <c:formatCode>0.000</c:formatCode>
                <c:ptCount val="233"/>
                <c:pt idx="0">
                  <c:v>226.97709082730188</c:v>
                </c:pt>
                <c:pt idx="1">
                  <c:v>205.61871373895508</c:v>
                </c:pt>
                <c:pt idx="2">
                  <c:v>190.91757061046457</c:v>
                </c:pt>
                <c:pt idx="3">
                  <c:v>179.83763439682986</c:v>
                </c:pt>
                <c:pt idx="4">
                  <c:v>171.01152953618464</c:v>
                </c:pt>
                <c:pt idx="5">
                  <c:v>163.71290241647961</c:v>
                </c:pt>
                <c:pt idx="6">
                  <c:v>157.51237161028462</c:v>
                </c:pt>
                <c:pt idx="7">
                  <c:v>152.13622732999454</c:v>
                </c:pt>
                <c:pt idx="8">
                  <c:v>147.39990097049503</c:v>
                </c:pt>
                <c:pt idx="9">
                  <c:v>143.17338498864262</c:v>
                </c:pt>
                <c:pt idx="10">
                  <c:v>139.36185539539747</c:v>
                </c:pt>
                <c:pt idx="11">
                  <c:v>135.89414952096519</c:v>
                </c:pt>
                <c:pt idx="12">
                  <c:v>132.71557714989837</c:v>
                </c:pt>
                <c:pt idx="13">
                  <c:v>129.78325312143966</c:v>
                </c:pt>
                <c:pt idx="14">
                  <c:v>127.06296365946355</c:v>
                </c:pt>
                <c:pt idx="15">
                  <c:v>124.52700129622917</c:v>
                </c:pt>
                <c:pt idx="16">
                  <c:v>122.15263149275398</c:v>
                </c:pt>
                <c:pt idx="17">
                  <c:v>119.92098289872229</c:v>
                </c:pt>
                <c:pt idx="18">
                  <c:v>117.81622875278424</c:v>
                </c:pt>
                <c:pt idx="19">
                  <c:v>115.82497273403112</c:v>
                </c:pt>
                <c:pt idx="20">
                  <c:v>113.93578117511265</c:v>
                </c:pt>
                <c:pt idx="21">
                  <c:v>112.13882187290432</c:v>
                </c:pt>
                <c:pt idx="22">
                  <c:v>110.42558175085048</c:v>
                </c:pt>
                <c:pt idx="23">
                  <c:v>108.78864367540803</c:v>
                </c:pt>
                <c:pt idx="24">
                  <c:v>107.22150822161609</c:v>
                </c:pt>
                <c:pt idx="25">
                  <c:v>105.71844999624238</c:v>
                </c:pt>
                <c:pt idx="26">
                  <c:v>104.27440081642925</c:v>
                </c:pt>
                <c:pt idx="27">
                  <c:v>102.88485396603267</c:v>
                </c:pt>
                <c:pt idx="28">
                  <c:v>101.5457851469755</c:v>
                </c:pt>
                <c:pt idx="29">
                  <c:v>100.2535867668692</c:v>
                </c:pt>
                <c:pt idx="30">
                  <c:v>99.005012964211517</c:v>
                </c:pt>
                <c:pt idx="31">
                  <c:v>97.797133342616519</c:v>
                </c:pt>
                <c:pt idx="32">
                  <c:v>96.627293817429802</c:v>
                </c:pt>
                <c:pt idx="33">
                  <c:v>95.493083308265795</c:v>
                </c:pt>
                <c:pt idx="34">
                  <c:v>94.392305265590551</c:v>
                </c:pt>
                <c:pt idx="35">
                  <c:v>93.322953217358247</c:v>
                </c:pt>
                <c:pt idx="36">
                  <c:v>92.28318967668821</c:v>
                </c:pt>
                <c:pt idx="37">
                  <c:v>91.271327873804296</c:v>
                </c:pt>
                <c:pt idx="38">
                  <c:v>90.285815872521596</c:v>
                </c:pt>
                <c:pt idx="39">
                  <c:v>89.325222709130628</c:v>
                </c:pt>
                <c:pt idx="40">
                  <c:v>88.388226253877917</c:v>
                </c:pt>
                <c:pt idx="41">
                  <c:v>87.473602545657855</c:v>
                </c:pt>
                <c:pt idx="42">
                  <c:v>86.580216391503768</c:v>
                </c:pt>
                <c:pt idx="43">
                  <c:v>85.707013055948266</c:v>
                </c:pt>
                <c:pt idx="44">
                  <c:v>84.853010892809607</c:v>
                </c:pt>
                <c:pt idx="45">
                  <c:v>84.017294794634097</c:v>
                </c:pt>
                <c:pt idx="46">
                  <c:v>83.19901035380849</c:v>
                </c:pt>
                <c:pt idx="47">
                  <c:v>82.397358644988003</c:v>
                </c:pt>
                <c:pt idx="48">
                  <c:v>81.611591551541039</c:v>
                </c:pt>
                <c:pt idx="49">
                  <c:v>80.841007569661599</c:v>
                </c:pt>
                <c:pt idx="50">
                  <c:v>80.084948033019771</c:v>
                </c:pt>
                <c:pt idx="51">
                  <c:v>79.34279370860429</c:v>
                </c:pt>
                <c:pt idx="52">
                  <c:v>78.613961721013482</c:v>
                </c:pt>
                <c:pt idx="53">
                  <c:v>77.897902768063148</c:v>
                </c:pt>
                <c:pt idx="54">
                  <c:v>77.194098595367336</c:v>
                </c:pt>
                <c:pt idx="55">
                  <c:v>76.502059701647283</c:v>
                </c:pt>
                <c:pt idx="56">
                  <c:v>75.821323250037381</c:v>
                </c:pt>
                <c:pt idx="57">
                  <c:v>75.151451163686488</c:v>
                </c:pt>
                <c:pt idx="58">
                  <c:v>74.49202838656106</c:v>
                </c:pt>
                <c:pt idx="59">
                  <c:v>73.842661292618459</c:v>
                </c:pt>
                <c:pt idx="60">
                  <c:v>73.202976228476359</c:v>
                </c:pt>
                <c:pt idx="61">
                  <c:v>72.572618176409719</c:v>
                </c:pt>
                <c:pt idx="62">
                  <c:v>71.951249525991273</c:v>
                </c:pt>
                <c:pt idx="63">
                  <c:v>71.338548943987917</c:v>
                </c:pt>
                <c:pt idx="64">
                  <c:v>70.734210333262126</c:v>
                </c:pt>
                <c:pt idx="65">
                  <c:v>70.137941872422971</c:v>
                </c:pt>
                <c:pt idx="66">
                  <c:v>69.549465128848055</c:v>
                </c:pt>
                <c:pt idx="67">
                  <c:v>68.968514238467208</c:v>
                </c:pt>
                <c:pt idx="68">
                  <c:v>68.394835146382832</c:v>
                </c:pt>
                <c:pt idx="69">
                  <c:v>67.828184903000647</c:v>
                </c:pt>
                <c:pt idx="70">
                  <c:v>67.268331010880047</c:v>
                </c:pt>
                <c:pt idx="71">
                  <c:v>66.715050817985514</c:v>
                </c:pt>
                <c:pt idx="72">
                  <c:v>66.168130953442642</c:v>
                </c:pt>
                <c:pt idx="73">
                  <c:v>65.627366802274139</c:v>
                </c:pt>
                <c:pt idx="74">
                  <c:v>65.092562015929332</c:v>
                </c:pt>
                <c:pt idx="75">
                  <c:v>64.563528055715551</c:v>
                </c:pt>
                <c:pt idx="76">
                  <c:v>64.040083766508531</c:v>
                </c:pt>
                <c:pt idx="77">
                  <c:v>63.522054978358256</c:v>
                </c:pt>
                <c:pt idx="78">
                  <c:v>63.009274133821066</c:v>
                </c:pt>
                <c:pt idx="79">
                  <c:v>62.50157993904071</c:v>
                </c:pt>
                <c:pt idx="80">
                  <c:v>61.998817036777609</c:v>
                </c:pt>
                <c:pt idx="81">
                  <c:v>61.500835699737479</c:v>
                </c:pt>
                <c:pt idx="82">
                  <c:v>61.007491542695959</c:v>
                </c:pt>
                <c:pt idx="83">
                  <c:v>60.518645252040585</c:v>
                </c:pt>
                <c:pt idx="84">
                  <c:v>60.034162331467314</c:v>
                </c:pt>
                <c:pt idx="85">
                  <c:v>59.553912862674167</c:v>
                </c:pt>
                <c:pt idx="86">
                  <c:v>59.077771279987417</c:v>
                </c:pt>
                <c:pt idx="87">
                  <c:v>58.605616157943359</c:v>
                </c:pt>
                <c:pt idx="88">
                  <c:v>58.137330010925325</c:v>
                </c:pt>
                <c:pt idx="89">
                  <c:v>57.672799104028286</c:v>
                </c:pt>
                <c:pt idx="90">
                  <c:v>57.211913274385211</c:v>
                </c:pt>
                <c:pt idx="91">
                  <c:v>56.754565762251787</c:v>
                </c:pt>
                <c:pt idx="92">
                  <c:v>56.30065305119723</c:v>
                </c:pt>
                <c:pt idx="93">
                  <c:v>55.850074716798702</c:v>
                </c:pt>
                <c:pt idx="94">
                  <c:v>55.402733283282259</c:v>
                </c:pt>
                <c:pt idx="95">
                  <c:v>54.958534087594046</c:v>
                </c:pt>
                <c:pt idx="96">
                  <c:v>54.517385150422172</c:v>
                </c:pt>
                <c:pt idx="97">
                  <c:v>54.079197053726489</c:v>
                </c:pt>
                <c:pt idx="98">
                  <c:v>53.64388282436181</c:v>
                </c:pt>
                <c:pt idx="99">
                  <c:v>53.21135782341247</c:v>
                </c:pt>
                <c:pt idx="100">
                  <c:v>52.781539640880339</c:v>
                </c:pt>
                <c:pt idx="101">
                  <c:v>52.354347995394107</c:v>
                </c:pt>
                <c:pt idx="102">
                  <c:v>51.929704638630881</c:v>
                </c:pt>
                <c:pt idx="103">
                  <c:v>51.507533264159292</c:v>
                </c:pt>
                <c:pt idx="104">
                  <c:v>51.087759420436157</c:v>
                </c:pt>
                <c:pt idx="105">
                  <c:v>50.670310427703271</c:v>
                </c:pt>
                <c:pt idx="106">
                  <c:v>50.255115298549015</c:v>
                </c:pt>
                <c:pt idx="107">
                  <c:v>49.842104661913424</c:v>
                </c:pt>
                <c:pt idx="108">
                  <c:v>49.431210690330886</c:v>
                </c:pt>
                <c:pt idx="109">
                  <c:v>49.022367030214696</c:v>
                </c:pt>
                <c:pt idx="110">
                  <c:v>48.61550873500272</c:v>
                </c:pt>
                <c:pt idx="111">
                  <c:v>48.210572200992431</c:v>
                </c:pt>
                <c:pt idx="112">
                  <c:v>47.807495105703765</c:v>
                </c:pt>
                <c:pt idx="113">
                  <c:v>47.406216348618898</c:v>
                </c:pt>
                <c:pt idx="114">
                  <c:v>47.006675994155103</c:v>
                </c:pt>
                <c:pt idx="115">
                  <c:v>46.608815216736673</c:v>
                </c:pt>
                <c:pt idx="116">
                  <c:v>46.212576247837433</c:v>
                </c:pt>
                <c:pt idx="117">
                  <c:v>45.817902324874126</c:v>
                </c:pt>
                <c:pt idx="118">
                  <c:v>45.424737641835179</c:v>
                </c:pt>
                <c:pt idx="119">
                  <c:v>45.033027301538311</c:v>
                </c:pt>
                <c:pt idx="120">
                  <c:v>44.642717269412174</c:v>
                </c:pt>
                <c:pt idx="121">
                  <c:v>44.25375432870527</c:v>
                </c:pt>
                <c:pt idx="122">
                  <c:v>43.866086037028936</c:v>
                </c:pt>
                <c:pt idx="123">
                  <c:v>43.479660684144505</c:v>
                </c:pt>
                <c:pt idx="124">
                  <c:v>43.094427250910655</c:v>
                </c:pt>
                <c:pt idx="125">
                  <c:v>42.710335369309121</c:v>
                </c:pt>
                <c:pt idx="126">
                  <c:v>42.327335283470404</c:v>
                </c:pt>
                <c:pt idx="127">
                  <c:v>41.945377811624667</c:v>
                </c:pt>
                <c:pt idx="128">
                  <c:v>41.564414308905896</c:v>
                </c:pt>
                <c:pt idx="129">
                  <c:v>41.184396630938522</c:v>
                </c:pt>
                <c:pt idx="130">
                  <c:v>40.805277098139868</c:v>
                </c:pt>
                <c:pt idx="131">
                  <c:v>40.42700846067288</c:v>
                </c:pt>
                <c:pt idx="132">
                  <c:v>40.049543863984468</c:v>
                </c:pt>
                <c:pt idx="133">
                  <c:v>39.672836814868617</c:v>
                </c:pt>
                <c:pt idx="134">
                  <c:v>39.296841147992495</c:v>
                </c:pt>
                <c:pt idx="135">
                  <c:v>38.921510992826654</c:v>
                </c:pt>
                <c:pt idx="136">
                  <c:v>38.546800740920673</c:v>
                </c:pt>
                <c:pt idx="137">
                  <c:v>38.172665013465576</c:v>
                </c:pt>
                <c:pt idx="138">
                  <c:v>37.79905862908754</c:v>
                </c:pt>
                <c:pt idx="139">
                  <c:v>37.425936571814475</c:v>
                </c:pt>
                <c:pt idx="140">
                  <c:v>37.053253959159633</c:v>
                </c:pt>
                <c:pt idx="141">
                  <c:v>36.680966010266104</c:v>
                </c:pt>
                <c:pt idx="142">
                  <c:v>36.309028014054718</c:v>
                </c:pt>
                <c:pt idx="143">
                  <c:v>35.937395297319085</c:v>
                </c:pt>
                <c:pt idx="144">
                  <c:v>35.566023192709963</c:v>
                </c:pt>
                <c:pt idx="145">
                  <c:v>35.194867006550226</c:v>
                </c:pt>
                <c:pt idx="146">
                  <c:v>34.823881986422577</c:v>
                </c:pt>
                <c:pt idx="147">
                  <c:v>34.453023288468103</c:v>
                </c:pt>
                <c:pt idx="148">
                  <c:v>34.082245944335227</c:v>
                </c:pt>
                <c:pt idx="149">
                  <c:v>33.711504827715032</c:v>
                </c:pt>
                <c:pt idx="150">
                  <c:v>33.340754620398229</c:v>
                </c:pt>
                <c:pt idx="151">
                  <c:v>32.969949777786894</c:v>
                </c:pt>
                <c:pt idx="152">
                  <c:v>32.599044493790757</c:v>
                </c:pt>
                <c:pt idx="153">
                  <c:v>32.227992665036652</c:v>
                </c:pt>
                <c:pt idx="154">
                  <c:v>31.856747854316325</c:v>
                </c:pt>
                <c:pt idx="155">
                  <c:v>31.485263253193409</c:v>
                </c:pt>
                <c:pt idx="156">
                  <c:v>31.113491643688974</c:v>
                </c:pt>
                <c:pt idx="157">
                  <c:v>30.741385358959747</c:v>
                </c:pt>
                <c:pt idx="158">
                  <c:v>30.368896242878918</c:v>
                </c:pt>
                <c:pt idx="159">
                  <c:v>29.995975608425056</c:v>
                </c:pt>
                <c:pt idx="160">
                  <c:v>29.622574194779702</c:v>
                </c:pt>
                <c:pt idx="161">
                  <c:v>29.248642123028162</c:v>
                </c:pt>
                <c:pt idx="162">
                  <c:v>28.874128850352008</c:v>
                </c:pt>
                <c:pt idx="163">
                  <c:v>28.498983122595632</c:v>
                </c:pt>
                <c:pt idx="164">
                  <c:v>28.123152925080944</c:v>
                </c:pt>
                <c:pt idx="165">
                  <c:v>27.746585431537255</c:v>
                </c:pt>
                <c:pt idx="166">
                  <c:v>27.369226951004066</c:v>
                </c:pt>
                <c:pt idx="167">
                  <c:v>26.991022872555504</c:v>
                </c:pt>
                <c:pt idx="168">
                  <c:v>26.611917607684575</c:v>
                </c:pt>
                <c:pt idx="169">
                  <c:v>26.231854530173621</c:v>
                </c:pt>
                <c:pt idx="170">
                  <c:v>25.850775913266602</c:v>
                </c:pt>
                <c:pt idx="171">
                  <c:v>25.468622863943438</c:v>
                </c:pt>
                <c:pt idx="172">
                  <c:v>25.085335254082963</c:v>
                </c:pt>
                <c:pt idx="173">
                  <c:v>24.700851648285663</c:v>
                </c:pt>
                <c:pt idx="174">
                  <c:v>24.315109228108213</c:v>
                </c:pt>
                <c:pt idx="175">
                  <c:v>23.928043712443468</c:v>
                </c:pt>
                <c:pt idx="176">
                  <c:v>23.539589273759077</c:v>
                </c:pt>
                <c:pt idx="177">
                  <c:v>23.149678449883766</c:v>
                </c:pt>
                <c:pt idx="178">
                  <c:v>22.758242051004459</c:v>
                </c:pt>
                <c:pt idx="179">
                  <c:v>22.365209061512246</c:v>
                </c:pt>
                <c:pt idx="180">
                  <c:v>21.970506536301059</c:v>
                </c:pt>
                <c:pt idx="181">
                  <c:v>21.574059491091759</c:v>
                </c:pt>
                <c:pt idx="182">
                  <c:v>21.175790786315531</c:v>
                </c:pt>
                <c:pt idx="183">
                  <c:v>20.775621004051686</c:v>
                </c:pt>
                <c:pt idx="184">
                  <c:v>20.373468317465949</c:v>
                </c:pt>
                <c:pt idx="185">
                  <c:v>19.969248352149805</c:v>
                </c:pt>
                <c:pt idx="186">
                  <c:v>19.56287403870266</c:v>
                </c:pt>
                <c:pt idx="187">
                  <c:v>19.154255455837983</c:v>
                </c:pt>
                <c:pt idx="188">
                  <c:v>18.743299663228015</c:v>
                </c:pt>
                <c:pt idx="189">
                  <c:v>18.329910523223305</c:v>
                </c:pt>
                <c:pt idx="190">
                  <c:v>17.913988510501554</c:v>
                </c:pt>
                <c:pt idx="191">
                  <c:v>17.495430508603988</c:v>
                </c:pt>
                <c:pt idx="192">
                  <c:v>17.074129592215115</c:v>
                </c:pt>
                <c:pt idx="193">
                  <c:v>16.649974793922183</c:v>
                </c:pt>
                <c:pt idx="194">
                  <c:v>16.222850854060937</c:v>
                </c:pt>
                <c:pt idx="195">
                  <c:v>15.792637952106872</c:v>
                </c:pt>
                <c:pt idx="196">
                  <c:v>15.359211417905783</c:v>
                </c:pt>
                <c:pt idx="197">
                  <c:v>14.922441420851442</c:v>
                </c:pt>
                <c:pt idx="198">
                  <c:v>14.48219263490904</c:v>
                </c:pt>
                <c:pt idx="199">
                  <c:v>14.038323877145615</c:v>
                </c:pt>
                <c:pt idx="200">
                  <c:v>13.590687717162723</c:v>
                </c:pt>
                <c:pt idx="201">
                  <c:v>13.139130054520308</c:v>
                </c:pt>
                <c:pt idx="202">
                  <c:v>12.683489660899227</c:v>
                </c:pt>
                <c:pt idx="203">
                  <c:v>12.22359768335491</c:v>
                </c:pt>
                <c:pt idx="204">
                  <c:v>11.759277104568696</c:v>
                </c:pt>
                <c:pt idx="205">
                  <c:v>11.290342155490407</c:v>
                </c:pt>
                <c:pt idx="206">
                  <c:v>10.816597675181129</c:v>
                </c:pt>
                <c:pt idx="207">
                  <c:v>10.337838411989821</c:v>
                </c:pt>
                <c:pt idx="208">
                  <c:v>9.8538482594223638</c:v>
                </c:pt>
                <c:pt idx="209">
                  <c:v>9.3643994191675688</c:v>
                </c:pt>
                <c:pt idx="210">
                  <c:v>8.8692514827063746</c:v>
                </c:pt>
                <c:pt idx="211">
                  <c:v>8.3681504217279894</c:v>
                </c:pt>
                <c:pt idx="212">
                  <c:v>7.8608274761776897</c:v>
                </c:pt>
                <c:pt idx="213">
                  <c:v>7.3469979271237094</c:v>
                </c:pt>
                <c:pt idx="214">
                  <c:v>6.8263597397157696</c:v>
                </c:pt>
                <c:pt idx="215">
                  <c:v>6.2985920592597608</c:v>
                </c:pt>
                <c:pt idx="216">
                  <c:v>5.7633535407757677</c:v>
                </c:pt>
                <c:pt idx="217">
                  <c:v>5.2202804892709764</c:v>
                </c:pt>
                <c:pt idx="218">
                  <c:v>4.6689847842285417</c:v>
                </c:pt>
                <c:pt idx="219">
                  <c:v>4.1090515573701509</c:v>
                </c:pt>
                <c:pt idx="220">
                  <c:v>3.5400365874310182</c:v>
                </c:pt>
                <c:pt idx="221">
                  <c:v>2.9614633692916073</c:v>
                </c:pt>
                <c:pt idx="222">
                  <c:v>2.3728198070925828</c:v>
                </c:pt>
                <c:pt idx="223">
                  <c:v>1.7735544715969809</c:v>
                </c:pt>
                <c:pt idx="224">
                  <c:v>1.1630723506557388</c:v>
                </c:pt>
                <c:pt idx="225">
                  <c:v>0.54073000765316692</c:v>
                </c:pt>
                <c:pt idx="226">
                  <c:v>-9.4169954401422729E-2</c:v>
                </c:pt>
                <c:pt idx="227">
                  <c:v>-0.74238524679537932</c:v>
                </c:pt>
                <c:pt idx="228">
                  <c:v>-1.4047412172734539</c:v>
                </c:pt>
                <c:pt idx="229">
                  <c:v>-2.0821393239823465</c:v>
                </c:pt>
                <c:pt idx="230">
                  <c:v>-2.7755669868071209</c:v>
                </c:pt>
                <c:pt idx="231">
                  <c:v>-3.4861090951920914</c:v>
                </c:pt>
                <c:pt idx="232">
                  <c:v>-4.2149615200641506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5440"/>
        <c:axId val="102446976"/>
      </c:scatterChart>
      <c:valAx>
        <c:axId val="10244544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02446976"/>
        <c:crosses val="autoZero"/>
        <c:crossBetween val="midCat"/>
      </c:valAx>
      <c:valAx>
        <c:axId val="1024469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244544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56184486373165621"/>
          <c:y val="0.36500194901379895"/>
          <c:w val="0.33954010465672924"/>
          <c:h val="0.265485824172968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Curve-Z - R141=1K</a:t>
            </a:r>
          </a:p>
        </c:rich>
      </c:tx>
      <c:layout>
        <c:manualLayout>
          <c:xMode val="edge"/>
          <c:yMode val="edge"/>
          <c:x val="0.25173556659831914"/>
          <c:y val="2.310187197924833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0.13463865839540912"/>
                  <c:y val="-0.36961794597072428"/>
                </c:manualLayout>
              </c:layout>
              <c:numFmt formatCode="General" sourceLinked="0"/>
            </c:trendlineLbl>
          </c:trendline>
          <c:xVal>
            <c:numRef>
              <c:f>'Air Therm-Curve-Z'!$H$27:$H$43</c:f>
              <c:numCache>
                <c:formatCode>0.00000</c:formatCode>
                <c:ptCount val="17"/>
                <c:pt idx="0">
                  <c:v>0.86097348978704902</c:v>
                </c:pt>
                <c:pt idx="1">
                  <c:v>0.82403411941796267</c:v>
                </c:pt>
                <c:pt idx="2">
                  <c:v>0.78463302752293573</c:v>
                </c:pt>
                <c:pt idx="3">
                  <c:v>0.74308890330953925</c:v>
                </c:pt>
                <c:pt idx="4">
                  <c:v>0.70014540167211914</c:v>
                </c:pt>
                <c:pt idx="5">
                  <c:v>0.65645161290322573</c:v>
                </c:pt>
                <c:pt idx="6">
                  <c:v>0.61241134751773041</c:v>
                </c:pt>
                <c:pt idx="7">
                  <c:v>0.56885562530178657</c:v>
                </c:pt>
                <c:pt idx="8">
                  <c:v>0.52600709663953238</c:v>
                </c:pt>
                <c:pt idx="9">
                  <c:v>0.4845809555779344</c:v>
                </c:pt>
                <c:pt idx="10">
                  <c:v>0.44492615531205332</c:v>
                </c:pt>
                <c:pt idx="11">
                  <c:v>0.40730478589420654</c:v>
                </c:pt>
                <c:pt idx="12">
                  <c:v>0.37190892242520518</c:v>
                </c:pt>
                <c:pt idx="13">
                  <c:v>0.33885967340160522</c:v>
                </c:pt>
                <c:pt idx="14">
                  <c:v>0.30829134878364756</c:v>
                </c:pt>
                <c:pt idx="15">
                  <c:v>0.28008348240906383</c:v>
                </c:pt>
                <c:pt idx="16">
                  <c:v>0.25423650622789479</c:v>
                </c:pt>
              </c:numCache>
            </c:numRef>
          </c:xVal>
          <c:yVal>
            <c:numRef>
              <c:f>'Air Therm-Curve-Z'!$G$27:$G$43</c:f>
              <c:numCache>
                <c:formatCode>0.00</c:formatCode>
                <c:ptCount val="17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43328"/>
        <c:axId val="102253312"/>
      </c:scatterChart>
      <c:valAx>
        <c:axId val="102243328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crossAx val="102253312"/>
        <c:crosses val="autoZero"/>
        <c:crossBetween val="midCat"/>
      </c:valAx>
      <c:valAx>
        <c:axId val="102253312"/>
        <c:scaling>
          <c:orientation val="minMax"/>
          <c:max val="160"/>
          <c:min val="-6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243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KYT83/110 - R141=1K-  Motor</a:t>
            </a:r>
          </a:p>
        </c:rich>
      </c:tx>
      <c:layout>
        <c:manualLayout>
          <c:xMode val="edge"/>
          <c:yMode val="edge"/>
          <c:x val="0.28086963268858806"/>
          <c:y val="3.25203335305892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939319379809605E-2"/>
          <c:y val="0.26366692623184851"/>
          <c:w val="0.65305456907063142"/>
          <c:h val="0.70022730944941025"/>
        </c:manualLayout>
      </c:layout>
      <c:scatterChart>
        <c:scatterStyle val="smoothMarker"/>
        <c:varyColors val="0"/>
        <c:ser>
          <c:idx val="0"/>
          <c:order val="0"/>
          <c:tx>
            <c:v>KYT83/110</c:v>
          </c:tx>
          <c:marker>
            <c:symbol val="none"/>
          </c:marker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9.5613368702980428E-2"/>
                  <c:y val="-0.10756932528502024"/>
                </c:manualLayout>
              </c:layout>
              <c:numFmt formatCode="General" sourceLinked="0"/>
            </c:trendlineLbl>
          </c:trendline>
          <c:xVal>
            <c:numRef>
              <c:f>'KTY83-110-Motor Therm'!$D$6:$D$35</c:f>
              <c:numCache>
                <c:formatCode>0.00000</c:formatCode>
                <c:ptCount val="30"/>
                <c:pt idx="0">
                  <c:v>0.36423841059602641</c:v>
                </c:pt>
                <c:pt idx="1">
                  <c:v>0.37622149837133545</c:v>
                </c:pt>
                <c:pt idx="2">
                  <c:v>0.3999369880277252</c:v>
                </c:pt>
                <c:pt idx="3">
                  <c:v>0.42338611449451885</c:v>
                </c:pt>
                <c:pt idx="4">
                  <c:v>0.44685479129923567</c:v>
                </c:pt>
                <c:pt idx="5">
                  <c:v>0.47018140589569152</c:v>
                </c:pt>
                <c:pt idx="6">
                  <c:v>0.49289617486338794</c:v>
                </c:pt>
                <c:pt idx="7">
                  <c:v>0.51495523959978928</c:v>
                </c:pt>
                <c:pt idx="8">
                  <c:v>0.53661257606490864</c:v>
                </c:pt>
                <c:pt idx="9">
                  <c:v>0.54726368159203964</c:v>
                </c:pt>
                <c:pt idx="10">
                  <c:v>0.55778428501708144</c:v>
                </c:pt>
                <c:pt idx="11">
                  <c:v>0.57791353383458643</c:v>
                </c:pt>
                <c:pt idx="12">
                  <c:v>0.59773960216998179</c:v>
                </c:pt>
                <c:pt idx="13">
                  <c:v>0.61653611836379452</c:v>
                </c:pt>
                <c:pt idx="14">
                  <c:v>0.63495186270406023</c:v>
                </c:pt>
                <c:pt idx="15">
                  <c:v>0.65237711522965347</c:v>
                </c:pt>
                <c:pt idx="16">
                  <c:v>0.66921287320666922</c:v>
                </c:pt>
                <c:pt idx="17">
                  <c:v>0.68544776119402973</c:v>
                </c:pt>
                <c:pt idx="18">
                  <c:v>0.70093390804597699</c:v>
                </c:pt>
                <c:pt idx="19">
                  <c:v>0.71583679114799437</c:v>
                </c:pt>
                <c:pt idx="20">
                  <c:v>0.72300644723447571</c:v>
                </c:pt>
                <c:pt idx="21">
                  <c:v>0.73003663003663</c:v>
                </c:pt>
                <c:pt idx="22">
                  <c:v>0.74356753288418342</c:v>
                </c:pt>
                <c:pt idx="23">
                  <c:v>0.75656877897990715</c:v>
                </c:pt>
                <c:pt idx="24">
                  <c:v>0.7689511323003575</c:v>
                </c:pt>
                <c:pt idx="25">
                  <c:v>0.78083883941396137</c:v>
                </c:pt>
                <c:pt idx="26">
                  <c:v>0.78660084626234117</c:v>
                </c:pt>
                <c:pt idx="27">
                  <c:v>0.79207317073170724</c:v>
                </c:pt>
                <c:pt idx="28">
                  <c:v>0.79760479041916155</c:v>
                </c:pt>
                <c:pt idx="29">
                  <c:v>0.80294117647058816</c:v>
                </c:pt>
              </c:numCache>
            </c:numRef>
          </c:xVal>
          <c:yVal>
            <c:numRef>
              <c:f>'KTY83-110-Motor Therm'!$C$6:$C$35</c:f>
              <c:numCache>
                <c:formatCode>0.00</c:formatCode>
                <c:ptCount val="30"/>
                <c:pt idx="0">
                  <c:v>-55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175</c:v>
                </c:pt>
                <c:pt idx="27">
                  <c:v>180</c:v>
                </c:pt>
                <c:pt idx="28">
                  <c:v>185</c:v>
                </c:pt>
                <c:pt idx="29">
                  <c:v>190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95392"/>
        <c:axId val="101629952"/>
      </c:scatterChart>
      <c:valAx>
        <c:axId val="1015953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01629952"/>
        <c:crosses val="autoZero"/>
        <c:crossBetween val="midCat"/>
      </c:valAx>
      <c:valAx>
        <c:axId val="101629952"/>
        <c:scaling>
          <c:orientation val="minMax"/>
          <c:max val="200"/>
          <c:min val="-6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595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KYT83/110 - R141=1K-Ambient</a:t>
            </a:r>
          </a:p>
        </c:rich>
      </c:tx>
      <c:layout>
        <c:manualLayout>
          <c:xMode val="edge"/>
          <c:yMode val="edge"/>
          <c:x val="0.28086963268858806"/>
          <c:y val="3.25203335305892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022653054897153E-2"/>
          <c:y val="0.27017099293796631"/>
          <c:w val="0.65305456907063142"/>
          <c:h val="0.70022730944941025"/>
        </c:manualLayout>
      </c:layout>
      <c:scatterChart>
        <c:scatterStyle val="smoothMarker"/>
        <c:varyColors val="0"/>
        <c:ser>
          <c:idx val="0"/>
          <c:order val="0"/>
          <c:tx>
            <c:v>KYT83/110</c:v>
          </c:tx>
          <c:marker>
            <c:symbol val="none"/>
          </c:marker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0.12291668683016516"/>
                  <c:y val="-0.16935795899313974"/>
                </c:manualLayout>
              </c:layout>
              <c:numFmt formatCode="General" sourceLinked="0"/>
            </c:trendlineLbl>
          </c:trendline>
          <c:xVal>
            <c:numRef>
              <c:f>'KTY83-110-Amb Therm'!$E$6:$E$35</c:f>
              <c:numCache>
                <c:formatCode>0.00000</c:formatCode>
                <c:ptCount val="30"/>
                <c:pt idx="0">
                  <c:v>0.36666666666666659</c:v>
                </c:pt>
                <c:pt idx="1">
                  <c:v>0.37868852459016383</c:v>
                </c:pt>
                <c:pt idx="2">
                  <c:v>0.40247305009511725</c:v>
                </c:pt>
                <c:pt idx="3">
                  <c:v>0.42598039215686273</c:v>
                </c:pt>
                <c:pt idx="4">
                  <c:v>0.44949733885274978</c:v>
                </c:pt>
                <c:pt idx="5">
                  <c:v>0.47286202964652213</c:v>
                </c:pt>
                <c:pt idx="6">
                  <c:v>0.49560439560439556</c:v>
                </c:pt>
                <c:pt idx="7">
                  <c:v>0.51768131286394914</c:v>
                </c:pt>
                <c:pt idx="8">
                  <c:v>0.53934760448521912</c:v>
                </c:pt>
                <c:pt idx="9">
                  <c:v>0.54999999999999993</c:v>
                </c:pt>
                <c:pt idx="10">
                  <c:v>0.5605198626777832</c:v>
                </c:pt>
                <c:pt idx="11">
                  <c:v>0.58064211520302167</c:v>
                </c:pt>
                <c:pt idx="12">
                  <c:v>0.60045413260672109</c:v>
                </c:pt>
                <c:pt idx="13">
                  <c:v>0.61923076923076914</c:v>
                </c:pt>
                <c:pt idx="14">
                  <c:v>0.63762084909625882</c:v>
                </c:pt>
                <c:pt idx="15">
                  <c:v>0.65501618122977334</c:v>
                </c:pt>
                <c:pt idx="16">
                  <c:v>0.67181782794861811</c:v>
                </c:pt>
                <c:pt idx="17">
                  <c:v>0.6880149812734081</c:v>
                </c:pt>
                <c:pt idx="18">
                  <c:v>0.70346070656092285</c:v>
                </c:pt>
                <c:pt idx="19">
                  <c:v>0.7183206106870228</c:v>
                </c:pt>
                <c:pt idx="20">
                  <c:v>0.72546816479400744</c:v>
                </c:pt>
                <c:pt idx="21">
                  <c:v>0.7324757768125626</c:v>
                </c:pt>
                <c:pt idx="22">
                  <c:v>0.74596073382684258</c:v>
                </c:pt>
                <c:pt idx="23">
                  <c:v>0.75891472868217036</c:v>
                </c:pt>
                <c:pt idx="24">
                  <c:v>0.77124925283921097</c:v>
                </c:pt>
                <c:pt idx="25">
                  <c:v>0.78308844713339076</c:v>
                </c:pt>
                <c:pt idx="26">
                  <c:v>0.78882602545968872</c:v>
                </c:pt>
                <c:pt idx="27">
                  <c:v>0.79452929741738387</c:v>
                </c:pt>
                <c:pt idx="28">
                  <c:v>0.79994544462629558</c:v>
                </c:pt>
                <c:pt idx="29">
                  <c:v>0.8052518756698821</c:v>
                </c:pt>
              </c:numCache>
            </c:numRef>
          </c:xVal>
          <c:yVal>
            <c:numRef>
              <c:f>'KTY83-110-Amb Therm'!$D$6:$D$35</c:f>
              <c:numCache>
                <c:formatCode>0.00</c:formatCode>
                <c:ptCount val="30"/>
                <c:pt idx="0">
                  <c:v>-55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175</c:v>
                </c:pt>
                <c:pt idx="27">
                  <c:v>180</c:v>
                </c:pt>
                <c:pt idx="28">
                  <c:v>185</c:v>
                </c:pt>
                <c:pt idx="29">
                  <c:v>190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5248"/>
        <c:axId val="102406784"/>
      </c:scatterChart>
      <c:valAx>
        <c:axId val="1024052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02406784"/>
        <c:crosses val="autoZero"/>
        <c:crossBetween val="midCat"/>
      </c:valAx>
      <c:valAx>
        <c:axId val="102406784"/>
        <c:scaling>
          <c:orientation val="minMax"/>
          <c:max val="200"/>
          <c:min val="-6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40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KYT83/110 - R141=4.99K-  Motor</a:t>
            </a:r>
          </a:p>
        </c:rich>
      </c:tx>
      <c:layout>
        <c:manualLayout>
          <c:xMode val="edge"/>
          <c:yMode val="edge"/>
          <c:x val="0.20951154114696735"/>
          <c:y val="5.52845670020016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939319379809605E-2"/>
          <c:y val="0.26366692623184851"/>
          <c:w val="0.65305456907063142"/>
          <c:h val="0.70022730944941025"/>
        </c:manualLayout>
      </c:layout>
      <c:scatterChart>
        <c:scatterStyle val="smoothMarker"/>
        <c:varyColors val="0"/>
        <c:ser>
          <c:idx val="0"/>
          <c:order val="0"/>
          <c:tx>
            <c:v>KYT83/110</c:v>
          </c:tx>
          <c:marker>
            <c:symbol val="none"/>
          </c:marker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9.5613368702980428E-2"/>
                  <c:y val="-0.1075693252850202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      y = -149376x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+ 251098x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- 175193x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+ 66520x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- 14908x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+ 2700.2x -227.53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'AHU-Motor Therm'!$D$6:$D$35</c:f>
              <c:numCache>
                <c:formatCode>0.00000</c:formatCode>
                <c:ptCount val="30"/>
                <c:pt idx="0">
                  <c:v>0.10018214936247721</c:v>
                </c:pt>
                <c:pt idx="1">
                  <c:v>0.10471441523118764</c:v>
                </c:pt>
                <c:pt idx="2">
                  <c:v>0.11401113705766121</c:v>
                </c:pt>
                <c:pt idx="3">
                  <c:v>0.12365706154393453</c:v>
                </c:pt>
                <c:pt idx="4">
                  <c:v>0.1337968667488118</c:v>
                </c:pt>
                <c:pt idx="5">
                  <c:v>0.14439415041782727</c:v>
                </c:pt>
                <c:pt idx="6">
                  <c:v>0.155249569707401</c:v>
                </c:pt>
                <c:pt idx="7">
                  <c:v>0.16633781255315527</c:v>
                </c:pt>
                <c:pt idx="8">
                  <c:v>0.17778897849462363</c:v>
                </c:pt>
                <c:pt idx="9">
                  <c:v>0.18363939899833051</c:v>
                </c:pt>
                <c:pt idx="10">
                  <c:v>0.18956709238679711</c:v>
                </c:pt>
                <c:pt idx="11">
                  <c:v>0.20134250163719711</c:v>
                </c:pt>
                <c:pt idx="12">
                  <c:v>0.21353359173126613</c:v>
                </c:pt>
                <c:pt idx="13">
                  <c:v>0.2256769671870022</c:v>
                </c:pt>
                <c:pt idx="14">
                  <c:v>0.23816925734024177</c:v>
                </c:pt>
                <c:pt idx="15">
                  <c:v>0.25057257814917977</c:v>
                </c:pt>
                <c:pt idx="16">
                  <c:v>0.26313462418051531</c:v>
                </c:pt>
                <c:pt idx="17">
                  <c:v>0.27582582582582577</c:v>
                </c:pt>
                <c:pt idx="18">
                  <c:v>0.28849793021880543</c:v>
                </c:pt>
                <c:pt idx="19">
                  <c:v>0.30125145518044233</c:v>
                </c:pt>
                <c:pt idx="20">
                  <c:v>0.30759347480871946</c:v>
                </c:pt>
                <c:pt idx="21">
                  <c:v>0.31394815981669766</c:v>
                </c:pt>
                <c:pt idx="22">
                  <c:v>0.32657460898971391</c:v>
                </c:pt>
                <c:pt idx="23">
                  <c:v>0.33922383922383914</c:v>
                </c:pt>
                <c:pt idx="24">
                  <c:v>0.35177208287895312</c:v>
                </c:pt>
                <c:pt idx="25">
                  <c:v>0.36430773354778173</c:v>
                </c:pt>
                <c:pt idx="26">
                  <c:v>0.37056478405315607</c:v>
                </c:pt>
                <c:pt idx="27">
                  <c:v>0.37662098049551923</c:v>
                </c:pt>
                <c:pt idx="28">
                  <c:v>0.3828586360073164</c:v>
                </c:pt>
                <c:pt idx="29">
                  <c:v>0.38898963730569941</c:v>
                </c:pt>
              </c:numCache>
            </c:numRef>
          </c:xVal>
          <c:yVal>
            <c:numRef>
              <c:f>'AHU-Motor Therm'!$C$6:$C$35</c:f>
              <c:numCache>
                <c:formatCode>0.00</c:formatCode>
                <c:ptCount val="30"/>
                <c:pt idx="0">
                  <c:v>-55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175</c:v>
                </c:pt>
                <c:pt idx="27">
                  <c:v>180</c:v>
                </c:pt>
                <c:pt idx="28">
                  <c:v>185</c:v>
                </c:pt>
                <c:pt idx="29">
                  <c:v>190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70400"/>
        <c:axId val="102880384"/>
      </c:scatterChart>
      <c:valAx>
        <c:axId val="10287040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02880384"/>
        <c:crosses val="autoZero"/>
        <c:crossBetween val="midCat"/>
      </c:valAx>
      <c:valAx>
        <c:axId val="102880384"/>
        <c:scaling>
          <c:orientation val="minMax"/>
          <c:max val="200"/>
          <c:min val="-6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870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2</xdr:row>
      <xdr:rowOff>47625</xdr:rowOff>
    </xdr:from>
    <xdr:to>
      <xdr:col>15</xdr:col>
      <xdr:colOff>514350</xdr:colOff>
      <xdr:row>4</xdr:row>
      <xdr:rowOff>94008</xdr:rowOff>
    </xdr:to>
    <xdr:pic>
      <xdr:nvPicPr>
        <xdr:cNvPr id="3" name="Picture 2" descr="T={B\over { {\ln{(R / r_\infty)}}}}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7975" y="428625"/>
          <a:ext cx="1200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428625</xdr:colOff>
      <xdr:row>5</xdr:row>
      <xdr:rowOff>142875</xdr:rowOff>
    </xdr:from>
    <xdr:to>
      <xdr:col>15</xdr:col>
      <xdr:colOff>600075</xdr:colOff>
      <xdr:row>7</xdr:row>
      <xdr:rowOff>1681</xdr:rowOff>
    </xdr:to>
    <xdr:pic>
      <xdr:nvPicPr>
        <xdr:cNvPr id="4" name="Picture 3" descr="R=r_\infty e^{B/T}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4675" y="1123950"/>
          <a:ext cx="10191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114300</xdr:colOff>
      <xdr:row>5</xdr:row>
      <xdr:rowOff>85725</xdr:rowOff>
    </xdr:from>
    <xdr:to>
      <xdr:col>13</xdr:col>
      <xdr:colOff>476250</xdr:colOff>
      <xdr:row>6</xdr:row>
      <xdr:rowOff>115981</xdr:rowOff>
    </xdr:to>
    <xdr:pic>
      <xdr:nvPicPr>
        <xdr:cNvPr id="5" name="Picture 4" descr="r_\infty=R_0 e^{-{B/T_0}}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1150" y="1066800"/>
          <a:ext cx="11906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428625</xdr:colOff>
      <xdr:row>3</xdr:row>
      <xdr:rowOff>47625</xdr:rowOff>
    </xdr:from>
    <xdr:to>
      <xdr:col>12</xdr:col>
      <xdr:colOff>790575</xdr:colOff>
      <xdr:row>4</xdr:row>
      <xdr:rowOff>47625</xdr:rowOff>
    </xdr:to>
    <xdr:pic>
      <xdr:nvPicPr>
        <xdr:cNvPr id="6" name="Picture 5" descr="\ln R=B/T + \ln r_\infty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628650"/>
          <a:ext cx="1581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114300</xdr:colOff>
      <xdr:row>5</xdr:row>
      <xdr:rowOff>38100</xdr:rowOff>
    </xdr:from>
    <xdr:to>
      <xdr:col>4</xdr:col>
      <xdr:colOff>781050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</xdr:col>
      <xdr:colOff>561975</xdr:colOff>
      <xdr:row>5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"/>
          <a:ext cx="19716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457200</xdr:colOff>
      <xdr:row>8</xdr:row>
      <xdr:rowOff>152400</xdr:rowOff>
    </xdr:from>
    <xdr:to>
      <xdr:col>9</xdr:col>
      <xdr:colOff>104775</xdr:colOff>
      <xdr:row>13</xdr:row>
      <xdr:rowOff>47625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676400"/>
          <a:ext cx="532447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8</xdr:col>
      <xdr:colOff>333375</xdr:colOff>
      <xdr:row>7</xdr:row>
      <xdr:rowOff>28575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500"/>
          <a:ext cx="21621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176211</xdr:colOff>
      <xdr:row>52</xdr:row>
      <xdr:rowOff>171451</xdr:rowOff>
    </xdr:from>
    <xdr:to>
      <xdr:col>16</xdr:col>
      <xdr:colOff>447674</xdr:colOff>
      <xdr:row>77</xdr:row>
      <xdr:rowOff>100013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128586</xdr:colOff>
      <xdr:row>18</xdr:row>
      <xdr:rowOff>47625</xdr:rowOff>
    </xdr:from>
    <xdr:to>
      <xdr:col>13</xdr:col>
      <xdr:colOff>447675</xdr:colOff>
      <xdr:row>32</xdr:row>
      <xdr:rowOff>114299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180975</xdr:rowOff>
    </xdr:from>
    <xdr:to>
      <xdr:col>14</xdr:col>
      <xdr:colOff>581025</xdr:colOff>
      <xdr:row>16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2</xdr:row>
      <xdr:rowOff>47625</xdr:rowOff>
    </xdr:from>
    <xdr:to>
      <xdr:col>13</xdr:col>
      <xdr:colOff>600075</xdr:colOff>
      <xdr:row>4</xdr:row>
      <xdr:rowOff>85725</xdr:rowOff>
    </xdr:to>
    <xdr:pic>
      <xdr:nvPicPr>
        <xdr:cNvPr id="2" name="Picture 1" descr="T={B\over { {\ln{(R / r_\infty)}}}}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0025" y="428625"/>
          <a:ext cx="1200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428625</xdr:colOff>
      <xdr:row>5</xdr:row>
      <xdr:rowOff>142875</xdr:rowOff>
    </xdr:from>
    <xdr:to>
      <xdr:col>14</xdr:col>
      <xdr:colOff>76200</xdr:colOff>
      <xdr:row>6</xdr:row>
      <xdr:rowOff>180975</xdr:rowOff>
    </xdr:to>
    <xdr:pic>
      <xdr:nvPicPr>
        <xdr:cNvPr id="3" name="Picture 2" descr="R=r_\infty e^{B/T}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6725" y="1123950"/>
          <a:ext cx="10191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114300</xdr:colOff>
      <xdr:row>5</xdr:row>
      <xdr:rowOff>85725</xdr:rowOff>
    </xdr:from>
    <xdr:to>
      <xdr:col>11</xdr:col>
      <xdr:colOff>419100</xdr:colOff>
      <xdr:row>6</xdr:row>
      <xdr:rowOff>104775</xdr:rowOff>
    </xdr:to>
    <xdr:pic>
      <xdr:nvPicPr>
        <xdr:cNvPr id="4" name="Picture 3" descr="r_\infty=R_0 e^{-{B/T_0}}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0" y="1066800"/>
          <a:ext cx="11906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428625</xdr:colOff>
      <xdr:row>3</xdr:row>
      <xdr:rowOff>47625</xdr:rowOff>
    </xdr:from>
    <xdr:to>
      <xdr:col>10</xdr:col>
      <xdr:colOff>771525</xdr:colOff>
      <xdr:row>4</xdr:row>
      <xdr:rowOff>47625</xdr:rowOff>
    </xdr:to>
    <xdr:pic>
      <xdr:nvPicPr>
        <xdr:cNvPr id="5" name="Picture 4" descr="\ln R=B/T + \ln r_\infty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628650"/>
          <a:ext cx="1581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38100</xdr:rowOff>
    </xdr:from>
    <xdr:to>
      <xdr:col>3</xdr:col>
      <xdr:colOff>571500</xdr:colOff>
      <xdr:row>19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113568</xdr:colOff>
      <xdr:row>6</xdr:row>
      <xdr:rowOff>170717</xdr:rowOff>
    </xdr:from>
    <xdr:to>
      <xdr:col>21</xdr:col>
      <xdr:colOff>561975</xdr:colOff>
      <xdr:row>21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567018</xdr:colOff>
      <xdr:row>6</xdr:row>
      <xdr:rowOff>15688</xdr:rowOff>
    </xdr:from>
    <xdr:to>
      <xdr:col>23</xdr:col>
      <xdr:colOff>567017</xdr:colOff>
      <xdr:row>26</xdr:row>
      <xdr:rowOff>110937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4</xdr:row>
      <xdr:rowOff>180975</xdr:rowOff>
    </xdr:from>
    <xdr:to>
      <xdr:col>19</xdr:col>
      <xdr:colOff>600074</xdr:colOff>
      <xdr:row>25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114300</xdr:rowOff>
    </xdr:from>
    <xdr:to>
      <xdr:col>16</xdr:col>
      <xdr:colOff>269500</xdr:colOff>
      <xdr:row>23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 Curve Termistor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Z Curve Termistor_1" connectionId="2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3" name="Table3" displayName="Table3" ref="B2:G28" totalsRowShown="0">
  <autoFilter ref="B2:G28"/>
  <tableColumns count="6">
    <tableColumn id="1" name="Ambient"/>
    <tableColumn id="2" name="ADC"/>
    <tableColumn id="3" name="resistance"/>
    <tableColumn id="4" name="calc temp"/>
    <tableColumn id="5" name="EMD"/>
    <tableColumn id="6" name="DM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0"/>
  <sheetViews>
    <sheetView zoomScaleNormal="100" workbookViewId="0">
      <selection activeCell="B4" sqref="B4"/>
    </sheetView>
  </sheetViews>
  <sheetFormatPr defaultRowHeight="15"/>
  <cols>
    <col min="1" max="1" width="15.28515625" customWidth="1"/>
    <col min="2" max="2" width="21.42578125" customWidth="1"/>
    <col min="3" max="3" width="18.7109375" customWidth="1"/>
    <col min="4" max="4" width="25.5703125" customWidth="1"/>
    <col min="5" max="5" width="17.5703125" customWidth="1"/>
    <col min="6" max="6" width="11.5703125" style="24" customWidth="1"/>
    <col min="7" max="7" width="15.7109375" style="18" customWidth="1"/>
    <col min="8" max="8" width="15.7109375" style="44" customWidth="1"/>
    <col min="9" max="10" width="14" customWidth="1"/>
    <col min="13" max="13" width="12.42578125" customWidth="1"/>
    <col min="14" max="14" width="17.28515625" customWidth="1"/>
    <col min="15" max="15" width="12.7109375" customWidth="1"/>
  </cols>
  <sheetData>
    <row r="1" spans="1:14" ht="15.75" thickBot="1">
      <c r="A1" s="39" t="s">
        <v>14</v>
      </c>
      <c r="B1" s="40" t="s">
        <v>15</v>
      </c>
      <c r="C1" s="40" t="s">
        <v>43</v>
      </c>
      <c r="D1" s="41" t="s">
        <v>4</v>
      </c>
      <c r="F1" s="39"/>
      <c r="G1" s="40"/>
      <c r="H1" s="40"/>
      <c r="I1" s="40"/>
      <c r="J1" s="41"/>
    </row>
    <row r="2" spans="1:14">
      <c r="A2" s="36" t="s">
        <v>13</v>
      </c>
      <c r="B2" s="37" t="s">
        <v>18</v>
      </c>
      <c r="C2" s="37"/>
      <c r="D2" s="38" t="s">
        <v>17</v>
      </c>
      <c r="F2" s="45" t="s">
        <v>13</v>
      </c>
      <c r="G2" s="47" t="s">
        <v>26</v>
      </c>
      <c r="H2" s="47" t="s">
        <v>43</v>
      </c>
      <c r="I2" s="47" t="s">
        <v>17</v>
      </c>
      <c r="J2" s="48" t="s">
        <v>25</v>
      </c>
    </row>
    <row r="3" spans="1:14">
      <c r="A3" s="31">
        <v>0.23535200000000001</v>
      </c>
      <c r="B3" s="32">
        <f>((A3*3)*4.99/(1.5-(A3*3))-1)*1000</f>
        <v>3437.6170611529274</v>
      </c>
      <c r="C3" s="32">
        <f>B3/$L$12</f>
        <v>3.4376170611529275</v>
      </c>
      <c r="D3" s="33">
        <f>$K$12/(LN(B3/$N$12))-273</f>
        <v>-0.26594032514896071</v>
      </c>
      <c r="F3" s="31">
        <v>0.01</v>
      </c>
      <c r="G3" s="32">
        <f>5000*F3/(3.3-F3)</f>
        <v>15.19756838905775</v>
      </c>
      <c r="H3" s="32">
        <f>G3/$L$12</f>
        <v>1.5197568389057749E-2</v>
      </c>
      <c r="I3" s="32">
        <f t="shared" ref="I3:I34" si="0">$K$12/(LN(G3/$N$12))-273</f>
        <v>161.46686348030602</v>
      </c>
      <c r="J3" s="33">
        <f t="shared" ref="J3:J66" si="1">11.191*F3^6  -112.91*F3^5 + 445.63*F3^4 - 872.24*F3^3 + 886.6*F3^2 - 468.95*F3 + 121.45</f>
        <v>116.8482922050202</v>
      </c>
    </row>
    <row r="4" spans="1:14" ht="15.75" thickBot="1">
      <c r="A4" s="42">
        <v>2.99</v>
      </c>
      <c r="B4" s="43">
        <f>5000*A4/(3.3-A4)</f>
        <v>48225.806451612967</v>
      </c>
      <c r="C4" s="34">
        <f>B4/$L$12</f>
        <v>48.225806451612968</v>
      </c>
      <c r="D4" s="35">
        <f>$K$12/(LN(B4/$N$12))-273</f>
        <v>-42.133569014145735</v>
      </c>
      <c r="F4" s="31">
        <f>0.01+F3</f>
        <v>0.02</v>
      </c>
      <c r="G4" s="32">
        <f t="shared" ref="G4:G67" si="2">5000*F4/(3.3-F4)</f>
        <v>30.487804878048781</v>
      </c>
      <c r="H4" s="32">
        <f t="shared" ref="H4:H67" si="3">G4/$L$12</f>
        <v>3.048780487804878E-2</v>
      </c>
      <c r="I4" s="32">
        <f t="shared" si="0"/>
        <v>130.72292936636455</v>
      </c>
      <c r="J4" s="33">
        <f t="shared" si="1"/>
        <v>112.41873302020423</v>
      </c>
    </row>
    <row r="5" spans="1:14">
      <c r="F5" s="31">
        <f t="shared" ref="F5:F68" si="4">0.01+F4</f>
        <v>0.03</v>
      </c>
      <c r="G5" s="32">
        <f t="shared" si="2"/>
        <v>45.871559633027523</v>
      </c>
      <c r="H5" s="32">
        <f t="shared" si="3"/>
        <v>4.5871559633027525E-2</v>
      </c>
      <c r="I5" s="32">
        <f t="shared" si="0"/>
        <v>114.62757235133893</v>
      </c>
      <c r="J5" s="33">
        <f t="shared" si="1"/>
        <v>108.15624774474524</v>
      </c>
    </row>
    <row r="6" spans="1:14">
      <c r="F6" s="31">
        <f t="shared" si="4"/>
        <v>0.04</v>
      </c>
      <c r="G6" s="32">
        <f t="shared" si="2"/>
        <v>61.349693251533743</v>
      </c>
      <c r="H6" s="32">
        <f t="shared" si="3"/>
        <v>6.1349693251533742E-2</v>
      </c>
      <c r="I6" s="32">
        <f t="shared" si="0"/>
        <v>103.93256398130222</v>
      </c>
      <c r="J6" s="33">
        <f t="shared" si="1"/>
        <v>104.05586593665434</v>
      </c>
    </row>
    <row r="7" spans="1:14">
      <c r="F7" s="31">
        <f t="shared" si="4"/>
        <v>0.05</v>
      </c>
      <c r="G7" s="32">
        <f t="shared" si="2"/>
        <v>76.92307692307692</v>
      </c>
      <c r="H7" s="32">
        <f t="shared" si="3"/>
        <v>7.6923076923076913E-2</v>
      </c>
      <c r="I7" s="32">
        <f t="shared" si="0"/>
        <v>96.010899349581507</v>
      </c>
      <c r="J7" s="33">
        <f t="shared" si="1"/>
        <v>100.11272007798438</v>
      </c>
    </row>
    <row r="8" spans="1:14">
      <c r="F8" s="31">
        <f t="shared" si="4"/>
        <v>6.0000000000000005E-2</v>
      </c>
      <c r="G8" s="32">
        <f t="shared" si="2"/>
        <v>92.592592592592595</v>
      </c>
      <c r="H8" s="32">
        <f t="shared" si="3"/>
        <v>9.2592592592592601E-2</v>
      </c>
      <c r="I8" s="32">
        <f t="shared" si="0"/>
        <v>89.762488089030569</v>
      </c>
      <c r="J8" s="33">
        <f t="shared" si="1"/>
        <v>96.322044248111297</v>
      </c>
    </row>
    <row r="9" spans="1:14" ht="15.75" thickBot="1">
      <c r="F9" s="31">
        <f t="shared" si="4"/>
        <v>7.0000000000000007E-2</v>
      </c>
      <c r="G9" s="32">
        <f t="shared" si="2"/>
        <v>108.35913312693501</v>
      </c>
      <c r="H9" s="32">
        <f t="shared" si="3"/>
        <v>0.108359133126935</v>
      </c>
      <c r="I9" s="32">
        <f t="shared" si="0"/>
        <v>84.626651288466405</v>
      </c>
      <c r="J9" s="33">
        <f t="shared" si="1"/>
        <v>92.679172805072966</v>
      </c>
    </row>
    <row r="10" spans="1:14">
      <c r="F10" s="31">
        <f t="shared" si="4"/>
        <v>0.08</v>
      </c>
      <c r="G10" s="32">
        <f t="shared" si="2"/>
        <v>124.22360248447205</v>
      </c>
      <c r="H10" s="32">
        <f t="shared" si="3"/>
        <v>0.12422360248447205</v>
      </c>
      <c r="I10" s="32">
        <f t="shared" si="0"/>
        <v>80.280614381092846</v>
      </c>
      <c r="J10" s="33">
        <f t="shared" si="1"/>
        <v>89.179539074965504</v>
      </c>
      <c r="K10" s="1" t="s">
        <v>3</v>
      </c>
      <c r="L10" s="2"/>
      <c r="M10" s="2"/>
      <c r="N10" s="3"/>
    </row>
    <row r="11" spans="1:14">
      <c r="F11" s="31">
        <f t="shared" si="4"/>
        <v>0.09</v>
      </c>
      <c r="G11" s="32">
        <f t="shared" si="2"/>
        <v>140.18691588785046</v>
      </c>
      <c r="H11" s="32">
        <f t="shared" si="3"/>
        <v>0.14018691588785046</v>
      </c>
      <c r="I11" s="32">
        <f t="shared" si="0"/>
        <v>76.522341512813568</v>
      </c>
      <c r="J11" s="33">
        <f t="shared" si="1"/>
        <v>85.818674049397231</v>
      </c>
      <c r="K11" s="4" t="s">
        <v>0</v>
      </c>
      <c r="L11" s="5" t="s">
        <v>2</v>
      </c>
      <c r="M11" s="5" t="s">
        <v>16</v>
      </c>
      <c r="N11" s="6" t="s">
        <v>1</v>
      </c>
    </row>
    <row r="12" spans="1:14" ht="15.75" thickBot="1">
      <c r="F12" s="31">
        <f t="shared" si="4"/>
        <v>9.9999999999999992E-2</v>
      </c>
      <c r="G12" s="32">
        <f t="shared" si="2"/>
        <v>156.25</v>
      </c>
      <c r="H12" s="32">
        <f t="shared" si="3"/>
        <v>0.15625</v>
      </c>
      <c r="I12" s="32">
        <f t="shared" si="0"/>
        <v>73.217376900585066</v>
      </c>
      <c r="J12" s="33">
        <f t="shared" si="1"/>
        <v>82.592205091000011</v>
      </c>
      <c r="K12" s="7">
        <v>3972</v>
      </c>
      <c r="L12" s="8">
        <v>1000</v>
      </c>
      <c r="M12" s="9">
        <v>298</v>
      </c>
      <c r="N12" s="10">
        <f>L12*EXP(-K12/M12)</f>
        <v>1.6268595460540972E-3</v>
      </c>
    </row>
    <row r="13" spans="1:14">
      <c r="F13" s="31">
        <f t="shared" si="4"/>
        <v>0.10999999999999999</v>
      </c>
      <c r="G13" s="32">
        <f t="shared" si="2"/>
        <v>172.41379310344826</v>
      </c>
      <c r="H13" s="32">
        <f t="shared" si="3"/>
        <v>0.17241379310344826</v>
      </c>
      <c r="I13" s="32">
        <f t="shared" si="0"/>
        <v>70.271939131583906</v>
      </c>
      <c r="J13" s="33">
        <f t="shared" si="1"/>
        <v>79.495854646998168</v>
      </c>
    </row>
    <row r="14" spans="1:14">
      <c r="F14" s="31">
        <f t="shared" si="4"/>
        <v>0.11999999999999998</v>
      </c>
      <c r="G14" s="46">
        <f t="shared" si="2"/>
        <v>188.67924528301884</v>
      </c>
      <c r="H14" s="46">
        <f t="shared" si="3"/>
        <v>0.18867924528301885</v>
      </c>
      <c r="I14" s="46">
        <f t="shared" si="0"/>
        <v>67.618141184042088</v>
      </c>
      <c r="J14" s="33">
        <f t="shared" si="1"/>
        <v>76.525438970834955</v>
      </c>
    </row>
    <row r="15" spans="1:14">
      <c r="F15" s="31">
        <f t="shared" si="4"/>
        <v>0.12999999999999998</v>
      </c>
      <c r="G15" s="32">
        <f t="shared" si="2"/>
        <v>205.04731861198735</v>
      </c>
      <c r="H15" s="32">
        <f t="shared" si="3"/>
        <v>0.20504731861198736</v>
      </c>
      <c r="I15" s="32">
        <f t="shared" si="0"/>
        <v>65.205336272118302</v>
      </c>
      <c r="J15" s="33">
        <f t="shared" si="1"/>
        <v>73.676866851856531</v>
      </c>
    </row>
    <row r="16" spans="1:14">
      <c r="F16" s="31">
        <f t="shared" si="4"/>
        <v>0.13999999999999999</v>
      </c>
      <c r="G16" s="32">
        <f t="shared" si="2"/>
        <v>221.51898734177215</v>
      </c>
      <c r="H16" s="32">
        <f t="shared" si="3"/>
        <v>0.22151898734177214</v>
      </c>
      <c r="I16" s="32">
        <f t="shared" si="0"/>
        <v>62.994783972082587</v>
      </c>
      <c r="J16" s="33">
        <f t="shared" si="1"/>
        <v>70.946138353053385</v>
      </c>
    </row>
    <row r="17" spans="1:15">
      <c r="F17" s="31">
        <f t="shared" si="4"/>
        <v>0.15</v>
      </c>
      <c r="G17" s="32">
        <f t="shared" si="2"/>
        <v>238.0952380952381</v>
      </c>
      <c r="H17" s="32">
        <f t="shared" si="3"/>
        <v>0.23809523809523811</v>
      </c>
      <c r="I17" s="32">
        <f t="shared" si="0"/>
        <v>60.956221237730233</v>
      </c>
      <c r="J17" s="33">
        <f t="shared" si="1"/>
        <v>68.329343556859385</v>
      </c>
      <c r="M17" t="s">
        <v>20</v>
      </c>
      <c r="N17" t="s">
        <v>28</v>
      </c>
      <c r="O17" t="s">
        <v>27</v>
      </c>
    </row>
    <row r="18" spans="1:15">
      <c r="F18" s="31">
        <f t="shared" si="4"/>
        <v>0.16</v>
      </c>
      <c r="G18" s="32">
        <f t="shared" si="2"/>
        <v>254.77707006369428</v>
      </c>
      <c r="H18" s="32">
        <f t="shared" si="3"/>
        <v>0.25477707006369427</v>
      </c>
      <c r="I18" s="32">
        <f t="shared" si="0"/>
        <v>59.065578818228857</v>
      </c>
      <c r="J18" s="33">
        <f t="shared" si="1"/>
        <v>65.822661319008262</v>
      </c>
      <c r="M18">
        <v>0.222</v>
      </c>
      <c r="N18">
        <v>0.23499999999999999</v>
      </c>
      <c r="O18">
        <f>((N18*3)*4.99/(1.5-(N18*3))-1)*1000</f>
        <v>3425.0943396226407</v>
      </c>
    </row>
    <row r="19" spans="1:15">
      <c r="F19" s="31">
        <f t="shared" si="4"/>
        <v>0.17</v>
      </c>
      <c r="G19" s="32">
        <f t="shared" si="2"/>
        <v>271.56549520766777</v>
      </c>
      <c r="H19" s="32">
        <f t="shared" si="3"/>
        <v>0.27156549520766776</v>
      </c>
      <c r="I19" s="32">
        <f t="shared" si="0"/>
        <v>57.303414146950502</v>
      </c>
      <c r="J19" s="33">
        <f t="shared" si="1"/>
        <v>63.422358030447683</v>
      </c>
    </row>
    <row r="20" spans="1:15" ht="15.75" thickBot="1">
      <c r="F20" s="31">
        <f t="shared" si="4"/>
        <v>0.18000000000000002</v>
      </c>
      <c r="G20" s="32">
        <f t="shared" si="2"/>
        <v>288.46153846153851</v>
      </c>
      <c r="H20" s="32">
        <f t="shared" si="3"/>
        <v>0.28846153846153849</v>
      </c>
      <c r="I20" s="32">
        <f t="shared" si="0"/>
        <v>55.653807760361929</v>
      </c>
      <c r="J20" s="33">
        <f t="shared" si="1"/>
        <v>61.124786387310792</v>
      </c>
    </row>
    <row r="21" spans="1:15">
      <c r="A21" s="15" t="s">
        <v>14</v>
      </c>
      <c r="B21" s="3" t="s">
        <v>4</v>
      </c>
      <c r="C21" s="29"/>
      <c r="F21" s="31">
        <f t="shared" si="4"/>
        <v>0.19000000000000003</v>
      </c>
      <c r="G21" s="32">
        <f t="shared" si="2"/>
        <v>305.46623794212223</v>
      </c>
      <c r="H21" s="32">
        <f t="shared" si="3"/>
        <v>0.30546623794212224</v>
      </c>
      <c r="I21" s="32">
        <f t="shared" si="0"/>
        <v>54.103568465521903</v>
      </c>
      <c r="J21" s="33">
        <f t="shared" si="1"/>
        <v>58.926384168945269</v>
      </c>
      <c r="L21" s="15" t="s">
        <v>14</v>
      </c>
      <c r="M21" s="1" t="s">
        <v>15</v>
      </c>
      <c r="N21" s="3" t="s">
        <v>4</v>
      </c>
    </row>
    <row r="22" spans="1:15">
      <c r="A22" s="16" t="s">
        <v>13</v>
      </c>
      <c r="B22" s="12" t="s">
        <v>17</v>
      </c>
      <c r="C22" s="29"/>
      <c r="F22" s="31">
        <f t="shared" si="4"/>
        <v>0.20000000000000004</v>
      </c>
      <c r="G22" s="32">
        <f t="shared" si="2"/>
        <v>322.58064516129042</v>
      </c>
      <c r="H22" s="32">
        <f t="shared" si="3"/>
        <v>0.32258064516129042</v>
      </c>
      <c r="I22" s="32">
        <f t="shared" si="0"/>
        <v>52.641649455006529</v>
      </c>
      <c r="J22" s="33">
        <f t="shared" si="1"/>
        <v>56.823673024000001</v>
      </c>
      <c r="L22" s="16" t="s">
        <v>13</v>
      </c>
      <c r="M22" s="11" t="s">
        <v>18</v>
      </c>
      <c r="N22" s="12" t="s">
        <v>17</v>
      </c>
    </row>
    <row r="23" spans="1:15" ht="15.75" thickBot="1">
      <c r="A23" s="17">
        <v>0.4</v>
      </c>
      <c r="B23" s="13">
        <f>-2122.2*A23^3+2156.4*A23^2-854.18*A23 +142.81</f>
        <v>10.341200000000015</v>
      </c>
      <c r="C23" s="30"/>
      <c r="F23" s="31">
        <f t="shared" si="4"/>
        <v>0.21000000000000005</v>
      </c>
      <c r="G23" s="32">
        <f t="shared" si="2"/>
        <v>339.80582524271853</v>
      </c>
      <c r="H23" s="32">
        <f t="shared" si="3"/>
        <v>0.33980582524271852</v>
      </c>
      <c r="I23" s="32">
        <f t="shared" si="0"/>
        <v>51.258711812763124</v>
      </c>
      <c r="J23" s="33">
        <f t="shared" si="1"/>
        <v>54.813257264569117</v>
      </c>
      <c r="L23" s="17">
        <v>0.23559569999999999</v>
      </c>
      <c r="M23">
        <f>1000*L23*3*4.99/(1.5-L23*3)</f>
        <v>4446.3064443354369</v>
      </c>
      <c r="N23" s="13">
        <f>$K$12/(LN(M23/$N$12))-273</f>
        <v>-5.0006740631591811</v>
      </c>
    </row>
    <row r="24" spans="1:15">
      <c r="F24" s="31">
        <f t="shared" si="4"/>
        <v>0.22000000000000006</v>
      </c>
      <c r="G24" s="32">
        <f t="shared" si="2"/>
        <v>357.14285714285728</v>
      </c>
      <c r="H24" s="32">
        <f t="shared" si="3"/>
        <v>0.35714285714285726</v>
      </c>
      <c r="I24" s="32">
        <f t="shared" si="0"/>
        <v>49.946793071804734</v>
      </c>
      <c r="J24" s="33">
        <f t="shared" si="1"/>
        <v>52.891822668393658</v>
      </c>
    </row>
    <row r="25" spans="1:15">
      <c r="F25" s="31">
        <f t="shared" si="4"/>
        <v>0.23000000000000007</v>
      </c>
      <c r="G25" s="32">
        <f t="shared" si="2"/>
        <v>374.59283387622162</v>
      </c>
      <c r="H25" s="32">
        <f t="shared" si="3"/>
        <v>0.37459283387622161</v>
      </c>
      <c r="I25" s="32">
        <f t="shared" si="0"/>
        <v>48.699051989890791</v>
      </c>
      <c r="J25" s="33">
        <f t="shared" si="1"/>
        <v>51.056135289120789</v>
      </c>
    </row>
    <row r="26" spans="1:15">
      <c r="F26" s="31">
        <f t="shared" si="4"/>
        <v>0.24000000000000007</v>
      </c>
      <c r="G26" s="32">
        <f t="shared" si="2"/>
        <v>392.15686274509824</v>
      </c>
      <c r="H26" s="32">
        <f t="shared" si="3"/>
        <v>0.39215686274509826</v>
      </c>
      <c r="I26" s="32">
        <f t="shared" si="0"/>
        <v>47.509569514819418</v>
      </c>
      <c r="J26" s="33">
        <f t="shared" si="1"/>
        <v>49.303040274620415</v>
      </c>
    </row>
    <row r="27" spans="1:15">
      <c r="F27" s="31">
        <f t="shared" si="4"/>
        <v>0.25000000000000006</v>
      </c>
      <c r="G27" s="32">
        <f t="shared" si="2"/>
        <v>409.83606557377061</v>
      </c>
      <c r="H27" s="32">
        <f t="shared" si="3"/>
        <v>0.40983606557377061</v>
      </c>
      <c r="I27" s="32">
        <f t="shared" si="0"/>
        <v>46.373191777410682</v>
      </c>
      <c r="J27" s="33">
        <f t="shared" si="1"/>
        <v>47.629460693359377</v>
      </c>
    </row>
    <row r="28" spans="1:15">
      <c r="F28" s="31">
        <f t="shared" si="4"/>
        <v>0.26000000000000006</v>
      </c>
      <c r="G28" s="32">
        <f t="shared" si="2"/>
        <v>427.63157894736855</v>
      </c>
      <c r="H28" s="32">
        <f t="shared" si="3"/>
        <v>0.42763157894736853</v>
      </c>
      <c r="I28" s="32">
        <f t="shared" si="0"/>
        <v>45.285404935525776</v>
      </c>
      <c r="J28" s="33">
        <f t="shared" si="1"/>
        <v>46.032396368833233</v>
      </c>
    </row>
    <row r="29" spans="1:15">
      <c r="F29" s="31">
        <f t="shared" si="4"/>
        <v>0.27000000000000007</v>
      </c>
      <c r="G29" s="32">
        <f t="shared" si="2"/>
        <v>445.54455445544573</v>
      </c>
      <c r="H29" s="32">
        <f t="shared" si="3"/>
        <v>0.44554455445544572</v>
      </c>
      <c r="I29" s="32">
        <f t="shared" si="0"/>
        <v>44.242234448063016</v>
      </c>
      <c r="J29" s="33">
        <f t="shared" si="1"/>
        <v>44.508922722055388</v>
      </c>
    </row>
    <row r="30" spans="1:15">
      <c r="F30" s="31">
        <f t="shared" si="4"/>
        <v>0.28000000000000008</v>
      </c>
      <c r="G30" s="32">
        <f t="shared" si="2"/>
        <v>463.57615894039759</v>
      </c>
      <c r="H30" s="32">
        <f t="shared" si="3"/>
        <v>0.46357615894039761</v>
      </c>
      <c r="I30" s="32">
        <f t="shared" si="0"/>
        <v>43.240163294168553</v>
      </c>
      <c r="J30" s="33">
        <f t="shared" si="1"/>
        <v>43.056189622104057</v>
      </c>
    </row>
    <row r="31" spans="1:15">
      <c r="F31" s="31">
        <f t="shared" si="4"/>
        <v>0.29000000000000009</v>
      </c>
      <c r="G31" s="32">
        <f t="shared" si="2"/>
        <v>481.72757475083074</v>
      </c>
      <c r="H31" s="32">
        <f t="shared" si="3"/>
        <v>0.48172757475083072</v>
      </c>
      <c r="I31" s="32">
        <f t="shared" si="0"/>
        <v>42.27606503371004</v>
      </c>
      <c r="J31" s="33">
        <f t="shared" si="1"/>
        <v>41.671420244726292</v>
      </c>
    </row>
    <row r="32" spans="1:15">
      <c r="F32" s="31">
        <f t="shared" si="4"/>
        <v>0.3000000000000001</v>
      </c>
      <c r="G32" s="32">
        <f t="shared" si="2"/>
        <v>500.00000000000023</v>
      </c>
      <c r="H32" s="32">
        <f t="shared" si="3"/>
        <v>0.50000000000000022</v>
      </c>
      <c r="I32" s="32">
        <f t="shared" si="0"/>
        <v>41.347148603188487</v>
      </c>
      <c r="J32" s="33">
        <f t="shared" si="1"/>
        <v>40.351909939000009</v>
      </c>
    </row>
    <row r="33" spans="6:10">
      <c r="F33" s="31">
        <f t="shared" si="4"/>
        <v>0.31000000000000011</v>
      </c>
      <c r="G33" s="32">
        <f t="shared" si="2"/>
        <v>518.39464882943162</v>
      </c>
      <c r="H33" s="32">
        <f t="shared" si="3"/>
        <v>0.51839464882943165</v>
      </c>
      <c r="I33" s="32">
        <f t="shared" si="0"/>
        <v>40.450912471843083</v>
      </c>
      <c r="J33" s="33">
        <f t="shared" si="1"/>
        <v>39.095025102053071</v>
      </c>
    </row>
    <row r="34" spans="6:10">
      <c r="F34" s="31">
        <f t="shared" si="4"/>
        <v>0.32000000000000012</v>
      </c>
      <c r="G34" s="32">
        <f t="shared" si="2"/>
        <v>536.91275167785261</v>
      </c>
      <c r="H34" s="32">
        <f t="shared" si="3"/>
        <v>0.53691275167785257</v>
      </c>
      <c r="I34" s="32">
        <f t="shared" si="0"/>
        <v>39.585106323671766</v>
      </c>
      <c r="J34" s="33">
        <f t="shared" si="1"/>
        <v>37.898202061840394</v>
      </c>
    </row>
    <row r="35" spans="6:10">
      <c r="F35" s="31">
        <f t="shared" si="4"/>
        <v>0.33000000000000013</v>
      </c>
      <c r="G35" s="32">
        <f t="shared" si="2"/>
        <v>555.55555555555588</v>
      </c>
      <c r="H35" s="32">
        <f t="shared" si="3"/>
        <v>0.55555555555555591</v>
      </c>
      <c r="I35" s="32">
        <f t="shared" ref="I35:I66" si="5">$K$12/(LN(G35/$N$12))-273</f>
        <v>38.747698835985602</v>
      </c>
      <c r="J35" s="33">
        <f t="shared" si="1"/>
        <v>36.758945967978079</v>
      </c>
    </row>
    <row r="36" spans="6:10">
      <c r="F36" s="31">
        <f t="shared" si="4"/>
        <v>0.34000000000000014</v>
      </c>
      <c r="G36" s="32">
        <f t="shared" si="2"/>
        <v>574.32432432432461</v>
      </c>
      <c r="H36" s="32">
        <f t="shared" si="3"/>
        <v>0.57432432432432456</v>
      </c>
      <c r="I36" s="32">
        <f t="shared" si="5"/>
        <v>37.936850431204903</v>
      </c>
      <c r="J36" s="33">
        <f t="shared" si="1"/>
        <v>35.674829690635434</v>
      </c>
    </row>
    <row r="37" spans="6:10">
      <c r="F37" s="31">
        <f t="shared" si="4"/>
        <v>0.35000000000000014</v>
      </c>
      <c r="G37" s="32">
        <f t="shared" si="2"/>
        <v>593.22033898305108</v>
      </c>
      <c r="H37" s="32">
        <f t="shared" si="3"/>
        <v>0.59322033898305104</v>
      </c>
      <c r="I37" s="32">
        <f t="shared" si="5"/>
        <v>37.150890112168952</v>
      </c>
      <c r="J37" s="33">
        <f t="shared" si="1"/>
        <v>34.643492727484386</v>
      </c>
    </row>
    <row r="38" spans="6:10">
      <c r="F38" s="31">
        <f t="shared" si="4"/>
        <v>0.36000000000000015</v>
      </c>
      <c r="G38" s="32">
        <f t="shared" si="2"/>
        <v>612.24489795918396</v>
      </c>
      <c r="H38" s="32">
        <f t="shared" si="3"/>
        <v>0.61224489795918391</v>
      </c>
      <c r="I38" s="32">
        <f t="shared" si="5"/>
        <v>36.388295671013623</v>
      </c>
      <c r="J38" s="33">
        <f t="shared" si="1"/>
        <v>33.662640118706165</v>
      </c>
    </row>
    <row r="39" spans="6:10">
      <c r="F39" s="31">
        <f t="shared" si="4"/>
        <v>0.37000000000000016</v>
      </c>
      <c r="G39" s="32">
        <f t="shared" si="2"/>
        <v>631.39931740614372</v>
      </c>
      <c r="H39" s="32">
        <f t="shared" si="3"/>
        <v>0.63139931740614375</v>
      </c>
      <c r="I39" s="32">
        <f t="shared" si="5"/>
        <v>35.647676701190846</v>
      </c>
      <c r="J39" s="33">
        <f t="shared" si="1"/>
        <v>32.730041370056128</v>
      </c>
    </row>
    <row r="40" spans="6:10">
      <c r="F40" s="31">
        <f t="shared" si="4"/>
        <v>0.38000000000000017</v>
      </c>
      <c r="G40" s="32">
        <f t="shared" si="2"/>
        <v>650.68493150684969</v>
      </c>
      <c r="H40" s="32">
        <f t="shared" si="3"/>
        <v>0.6506849315068497</v>
      </c>
      <c r="I40" s="32">
        <f t="shared" si="5"/>
        <v>34.927759951314101</v>
      </c>
      <c r="J40" s="33">
        <f t="shared" si="1"/>
        <v>31.843529383985341</v>
      </c>
    </row>
    <row r="41" spans="6:10">
      <c r="F41" s="31">
        <f t="shared" si="4"/>
        <v>0.39000000000000018</v>
      </c>
      <c r="G41" s="32">
        <f t="shared" si="2"/>
        <v>670.10309278350553</v>
      </c>
      <c r="H41" s="32">
        <f t="shared" si="3"/>
        <v>0.67010309278350555</v>
      </c>
      <c r="I41" s="32">
        <f t="shared" si="5"/>
        <v>34.227376645456218</v>
      </c>
      <c r="J41" s="33">
        <f t="shared" si="1"/>
        <v>31.000999398820341</v>
      </c>
    </row>
    <row r="42" spans="6:10">
      <c r="F42" s="31">
        <f t="shared" si="4"/>
        <v>0.40000000000000019</v>
      </c>
      <c r="G42" s="32">
        <f t="shared" si="2"/>
        <v>689.65517241379359</v>
      </c>
      <c r="H42" s="32">
        <f t="shared" si="3"/>
        <v>0.68965517241379359</v>
      </c>
      <c r="I42" s="32">
        <f t="shared" si="5"/>
        <v>33.545451462687765</v>
      </c>
      <c r="J42" s="33">
        <f t="shared" si="1"/>
        <v>30.200407935999991</v>
      </c>
    </row>
    <row r="43" spans="6:10">
      <c r="F43" s="31">
        <f t="shared" si="4"/>
        <v>0.4100000000000002</v>
      </c>
      <c r="G43" s="32">
        <f t="shared" si="2"/>
        <v>709.34256055363358</v>
      </c>
      <c r="H43" s="32">
        <f t="shared" si="3"/>
        <v>0.70934256055363354</v>
      </c>
      <c r="I43" s="32">
        <f t="shared" si="5"/>
        <v>32.880992923048154</v>
      </c>
      <c r="J43" s="33">
        <f t="shared" si="1"/>
        <v>29.439771755370032</v>
      </c>
    </row>
    <row r="44" spans="6:10">
      <c r="F44" s="31">
        <f t="shared" si="4"/>
        <v>0.42000000000000021</v>
      </c>
      <c r="G44" s="32">
        <f t="shared" si="2"/>
        <v>729.16666666666708</v>
      </c>
      <c r="H44" s="32">
        <f t="shared" si="3"/>
        <v>0.72916666666666707</v>
      </c>
      <c r="I44" s="32">
        <f t="shared" si="5"/>
        <v>32.233084970832124</v>
      </c>
      <c r="J44" s="33">
        <f t="shared" si="1"/>
        <v>28.717166818535091</v>
      </c>
    </row>
    <row r="45" spans="6:10">
      <c r="F45" s="31">
        <f t="shared" si="4"/>
        <v>0.43000000000000022</v>
      </c>
      <c r="G45" s="32">
        <f t="shared" si="2"/>
        <v>749.12891986062755</v>
      </c>
      <c r="H45" s="32">
        <f t="shared" si="3"/>
        <v>0.74912891986062757</v>
      </c>
      <c r="I45" s="32">
        <f t="shared" si="5"/>
        <v>31.600879581361539</v>
      </c>
      <c r="J45" s="33">
        <f t="shared" si="1"/>
        <v>28.030727260268335</v>
      </c>
    </row>
    <row r="46" spans="6:10">
      <c r="F46" s="31">
        <f t="shared" si="4"/>
        <v>0.44000000000000022</v>
      </c>
      <c r="G46" s="32">
        <f t="shared" si="2"/>
        <v>769.23076923076974</v>
      </c>
      <c r="H46" s="32">
        <f t="shared" si="3"/>
        <v>0.76923076923076972</v>
      </c>
      <c r="I46" s="32">
        <f t="shared" si="5"/>
        <v>30.98359024607231</v>
      </c>
      <c r="J46" s="33">
        <f t="shared" si="1"/>
        <v>27.378644367978481</v>
      </c>
    </row>
    <row r="47" spans="6:10">
      <c r="F47" s="31">
        <f t="shared" si="4"/>
        <v>0.45000000000000023</v>
      </c>
      <c r="G47" s="32">
        <f t="shared" si="2"/>
        <v>789.47368421052693</v>
      </c>
      <c r="H47" s="32">
        <f t="shared" si="3"/>
        <v>0.78947368421052688</v>
      </c>
      <c r="I47" s="32">
        <f t="shared" si="5"/>
        <v>30.3804862141385</v>
      </c>
      <c r="J47" s="33">
        <f t="shared" si="1"/>
        <v>26.759165569234355</v>
      </c>
    </row>
    <row r="48" spans="6:10">
      <c r="F48" s="31">
        <f t="shared" si="4"/>
        <v>0.46000000000000024</v>
      </c>
      <c r="G48" s="32">
        <f t="shared" si="2"/>
        <v>809.85915492957815</v>
      </c>
      <c r="H48" s="32">
        <f t="shared" si="3"/>
        <v>0.80985915492957816</v>
      </c>
      <c r="I48" s="32">
        <f t="shared" si="5"/>
        <v>29.790887388052909</v>
      </c>
      <c r="J48" s="33">
        <f t="shared" si="1"/>
        <v>26.170593427347157</v>
      </c>
    </row>
    <row r="49" spans="6:10">
      <c r="F49" s="31">
        <f t="shared" si="4"/>
        <v>0.47000000000000025</v>
      </c>
      <c r="G49" s="32">
        <f t="shared" si="2"/>
        <v>830.38869257950591</v>
      </c>
      <c r="H49" s="32">
        <f t="shared" si="3"/>
        <v>0.83038869257950587</v>
      </c>
      <c r="I49" s="32">
        <f t="shared" si="5"/>
        <v>29.214159786397659</v>
      </c>
      <c r="J49" s="33">
        <f t="shared" si="1"/>
        <v>25.611284645009832</v>
      </c>
    </row>
    <row r="50" spans="6:10">
      <c r="F50" s="31">
        <f t="shared" si="4"/>
        <v>0.48000000000000026</v>
      </c>
      <c r="G50" s="32">
        <f t="shared" si="2"/>
        <v>851.06382978723468</v>
      </c>
      <c r="H50" s="32">
        <f t="shared" si="3"/>
        <v>0.85106382978723472</v>
      </c>
      <c r="I50" s="32">
        <f t="shared" si="5"/>
        <v>28.649711500142644</v>
      </c>
      <c r="J50" s="33">
        <f t="shared" si="1"/>
        <v>25.079649075994624</v>
      </c>
    </row>
    <row r="51" spans="6:10">
      <c r="F51" s="31">
        <f t="shared" si="4"/>
        <v>0.49000000000000027</v>
      </c>
      <c r="G51" s="32">
        <f t="shared" si="2"/>
        <v>871.88612099644183</v>
      </c>
      <c r="H51" s="32">
        <f t="shared" si="3"/>
        <v>0.8718861209964418</v>
      </c>
      <c r="I51" s="32">
        <f t="shared" si="5"/>
        <v>28.096989079695106</v>
      </c>
      <c r="J51" s="33">
        <f t="shared" si="1"/>
        <v>24.574148744907362</v>
      </c>
    </row>
    <row r="52" spans="6:10">
      <c r="F52" s="31">
        <f t="shared" si="4"/>
        <v>0.50000000000000022</v>
      </c>
      <c r="G52" s="32">
        <f t="shared" si="2"/>
        <v>892.85714285714323</v>
      </c>
      <c r="H52" s="32">
        <f t="shared" si="3"/>
        <v>0.89285714285714324</v>
      </c>
      <c r="I52" s="32">
        <f t="shared" si="5"/>
        <v>27.555474299020887</v>
      </c>
      <c r="J52" s="33">
        <f t="shared" si="1"/>
        <v>24.093296875000007</v>
      </c>
    </row>
    <row r="53" spans="6:10">
      <c r="F53" s="31">
        <f t="shared" si="4"/>
        <v>0.51000000000000023</v>
      </c>
      <c r="G53" s="32">
        <f t="shared" si="2"/>
        <v>913.9784946236565</v>
      </c>
      <c r="H53" s="32">
        <f t="shared" si="3"/>
        <v>0.91397849462365655</v>
      </c>
      <c r="I53" s="32">
        <f t="shared" si="5"/>
        <v>27.024681250778599</v>
      </c>
      <c r="J53" s="33">
        <f t="shared" si="1"/>
        <v>23.635656924039964</v>
      </c>
    </row>
    <row r="54" spans="6:10">
      <c r="F54" s="31">
        <f t="shared" si="4"/>
        <v>0.52000000000000024</v>
      </c>
      <c r="G54" s="32">
        <f t="shared" si="2"/>
        <v>935.25179856115176</v>
      </c>
      <c r="H54" s="32">
        <f t="shared" si="3"/>
        <v>0.9352517985611517</v>
      </c>
      <c r="I54" s="32">
        <f t="shared" si="5"/>
        <v>26.50415373281885</v>
      </c>
      <c r="J54" s="33">
        <f t="shared" si="1"/>
        <v>23.19984162823782</v>
      </c>
    </row>
    <row r="55" spans="6:10">
      <c r="F55" s="31">
        <f t="shared" si="4"/>
        <v>0.53000000000000025</v>
      </c>
      <c r="G55" s="32">
        <f t="shared" si="2"/>
        <v>956.67870036101147</v>
      </c>
      <c r="H55" s="32">
        <f t="shared" si="3"/>
        <v>0.95667870036101144</v>
      </c>
      <c r="I55" s="32">
        <f t="shared" si="5"/>
        <v>25.993462891817614</v>
      </c>
      <c r="J55" s="33">
        <f t="shared" si="1"/>
        <v>22.784512054231655</v>
      </c>
    </row>
    <row r="56" spans="6:10">
      <c r="F56" s="31">
        <f t="shared" si="4"/>
        <v>0.54000000000000026</v>
      </c>
      <c r="G56" s="32">
        <f t="shared" si="2"/>
        <v>978.26086956521794</v>
      </c>
      <c r="H56" s="32">
        <f t="shared" si="3"/>
        <v>0.97826086956521796</v>
      </c>
      <c r="I56" s="32">
        <f t="shared" si="5"/>
        <v>25.492205094398628</v>
      </c>
      <c r="J56" s="33">
        <f t="shared" si="1"/>
        <v>22.388376659129548</v>
      </c>
    </row>
    <row r="57" spans="6:10">
      <c r="F57" s="31">
        <f t="shared" si="4"/>
        <v>0.55000000000000027</v>
      </c>
      <c r="G57" s="32">
        <f t="shared" si="2"/>
        <v>1000.0000000000007</v>
      </c>
      <c r="H57" s="32">
        <f t="shared" si="3"/>
        <v>1.0000000000000007</v>
      </c>
      <c r="I57" s="32">
        <f t="shared" si="5"/>
        <v>25</v>
      </c>
      <c r="J57" s="33">
        <f t="shared" si="1"/>
        <v>22.010190358609364</v>
      </c>
    </row>
    <row r="58" spans="6:10">
      <c r="F58" s="31">
        <f t="shared" si="4"/>
        <v>0.56000000000000028</v>
      </c>
      <c r="G58" s="32">
        <f t="shared" si="2"/>
        <v>1021.8978102189789</v>
      </c>
      <c r="H58" s="32">
        <f t="shared" si="3"/>
        <v>1.0218978102189789</v>
      </c>
      <c r="I58" s="32">
        <f t="shared" si="5"/>
        <v>24.516488813065905</v>
      </c>
      <c r="J58" s="33">
        <f t="shared" si="1"/>
        <v>21.648753603076088</v>
      </c>
    </row>
    <row r="59" spans="6:10">
      <c r="F59" s="31">
        <f t="shared" si="4"/>
        <v>0.57000000000000028</v>
      </c>
      <c r="G59" s="32">
        <f t="shared" si="2"/>
        <v>1043.9560439560446</v>
      </c>
      <c r="H59" s="32">
        <f t="shared" si="3"/>
        <v>1.0439560439560447</v>
      </c>
      <c r="I59" s="32">
        <f t="shared" si="5"/>
        <v>24.041332694988569</v>
      </c>
      <c r="J59" s="33">
        <f t="shared" si="1"/>
        <v>21.302911461876491</v>
      </c>
    </row>
    <row r="60" spans="6:10">
      <c r="F60" s="31">
        <f t="shared" si="4"/>
        <v>0.58000000000000029</v>
      </c>
      <c r="G60" s="32">
        <f t="shared" si="2"/>
        <v>1066.1764705882358</v>
      </c>
      <c r="H60" s="32">
        <f t="shared" si="3"/>
        <v>1.0661764705882357</v>
      </c>
      <c r="I60" s="32">
        <f t="shared" si="5"/>
        <v>23.5742113186663</v>
      </c>
      <c r="J60" s="33">
        <f t="shared" si="1"/>
        <v>20.971552715571889</v>
      </c>
    </row>
    <row r="61" spans="6:10">
      <c r="F61" s="31">
        <f t="shared" si="4"/>
        <v>0.5900000000000003</v>
      </c>
      <c r="G61" s="32">
        <f t="shared" si="2"/>
        <v>1088.5608856088568</v>
      </c>
      <c r="H61" s="32">
        <f t="shared" si="3"/>
        <v>1.0885608856088569</v>
      </c>
      <c r="I61" s="32">
        <f t="shared" si="5"/>
        <v>23.114821550643683</v>
      </c>
      <c r="J61" s="33">
        <f t="shared" si="1"/>
        <v>20.653608956267433</v>
      </c>
    </row>
    <row r="62" spans="6:10">
      <c r="F62" s="31">
        <f t="shared" si="4"/>
        <v>0.60000000000000031</v>
      </c>
      <c r="G62" s="32">
        <f t="shared" si="2"/>
        <v>1111.111111111112</v>
      </c>
      <c r="H62" s="32">
        <f t="shared" si="3"/>
        <v>1.111111111111112</v>
      </c>
      <c r="I62" s="32">
        <f t="shared" si="5"/>
        <v>22.662876247610086</v>
      </c>
      <c r="J62" s="33">
        <f t="shared" si="1"/>
        <v>20.348053696000036</v>
      </c>
    </row>
    <row r="63" spans="6:10">
      <c r="F63" s="31">
        <f t="shared" si="4"/>
        <v>0.61000000000000032</v>
      </c>
      <c r="G63" s="32">
        <f t="shared" si="2"/>
        <v>1133.8289962825288</v>
      </c>
      <c r="H63" s="32">
        <f t="shared" si="3"/>
        <v>1.1338289962825288</v>
      </c>
      <c r="I63" s="32">
        <f t="shared" si="5"/>
        <v>22.218103155600772</v>
      </c>
      <c r="J63" s="33">
        <f t="shared" si="1"/>
        <v>20.053901483182969</v>
      </c>
    </row>
    <row r="64" spans="6:10">
      <c r="F64" s="31">
        <f t="shared" si="4"/>
        <v>0.62000000000000033</v>
      </c>
      <c r="G64" s="32">
        <f t="shared" si="2"/>
        <v>1156.7164179104486</v>
      </c>
      <c r="H64" s="32">
        <f t="shared" si="3"/>
        <v>1.1567164179104485</v>
      </c>
      <c r="I64" s="32">
        <f t="shared" si="5"/>
        <v>21.780243901602034</v>
      </c>
      <c r="J64" s="33">
        <f t="shared" si="1"/>
        <v>19.770207027108555</v>
      </c>
    </row>
    <row r="65" spans="6:10">
      <c r="F65" s="31">
        <f t="shared" si="4"/>
        <v>0.63000000000000034</v>
      </c>
      <c r="G65" s="32">
        <f t="shared" si="2"/>
        <v>1179.7752808988773</v>
      </c>
      <c r="H65" s="32">
        <f t="shared" si="3"/>
        <v>1.1797752808988773</v>
      </c>
      <c r="I65" s="32">
        <f t="shared" si="5"/>
        <v>21.349053068444107</v>
      </c>
      <c r="J65" s="33">
        <f t="shared" si="1"/>
        <v>19.496064330507906</v>
      </c>
    </row>
    <row r="66" spans="6:10">
      <c r="F66" s="31">
        <f t="shared" si="4"/>
        <v>0.64000000000000035</v>
      </c>
      <c r="G66" s="32">
        <f t="shared" si="2"/>
        <v>1203.0075187969935</v>
      </c>
      <c r="H66" s="32">
        <f t="shared" si="3"/>
        <v>1.2030075187969935</v>
      </c>
      <c r="I66" s="32">
        <f t="shared" si="5"/>
        <v>20.924297344894228</v>
      </c>
      <c r="J66" s="33">
        <f t="shared" si="1"/>
        <v>19.230605830168585</v>
      </c>
    </row>
    <row r="67" spans="6:10">
      <c r="F67" s="31">
        <f t="shared" si="4"/>
        <v>0.65000000000000036</v>
      </c>
      <c r="G67" s="32">
        <f t="shared" si="2"/>
        <v>1226.4150943396235</v>
      </c>
      <c r="H67" s="32">
        <f t="shared" si="3"/>
        <v>1.2264150943396235</v>
      </c>
      <c r="I67" s="32">
        <f t="shared" ref="I67:I98" si="6">$K$12/(LN(G67/$N$12))-273</f>
        <v>20.505754743760463</v>
      </c>
      <c r="J67" s="33">
        <f t="shared" ref="J67:J130" si="7">11.191*F67^6  -112.91*F67^5 + 445.63*F67^4 - 872.24*F67^3 + 886.6*F67^2 - 468.95*F67 + 121.45</f>
        <v>18.973001545609421</v>
      </c>
    </row>
    <row r="68" spans="6:10">
      <c r="F68" s="31">
        <f t="shared" si="4"/>
        <v>0.66000000000000036</v>
      </c>
      <c r="G68" s="32">
        <f t="shared" ref="G68:G131" si="8">5000*F68/(3.3-F68)</f>
        <v>1250.0000000000009</v>
      </c>
      <c r="H68" s="32">
        <f t="shared" ref="H68:H131" si="9">G68/$L$12</f>
        <v>1.2500000000000009</v>
      </c>
      <c r="I68" s="32">
        <f t="shared" si="6"/>
        <v>20.093213881604299</v>
      </c>
      <c r="J68" s="33">
        <f t="shared" si="7"/>
        <v>18.722458235813022</v>
      </c>
    </row>
    <row r="69" spans="6:10">
      <c r="F69" s="31">
        <f t="shared" ref="F69:F132" si="10">0.01+F68</f>
        <v>0.67000000000000037</v>
      </c>
      <c r="G69" s="32">
        <f t="shared" si="8"/>
        <v>1273.7642585551341</v>
      </c>
      <c r="H69" s="32">
        <f t="shared" si="9"/>
        <v>1.2737642585551341</v>
      </c>
      <c r="I69" s="32">
        <f t="shared" si="6"/>
        <v>19.686473314349826</v>
      </c>
      <c r="J69" s="33">
        <f t="shared" si="7"/>
        <v>18.478218564016331</v>
      </c>
    </row>
    <row r="70" spans="6:10">
      <c r="F70" s="31">
        <f t="shared" si="10"/>
        <v>0.68000000000000038</v>
      </c>
      <c r="G70" s="32">
        <f t="shared" si="8"/>
        <v>1297.7099236641232</v>
      </c>
      <c r="H70" s="32">
        <f t="shared" si="9"/>
        <v>1.2977099236641232</v>
      </c>
      <c r="I70" s="32">
        <f t="shared" si="6"/>
        <v>19.285340923683066</v>
      </c>
      <c r="J70" s="33">
        <f t="shared" si="7"/>
        <v>18.239560270557163</v>
      </c>
    </row>
    <row r="71" spans="6:10">
      <c r="F71" s="31">
        <f t="shared" si="10"/>
        <v>0.69000000000000039</v>
      </c>
      <c r="G71" s="32">
        <f t="shared" si="8"/>
        <v>1321.8390804597711</v>
      </c>
      <c r="H71" s="32">
        <f t="shared" si="9"/>
        <v>1.3218390804597711</v>
      </c>
      <c r="I71" s="32">
        <f t="shared" si="6"/>
        <v>18.889633349671158</v>
      </c>
      <c r="J71" s="33">
        <f t="shared" si="7"/>
        <v>18.005795353780499</v>
      </c>
    </row>
    <row r="72" spans="6:10">
      <c r="F72" s="31">
        <f t="shared" si="10"/>
        <v>0.7000000000000004</v>
      </c>
      <c r="G72" s="32">
        <f t="shared" si="8"/>
        <v>1346.1538461538471</v>
      </c>
      <c r="H72" s="32">
        <f t="shared" si="9"/>
        <v>1.3461538461538471</v>
      </c>
      <c r="I72" s="32">
        <f t="shared" si="6"/>
        <v>18.499175465499434</v>
      </c>
      <c r="J72" s="33">
        <f t="shared" si="7"/>
        <v>17.776269259000017</v>
      </c>
    </row>
    <row r="73" spans="6:10">
      <c r="F73" s="31">
        <f t="shared" si="10"/>
        <v>0.71000000000000041</v>
      </c>
      <c r="G73" s="32">
        <f t="shared" si="8"/>
        <v>1370.6563706563716</v>
      </c>
      <c r="H73" s="32">
        <f t="shared" si="9"/>
        <v>1.3706563706563715</v>
      </c>
      <c r="I73" s="32">
        <f t="shared" si="6"/>
        <v>18.113799890644941</v>
      </c>
      <c r="J73" s="33">
        <f t="shared" si="7"/>
        <v>17.550360075518867</v>
      </c>
    </row>
    <row r="74" spans="6:10">
      <c r="F74" s="31">
        <f t="shared" si="10"/>
        <v>0.72000000000000042</v>
      </c>
      <c r="G74" s="32">
        <f t="shared" si="8"/>
        <v>1395.3488372093036</v>
      </c>
      <c r="H74" s="32">
        <f t="shared" si="9"/>
        <v>1.3953488372093037</v>
      </c>
      <c r="I74" s="32">
        <f t="shared" si="6"/>
        <v>17.733346539170611</v>
      </c>
      <c r="J74" s="33">
        <f t="shared" si="7"/>
        <v>17.327477741707312</v>
      </c>
    </row>
    <row r="75" spans="6:10">
      <c r="F75" s="31">
        <f t="shared" si="10"/>
        <v>0.73000000000000043</v>
      </c>
      <c r="G75" s="32">
        <f t="shared" si="8"/>
        <v>1420.2334630350206</v>
      </c>
      <c r="H75" s="32">
        <f t="shared" si="9"/>
        <v>1.4202334630350206</v>
      </c>
      <c r="I75" s="32">
        <f t="shared" si="6"/>
        <v>17.357662200154493</v>
      </c>
      <c r="J75" s="33">
        <f t="shared" si="7"/>
        <v>17.107063258137217</v>
      </c>
    </row>
    <row r="76" spans="6:10">
      <c r="F76" s="31">
        <f t="shared" si="10"/>
        <v>0.74000000000000044</v>
      </c>
      <c r="G76" s="32">
        <f t="shared" si="8"/>
        <v>1445.3125000000011</v>
      </c>
      <c r="H76" s="32">
        <f t="shared" si="9"/>
        <v>1.4453125000000011</v>
      </c>
      <c r="I76" s="32">
        <f t="shared" si="6"/>
        <v>16.986600147557681</v>
      </c>
      <c r="J76" s="33">
        <f t="shared" si="7"/>
        <v>16.888587908775619</v>
      </c>
    </row>
    <row r="77" spans="6:10">
      <c r="F77" s="31">
        <f t="shared" si="10"/>
        <v>0.75000000000000044</v>
      </c>
      <c r="G77" s="32">
        <f t="shared" si="8"/>
        <v>1470.5882352941189</v>
      </c>
      <c r="H77" s="32">
        <f t="shared" si="9"/>
        <v>1.4705882352941189</v>
      </c>
      <c r="I77" s="32">
        <f t="shared" si="6"/>
        <v>16.620019777095877</v>
      </c>
      <c r="J77" s="33">
        <f t="shared" si="7"/>
        <v>16.671552490234362</v>
      </c>
    </row>
    <row r="78" spans="6:10">
      <c r="F78" s="31">
        <f t="shared" si="10"/>
        <v>0.76000000000000045</v>
      </c>
      <c r="G78" s="32">
        <f t="shared" si="8"/>
        <v>1496.0629921259856</v>
      </c>
      <c r="H78" s="32">
        <f t="shared" si="9"/>
        <v>1.4960629921259856</v>
      </c>
      <c r="I78" s="32">
        <f t="shared" si="6"/>
        <v>16.257786267908273</v>
      </c>
      <c r="J78" s="33">
        <f t="shared" si="7"/>
        <v>16.45548654907806</v>
      </c>
    </row>
    <row r="79" spans="6:10">
      <c r="F79" s="31">
        <f t="shared" si="10"/>
        <v>0.77000000000000046</v>
      </c>
      <c r="G79" s="32">
        <f t="shared" si="8"/>
        <v>1521.7391304347839</v>
      </c>
      <c r="H79" s="32">
        <f t="shared" si="9"/>
        <v>1.5217391304347838</v>
      </c>
      <c r="I79" s="32">
        <f t="shared" si="6"/>
        <v>15.899770267026611</v>
      </c>
      <c r="J79" s="33">
        <f t="shared" si="7"/>
        <v>16.239947627189011</v>
      </c>
    </row>
    <row r="80" spans="6:10">
      <c r="F80" s="31">
        <f t="shared" si="10"/>
        <v>0.78000000000000047</v>
      </c>
      <c r="G80" s="32">
        <f t="shared" si="8"/>
        <v>1547.6190476190488</v>
      </c>
      <c r="H80" s="32">
        <f t="shared" si="9"/>
        <v>1.5476190476190488</v>
      </c>
      <c r="I80" s="32">
        <f t="shared" si="6"/>
        <v>15.545847594829411</v>
      </c>
      <c r="J80" s="33">
        <f t="shared" si="7"/>
        <v>16.024520515190389</v>
      </c>
    </row>
    <row r="81" spans="6:10">
      <c r="F81" s="31">
        <f t="shared" si="10"/>
        <v>0.79000000000000048</v>
      </c>
      <c r="G81" s="32">
        <f t="shared" si="8"/>
        <v>1573.7051792828699</v>
      </c>
      <c r="H81" s="32">
        <f t="shared" si="9"/>
        <v>1.57370517928287</v>
      </c>
      <c r="I81" s="32">
        <f t="shared" si="6"/>
        <v>15.195898969834332</v>
      </c>
      <c r="J81" s="33">
        <f t="shared" si="7"/>
        <v>15.808816513926459</v>
      </c>
    </row>
    <row r="82" spans="6:10">
      <c r="F82" s="31">
        <f t="shared" si="10"/>
        <v>0.80000000000000049</v>
      </c>
      <c r="G82" s="32">
        <f t="shared" si="8"/>
        <v>1600.0000000000014</v>
      </c>
      <c r="H82" s="32">
        <f t="shared" si="9"/>
        <v>1.6000000000000014</v>
      </c>
      <c r="I82" s="32">
        <f t="shared" si="6"/>
        <v>14.84980975132828</v>
      </c>
      <c r="J82" s="33">
        <f t="shared" si="7"/>
        <v>15.592472704000002</v>
      </c>
    </row>
    <row r="83" spans="6:10">
      <c r="F83" s="31">
        <f t="shared" si="10"/>
        <v>0.8100000000000005</v>
      </c>
      <c r="G83" s="32">
        <f t="shared" si="8"/>
        <v>1626.5060240963869</v>
      </c>
      <c r="H83" s="32">
        <f t="shared" si="9"/>
        <v>1.6265060240963869</v>
      </c>
      <c r="I83" s="32">
        <f t="shared" si="6"/>
        <v>14.507469698469322</v>
      </c>
      <c r="J83" s="33">
        <f t="shared" si="7"/>
        <v>15.375151223367894</v>
      </c>
    </row>
    <row r="84" spans="6:10">
      <c r="F84" s="31">
        <f t="shared" si="10"/>
        <v>0.82000000000000051</v>
      </c>
      <c r="G84" s="32">
        <f t="shared" si="8"/>
        <v>1653.2258064516143</v>
      </c>
      <c r="H84" s="32">
        <f t="shared" si="9"/>
        <v>1.6532258064516143</v>
      </c>
      <c r="I84" s="32">
        <f t="shared" si="6"/>
        <v>14.1687727446145</v>
      </c>
      <c r="J84" s="33">
        <f t="shared" si="7"/>
        <v>15.156538552994007</v>
      </c>
    </row>
    <row r="85" spans="6:10">
      <c r="F85" s="31">
        <f t="shared" si="10"/>
        <v>0.83000000000000052</v>
      </c>
      <c r="G85" s="32">
        <f t="shared" si="8"/>
        <v>1680.1619433198396</v>
      </c>
      <c r="H85" s="32">
        <f t="shared" si="9"/>
        <v>1.6801619433198396</v>
      </c>
      <c r="I85" s="32">
        <f t="shared" si="6"/>
        <v>13.833616785735103</v>
      </c>
      <c r="J85" s="33">
        <f t="shared" si="7"/>
        <v>14.936344810559504</v>
      </c>
    </row>
    <row r="86" spans="6:10">
      <c r="F86" s="31">
        <f t="shared" si="10"/>
        <v>0.84000000000000052</v>
      </c>
      <c r="G86" s="32">
        <f t="shared" si="8"/>
        <v>1707.3170731707335</v>
      </c>
      <c r="H86" s="32">
        <f t="shared" si="9"/>
        <v>1.7073170731707334</v>
      </c>
      <c r="I86" s="32">
        <f t="shared" si="6"/>
        <v>13.501903481879935</v>
      </c>
      <c r="J86" s="33">
        <f t="shared" si="7"/>
        <v>14.714303052230676</v>
      </c>
    </row>
    <row r="87" spans="6:10">
      <c r="F87" s="31">
        <f t="shared" si="10"/>
        <v>0.85000000000000053</v>
      </c>
      <c r="G87" s="32">
        <f t="shared" si="8"/>
        <v>1734.6938775510221</v>
      </c>
      <c r="H87" s="32">
        <f t="shared" si="9"/>
        <v>1.7346938775510221</v>
      </c>
      <c r="I87" s="32">
        <f t="shared" si="6"/>
        <v>13.173538070733628</v>
      </c>
      <c r="J87" s="33">
        <f t="shared" si="7"/>
        <v>14.490168582484458</v>
      </c>
    </row>
    <row r="88" spans="6:10">
      <c r="F88" s="31">
        <f t="shared" si="10"/>
        <v>0.86000000000000054</v>
      </c>
      <c r="G88" s="32">
        <f t="shared" si="8"/>
        <v>1762.2950819672146</v>
      </c>
      <c r="H88" s="32">
        <f t="shared" si="9"/>
        <v>1.7622950819672147</v>
      </c>
      <c r="I88" s="32">
        <f t="shared" si="6"/>
        <v>12.848429192398271</v>
      </c>
      <c r="J88" s="33">
        <f t="shared" si="7"/>
        <v>14.263718271990982</v>
      </c>
    </row>
    <row r="89" spans="6:10">
      <c r="F89" s="31">
        <f t="shared" si="10"/>
        <v>0.87000000000000055</v>
      </c>
      <c r="G89" s="32">
        <f t="shared" si="8"/>
        <v>1790.1234567901251</v>
      </c>
      <c r="H89" s="32">
        <f t="shared" si="9"/>
        <v>1.7901234567901252</v>
      </c>
      <c r="I89" s="32">
        <f t="shared" si="6"/>
        <v>12.526488724598096</v>
      </c>
      <c r="J89" s="33">
        <f t="shared" si="7"/>
        <v>14.03474988355471</v>
      </c>
    </row>
    <row r="90" spans="6:10">
      <c r="F90" s="31">
        <f t="shared" si="10"/>
        <v>0.88000000000000056</v>
      </c>
      <c r="G90" s="32">
        <f t="shared" si="8"/>
        <v>1818.1818181818201</v>
      </c>
      <c r="H90" s="32">
        <f t="shared" si="9"/>
        <v>1.8181818181818201</v>
      </c>
      <c r="I90" s="32">
        <f t="shared" si="6"/>
        <v>12.207631627572255</v>
      </c>
      <c r="J90" s="33">
        <f t="shared" si="7"/>
        <v>13.803081406111758</v>
      </c>
    </row>
    <row r="91" spans="6:10">
      <c r="F91" s="31">
        <f t="shared" si="10"/>
        <v>0.89000000000000057</v>
      </c>
      <c r="G91" s="32">
        <f t="shared" si="8"/>
        <v>1846.4730290456448</v>
      </c>
      <c r="H91" s="32">
        <f t="shared" si="9"/>
        <v>1.8464730290456448</v>
      </c>
      <c r="I91" s="32">
        <f t="shared" si="6"/>
        <v>11.891775797981381</v>
      </c>
      <c r="J91" s="33">
        <f t="shared" si="7"/>
        <v>13.568550396785454</v>
      </c>
    </row>
    <row r="92" spans="6:10">
      <c r="F92" s="31">
        <f t="shared" si="10"/>
        <v>0.90000000000000058</v>
      </c>
      <c r="G92" s="32">
        <f t="shared" si="8"/>
        <v>1875.0000000000016</v>
      </c>
      <c r="H92" s="32">
        <f t="shared" si="9"/>
        <v>1.8750000000000016</v>
      </c>
      <c r="I92" s="32">
        <f t="shared" si="6"/>
        <v>11.578841931205602</v>
      </c>
      <c r="J92" s="33">
        <f t="shared" si="7"/>
        <v>13.331013331000023</v>
      </c>
    </row>
    <row r="93" spans="6:10">
      <c r="F93" s="31">
        <f t="shared" si="10"/>
        <v>0.91000000000000059</v>
      </c>
      <c r="G93" s="32">
        <f t="shared" si="8"/>
        <v>1903.7656903765708</v>
      </c>
      <c r="H93" s="32">
        <f t="shared" si="9"/>
        <v>1.9037656903765707</v>
      </c>
      <c r="I93" s="32">
        <f t="shared" si="6"/>
        <v>11.268753391463065</v>
      </c>
      <c r="J93" s="33">
        <f t="shared" si="7"/>
        <v>13.090344960649944</v>
      </c>
    </row>
    <row r="94" spans="6:10">
      <c r="F94" s="31">
        <f t="shared" si="10"/>
        <v>0.9200000000000006</v>
      </c>
      <c r="G94" s="32">
        <f t="shared" si="8"/>
        <v>1932.7731092436995</v>
      </c>
      <c r="H94" s="32">
        <f t="shared" si="9"/>
        <v>1.9327731092436995</v>
      </c>
      <c r="I94" s="32">
        <f t="shared" si="6"/>
        <v>10.961436089221252</v>
      </c>
      <c r="J94" s="33">
        <f t="shared" si="7"/>
        <v>12.846437680328691</v>
      </c>
    </row>
    <row r="95" spans="6:10">
      <c r="F95" s="31">
        <f t="shared" si="10"/>
        <v>0.9300000000000006</v>
      </c>
      <c r="G95" s="32">
        <f t="shared" si="8"/>
        <v>1962.025316455698</v>
      </c>
      <c r="H95" s="32">
        <f t="shared" si="9"/>
        <v>1.962025316455698</v>
      </c>
      <c r="I95" s="32">
        <f t="shared" si="6"/>
        <v>10.656818365414665</v>
      </c>
      <c r="J95" s="33">
        <f t="shared" si="7"/>
        <v>12.599200901614793</v>
      </c>
    </row>
    <row r="96" spans="6:10">
      <c r="F96" s="31">
        <f t="shared" si="10"/>
        <v>0.94000000000000061</v>
      </c>
      <c r="G96" s="32">
        <f t="shared" si="8"/>
        <v>1991.5254237288152</v>
      </c>
      <c r="H96" s="32">
        <f t="shared" si="9"/>
        <v>1.9915254237288151</v>
      </c>
      <c r="I96" s="32">
        <f t="shared" si="6"/>
        <v>10.354830882019598</v>
      </c>
      <c r="J96" s="33">
        <f t="shared" si="7"/>
        <v>12.348560435413688</v>
      </c>
    </row>
    <row r="97" spans="6:10">
      <c r="F97" s="31">
        <f t="shared" si="10"/>
        <v>0.95000000000000062</v>
      </c>
      <c r="G97" s="32">
        <f t="shared" si="8"/>
        <v>2021.2765957446827</v>
      </c>
      <c r="H97" s="32">
        <f t="shared" si="9"/>
        <v>2.0212765957446828</v>
      </c>
      <c r="I97" s="32">
        <f t="shared" si="6"/>
        <v>10.05540651857126</v>
      </c>
      <c r="J97" s="33">
        <f t="shared" si="7"/>
        <v>12.094457882359407</v>
      </c>
    </row>
    <row r="98" spans="6:10">
      <c r="F98" s="31">
        <f t="shared" si="10"/>
        <v>0.96000000000000063</v>
      </c>
      <c r="G98" s="32">
        <f t="shared" si="8"/>
        <v>2051.2820512820535</v>
      </c>
      <c r="H98" s="32">
        <f t="shared" si="9"/>
        <v>2.0512820512820538</v>
      </c>
      <c r="I98" s="32">
        <f t="shared" si="6"/>
        <v>9.7584802742389343</v>
      </c>
      <c r="J98" s="33">
        <f t="shared" si="7"/>
        <v>11.836850031271936</v>
      </c>
    </row>
    <row r="99" spans="6:10">
      <c r="F99" s="31">
        <f t="shared" si="10"/>
        <v>0.97000000000000064</v>
      </c>
      <c r="G99" s="32">
        <f t="shared" si="8"/>
        <v>2081.5450643776849</v>
      </c>
      <c r="H99" s="32">
        <f t="shared" si="9"/>
        <v>2.0815450643776847</v>
      </c>
      <c r="I99" s="32">
        <f t="shared" ref="I99:I162" si="11">$K$12/(LN(G99/$N$12))-273</f>
        <v>9.4639891751032792</v>
      </c>
      <c r="J99" s="33">
        <f t="shared" si="7"/>
        <v>11.575708265673498</v>
      </c>
    </row>
    <row r="100" spans="6:10">
      <c r="F100" s="31">
        <f t="shared" si="10"/>
        <v>0.98000000000000065</v>
      </c>
      <c r="G100" s="32">
        <f t="shared" si="8"/>
        <v>2112.0689655172437</v>
      </c>
      <c r="H100" s="32">
        <f t="shared" si="9"/>
        <v>2.1120689655172438</v>
      </c>
      <c r="I100" s="32">
        <f t="shared" si="11"/>
        <v>9.1718721863071551</v>
      </c>
      <c r="J100" s="33">
        <f t="shared" si="7"/>
        <v>11.311017978361022</v>
      </c>
    </row>
    <row r="101" spans="6:10">
      <c r="F101" s="31">
        <f t="shared" si="10"/>
        <v>0.99000000000000066</v>
      </c>
      <c r="G101" s="32">
        <f t="shared" si="8"/>
        <v>2142.8571428571454</v>
      </c>
      <c r="H101" s="32">
        <f t="shared" si="9"/>
        <v>2.1428571428571455</v>
      </c>
      <c r="I101" s="32">
        <f t="shared" si="11"/>
        <v>8.8820701287735915</v>
      </c>
      <c r="J101" s="33">
        <f t="shared" si="7"/>
        <v>11.04277799403765</v>
      </c>
    </row>
    <row r="102" spans="6:10">
      <c r="F102" s="31">
        <f t="shared" si="10"/>
        <v>1.0000000000000007</v>
      </c>
      <c r="G102" s="32">
        <f t="shared" si="8"/>
        <v>2173.9130434782633</v>
      </c>
      <c r="H102" s="32">
        <f t="shared" si="9"/>
        <v>2.1739130434782634</v>
      </c>
      <c r="I102" s="32">
        <f t="shared" si="11"/>
        <v>8.5945256002078736</v>
      </c>
      <c r="J102" s="33">
        <f t="shared" si="7"/>
        <v>10.771000000000029</v>
      </c>
    </row>
    <row r="103" spans="6:10">
      <c r="F103" s="31">
        <f t="shared" si="10"/>
        <v>1.0100000000000007</v>
      </c>
      <c r="G103" s="32">
        <f t="shared" si="8"/>
        <v>2205.2401746724913</v>
      </c>
      <c r="H103" s="32">
        <f t="shared" si="9"/>
        <v>2.2052401746724914</v>
      </c>
      <c r="I103" s="32">
        <f t="shared" si="11"/>
        <v>8.3091829001199358</v>
      </c>
      <c r="J103" s="33">
        <f t="shared" si="7"/>
        <v>10.495707984884817</v>
      </c>
    </row>
    <row r="104" spans="6:10">
      <c r="F104" s="31">
        <f t="shared" si="10"/>
        <v>1.0200000000000007</v>
      </c>
      <c r="G104" s="32">
        <f t="shared" si="8"/>
        <v>2236.8421052631602</v>
      </c>
      <c r="H104" s="32">
        <f t="shared" si="9"/>
        <v>2.2368421052631602</v>
      </c>
      <c r="I104" s="32">
        <f t="shared" si="11"/>
        <v>8.0259879586232614</v>
      </c>
      <c r="J104" s="33">
        <f t="shared" si="7"/>
        <v>10.216937685471365</v>
      </c>
    </row>
    <row r="105" spans="6:10">
      <c r="F105" s="31">
        <f t="shared" si="10"/>
        <v>1.0300000000000007</v>
      </c>
      <c r="G105" s="32">
        <f t="shared" si="8"/>
        <v>2268.7224669603547</v>
      </c>
      <c r="H105" s="32">
        <f t="shared" si="9"/>
        <v>2.2687224669603547</v>
      </c>
      <c r="I105" s="32">
        <f t="shared" si="11"/>
        <v>7.7448882687806417</v>
      </c>
      <c r="J105" s="33">
        <f t="shared" si="7"/>
        <v>9.9347360415431609</v>
      </c>
    </row>
    <row r="106" spans="6:10">
      <c r="F106" s="31">
        <f t="shared" si="10"/>
        <v>1.0400000000000007</v>
      </c>
      <c r="G106" s="32">
        <f t="shared" si="8"/>
        <v>2300.8849557522153</v>
      </c>
      <c r="H106" s="32">
        <f t="shared" si="9"/>
        <v>2.3008849557522155</v>
      </c>
      <c r="I106" s="32">
        <f t="shared" si="11"/>
        <v>7.4658328222872115</v>
      </c>
      <c r="J106" s="33">
        <f t="shared" si="7"/>
        <v>9.6491606588046608</v>
      </c>
    </row>
    <row r="107" spans="6:10">
      <c r="F107" s="31">
        <f t="shared" si="10"/>
        <v>1.0500000000000007</v>
      </c>
      <c r="G107" s="32">
        <f t="shared" si="8"/>
        <v>2333.3333333333358</v>
      </c>
      <c r="H107" s="32">
        <f t="shared" si="9"/>
        <v>2.3333333333333357</v>
      </c>
      <c r="I107" s="32">
        <f t="shared" si="11"/>
        <v>7.1887720482909003</v>
      </c>
      <c r="J107" s="33">
        <f t="shared" si="7"/>
        <v>9.3602792798594834</v>
      </c>
    </row>
    <row r="108" spans="6:10">
      <c r="F108" s="31">
        <f t="shared" si="10"/>
        <v>1.0600000000000007</v>
      </c>
      <c r="G108" s="32">
        <f t="shared" si="8"/>
        <v>2366.0714285714307</v>
      </c>
      <c r="H108" s="32">
        <f t="shared" si="9"/>
        <v>2.3660714285714306</v>
      </c>
      <c r="I108" s="32">
        <f t="shared" si="11"/>
        <v>6.9136577551682308</v>
      </c>
      <c r="J108" s="33">
        <f t="shared" si="7"/>
        <v>9.068169263241046</v>
      </c>
    </row>
    <row r="109" spans="6:10">
      <c r="F109" s="31">
        <f t="shared" si="10"/>
        <v>1.0700000000000007</v>
      </c>
      <c r="G109" s="32">
        <f t="shared" si="8"/>
        <v>2399.1031390134553</v>
      </c>
      <c r="H109" s="32">
        <f t="shared" si="9"/>
        <v>2.3991031390134552</v>
      </c>
      <c r="I109" s="32">
        <f t="shared" si="11"/>
        <v>6.6404430750821462</v>
      </c>
      <c r="J109" s="33">
        <f t="shared" si="7"/>
        <v>8.7729170705049597</v>
      </c>
    </row>
    <row r="110" spans="6:10">
      <c r="F110" s="31">
        <f t="shared" si="10"/>
        <v>1.0800000000000007</v>
      </c>
      <c r="G110" s="32">
        <f t="shared" si="8"/>
        <v>2432.4324324324352</v>
      </c>
      <c r="H110" s="32">
        <f t="shared" si="9"/>
        <v>2.4324324324324351</v>
      </c>
      <c r="I110" s="32">
        <f t="shared" si="11"/>
        <v>6.3690824111623101</v>
      </c>
      <c r="J110" s="33">
        <f t="shared" si="7"/>
        <v>8.474617761378525</v>
      </c>
    </row>
    <row r="111" spans="6:10">
      <c r="F111" s="31">
        <f t="shared" si="10"/>
        <v>1.0900000000000007</v>
      </c>
      <c r="G111" s="32">
        <f t="shared" si="8"/>
        <v>2466.0633484162922</v>
      </c>
      <c r="H111" s="32">
        <f t="shared" si="9"/>
        <v>2.4660633484162924</v>
      </c>
      <c r="I111" s="32">
        <f t="shared" si="11"/>
        <v>6.0995313871581516</v>
      </c>
      <c r="J111" s="33">
        <f t="shared" si="7"/>
        <v>8.1733744969625519</v>
      </c>
    </row>
    <row r="112" spans="6:10">
      <c r="F112" s="31">
        <f t="shared" si="10"/>
        <v>1.1000000000000008</v>
      </c>
      <c r="G112" s="32">
        <f t="shared" si="8"/>
        <v>2500.0000000000023</v>
      </c>
      <c r="H112" s="32">
        <f t="shared" si="9"/>
        <v>2.5000000000000022</v>
      </c>
      <c r="I112" s="32">
        <f t="shared" si="11"/>
        <v>5.8317467994237404</v>
      </c>
      <c r="J112" s="33">
        <f t="shared" si="7"/>
        <v>7.8692980510000581</v>
      </c>
    </row>
    <row r="113" spans="6:10">
      <c r="F113" s="31">
        <f t="shared" si="10"/>
        <v>1.1100000000000008</v>
      </c>
      <c r="G113" s="32">
        <f t="shared" si="8"/>
        <v>2534.2465753424685</v>
      </c>
      <c r="H113" s="32">
        <f t="shared" si="9"/>
        <v>2.5342465753424683</v>
      </c>
      <c r="I113" s="32">
        <f t="shared" si="11"/>
        <v>5.5656865711051751</v>
      </c>
      <c r="J113" s="33">
        <f t="shared" si="7"/>
        <v>7.5625063291928001</v>
      </c>
    </row>
    <row r="114" spans="6:10">
      <c r="F114" s="31">
        <f t="shared" si="10"/>
        <v>1.1200000000000008</v>
      </c>
      <c r="G114" s="32">
        <f t="shared" si="8"/>
        <v>2568.8073394495445</v>
      </c>
      <c r="H114" s="32">
        <f t="shared" si="9"/>
        <v>2.5688073394495445</v>
      </c>
      <c r="I114" s="32">
        <f t="shared" si="11"/>
        <v>5.3013097084055971</v>
      </c>
      <c r="J114" s="33">
        <f t="shared" si="7"/>
        <v>7.2531238965820677</v>
      </c>
    </row>
    <row r="115" spans="6:10">
      <c r="F115" s="31">
        <f t="shared" si="10"/>
        <v>1.1300000000000008</v>
      </c>
      <c r="G115" s="32">
        <f t="shared" si="8"/>
        <v>2603.6866359447031</v>
      </c>
      <c r="H115" s="32">
        <f t="shared" si="9"/>
        <v>2.6036866359447033</v>
      </c>
      <c r="I115" s="32">
        <f t="shared" si="11"/>
        <v>5.0385762588153966</v>
      </c>
      <c r="J115" s="33">
        <f t="shared" si="7"/>
        <v>6.9412815129841903</v>
      </c>
    </row>
    <row r="116" spans="6:10">
      <c r="F116" s="31">
        <f t="shared" si="10"/>
        <v>1.1400000000000008</v>
      </c>
      <c r="G116" s="32">
        <f t="shared" si="8"/>
        <v>2638.8888888888914</v>
      </c>
      <c r="H116" s="32">
        <f t="shared" si="9"/>
        <v>2.6388888888888915</v>
      </c>
      <c r="I116" s="32">
        <f t="shared" si="11"/>
        <v>4.7774472711979001</v>
      </c>
      <c r="J116" s="33">
        <f t="shared" si="7"/>
        <v>6.627115676483939</v>
      </c>
    </row>
    <row r="117" spans="6:10">
      <c r="F117" s="31">
        <f t="shared" si="10"/>
        <v>1.1500000000000008</v>
      </c>
      <c r="G117" s="32">
        <f t="shared" si="8"/>
        <v>2674.4186046511659</v>
      </c>
      <c r="H117" s="32">
        <f t="shared" si="9"/>
        <v>2.6744186046511658</v>
      </c>
      <c r="I117" s="32">
        <f t="shared" si="11"/>
        <v>4.5178847576311796</v>
      </c>
      <c r="J117" s="33">
        <f t="shared" si="7"/>
        <v>6.310768174984517</v>
      </c>
    </row>
    <row r="118" spans="6:10">
      <c r="F118" s="31">
        <f t="shared" si="10"/>
        <v>1.1600000000000008</v>
      </c>
      <c r="G118" s="32">
        <f t="shared" si="8"/>
        <v>2710.2803738317789</v>
      </c>
      <c r="H118" s="32">
        <f t="shared" si="9"/>
        <v>2.7102803738317789</v>
      </c>
      <c r="I118" s="32">
        <f t="shared" si="11"/>
        <v>4.2598516569104845</v>
      </c>
      <c r="J118" s="33">
        <f t="shared" si="7"/>
        <v>5.9923856458178335</v>
      </c>
    </row>
    <row r="119" spans="6:10">
      <c r="F119" s="31">
        <f t="shared" si="10"/>
        <v>1.1700000000000008</v>
      </c>
      <c r="G119" s="32">
        <f t="shared" si="8"/>
        <v>2746.4788732394395</v>
      </c>
      <c r="H119" s="32">
        <f t="shared" si="9"/>
        <v>2.7464788732394396</v>
      </c>
      <c r="I119" s="32">
        <f t="shared" si="11"/>
        <v>4.0033117996223382</v>
      </c>
      <c r="J119" s="33">
        <f t="shared" si="7"/>
        <v>5.6721191434097165</v>
      </c>
    </row>
    <row r="120" spans="6:10">
      <c r="F120" s="31">
        <f t="shared" si="10"/>
        <v>1.1800000000000008</v>
      </c>
      <c r="G120" s="32">
        <f t="shared" si="8"/>
        <v>2783.0188679245316</v>
      </c>
      <c r="H120" s="32">
        <f t="shared" si="9"/>
        <v>2.7830188679245316</v>
      </c>
      <c r="I120" s="32">
        <f t="shared" si="11"/>
        <v>3.7482298747071354</v>
      </c>
      <c r="J120" s="33">
        <f t="shared" si="7"/>
        <v>5.3501237150034768</v>
      </c>
    </row>
    <row r="121" spans="6:10">
      <c r="F121" s="31">
        <f t="shared" si="10"/>
        <v>1.1900000000000008</v>
      </c>
      <c r="G121" s="32">
        <f t="shared" si="8"/>
        <v>2819.9052132701459</v>
      </c>
      <c r="H121" s="32">
        <f t="shared" si="9"/>
        <v>2.8199052132701459</v>
      </c>
      <c r="I121" s="32">
        <f t="shared" si="11"/>
        <v>3.4945713974314572</v>
      </c>
      <c r="J121" s="33">
        <f t="shared" si="7"/>
        <v>5.0265579844409132</v>
      </c>
    </row>
    <row r="122" spans="6:10">
      <c r="F122" s="31">
        <f t="shared" si="10"/>
        <v>1.2000000000000008</v>
      </c>
      <c r="G122" s="32">
        <f t="shared" si="8"/>
        <v>2857.142857142861</v>
      </c>
      <c r="H122" s="32">
        <f t="shared" si="9"/>
        <v>2.8571428571428608</v>
      </c>
      <c r="I122" s="32">
        <f t="shared" si="11"/>
        <v>3.2423026786964328</v>
      </c>
      <c r="J122" s="33">
        <f t="shared" si="7"/>
        <v>4.7015837439998478</v>
      </c>
    </row>
    <row r="123" spans="6:10">
      <c r="F123" s="31">
        <f t="shared" si="10"/>
        <v>1.2100000000000009</v>
      </c>
      <c r="G123" s="32">
        <f t="shared" si="8"/>
        <v>2894.736842105267</v>
      </c>
      <c r="H123" s="32">
        <f t="shared" si="9"/>
        <v>2.8947368421052668</v>
      </c>
      <c r="I123" s="32">
        <f t="shared" si="11"/>
        <v>2.9913907956124604</v>
      </c>
      <c r="J123" s="33">
        <f t="shared" si="7"/>
        <v>4.375365554293424</v>
      </c>
    </row>
    <row r="124" spans="6:10">
      <c r="F124" s="31">
        <f t="shared" si="10"/>
        <v>1.2200000000000009</v>
      </c>
      <c r="G124" s="32">
        <f t="shared" si="8"/>
        <v>2932.6923076923108</v>
      </c>
      <c r="H124" s="32">
        <f t="shared" si="9"/>
        <v>2.9326923076923106</v>
      </c>
      <c r="I124" s="32">
        <f t="shared" si="11"/>
        <v>2.7418035632748001</v>
      </c>
      <c r="J124" s="33">
        <f t="shared" si="7"/>
        <v>4.0480703522207051</v>
      </c>
    </row>
    <row r="125" spans="6:10">
      <c r="F125" s="31">
        <f t="shared" si="10"/>
        <v>1.2300000000000009</v>
      </c>
      <c r="G125" s="32">
        <f t="shared" si="8"/>
        <v>2971.0144927536271</v>
      </c>
      <c r="H125" s="32">
        <f t="shared" si="9"/>
        <v>2.9710144927536271</v>
      </c>
      <c r="I125" s="32">
        <f t="shared" si="11"/>
        <v>2.4935095076784819</v>
      </c>
      <c r="J125" s="33">
        <f t="shared" si="7"/>
        <v>3.7198670669784661</v>
      </c>
    </row>
    <row r="126" spans="6:10">
      <c r="F126" s="31">
        <f t="shared" si="10"/>
        <v>1.2400000000000009</v>
      </c>
      <c r="G126" s="32">
        <f t="shared" si="8"/>
        <v>3009.7087378640817</v>
      </c>
      <c r="H126" s="32">
        <f t="shared" si="9"/>
        <v>3.0097087378640817</v>
      </c>
      <c r="I126" s="32">
        <f t="shared" si="11"/>
        <v>2.2464778397143732</v>
      </c>
      <c r="J126" s="33">
        <f t="shared" si="7"/>
        <v>3.3909262441309949</v>
      </c>
    </row>
    <row r="127" spans="6:10">
      <c r="F127" s="31">
        <f t="shared" si="10"/>
        <v>1.2500000000000009</v>
      </c>
      <c r="G127" s="32">
        <f t="shared" si="8"/>
        <v>3048.7804878048819</v>
      </c>
      <c r="H127" s="32">
        <f t="shared" si="9"/>
        <v>3.0487804878048821</v>
      </c>
      <c r="I127" s="32">
        <f t="shared" si="11"/>
        <v>2.0006784301917264</v>
      </c>
      <c r="J127" s="33">
        <f t="shared" si="7"/>
        <v>3.0614196777343778</v>
      </c>
    </row>
    <row r="128" spans="6:10">
      <c r="F128" s="31">
        <f t="shared" si="10"/>
        <v>1.2600000000000009</v>
      </c>
      <c r="G128" s="32">
        <f t="shared" si="8"/>
        <v>3088.2352941176505</v>
      </c>
      <c r="H128" s="32">
        <f t="shared" si="9"/>
        <v>3.0882352941176503</v>
      </c>
      <c r="I128" s="32">
        <f t="shared" si="11"/>
        <v>1.7560817858347377</v>
      </c>
      <c r="J128" s="33">
        <f t="shared" si="7"/>
        <v>2.731520050522775</v>
      </c>
    </row>
    <row r="129" spans="6:10">
      <c r="F129" s="31">
        <f t="shared" si="10"/>
        <v>1.2700000000000009</v>
      </c>
      <c r="G129" s="32">
        <f t="shared" si="8"/>
        <v>3128.0788177339941</v>
      </c>
      <c r="H129" s="32">
        <f t="shared" si="9"/>
        <v>3.1280788177339942</v>
      </c>
      <c r="I129" s="32">
        <f t="shared" si="11"/>
        <v>1.5126590262052559</v>
      </c>
      <c r="J129" s="33">
        <f t="shared" si="7"/>
        <v>2.401400582147474</v>
      </c>
    </row>
    <row r="130" spans="6:10">
      <c r="F130" s="31">
        <f t="shared" si="10"/>
        <v>1.2800000000000009</v>
      </c>
      <c r="G130" s="32">
        <f t="shared" si="8"/>
        <v>3168.3168316831725</v>
      </c>
      <c r="H130" s="32">
        <f t="shared" si="9"/>
        <v>3.1683168316831725</v>
      </c>
      <c r="I130" s="32">
        <f t="shared" si="11"/>
        <v>1.2703818615049158</v>
      </c>
      <c r="J130" s="33">
        <f t="shared" si="7"/>
        <v>2.0712346854771368</v>
      </c>
    </row>
    <row r="131" spans="6:10">
      <c r="F131" s="31">
        <f t="shared" si="10"/>
        <v>1.2900000000000009</v>
      </c>
      <c r="G131" s="32">
        <f t="shared" si="8"/>
        <v>3208.9552238806009</v>
      </c>
      <c r="H131" s="32">
        <f t="shared" si="9"/>
        <v>3.2089552238806007</v>
      </c>
      <c r="I131" s="32">
        <f t="shared" si="11"/>
        <v>1.0292225712123582</v>
      </c>
      <c r="J131" s="33">
        <f t="shared" ref="J131:J194" si="12">11.191*F131^6  -112.91*F131^5 + 445.63*F131^4 - 872.24*F131^3 + 886.6*F131^2 - 468.95*F131 + 121.45</f>
        <v>1.7411956309517365</v>
      </c>
    </row>
    <row r="132" spans="6:10">
      <c r="F132" s="31">
        <f t="shared" si="10"/>
        <v>1.3000000000000009</v>
      </c>
      <c r="G132" s="32">
        <f t="shared" ref="G132:G195" si="13">5000*F132/(3.3-F132)</f>
        <v>3250.0000000000041</v>
      </c>
      <c r="H132" s="32">
        <f t="shared" ref="H132:H195" si="14">G132/$L$12</f>
        <v>3.250000000000004</v>
      </c>
      <c r="I132" s="32">
        <f t="shared" si="11"/>
        <v>0.7891539835162007</v>
      </c>
      <c r="J132" s="33">
        <f t="shared" si="12"/>
        <v>1.4114562190000726</v>
      </c>
    </row>
    <row r="133" spans="6:10">
      <c r="F133" s="31">
        <f t="shared" ref="F133:F196" si="15">0.01+F132</f>
        <v>1.3100000000000009</v>
      </c>
      <c r="G133" s="32">
        <f t="shared" si="13"/>
        <v>3291.4572864321649</v>
      </c>
      <c r="H133" s="32">
        <f t="shared" si="14"/>
        <v>3.291457286432165</v>
      </c>
      <c r="I133" s="32">
        <f t="shared" si="11"/>
        <v>0.5501494555020372</v>
      </c>
      <c r="J133" s="33">
        <f t="shared" si="12"/>
        <v>1.0821884605076804</v>
      </c>
    </row>
    <row r="134" spans="6:10">
      <c r="F134" s="31">
        <f t="shared" si="15"/>
        <v>1.320000000000001</v>
      </c>
      <c r="G134" s="32">
        <f t="shared" si="13"/>
        <v>3333.3333333333376</v>
      </c>
      <c r="H134" s="32">
        <f t="shared" si="14"/>
        <v>3.3333333333333375</v>
      </c>
      <c r="I134" s="32">
        <f t="shared" si="11"/>
        <v>0.31218285405867618</v>
      </c>
      <c r="J134" s="33">
        <f t="shared" si="12"/>
        <v>0.75356326534763696</v>
      </c>
    </row>
    <row r="135" spans="6:10">
      <c r="F135" s="31">
        <f t="shared" si="15"/>
        <v>1.330000000000001</v>
      </c>
      <c r="G135" s="32">
        <f t="shared" si="13"/>
        <v>3375.6345177665016</v>
      </c>
      <c r="H135" s="32">
        <f t="shared" si="14"/>
        <v>3.3756345177665015</v>
      </c>
      <c r="I135" s="32">
        <f t="shared" si="11"/>
        <v>7.522853746763758E-2</v>
      </c>
      <c r="J135" s="33">
        <f t="shared" si="12"/>
        <v>0.42575013896596658</v>
      </c>
    </row>
    <row r="136" spans="6:10">
      <c r="F136" s="31">
        <f t="shared" si="15"/>
        <v>1.340000000000001</v>
      </c>
      <c r="G136" s="32">
        <f t="shared" si="13"/>
        <v>3418.36734693878</v>
      </c>
      <c r="H136" s="32">
        <f t="shared" si="14"/>
        <v>3.4183673469387799</v>
      </c>
      <c r="I136" s="32">
        <f t="shared" si="11"/>
        <v>-0.16073866235791456</v>
      </c>
      <c r="J136" s="33">
        <f t="shared" si="12"/>
        <v>9.891688702573731E-2</v>
      </c>
    </row>
    <row r="137" spans="6:10">
      <c r="F137" s="31">
        <f t="shared" si="15"/>
        <v>1.350000000000001</v>
      </c>
      <c r="G137" s="32">
        <f t="shared" si="13"/>
        <v>3461.538461538466</v>
      </c>
      <c r="H137" s="32">
        <f t="shared" si="14"/>
        <v>3.4615384615384661</v>
      </c>
      <c r="I137" s="32">
        <f t="shared" si="11"/>
        <v>-0.39574345701504399</v>
      </c>
      <c r="J137" s="33">
        <f t="shared" si="12"/>
        <v>-0.22677067189060551</v>
      </c>
    </row>
    <row r="138" spans="6:10">
      <c r="F138" s="31">
        <f t="shared" si="15"/>
        <v>1.360000000000001</v>
      </c>
      <c r="G138" s="32">
        <f t="shared" si="13"/>
        <v>3505.1546391752622</v>
      </c>
      <c r="H138" s="32">
        <f t="shared" si="14"/>
        <v>3.5051546391752622</v>
      </c>
      <c r="I138" s="32">
        <f t="shared" si="11"/>
        <v>-0.62981011816475529</v>
      </c>
      <c r="J138" s="33">
        <f t="shared" si="12"/>
        <v>-0.55114898552407965</v>
      </c>
    </row>
    <row r="139" spans="6:10">
      <c r="F139" s="31">
        <f t="shared" si="15"/>
        <v>1.370000000000001</v>
      </c>
      <c r="G139" s="32">
        <f t="shared" si="13"/>
        <v>3549.2227979274658</v>
      </c>
      <c r="H139" s="32">
        <f t="shared" si="14"/>
        <v>3.5492227979274658</v>
      </c>
      <c r="I139" s="32">
        <f t="shared" si="11"/>
        <v>-0.86296249352568566</v>
      </c>
      <c r="J139" s="33">
        <f t="shared" si="12"/>
        <v>-0.87405703912183697</v>
      </c>
    </row>
    <row r="140" spans="6:10">
      <c r="F140" s="31">
        <f t="shared" si="15"/>
        <v>1.380000000000001</v>
      </c>
      <c r="G140" s="32">
        <f t="shared" si="13"/>
        <v>3593.750000000005</v>
      </c>
      <c r="H140" s="32">
        <f t="shared" si="14"/>
        <v>3.5937500000000049</v>
      </c>
      <c r="I140" s="32">
        <f t="shared" si="11"/>
        <v>-1.0952240223340937</v>
      </c>
      <c r="J140" s="33">
        <f t="shared" si="12"/>
        <v>-1.1953366185615977</v>
      </c>
    </row>
    <row r="141" spans="6:10">
      <c r="F141" s="31">
        <f t="shared" si="15"/>
        <v>1.390000000000001</v>
      </c>
      <c r="G141" s="32">
        <f t="shared" si="13"/>
        <v>3638.7434554973875</v>
      </c>
      <c r="H141" s="32">
        <f t="shared" si="14"/>
        <v>3.6387434554973876</v>
      </c>
      <c r="I141" s="32">
        <f t="shared" si="11"/>
        <v>-1.3266177502976575</v>
      </c>
      <c r="J141" s="33">
        <f t="shared" si="12"/>
        <v>-1.5148325654241006</v>
      </c>
    </row>
    <row r="142" spans="6:10">
      <c r="F142" s="31">
        <f t="shared" si="15"/>
        <v>1.400000000000001</v>
      </c>
      <c r="G142" s="32">
        <f t="shared" si="13"/>
        <v>3684.2105263157946</v>
      </c>
      <c r="H142" s="32">
        <f t="shared" si="14"/>
        <v>3.6842105263157947</v>
      </c>
      <c r="I142" s="32">
        <f t="shared" si="11"/>
        <v>-1.5571663440647967</v>
      </c>
      <c r="J142" s="33">
        <f t="shared" si="12"/>
        <v>-1.8323930239999271</v>
      </c>
    </row>
    <row r="143" spans="6:10">
      <c r="F143" s="31">
        <f t="shared" si="15"/>
        <v>1.410000000000001</v>
      </c>
      <c r="G143" s="32">
        <f t="shared" si="13"/>
        <v>3730.1587301587356</v>
      </c>
      <c r="H143" s="32">
        <f t="shared" si="14"/>
        <v>3.7301587301587356</v>
      </c>
      <c r="I143" s="32">
        <f t="shared" si="11"/>
        <v>-1.7868921052357791</v>
      </c>
      <c r="J143" s="33">
        <f t="shared" si="12"/>
        <v>-2.1478696802452504</v>
      </c>
    </row>
    <row r="144" spans="6:10">
      <c r="F144" s="31">
        <f t="shared" si="15"/>
        <v>1.420000000000001</v>
      </c>
      <c r="G144" s="32">
        <f t="shared" si="13"/>
        <v>3776.5957446808566</v>
      </c>
      <c r="H144" s="32">
        <f t="shared" si="14"/>
        <v>3.7765957446808565</v>
      </c>
      <c r="I144" s="32">
        <f t="shared" si="11"/>
        <v>-2.0158169839354514</v>
      </c>
      <c r="J144" s="33">
        <f t="shared" si="12"/>
        <v>-2.4611179926775293</v>
      </c>
    </row>
    <row r="145" spans="6:10">
      <c r="F145" s="31">
        <f t="shared" si="15"/>
        <v>1.430000000000001</v>
      </c>
      <c r="G145" s="32">
        <f t="shared" si="13"/>
        <v>3823.5294117647113</v>
      </c>
      <c r="H145" s="32">
        <f t="shared" si="14"/>
        <v>3.8235294117647114</v>
      </c>
      <c r="I145" s="32">
        <f t="shared" si="11"/>
        <v>-2.2439625919701598</v>
      </c>
      <c r="J145" s="33">
        <f t="shared" si="12"/>
        <v>-2.7719974152142157</v>
      </c>
    </row>
    <row r="146" spans="6:10">
      <c r="F146" s="31">
        <f t="shared" si="15"/>
        <v>1.4400000000000011</v>
      </c>
      <c r="G146" s="32">
        <f t="shared" si="13"/>
        <v>3870.9677419354894</v>
      </c>
      <c r="H146" s="32">
        <f t="shared" si="14"/>
        <v>3.8709677419354893</v>
      </c>
      <c r="I146" s="32">
        <f t="shared" si="11"/>
        <v>-2.471350215587961</v>
      </c>
      <c r="J146" s="33">
        <f t="shared" si="12"/>
        <v>-3.0803716119512927</v>
      </c>
    </row>
    <row r="147" spans="6:10">
      <c r="F147" s="31">
        <f t="shared" si="15"/>
        <v>1.4500000000000011</v>
      </c>
      <c r="G147" s="32">
        <f t="shared" si="13"/>
        <v>3918.9189189189246</v>
      </c>
      <c r="H147" s="32">
        <f t="shared" si="14"/>
        <v>3.9189189189189246</v>
      </c>
      <c r="I147" s="32">
        <f t="shared" si="11"/>
        <v>-2.6980008278627565</v>
      </c>
      <c r="J147" s="33">
        <f t="shared" si="12"/>
        <v>-3.3861086638907381</v>
      </c>
    </row>
    <row r="148" spans="6:10">
      <c r="F148" s="31">
        <f t="shared" si="15"/>
        <v>1.4600000000000011</v>
      </c>
      <c r="G148" s="32">
        <f t="shared" si="13"/>
        <v>3967.3913043478319</v>
      </c>
      <c r="H148" s="32">
        <f t="shared" si="14"/>
        <v>3.9673913043478319</v>
      </c>
      <c r="I148" s="32">
        <f t="shared" si="11"/>
        <v>-2.9239351007191772</v>
      </c>
      <c r="J148" s="33">
        <f t="shared" si="12"/>
        <v>-3.6890812676032709</v>
      </c>
    </row>
    <row r="149" spans="6:10">
      <c r="F149" s="31">
        <f t="shared" si="15"/>
        <v>1.4700000000000011</v>
      </c>
      <c r="G149" s="32">
        <f t="shared" si="13"/>
        <v>4016.3934426229566</v>
      </c>
      <c r="H149" s="32">
        <f t="shared" si="14"/>
        <v>4.0163934426229568</v>
      </c>
      <c r="I149" s="32">
        <f t="shared" si="11"/>
        <v>-3.1491734166171454</v>
      </c>
      <c r="J149" s="33">
        <f t="shared" si="12"/>
        <v>-3.989166925837182</v>
      </c>
    </row>
    <row r="150" spans="6:10">
      <c r="F150" s="31">
        <f t="shared" si="15"/>
        <v>1.4800000000000011</v>
      </c>
      <c r="G150" s="32">
        <f t="shared" si="13"/>
        <v>4065.9340659340719</v>
      </c>
      <c r="H150" s="32">
        <f t="shared" si="14"/>
        <v>4.0659340659340719</v>
      </c>
      <c r="I150" s="32">
        <f t="shared" si="11"/>
        <v>-3.3737358799119193</v>
      </c>
      <c r="J150" s="33">
        <f t="shared" si="12"/>
        <v>-4.286248130071769</v>
      </c>
    </row>
    <row r="151" spans="6:10">
      <c r="F151" s="31">
        <f t="shared" si="15"/>
        <v>1.4900000000000011</v>
      </c>
      <c r="G151" s="32">
        <f t="shared" si="13"/>
        <v>4116.0220994475194</v>
      </c>
      <c r="H151" s="32">
        <f t="shared" si="14"/>
        <v>4.1160220994475196</v>
      </c>
      <c r="I151" s="32">
        <f t="shared" si="11"/>
        <v>-3.5976423279068399</v>
      </c>
      <c r="J151" s="33">
        <f t="shared" si="12"/>
        <v>-4.5802125350076466</v>
      </c>
    </row>
    <row r="152" spans="6:10">
      <c r="F152" s="31">
        <f t="shared" si="15"/>
        <v>1.5000000000000011</v>
      </c>
      <c r="G152" s="32">
        <f t="shared" si="13"/>
        <v>4166.6666666666724</v>
      </c>
      <c r="H152" s="32">
        <f t="shared" si="14"/>
        <v>4.1666666666666723</v>
      </c>
      <c r="I152" s="32">
        <f t="shared" si="11"/>
        <v>-3.8209123416127682</v>
      </c>
      <c r="J152" s="33">
        <f t="shared" si="12"/>
        <v>-4.8709531250002982</v>
      </c>
    </row>
    <row r="153" spans="6:10">
      <c r="F153" s="31">
        <f t="shared" si="15"/>
        <v>1.5100000000000011</v>
      </c>
      <c r="G153" s="32">
        <f t="shared" si="13"/>
        <v>4217.8770949720729</v>
      </c>
      <c r="H153" s="32">
        <f t="shared" si="14"/>
        <v>4.2178770949720725</v>
      </c>
      <c r="I153" s="32">
        <f t="shared" si="11"/>
        <v>-4.0435652562308633</v>
      </c>
      <c r="J153" s="33">
        <f t="shared" si="12"/>
        <v>-5.1583683724456222</v>
      </c>
    </row>
    <row r="154" spans="6:10">
      <c r="F154" s="31">
        <f t="shared" si="15"/>
        <v>1.5200000000000011</v>
      </c>
      <c r="G154" s="32">
        <f t="shared" si="13"/>
        <v>4269.6629213483211</v>
      </c>
      <c r="H154" s="32">
        <f t="shared" si="14"/>
        <v>4.2696629213483215</v>
      </c>
      <c r="I154" s="32">
        <f t="shared" si="11"/>
        <v>-4.2656201713709265</v>
      </c>
      <c r="J154" s="33">
        <f t="shared" si="12"/>
        <v>-5.4423623880946224</v>
      </c>
    </row>
    <row r="155" spans="6:10">
      <c r="F155" s="31">
        <f t="shared" si="15"/>
        <v>1.5300000000000011</v>
      </c>
      <c r="G155" s="32">
        <f t="shared" si="13"/>
        <v>4322.0338983050906</v>
      </c>
      <c r="H155" s="32">
        <f t="shared" si="14"/>
        <v>4.322033898305091</v>
      </c>
      <c r="I155" s="32">
        <f t="shared" si="11"/>
        <v>-4.4870959610209411</v>
      </c>
      <c r="J155" s="33">
        <f t="shared" si="12"/>
        <v>-5.7228450633204346</v>
      </c>
    </row>
    <row r="156" spans="6:10">
      <c r="F156" s="31">
        <f t="shared" si="15"/>
        <v>1.5400000000000011</v>
      </c>
      <c r="G156" s="32">
        <f t="shared" si="13"/>
        <v>4375.0000000000064</v>
      </c>
      <c r="H156" s="32">
        <f t="shared" si="14"/>
        <v>4.3750000000000062</v>
      </c>
      <c r="I156" s="32">
        <f t="shared" si="11"/>
        <v>-4.7080112832795749</v>
      </c>
      <c r="J156" s="33">
        <f t="shared" si="12"/>
        <v>-5.9997322043206367</v>
      </c>
    </row>
    <row r="157" spans="6:10">
      <c r="F157" s="31">
        <f t="shared" si="15"/>
        <v>1.5500000000000012</v>
      </c>
      <c r="G157" s="32">
        <f t="shared" si="13"/>
        <v>4428.5714285714348</v>
      </c>
      <c r="H157" s="32">
        <f t="shared" si="14"/>
        <v>4.428571428571435</v>
      </c>
      <c r="I157" s="32">
        <f t="shared" si="11"/>
        <v>-4.9283845898646064</v>
      </c>
      <c r="J157" s="33">
        <f t="shared" si="12"/>
        <v>-6.2729456582659822</v>
      </c>
    </row>
    <row r="158" spans="6:10">
      <c r="F158" s="31">
        <f t="shared" si="15"/>
        <v>1.5600000000000012</v>
      </c>
      <c r="G158" s="32">
        <f t="shared" si="13"/>
        <v>4482.7586206896622</v>
      </c>
      <c r="H158" s="32">
        <f t="shared" si="14"/>
        <v>4.4827586206896619</v>
      </c>
      <c r="I158" s="32">
        <f t="shared" si="11"/>
        <v>-5.1482341354104619</v>
      </c>
      <c r="J158" s="33">
        <f t="shared" si="12"/>
        <v>-6.5424134313939675</v>
      </c>
    </row>
    <row r="159" spans="6:10">
      <c r="F159" s="31">
        <f t="shared" si="15"/>
        <v>1.5700000000000012</v>
      </c>
      <c r="G159" s="32">
        <f t="shared" si="13"/>
        <v>4537.5722543352667</v>
      </c>
      <c r="H159" s="32">
        <f t="shared" si="14"/>
        <v>4.5375722543352666</v>
      </c>
      <c r="I159" s="32">
        <f t="shared" si="11"/>
        <v>-5.3675779865646973</v>
      </c>
      <c r="J159" s="33">
        <f t="shared" si="12"/>
        <v>-6.8080697990413199</v>
      </c>
    </row>
    <row r="160" spans="6:10">
      <c r="F160" s="31">
        <f t="shared" si="15"/>
        <v>1.5800000000000012</v>
      </c>
      <c r="G160" s="32">
        <f t="shared" si="13"/>
        <v>4593.0232558139605</v>
      </c>
      <c r="H160" s="32">
        <f t="shared" si="14"/>
        <v>4.5930232558139608</v>
      </c>
      <c r="I160" s="32">
        <f t="shared" si="11"/>
        <v>-5.5864340308972942</v>
      </c>
      <c r="J160" s="33">
        <f t="shared" si="12"/>
        <v>-7.0698554076150657</v>
      </c>
    </row>
    <row r="161" spans="6:10">
      <c r="F161" s="31">
        <f t="shared" si="15"/>
        <v>1.5900000000000012</v>
      </c>
      <c r="G161" s="32">
        <f t="shared" si="13"/>
        <v>4649.1228070175512</v>
      </c>
      <c r="H161" s="32">
        <f t="shared" si="14"/>
        <v>4.6491228070175508</v>
      </c>
      <c r="I161" s="32">
        <f t="shared" si="11"/>
        <v>-5.8048199856314113</v>
      </c>
      <c r="J161" s="33">
        <f t="shared" si="12"/>
        <v>-7.3277173685170709</v>
      </c>
    </row>
    <row r="162" spans="6:10">
      <c r="F162" s="31">
        <f t="shared" si="15"/>
        <v>1.6000000000000012</v>
      </c>
      <c r="G162" s="32">
        <f t="shared" si="13"/>
        <v>4705.8823529411839</v>
      </c>
      <c r="H162" s="32">
        <f t="shared" si="14"/>
        <v>4.7058823529411837</v>
      </c>
      <c r="I162" s="32">
        <f t="shared" si="11"/>
        <v>-6.0227534062081531</v>
      </c>
      <c r="J162" s="33">
        <f t="shared" si="12"/>
        <v>-7.5816093440004551</v>
      </c>
    </row>
    <row r="163" spans="6:10">
      <c r="F163" s="31">
        <f t="shared" si="15"/>
        <v>1.6100000000000012</v>
      </c>
      <c r="G163" s="32">
        <f t="shared" si="13"/>
        <v>4763.3136094674637</v>
      </c>
      <c r="H163" s="32">
        <f t="shared" si="14"/>
        <v>4.7633136094674633</v>
      </c>
      <c r="I163" s="32">
        <f t="shared" ref="I163:I226" si="16">$K$12/(LN(G163/$N$12))-273</f>
        <v>-6.240251694694166</v>
      </c>
      <c r="J163" s="33">
        <f t="shared" si="12"/>
        <v>-7.8314916249719744</v>
      </c>
    </row>
    <row r="164" spans="6:10">
      <c r="F164" s="31">
        <f t="shared" si="15"/>
        <v>1.6200000000000012</v>
      </c>
      <c r="G164" s="32">
        <f t="shared" si="13"/>
        <v>4821.4285714285788</v>
      </c>
      <c r="H164" s="32">
        <f t="shared" si="14"/>
        <v>4.8214285714285792</v>
      </c>
      <c r="I164" s="32">
        <f t="shared" si="16"/>
        <v>-6.4573321080437722</v>
      </c>
      <c r="J164" s="33">
        <f t="shared" si="12"/>
        <v>-8.0773312007448084</v>
      </c>
    </row>
    <row r="165" spans="6:10">
      <c r="F165" s="31">
        <f t="shared" si="15"/>
        <v>1.6300000000000012</v>
      </c>
      <c r="G165" s="32">
        <f t="shared" si="13"/>
        <v>4880.2395209580918</v>
      </c>
      <c r="H165" s="32">
        <f t="shared" si="14"/>
        <v>4.8802395209580922</v>
      </c>
      <c r="I165" s="32">
        <f t="shared" si="16"/>
        <v>-6.6740117662236571</v>
      </c>
      <c r="J165" s="33">
        <f t="shared" si="12"/>
        <v>-8.3191018207143514</v>
      </c>
    </row>
    <row r="166" spans="6:10">
      <c r="F166" s="31">
        <f t="shared" si="15"/>
        <v>1.6400000000000012</v>
      </c>
      <c r="G166" s="32">
        <f t="shared" si="13"/>
        <v>4939.7590361445855</v>
      </c>
      <c r="H166" s="32">
        <f t="shared" si="14"/>
        <v>4.9397590361445856</v>
      </c>
      <c r="I166" s="32">
        <f t="shared" si="16"/>
        <v>-6.8903076602107944</v>
      </c>
      <c r="J166" s="33">
        <f t="shared" si="12"/>
        <v>-8.5567840480011199</v>
      </c>
    </row>
    <row r="167" spans="6:10">
      <c r="F167" s="31">
        <f t="shared" si="15"/>
        <v>1.6500000000000012</v>
      </c>
      <c r="G167" s="32">
        <f t="shared" si="13"/>
        <v>5000.0000000000073</v>
      </c>
      <c r="H167" s="32">
        <f t="shared" si="14"/>
        <v>5.0000000000000071</v>
      </c>
      <c r="I167" s="32">
        <f t="shared" si="16"/>
        <v>-7.1062366598729909</v>
      </c>
      <c r="J167" s="33">
        <f t="shared" si="12"/>
        <v>-8.7903653050162092</v>
      </c>
    </row>
    <row r="168" spans="6:10">
      <c r="F168" s="31">
        <f t="shared" si="15"/>
        <v>1.6600000000000013</v>
      </c>
      <c r="G168" s="32">
        <f t="shared" si="13"/>
        <v>5060.9756097561049</v>
      </c>
      <c r="H168" s="32">
        <f t="shared" si="14"/>
        <v>5.0609756097561052</v>
      </c>
      <c r="I168" s="32">
        <f t="shared" si="16"/>
        <v>-7.3218155217402909</v>
      </c>
      <c r="J168" s="33">
        <f t="shared" si="12"/>
        <v>-9.0198399109768133</v>
      </c>
    </row>
    <row r="169" spans="6:10">
      <c r="F169" s="31">
        <f t="shared" si="15"/>
        <v>1.6700000000000013</v>
      </c>
      <c r="G169" s="32">
        <f t="shared" si="13"/>
        <v>5122.6993865030754</v>
      </c>
      <c r="H169" s="32">
        <f t="shared" si="14"/>
        <v>5.1226993865030757</v>
      </c>
      <c r="I169" s="32">
        <f t="shared" si="16"/>
        <v>-7.5370608966766213</v>
      </c>
      <c r="J169" s="33">
        <f t="shared" si="12"/>
        <v>-9.2452091113711248</v>
      </c>
    </row>
    <row r="170" spans="6:10">
      <c r="F170" s="31">
        <f t="shared" si="15"/>
        <v>1.6800000000000013</v>
      </c>
      <c r="G170" s="32">
        <f t="shared" si="13"/>
        <v>5185.1851851851934</v>
      </c>
      <c r="H170" s="32">
        <f t="shared" si="14"/>
        <v>5.1851851851851931</v>
      </c>
      <c r="I170" s="32">
        <f t="shared" si="16"/>
        <v>-7.7519893374605999</v>
      </c>
      <c r="J170" s="33">
        <f t="shared" si="12"/>
        <v>-9.4664810993487407</v>
      </c>
    </row>
    <row r="171" spans="6:10">
      <c r="F171" s="31">
        <f t="shared" si="15"/>
        <v>1.6900000000000013</v>
      </c>
      <c r="G171" s="32">
        <f t="shared" si="13"/>
        <v>5248.447204968953</v>
      </c>
      <c r="H171" s="32">
        <f t="shared" si="14"/>
        <v>5.2484472049689526</v>
      </c>
      <c r="I171" s="32">
        <f t="shared" si="16"/>
        <v>-7.9666173062836378</v>
      </c>
      <c r="J171" s="33">
        <f t="shared" si="12"/>
        <v>-9.68367102907375</v>
      </c>
    </row>
    <row r="172" spans="6:10">
      <c r="F172" s="31">
        <f t="shared" si="15"/>
        <v>1.7000000000000013</v>
      </c>
      <c r="G172" s="32">
        <f t="shared" si="13"/>
        <v>5312.5000000000091</v>
      </c>
      <c r="H172" s="32">
        <f t="shared" si="14"/>
        <v>5.3125000000000089</v>
      </c>
      <c r="I172" s="32">
        <f t="shared" si="16"/>
        <v>-8.1809611821740305</v>
      </c>
      <c r="J172" s="33">
        <f t="shared" si="12"/>
        <v>-9.8968010209999164</v>
      </c>
    </row>
    <row r="173" spans="6:10">
      <c r="F173" s="31">
        <f t="shared" si="15"/>
        <v>1.7100000000000013</v>
      </c>
      <c r="G173" s="32">
        <f t="shared" si="13"/>
        <v>5377.3584905660473</v>
      </c>
      <c r="H173" s="32">
        <f t="shared" si="14"/>
        <v>5.3773584905660474</v>
      </c>
      <c r="I173" s="32">
        <f t="shared" si="16"/>
        <v>-8.3950372683552814</v>
      </c>
      <c r="J173" s="33">
        <f t="shared" si="12"/>
        <v>-10.105900159106383</v>
      </c>
    </row>
    <row r="174" spans="6:10">
      <c r="F174" s="31">
        <f t="shared" si="15"/>
        <v>1.7200000000000013</v>
      </c>
      <c r="G174" s="32">
        <f t="shared" si="13"/>
        <v>5443.0379746835542</v>
      </c>
      <c r="H174" s="32">
        <f t="shared" si="14"/>
        <v>5.4430379746835547</v>
      </c>
      <c r="I174" s="32">
        <f t="shared" si="16"/>
        <v>-8.6088617995466166</v>
      </c>
      <c r="J174" s="33">
        <f t="shared" si="12"/>
        <v>-10.311004480065023</v>
      </c>
    </row>
    <row r="175" spans="6:10">
      <c r="F175" s="31">
        <f t="shared" si="15"/>
        <v>1.7300000000000013</v>
      </c>
      <c r="G175" s="32">
        <f t="shared" si="13"/>
        <v>5509.5541401273986</v>
      </c>
      <c r="H175" s="32">
        <f t="shared" si="14"/>
        <v>5.5095541401273982</v>
      </c>
      <c r="I175" s="32">
        <f t="shared" si="16"/>
        <v>-8.8224509492143284</v>
      </c>
      <c r="J175" s="33">
        <f t="shared" si="12"/>
        <v>-10.512156954354779</v>
      </c>
    </row>
    <row r="176" spans="6:10">
      <c r="F176" s="31">
        <f t="shared" si="15"/>
        <v>1.7400000000000013</v>
      </c>
      <c r="G176" s="32">
        <f t="shared" si="13"/>
        <v>5576.9230769230871</v>
      </c>
      <c r="H176" s="32">
        <f t="shared" si="14"/>
        <v>5.5769230769230873</v>
      </c>
      <c r="I176" s="32">
        <f t="shared" si="16"/>
        <v>-9.0358208367813972</v>
      </c>
      <c r="J176" s="33">
        <f t="shared" si="12"/>
        <v>-10.709407459314704</v>
      </c>
    </row>
    <row r="177" spans="6:10">
      <c r="F177" s="31">
        <f t="shared" si="15"/>
        <v>1.7500000000000013</v>
      </c>
      <c r="G177" s="32">
        <f t="shared" si="13"/>
        <v>5645.1612903225905</v>
      </c>
      <c r="H177" s="32">
        <f t="shared" si="14"/>
        <v>5.6451612903225907</v>
      </c>
      <c r="I177" s="32">
        <f t="shared" si="16"/>
        <v>-9.2489875348036321</v>
      </c>
      <c r="J177" s="33">
        <f t="shared" si="12"/>
        <v>-10.902812744141144</v>
      </c>
    </row>
    <row r="178" spans="6:10">
      <c r="F178" s="31">
        <f t="shared" si="15"/>
        <v>1.7600000000000013</v>
      </c>
      <c r="G178" s="32">
        <f t="shared" si="13"/>
        <v>5714.2857142857247</v>
      </c>
      <c r="H178" s="32">
        <f t="shared" si="14"/>
        <v>5.7142857142857251</v>
      </c>
      <c r="I178" s="32">
        <f t="shared" si="16"/>
        <v>-9.4619670761207431</v>
      </c>
      <c r="J178" s="33">
        <f t="shared" si="12"/>
        <v>-11.092436386831352</v>
      </c>
    </row>
    <row r="179" spans="6:10">
      <c r="F179" s="31">
        <f t="shared" si="15"/>
        <v>1.7700000000000014</v>
      </c>
      <c r="G179" s="32">
        <f t="shared" si="13"/>
        <v>5784.3137254902067</v>
      </c>
      <c r="H179" s="32">
        <f t="shared" si="14"/>
        <v>5.7843137254902066</v>
      </c>
      <c r="I179" s="32">
        <f t="shared" si="16"/>
        <v>-9.6747754609891103</v>
      </c>
      <c r="J179" s="33">
        <f t="shared" si="12"/>
        <v>-11.27834874306852</v>
      </c>
    </row>
    <row r="180" spans="6:10">
      <c r="F180" s="31">
        <f t="shared" si="15"/>
        <v>1.7800000000000014</v>
      </c>
      <c r="G180" s="32">
        <f t="shared" si="13"/>
        <v>5855.2631578947476</v>
      </c>
      <c r="H180" s="32">
        <f t="shared" si="14"/>
        <v>5.8552631578947478</v>
      </c>
      <c r="I180" s="32">
        <f t="shared" si="16"/>
        <v>-9.8874286642055154</v>
      </c>
      <c r="J180" s="33">
        <f t="shared" si="12"/>
        <v>-11.460626887036298</v>
      </c>
    </row>
    <row r="181" spans="6:10">
      <c r="F181" s="31">
        <f t="shared" si="15"/>
        <v>1.7900000000000014</v>
      </c>
      <c r="G181" s="32">
        <f t="shared" si="13"/>
        <v>5927.1523178808056</v>
      </c>
      <c r="H181" s="32">
        <f t="shared" si="14"/>
        <v>5.9271523178808057</v>
      </c>
      <c r="I181" s="32">
        <f t="shared" si="16"/>
        <v>-10.099942642228882</v>
      </c>
      <c r="J181" s="33">
        <f t="shared" si="12"/>
        <v>-11.639354544197701</v>
      </c>
    </row>
    <row r="182" spans="6:10">
      <c r="F182" s="31">
        <f t="shared" si="15"/>
        <v>1.8000000000000014</v>
      </c>
      <c r="G182" s="32">
        <f t="shared" si="13"/>
        <v>6000.0000000000109</v>
      </c>
      <c r="H182" s="32">
        <f t="shared" si="14"/>
        <v>6.0000000000000107</v>
      </c>
      <c r="I182" s="32">
        <f t="shared" si="16"/>
        <v>-10.312333340308157</v>
      </c>
      <c r="J182" s="33">
        <f t="shared" si="12"/>
        <v>-11.814622016000428</v>
      </c>
    </row>
    <row r="183" spans="6:10">
      <c r="F183" s="31">
        <f t="shared" si="15"/>
        <v>1.8100000000000014</v>
      </c>
      <c r="G183" s="32">
        <f t="shared" si="13"/>
        <v>6073.8255033557161</v>
      </c>
      <c r="H183" s="32">
        <f t="shared" si="14"/>
        <v>6.0738255033557165</v>
      </c>
      <c r="I183" s="32">
        <f t="shared" si="16"/>
        <v>-10.524616699624744</v>
      </c>
      <c r="J183" s="33">
        <f t="shared" si="12"/>
        <v>-11.98652609652747</v>
      </c>
    </row>
    <row r="184" spans="6:10">
      <c r="F184" s="31">
        <f t="shared" si="15"/>
        <v>1.8200000000000014</v>
      </c>
      <c r="G184" s="32">
        <f t="shared" si="13"/>
        <v>6148.6486486486601</v>
      </c>
      <c r="H184" s="32">
        <f t="shared" si="14"/>
        <v>6.1486486486486598</v>
      </c>
      <c r="I184" s="32">
        <f t="shared" si="16"/>
        <v>-10.736808664457101</v>
      </c>
      <c r="J184" s="33">
        <f t="shared" si="12"/>
        <v>-12.155169981099263</v>
      </c>
    </row>
    <row r="185" spans="6:10">
      <c r="F185" s="31">
        <f t="shared" si="15"/>
        <v>1.8300000000000014</v>
      </c>
      <c r="G185" s="32">
        <f t="shared" si="13"/>
        <v>6224.4897959183791</v>
      </c>
      <c r="H185" s="32">
        <f t="shared" si="14"/>
        <v>6.2244897959183794</v>
      </c>
      <c r="I185" s="32">
        <f t="shared" si="16"/>
        <v>-10.948925189375814</v>
      </c>
      <c r="J185" s="33">
        <f t="shared" si="12"/>
        <v>-12.320663166801339</v>
      </c>
    </row>
    <row r="186" spans="6:10">
      <c r="F186" s="31">
        <f t="shared" si="15"/>
        <v>1.8400000000000014</v>
      </c>
      <c r="G186" s="32">
        <f t="shared" si="13"/>
        <v>6301.3698630137105</v>
      </c>
      <c r="H186" s="32">
        <f t="shared" si="14"/>
        <v>6.3013698630137105</v>
      </c>
      <c r="I186" s="32">
        <f t="shared" si="16"/>
        <v>-11.160982246477488</v>
      </c>
      <c r="J186" s="33">
        <f t="shared" si="12"/>
        <v>-12.483121344979324</v>
      </c>
    </row>
    <row r="187" spans="6:10">
      <c r="F187" s="31">
        <f t="shared" si="15"/>
        <v>1.8500000000000014</v>
      </c>
      <c r="G187" s="32">
        <f t="shared" si="13"/>
        <v>6379.3103448275979</v>
      </c>
      <c r="H187" s="32">
        <f t="shared" si="14"/>
        <v>6.3793103448275978</v>
      </c>
      <c r="I187" s="32">
        <f t="shared" si="16"/>
        <v>-11.372995832665765</v>
      </c>
      <c r="J187" s="33">
        <f t="shared" si="12"/>
        <v>-12.6426662856408</v>
      </c>
    </row>
    <row r="188" spans="6:10">
      <c r="F188" s="31">
        <f t="shared" si="15"/>
        <v>1.8600000000000014</v>
      </c>
      <c r="G188" s="32">
        <f t="shared" si="13"/>
        <v>6458.3333333333458</v>
      </c>
      <c r="H188" s="32">
        <f t="shared" si="14"/>
        <v>6.4583333333333455</v>
      </c>
      <c r="I188" s="32">
        <f t="shared" si="16"/>
        <v>-11.584981976988047</v>
      </c>
      <c r="J188" s="33">
        <f t="shared" si="12"/>
        <v>-12.799425713839511</v>
      </c>
    </row>
    <row r="189" spans="6:10">
      <c r="F189" s="31">
        <f t="shared" si="15"/>
        <v>1.8700000000000014</v>
      </c>
      <c r="G189" s="32">
        <f t="shared" si="13"/>
        <v>6538.4615384615508</v>
      </c>
      <c r="H189" s="32">
        <f t="shared" si="14"/>
        <v>6.5384615384615508</v>
      </c>
      <c r="I189" s="32">
        <f t="shared" si="16"/>
        <v>-11.796956748036337</v>
      </c>
      <c r="J189" s="33">
        <f t="shared" si="12"/>
        <v>-12.953533177973711</v>
      </c>
    </row>
    <row r="190" spans="6:10">
      <c r="F190" s="31">
        <f t="shared" si="15"/>
        <v>1.8800000000000014</v>
      </c>
      <c r="G190" s="32">
        <f t="shared" si="13"/>
        <v>6619.7183098591677</v>
      </c>
      <c r="H190" s="32">
        <f t="shared" si="14"/>
        <v>6.6197183098591674</v>
      </c>
      <c r="I190" s="32">
        <f t="shared" si="16"/>
        <v>-12.00893626142124</v>
      </c>
      <c r="J190" s="33">
        <f t="shared" si="12"/>
        <v>-13.105127910035932</v>
      </c>
    </row>
    <row r="191" spans="6:10">
      <c r="F191" s="31">
        <f t="shared" si="15"/>
        <v>1.8900000000000015</v>
      </c>
      <c r="G191" s="32">
        <f t="shared" si="13"/>
        <v>6702.1276595744812</v>
      </c>
      <c r="H191" s="32">
        <f t="shared" si="14"/>
        <v>6.7021276595744812</v>
      </c>
      <c r="I191" s="32">
        <f t="shared" si="16"/>
        <v>-12.22093668732856</v>
      </c>
      <c r="J191" s="33">
        <f t="shared" si="12"/>
        <v>-13.254354677808166</v>
      </c>
    </row>
    <row r="192" spans="6:10">
      <c r="F192" s="31">
        <f t="shared" si="15"/>
        <v>1.9000000000000015</v>
      </c>
      <c r="G192" s="32">
        <f t="shared" si="13"/>
        <v>6785.714285714299</v>
      </c>
      <c r="H192" s="32">
        <f t="shared" si="14"/>
        <v>6.7857142857142989</v>
      </c>
      <c r="I192" s="32">
        <f t="shared" si="16"/>
        <v>-12.432974258166723</v>
      </c>
      <c r="J192" s="33">
        <f t="shared" si="12"/>
        <v>-13.40136362899959</v>
      </c>
    </row>
    <row r="193" spans="6:10">
      <c r="F193" s="31">
        <f t="shared" si="15"/>
        <v>1.9100000000000015</v>
      </c>
      <c r="G193" s="32">
        <f t="shared" si="13"/>
        <v>6870.5035971223151</v>
      </c>
      <c r="H193" s="32">
        <f t="shared" si="14"/>
        <v>6.8705035971223154</v>
      </c>
      <c r="I193" s="32">
        <f t="shared" si="16"/>
        <v>-12.645065276315108</v>
      </c>
      <c r="J193" s="33">
        <f t="shared" si="12"/>
        <v>-13.546310127315721</v>
      </c>
    </row>
    <row r="194" spans="6:10">
      <c r="F194" s="31">
        <f t="shared" si="15"/>
        <v>1.9200000000000015</v>
      </c>
      <c r="G194" s="32">
        <f t="shared" si="13"/>
        <v>6956.5217391304486</v>
      </c>
      <c r="H194" s="32">
        <f t="shared" si="14"/>
        <v>6.9565217391304488</v>
      </c>
      <c r="I194" s="32">
        <f t="shared" si="16"/>
        <v>-12.857226121983899</v>
      </c>
      <c r="J194" s="33">
        <f t="shared" si="12"/>
        <v>-13.689354580484675</v>
      </c>
    </row>
    <row r="195" spans="6:10">
      <c r="F195" s="31">
        <f t="shared" si="15"/>
        <v>1.9300000000000015</v>
      </c>
      <c r="G195" s="32">
        <f t="shared" si="13"/>
        <v>7043.7956204379698</v>
      </c>
      <c r="H195" s="32">
        <f t="shared" si="14"/>
        <v>7.0437956204379697</v>
      </c>
      <c r="I195" s="32">
        <f t="shared" si="16"/>
        <v>-13.069473261193195</v>
      </c>
      <c r="J195" s="33">
        <f t="shared" ref="J195:J258" si="17">11.191*F195^6  -112.91*F195^5 + 445.63*F195^4 - 872.24*F195^3 + 886.6*F195^2 - 468.95*F195 + 121.45</f>
        <v>-13.830662260217693</v>
      </c>
    </row>
    <row r="196" spans="6:10">
      <c r="F196" s="31">
        <f t="shared" si="15"/>
        <v>1.9400000000000015</v>
      </c>
      <c r="G196" s="32">
        <f t="shared" ref="G196:G259" si="18">5000*F196/(3.3-F196)</f>
        <v>7132.3529411764848</v>
      </c>
      <c r="H196" s="32">
        <f t="shared" ref="H196:H259" si="19">G196/$L$12</f>
        <v>7.1323529411764852</v>
      </c>
      <c r="I196" s="32">
        <f t="shared" si="16"/>
        <v>-13.281823253884454</v>
      </c>
      <c r="J196" s="33">
        <f t="shared" si="17"/>
        <v>-13.970403114116991</v>
      </c>
    </row>
    <row r="197" spans="6:10">
      <c r="F197" s="31">
        <f t="shared" ref="F197:F260" si="20">0.01+F196</f>
        <v>1.9500000000000015</v>
      </c>
      <c r="G197" s="32">
        <f t="shared" si="18"/>
        <v>7222.2222222222363</v>
      </c>
      <c r="H197" s="32">
        <f t="shared" si="19"/>
        <v>7.2222222222222365</v>
      </c>
      <c r="I197" s="32">
        <f t="shared" si="16"/>
        <v>-13.494292762172734</v>
      </c>
      <c r="J197" s="33">
        <f t="shared" si="17"/>
        <v>-14.108751569515945</v>
      </c>
    </row>
    <row r="198" spans="6:10">
      <c r="F198" s="31">
        <f t="shared" si="20"/>
        <v>1.9600000000000015</v>
      </c>
      <c r="G198" s="32">
        <f t="shared" si="18"/>
        <v>7313.4328358209104</v>
      </c>
      <c r="H198" s="32">
        <f t="shared" si="19"/>
        <v>7.3134328358209109</v>
      </c>
      <c r="I198" s="32">
        <f t="shared" si="16"/>
        <v>-13.706898558752016</v>
      </c>
      <c r="J198" s="33">
        <f t="shared" si="17"/>
        <v>-14.24588632927798</v>
      </c>
    </row>
    <row r="199" spans="6:10">
      <c r="F199" s="31">
        <f t="shared" si="20"/>
        <v>1.9700000000000015</v>
      </c>
      <c r="G199" s="32">
        <f t="shared" si="18"/>
        <v>7406.0150375940002</v>
      </c>
      <c r="H199" s="32">
        <f t="shared" si="19"/>
        <v>7.4060150375939999</v>
      </c>
      <c r="I199" s="32">
        <f t="shared" si="16"/>
        <v>-13.919657535464694</v>
      </c>
      <c r="J199" s="33">
        <f t="shared" si="17"/>
        <v>-14.381990159523681</v>
      </c>
    </row>
    <row r="200" spans="6:10">
      <c r="F200" s="31">
        <f t="shared" si="20"/>
        <v>1.9800000000000015</v>
      </c>
      <c r="G200" s="32">
        <f t="shared" si="18"/>
        <v>7500.0000000000155</v>
      </c>
      <c r="H200" s="32">
        <f t="shared" si="19"/>
        <v>7.5000000000000151</v>
      </c>
      <c r="I200" s="32">
        <f t="shared" si="16"/>
        <v>-14.13258671204693</v>
      </c>
      <c r="J200" s="33">
        <f t="shared" si="17"/>
        <v>-14.517249669306167</v>
      </c>
    </row>
    <row r="201" spans="6:10">
      <c r="F201" s="31">
        <f t="shared" si="20"/>
        <v>1.9900000000000015</v>
      </c>
      <c r="G201" s="32">
        <f t="shared" si="18"/>
        <v>7595.4198473282595</v>
      </c>
      <c r="H201" s="32">
        <f t="shared" si="19"/>
        <v>7.5954198473282597</v>
      </c>
      <c r="I201" s="32">
        <f t="shared" si="16"/>
        <v>-14.345703245062111</v>
      </c>
      <c r="J201" s="33">
        <f t="shared" si="17"/>
        <v>-14.651855082226959</v>
      </c>
    </row>
    <row r="202" spans="6:10">
      <c r="F202" s="31">
        <f t="shared" si="20"/>
        <v>2.0000000000000013</v>
      </c>
      <c r="G202" s="32">
        <f t="shared" si="18"/>
        <v>7692.3076923077069</v>
      </c>
      <c r="H202" s="32">
        <f t="shared" si="19"/>
        <v>7.6923076923077067</v>
      </c>
      <c r="I202" s="32">
        <f t="shared" si="16"/>
        <v>-14.559024437036271</v>
      </c>
      <c r="J202" s="33">
        <f t="shared" si="17"/>
        <v>-14.785999999999419</v>
      </c>
    </row>
    <row r="203" spans="6:10">
      <c r="F203" s="31">
        <f t="shared" si="20"/>
        <v>2.0100000000000011</v>
      </c>
      <c r="G203" s="32">
        <f t="shared" si="18"/>
        <v>7790.6976744186168</v>
      </c>
      <c r="H203" s="32">
        <f t="shared" si="19"/>
        <v>7.7906976744186167</v>
      </c>
      <c r="I203" s="32">
        <f t="shared" si="16"/>
        <v>-14.772567745806441</v>
      </c>
      <c r="J203" s="33">
        <f t="shared" si="17"/>
        <v>-14.919881157949746</v>
      </c>
    </row>
    <row r="204" spans="6:10">
      <c r="F204" s="31">
        <f t="shared" si="20"/>
        <v>2.0200000000000009</v>
      </c>
      <c r="G204" s="32">
        <f t="shared" si="18"/>
        <v>7890.6250000000091</v>
      </c>
      <c r="H204" s="32">
        <f t="shared" si="19"/>
        <v>7.8906250000000089</v>
      </c>
      <c r="I204" s="32">
        <f t="shared" si="16"/>
        <v>-14.986350794099167</v>
      </c>
      <c r="J204" s="33">
        <f t="shared" si="17"/>
        <v>-15.053698172462006</v>
      </c>
    </row>
    <row r="205" spans="6:10">
      <c r="F205" s="31">
        <f t="shared" si="20"/>
        <v>2.0300000000000007</v>
      </c>
      <c r="G205" s="32">
        <f t="shared" si="18"/>
        <v>7992.1259842519767</v>
      </c>
      <c r="H205" s="32">
        <f t="shared" si="19"/>
        <v>7.9921259842519765</v>
      </c>
      <c r="I205" s="32">
        <f t="shared" si="16"/>
        <v>-15.200391379350208</v>
      </c>
      <c r="J205" s="33">
        <f t="shared" si="17"/>
        <v>-15.187653280359584</v>
      </c>
    </row>
    <row r="206" spans="6:10">
      <c r="F206" s="31">
        <f t="shared" si="20"/>
        <v>2.0400000000000005</v>
      </c>
      <c r="G206" s="32">
        <f t="shared" si="18"/>
        <v>8095.2380952381009</v>
      </c>
      <c r="H206" s="32">
        <f t="shared" si="19"/>
        <v>8.0952380952381002</v>
      </c>
      <c r="I206" s="32">
        <f t="shared" si="16"/>
        <v>-15.414707483783161</v>
      </c>
      <c r="J206" s="33">
        <f t="shared" si="17"/>
        <v>-15.321951070243969</v>
      </c>
    </row>
    <row r="207" spans="6:10">
      <c r="F207" s="31">
        <f t="shared" si="20"/>
        <v>2.0500000000000003</v>
      </c>
      <c r="G207" s="32">
        <f t="shared" si="18"/>
        <v>8200.0000000000036</v>
      </c>
      <c r="H207" s="32">
        <f t="shared" si="19"/>
        <v>8.2000000000000028</v>
      </c>
      <c r="I207" s="32">
        <f t="shared" si="16"/>
        <v>-15.629317284761896</v>
      </c>
      <c r="J207" s="33">
        <f t="shared" si="17"/>
        <v>-15.456798205764741</v>
      </c>
    </row>
    <row r="208" spans="6:10">
      <c r="F208" s="31">
        <f t="shared" si="20"/>
        <v>2.06</v>
      </c>
      <c r="G208" s="32">
        <f t="shared" si="18"/>
        <v>8306.4516129032272</v>
      </c>
      <c r="H208" s="32">
        <f t="shared" si="19"/>
        <v>8.3064516129032278</v>
      </c>
      <c r="I208" s="32">
        <f t="shared" si="16"/>
        <v>-15.844239165432612</v>
      </c>
      <c r="J208" s="33">
        <f t="shared" si="17"/>
        <v>-15.592403140829035</v>
      </c>
    </row>
    <row r="209" spans="6:10">
      <c r="F209" s="31">
        <f t="shared" si="20"/>
        <v>2.0699999999999998</v>
      </c>
      <c r="G209" s="32">
        <f t="shared" si="18"/>
        <v>8414.6341463414628</v>
      </c>
      <c r="H209" s="32">
        <f t="shared" si="19"/>
        <v>8.4146341463414629</v>
      </c>
      <c r="I209" s="32">
        <f t="shared" si="16"/>
        <v>-16.059491725674945</v>
      </c>
      <c r="J209" s="33">
        <f t="shared" si="17"/>
        <v>-15.728975826762436</v>
      </c>
    </row>
    <row r="210" spans="6:10">
      <c r="F210" s="31">
        <f t="shared" si="20"/>
        <v>2.0799999999999996</v>
      </c>
      <c r="G210" s="32">
        <f t="shared" si="18"/>
        <v>8524.5901639344229</v>
      </c>
      <c r="H210" s="32">
        <f t="shared" si="19"/>
        <v>8.5245901639344233</v>
      </c>
      <c r="I210" s="32">
        <f t="shared" si="16"/>
        <v>-16.275093793378005</v>
      </c>
      <c r="J210" s="33">
        <f t="shared" si="17"/>
        <v>-15.866727411406757</v>
      </c>
    </row>
    <row r="211" spans="6:10">
      <c r="F211" s="31">
        <f t="shared" si="20"/>
        <v>2.0899999999999994</v>
      </c>
      <c r="G211" s="32">
        <f t="shared" si="18"/>
        <v>8636.3636363636306</v>
      </c>
      <c r="H211" s="32">
        <f t="shared" si="19"/>
        <v>8.6363636363636314</v>
      </c>
      <c r="I211" s="32">
        <f t="shared" si="16"/>
        <v>-16.491064436062231</v>
      </c>
      <c r="J211" s="33">
        <f t="shared" si="17"/>
        <v>-16.0058699301715</v>
      </c>
    </row>
    <row r="212" spans="6:10">
      <c r="F212" s="31">
        <f t="shared" si="20"/>
        <v>2.0999999999999992</v>
      </c>
      <c r="G212" s="32">
        <f t="shared" si="18"/>
        <v>8749.9999999999927</v>
      </c>
      <c r="H212" s="32">
        <f t="shared" si="19"/>
        <v>8.7499999999999929</v>
      </c>
      <c r="I212" s="32">
        <f t="shared" si="16"/>
        <v>-16.70742297286688</v>
      </c>
      <c r="J212" s="33">
        <f t="shared" si="17"/>
        <v>-16.146615988999926</v>
      </c>
    </row>
    <row r="213" spans="6:10">
      <c r="F213" s="31">
        <f t="shared" si="20"/>
        <v>2.109999999999999</v>
      </c>
      <c r="G213" s="32">
        <f t="shared" si="18"/>
        <v>8865.546218487385</v>
      </c>
      <c r="H213" s="32">
        <f t="shared" si="19"/>
        <v>8.8655462184873848</v>
      </c>
      <c r="I213" s="32">
        <f t="shared" si="16"/>
        <v>-16.924188986923298</v>
      </c>
      <c r="J213" s="33">
        <f t="shared" si="17"/>
        <v>-16.289178439314284</v>
      </c>
    </row>
    <row r="214" spans="6:10">
      <c r="F214" s="31">
        <f t="shared" si="20"/>
        <v>2.1199999999999988</v>
      </c>
      <c r="G214" s="32">
        <f t="shared" si="18"/>
        <v>8983.0508474576145</v>
      </c>
      <c r="H214" s="32">
        <f t="shared" si="19"/>
        <v>8.9830508474576138</v>
      </c>
      <c r="I214" s="32">
        <f t="shared" si="16"/>
        <v>-17.141382338137817</v>
      </c>
      <c r="J214" s="33">
        <f t="shared" si="17"/>
        <v>-16.433770044873356</v>
      </c>
    </row>
    <row r="215" spans="6:10">
      <c r="F215" s="31">
        <f t="shared" si="20"/>
        <v>2.1299999999999986</v>
      </c>
      <c r="G215" s="32">
        <f t="shared" si="18"/>
        <v>9102.5641025640871</v>
      </c>
      <c r="H215" s="32">
        <f t="shared" si="19"/>
        <v>9.1025641025640862</v>
      </c>
      <c r="I215" s="32">
        <f t="shared" si="16"/>
        <v>-17.359023176406964</v>
      </c>
      <c r="J215" s="33">
        <f t="shared" si="17"/>
        <v>-16.580603140587797</v>
      </c>
    </row>
    <row r="216" spans="6:10">
      <c r="F216" s="31">
        <f t="shared" si="20"/>
        <v>2.1399999999999983</v>
      </c>
      <c r="G216" s="32">
        <f t="shared" si="18"/>
        <v>9224.1379310344637</v>
      </c>
      <c r="H216" s="32">
        <f t="shared" si="19"/>
        <v>9.2241379310344644</v>
      </c>
      <c r="I216" s="32">
        <f t="shared" si="16"/>
        <v>-17.577131955289786</v>
      </c>
      <c r="J216" s="33">
        <f t="shared" si="17"/>
        <v>-16.72988928328509</v>
      </c>
    </row>
    <row r="217" spans="6:10">
      <c r="F217" s="31">
        <f t="shared" si="20"/>
        <v>2.1499999999999981</v>
      </c>
      <c r="G217" s="32">
        <f t="shared" si="18"/>
        <v>9347.8260869565001</v>
      </c>
      <c r="H217" s="32">
        <f t="shared" si="19"/>
        <v>9.3478260869565002</v>
      </c>
      <c r="I217" s="32">
        <f t="shared" si="16"/>
        <v>-17.795729446163762</v>
      </c>
      <c r="J217" s="33">
        <f t="shared" si="17"/>
        <v>-16.881838894391464</v>
      </c>
    </row>
    <row r="218" spans="6:10">
      <c r="F218" s="31">
        <f t="shared" si="20"/>
        <v>2.1599999999999979</v>
      </c>
      <c r="G218" s="32">
        <f t="shared" si="18"/>
        <v>9473.6842105262913</v>
      </c>
      <c r="H218" s="32">
        <f t="shared" si="19"/>
        <v>9.4736842105262919</v>
      </c>
      <c r="I218" s="32">
        <f t="shared" si="16"/>
        <v>-18.014836752891853</v>
      </c>
      <c r="J218" s="33">
        <f t="shared" si="17"/>
        <v>-17.036660894573217</v>
      </c>
    </row>
    <row r="219" spans="6:10">
      <c r="F219" s="31">
        <f t="shared" si="20"/>
        <v>2.1699999999999977</v>
      </c>
      <c r="G219" s="32">
        <f t="shared" si="18"/>
        <v>9601.7699115043979</v>
      </c>
      <c r="H219" s="32">
        <f t="shared" si="19"/>
        <v>9.6017699115043982</v>
      </c>
      <c r="I219" s="32">
        <f t="shared" si="16"/>
        <v>-18.234475327030225</v>
      </c>
      <c r="J219" s="33">
        <f t="shared" si="17"/>
        <v>-17.194562330328537</v>
      </c>
    </row>
    <row r="220" spans="6:10">
      <c r="F220" s="31">
        <f t="shared" si="20"/>
        <v>2.1799999999999975</v>
      </c>
      <c r="G220" s="32">
        <f t="shared" si="18"/>
        <v>9732.142857142826</v>
      </c>
      <c r="H220" s="32">
        <f t="shared" si="19"/>
        <v>9.7321428571428257</v>
      </c>
      <c r="I220" s="32">
        <f t="shared" si="16"/>
        <v>-18.454666983607154</v>
      </c>
      <c r="J220" s="33">
        <f t="shared" si="17"/>
        <v>-17.355747992503709</v>
      </c>
    </row>
    <row r="221" spans="6:10">
      <c r="F221" s="31">
        <f t="shared" si="20"/>
        <v>2.1899999999999973</v>
      </c>
      <c r="G221" s="32">
        <f t="shared" si="18"/>
        <v>9864.8648648648305</v>
      </c>
      <c r="H221" s="32">
        <f t="shared" si="19"/>
        <v>9.8648648648648312</v>
      </c>
      <c r="I221" s="32">
        <f t="shared" si="16"/>
        <v>-18.675433917506325</v>
      </c>
      <c r="J221" s="33">
        <f t="shared" si="17"/>
        <v>-17.520420026762892</v>
      </c>
    </row>
    <row r="222" spans="6:10">
      <c r="F222" s="31">
        <f t="shared" si="20"/>
        <v>2.1999999999999971</v>
      </c>
      <c r="G222" s="32">
        <f t="shared" si="18"/>
        <v>9999.9999999999618</v>
      </c>
      <c r="H222" s="32">
        <f t="shared" si="19"/>
        <v>9.9999999999999609</v>
      </c>
      <c r="I222" s="32">
        <f t="shared" si="16"/>
        <v>-18.896798720489244</v>
      </c>
      <c r="J222" s="33">
        <f t="shared" si="17"/>
        <v>-17.688777535998085</v>
      </c>
    </row>
    <row r="223" spans="6:10">
      <c r="F223" s="31">
        <f t="shared" si="20"/>
        <v>2.2099999999999969</v>
      </c>
      <c r="G223" s="32">
        <f t="shared" si="18"/>
        <v>10137.614678899039</v>
      </c>
      <c r="H223" s="32">
        <f t="shared" si="19"/>
        <v>10.137614678899039</v>
      </c>
      <c r="I223" s="32">
        <f t="shared" si="16"/>
        <v>-19.118784398893496</v>
      </c>
      <c r="J223" s="33">
        <f t="shared" si="17"/>
        <v>-17.861016174681978</v>
      </c>
    </row>
    <row r="224" spans="6:10">
      <c r="F224" s="31">
        <f t="shared" si="20"/>
        <v>2.2199999999999966</v>
      </c>
      <c r="G224" s="32">
        <f t="shared" si="18"/>
        <v>10277.777777777732</v>
      </c>
      <c r="H224" s="32">
        <f t="shared" si="19"/>
        <v>10.277777777777732</v>
      </c>
      <c r="I224" s="32">
        <f t="shared" si="16"/>
        <v>-19.341414392046119</v>
      </c>
      <c r="J224" s="33">
        <f t="shared" si="17"/>
        <v>-18.037327735150527</v>
      </c>
    </row>
    <row r="225" spans="6:10">
      <c r="F225" s="31">
        <f t="shared" si="20"/>
        <v>2.2299999999999964</v>
      </c>
      <c r="G225" s="32">
        <f t="shared" si="18"/>
        <v>10420.560747663501</v>
      </c>
      <c r="H225" s="32">
        <f t="shared" si="19"/>
        <v>10.420560747663501</v>
      </c>
      <c r="I225" s="32">
        <f t="shared" si="16"/>
        <v>-19.56471259143359</v>
      </c>
      <c r="J225" s="33">
        <f t="shared" si="17"/>
        <v>-18.217899725863433</v>
      </c>
    </row>
    <row r="226" spans="6:10">
      <c r="F226" s="31">
        <f t="shared" si="20"/>
        <v>2.2399999999999962</v>
      </c>
      <c r="G226" s="32">
        <f t="shared" si="18"/>
        <v>10566.037735849004</v>
      </c>
      <c r="H226" s="32">
        <f t="shared" si="19"/>
        <v>10.566037735849005</v>
      </c>
      <c r="I226" s="32">
        <f t="shared" si="16"/>
        <v>-19.78870336067294</v>
      </c>
      <c r="J226" s="33">
        <f t="shared" si="17"/>
        <v>-18.402914941559672</v>
      </c>
    </row>
    <row r="227" spans="6:10">
      <c r="F227" s="31">
        <f t="shared" si="20"/>
        <v>2.249999999999996</v>
      </c>
      <c r="G227" s="32">
        <f t="shared" si="18"/>
        <v>10714.285714285656</v>
      </c>
      <c r="H227" s="32">
        <f t="shared" si="19"/>
        <v>10.714285714285655</v>
      </c>
      <c r="I227" s="32">
        <f t="shared" ref="I227:I290" si="21">$K$12/(LN(G227/$N$12))-273</f>
        <v>-20.01341155633034</v>
      </c>
      <c r="J227" s="33">
        <f t="shared" si="17"/>
        <v>-18.592551025389</v>
      </c>
    </row>
    <row r="228" spans="6:10">
      <c r="F228" s="31">
        <f t="shared" si="20"/>
        <v>2.2599999999999958</v>
      </c>
      <c r="G228" s="32">
        <f t="shared" si="18"/>
        <v>10865.384615384552</v>
      </c>
      <c r="H228" s="32">
        <f t="shared" si="19"/>
        <v>10.865384615384551</v>
      </c>
      <c r="I228" s="32">
        <f t="shared" si="21"/>
        <v>-20.238862549638071</v>
      </c>
      <c r="J228" s="33">
        <f t="shared" si="17"/>
        <v>-18.786980022985787</v>
      </c>
    </row>
    <row r="229" spans="6:10">
      <c r="F229" s="31">
        <f t="shared" si="20"/>
        <v>2.2699999999999956</v>
      </c>
      <c r="G229" s="32">
        <f t="shared" si="18"/>
        <v>11019.417475728089</v>
      </c>
      <c r="H229" s="32">
        <f t="shared" si="19"/>
        <v>11.019417475728089</v>
      </c>
      <c r="I229" s="32">
        <f t="shared" si="21"/>
        <v>-20.46508224916235</v>
      </c>
      <c r="J229" s="33">
        <f t="shared" si="17"/>
        <v>-18.986367928460638</v>
      </c>
    </row>
    <row r="230" spans="6:10">
      <c r="F230" s="31">
        <f t="shared" si="20"/>
        <v>2.2799999999999954</v>
      </c>
      <c r="G230" s="32">
        <f t="shared" si="18"/>
        <v>11176.470588235223</v>
      </c>
      <c r="H230" s="32">
        <f t="shared" si="19"/>
        <v>11.176470588235222</v>
      </c>
      <c r="I230" s="32">
        <f t="shared" si="21"/>
        <v>-20.692097124479631</v>
      </c>
      <c r="J230" s="33">
        <f t="shared" si="17"/>
        <v>-19.190874222350701</v>
      </c>
    </row>
    <row r="231" spans="6:10">
      <c r="F231" s="31">
        <f t="shared" si="20"/>
        <v>2.2899999999999952</v>
      </c>
      <c r="G231" s="32">
        <f t="shared" si="18"/>
        <v>11336.633663366261</v>
      </c>
      <c r="H231" s="32">
        <f t="shared" si="19"/>
        <v>11.336633663366261</v>
      </c>
      <c r="I231" s="32">
        <f t="shared" si="21"/>
        <v>-20.9199342309212</v>
      </c>
      <c r="J231" s="33">
        <f t="shared" si="17"/>
        <v>-19.400651401522552</v>
      </c>
    </row>
    <row r="232" spans="6:10">
      <c r="F232" s="31">
        <f t="shared" si="20"/>
        <v>2.2999999999999949</v>
      </c>
      <c r="G232" s="32">
        <f t="shared" si="18"/>
        <v>11499.999999999918</v>
      </c>
      <c r="H232" s="32">
        <f t="shared" si="19"/>
        <v>11.499999999999918</v>
      </c>
      <c r="I232" s="32">
        <f t="shared" si="21"/>
        <v>-21.148621235451543</v>
      </c>
      <c r="J232" s="33">
        <f t="shared" si="17"/>
        <v>-19.615844500999671</v>
      </c>
    </row>
    <row r="233" spans="6:10">
      <c r="F233" s="31">
        <f t="shared" si="20"/>
        <v>2.3099999999999947</v>
      </c>
      <c r="G233" s="32">
        <f t="shared" si="18"/>
        <v>11666.666666666579</v>
      </c>
      <c r="H233" s="32">
        <f t="shared" si="19"/>
        <v>11.666666666666579</v>
      </c>
      <c r="I233" s="32">
        <f t="shared" si="21"/>
        <v>-21.378186443749257</v>
      </c>
      <c r="J233" s="33">
        <f t="shared" si="17"/>
        <v>-19.836590607738387</v>
      </c>
    </row>
    <row r="234" spans="6:10">
      <c r="F234" s="31">
        <f t="shared" si="20"/>
        <v>2.3199999999999945</v>
      </c>
      <c r="G234" s="32">
        <f t="shared" si="18"/>
        <v>11836.734693877459</v>
      </c>
      <c r="H234" s="32">
        <f t="shared" si="19"/>
        <v>11.836734693877458</v>
      </c>
      <c r="I234" s="32">
        <f t="shared" si="21"/>
        <v>-21.608658828564216</v>
      </c>
      <c r="J234" s="33">
        <f t="shared" si="17"/>
        <v>-20.063018366343428</v>
      </c>
    </row>
    <row r="235" spans="6:10">
      <c r="F235" s="31">
        <f t="shared" si="20"/>
        <v>2.3299999999999943</v>
      </c>
      <c r="G235" s="32">
        <f t="shared" si="18"/>
        <v>12010.309278350416</v>
      </c>
      <c r="H235" s="32">
        <f t="shared" si="19"/>
        <v>12.010309278350416</v>
      </c>
      <c r="I235" s="32">
        <f t="shared" si="21"/>
        <v>-21.840068059430678</v>
      </c>
      <c r="J235" s="33">
        <f t="shared" si="17"/>
        <v>-20.295247476745814</v>
      </c>
    </row>
    <row r="236" spans="6:10">
      <c r="F236" s="31">
        <f t="shared" si="20"/>
        <v>2.3399999999999941</v>
      </c>
      <c r="G236" s="32">
        <f t="shared" si="18"/>
        <v>12187.499999999896</v>
      </c>
      <c r="H236" s="32">
        <f t="shared" si="19"/>
        <v>12.187499999999897</v>
      </c>
      <c r="I236" s="32">
        <f t="shared" si="21"/>
        <v>-22.072444533820487</v>
      </c>
      <c r="J236" s="33">
        <f t="shared" si="17"/>
        <v>-20.53338818378306</v>
      </c>
    </row>
    <row r="237" spans="6:10">
      <c r="F237" s="31">
        <f t="shared" si="20"/>
        <v>2.3499999999999939</v>
      </c>
      <c r="G237" s="32">
        <f t="shared" si="18"/>
        <v>12368.421052631469</v>
      </c>
      <c r="H237" s="32">
        <f t="shared" si="19"/>
        <v>12.368421052631469</v>
      </c>
      <c r="I237" s="32">
        <f t="shared" si="21"/>
        <v>-22.305819409827251</v>
      </c>
      <c r="J237" s="33">
        <f t="shared" si="17"/>
        <v>-20.777540758764459</v>
      </c>
    </row>
    <row r="238" spans="6:10">
      <c r="F238" s="31">
        <f t="shared" si="20"/>
        <v>2.3599999999999937</v>
      </c>
      <c r="G238" s="32">
        <f t="shared" si="18"/>
        <v>12553.191489361587</v>
      </c>
      <c r="H238" s="32">
        <f t="shared" si="19"/>
        <v>12.553191489361586</v>
      </c>
      <c r="I238" s="32">
        <f t="shared" si="21"/>
        <v>-22.540224640479181</v>
      </c>
      <c r="J238" s="33">
        <f t="shared" si="17"/>
        <v>-21.027794972953231</v>
      </c>
    </row>
    <row r="239" spans="6:10">
      <c r="F239" s="31">
        <f t="shared" si="20"/>
        <v>2.3699999999999934</v>
      </c>
      <c r="G239" s="32">
        <f t="shared" si="18"/>
        <v>12741.935483870846</v>
      </c>
      <c r="H239" s="32">
        <f t="shared" si="19"/>
        <v>12.741935483870845</v>
      </c>
      <c r="I239" s="32">
        <f t="shared" si="21"/>
        <v>-22.775693009784447</v>
      </c>
      <c r="J239" s="33">
        <f t="shared" si="17"/>
        <v>-21.284229562997368</v>
      </c>
    </row>
    <row r="240" spans="6:10">
      <c r="F240" s="31">
        <f t="shared" si="20"/>
        <v>2.3799999999999932</v>
      </c>
      <c r="G240" s="32">
        <f t="shared" si="18"/>
        <v>12934.782608695521</v>
      </c>
      <c r="H240" s="32">
        <f t="shared" si="19"/>
        <v>12.934782608695521</v>
      </c>
      <c r="I240" s="32">
        <f t="shared" si="21"/>
        <v>-23.012258170621607</v>
      </c>
      <c r="J240" s="33">
        <f t="shared" si="17"/>
        <v>-21.546911688308271</v>
      </c>
    </row>
    <row r="241" spans="6:10">
      <c r="F241" s="31">
        <f t="shared" si="20"/>
        <v>2.389999999999993</v>
      </c>
      <c r="G241" s="32">
        <f t="shared" si="18"/>
        <v>13131.868131867996</v>
      </c>
      <c r="H241" s="32">
        <f t="shared" si="19"/>
        <v>13.131868131867996</v>
      </c>
      <c r="I241" s="32">
        <f t="shared" si="21"/>
        <v>-23.249954684595735</v>
      </c>
      <c r="J241" s="33">
        <f t="shared" si="17"/>
        <v>-21.815896380369892</v>
      </c>
    </row>
    <row r="242" spans="6:10">
      <c r="F242" s="31">
        <f t="shared" si="20"/>
        <v>2.3999999999999928</v>
      </c>
      <c r="G242" s="32">
        <f t="shared" si="18"/>
        <v>13333.333333333188</v>
      </c>
      <c r="H242" s="32">
        <f t="shared" si="19"/>
        <v>13.333333333333188</v>
      </c>
      <c r="I242" s="32">
        <f t="shared" si="21"/>
        <v>-23.488818063989584</v>
      </c>
      <c r="J242" s="33">
        <f t="shared" si="17"/>
        <v>-22.091225984001127</v>
      </c>
    </row>
    <row r="243" spans="6:10">
      <c r="F243" s="31">
        <f t="shared" si="20"/>
        <v>2.4099999999999926</v>
      </c>
      <c r="G243" s="32">
        <f t="shared" si="18"/>
        <v>13539.325842696479</v>
      </c>
      <c r="H243" s="32">
        <f t="shared" si="19"/>
        <v>13.539325842696478</v>
      </c>
      <c r="I243" s="32">
        <f t="shared" si="21"/>
        <v>-23.728884815949868</v>
      </c>
      <c r="J243" s="33">
        <f t="shared" si="17"/>
        <v>-22.372929590561441</v>
      </c>
    </row>
    <row r="244" spans="6:10">
      <c r="F244" s="31">
        <f t="shared" si="20"/>
        <v>2.4199999999999924</v>
      </c>
      <c r="G244" s="32">
        <f t="shared" si="18"/>
        <v>13749.99999999984</v>
      </c>
      <c r="H244" s="32">
        <f t="shared" si="19"/>
        <v>13.74999999999984</v>
      </c>
      <c r="I244" s="32">
        <f t="shared" si="21"/>
        <v>-23.970192489058917</v>
      </c>
      <c r="J244" s="33">
        <f t="shared" si="17"/>
        <v>-22.661022463087917</v>
      </c>
    </row>
    <row r="245" spans="6:10">
      <c r="F245" s="31">
        <f t="shared" si="20"/>
        <v>2.4299999999999922</v>
      </c>
      <c r="G245" s="32">
        <f t="shared" si="18"/>
        <v>13965.517241379141</v>
      </c>
      <c r="H245" s="32">
        <f t="shared" si="19"/>
        <v>13.965517241379141</v>
      </c>
      <c r="I245" s="32">
        <f t="shared" si="21"/>
        <v>-24.212779722454115</v>
      </c>
      <c r="J245" s="33">
        <f t="shared" si="17"/>
        <v>-22.95550545339465</v>
      </c>
    </row>
    <row r="246" spans="6:10">
      <c r="F246" s="31">
        <f t="shared" si="20"/>
        <v>2.439999999999992</v>
      </c>
      <c r="G246" s="32">
        <f t="shared" si="18"/>
        <v>14186.04651162773</v>
      </c>
      <c r="H246" s="32">
        <f t="shared" si="19"/>
        <v>14.18604651162773</v>
      </c>
      <c r="I246" s="32">
        <f t="shared" si="21"/>
        <v>-24.456686297670274</v>
      </c>
      <c r="J246" s="33">
        <f t="shared" si="17"/>
        <v>-23.256364411077172</v>
      </c>
    </row>
    <row r="247" spans="6:10">
      <c r="F247" s="31">
        <f t="shared" si="20"/>
        <v>2.4499999999999917</v>
      </c>
      <c r="G247" s="32">
        <f t="shared" si="18"/>
        <v>14411.764705882166</v>
      </c>
      <c r="H247" s="32">
        <f t="shared" si="19"/>
        <v>14.411764705882165</v>
      </c>
      <c r="I247" s="32">
        <f t="shared" si="21"/>
        <v>-24.701953193394388</v>
      </c>
      <c r="J247" s="33">
        <f t="shared" si="17"/>
        <v>-23.563569584514696</v>
      </c>
    </row>
    <row r="248" spans="6:10">
      <c r="F248" s="31">
        <f t="shared" si="20"/>
        <v>2.4599999999999915</v>
      </c>
      <c r="G248" s="32">
        <f t="shared" si="18"/>
        <v>14642.857142856948</v>
      </c>
      <c r="H248" s="32">
        <f t="shared" si="19"/>
        <v>14.642857142856949</v>
      </c>
      <c r="I248" s="32">
        <f t="shared" si="21"/>
        <v>-24.948622643337103</v>
      </c>
      <c r="J248" s="33">
        <f t="shared" si="17"/>
        <v>-23.877075013756709</v>
      </c>
    </row>
    <row r="249" spans="6:10">
      <c r="F249" s="31">
        <f t="shared" si="20"/>
        <v>2.4699999999999913</v>
      </c>
      <c r="G249" s="32">
        <f t="shared" si="18"/>
        <v>14879.518072288951</v>
      </c>
      <c r="H249" s="32">
        <f t="shared" si="19"/>
        <v>14.879518072288951</v>
      </c>
      <c r="I249" s="32">
        <f t="shared" si="21"/>
        <v>-25.196738197443125</v>
      </c>
      <c r="J249" s="33">
        <f t="shared" si="17"/>
        <v>-24.196817915385097</v>
      </c>
    </row>
    <row r="250" spans="6:10">
      <c r="F250" s="31">
        <f t="shared" si="20"/>
        <v>2.4799999999999911</v>
      </c>
      <c r="G250" s="32">
        <f t="shared" si="18"/>
        <v>15121.951219511981</v>
      </c>
      <c r="H250" s="32">
        <f t="shared" si="19"/>
        <v>15.121951219511981</v>
      </c>
      <c r="I250" s="32">
        <f t="shared" si="21"/>
        <v>-25.446344786679589</v>
      </c>
      <c r="J250" s="33">
        <f t="shared" si="17"/>
        <v>-24.522718059339283</v>
      </c>
    </row>
    <row r="251" spans="6:10">
      <c r="F251" s="31">
        <f t="shared" si="20"/>
        <v>2.4899999999999909</v>
      </c>
      <c r="G251" s="32">
        <f t="shared" si="18"/>
        <v>15370.370370370145</v>
      </c>
      <c r="H251" s="32">
        <f t="shared" si="19"/>
        <v>15.370370370370145</v>
      </c>
      <c r="I251" s="32">
        <f t="shared" si="21"/>
        <v>-25.697488791664171</v>
      </c>
      <c r="J251" s="33">
        <f t="shared" si="17"/>
        <v>-24.854677137620953</v>
      </c>
    </row>
    <row r="252" spans="6:10">
      <c r="F252" s="31">
        <f t="shared" si="20"/>
        <v>2.4999999999999907</v>
      </c>
      <c r="G252" s="32">
        <f t="shared" si="18"/>
        <v>15624.999999999762</v>
      </c>
      <c r="H252" s="32">
        <f t="shared" si="19"/>
        <v>15.624999999999762</v>
      </c>
      <c r="I252" s="32">
        <f t="shared" si="21"/>
        <v>-25.950218115414032</v>
      </c>
      <c r="J252" s="33">
        <f t="shared" si="17"/>
        <v>-25.192578125000225</v>
      </c>
    </row>
    <row r="253" spans="6:10">
      <c r="F253" s="31">
        <f t="shared" si="20"/>
        <v>2.5099999999999905</v>
      </c>
      <c r="G253" s="32">
        <f t="shared" si="18"/>
        <v>15886.075949366841</v>
      </c>
      <c r="H253" s="32">
        <f t="shared" si="19"/>
        <v>15.886075949366841</v>
      </c>
      <c r="I253" s="32">
        <f t="shared" si="21"/>
        <v>-26.204582260523381</v>
      </c>
      <c r="J253" s="33">
        <f t="shared" si="17"/>
        <v>-25.536284631629584</v>
      </c>
    </row>
    <row r="254" spans="6:10">
      <c r="F254" s="31">
        <f t="shared" si="20"/>
        <v>2.5199999999999902</v>
      </c>
      <c r="G254" s="32">
        <f t="shared" si="18"/>
        <v>16153.846153845892</v>
      </c>
      <c r="H254" s="32">
        <f t="shared" si="19"/>
        <v>16.153846153845894</v>
      </c>
      <c r="I254" s="32">
        <f t="shared" si="21"/>
        <v>-26.460632411103745</v>
      </c>
      <c r="J254" s="33">
        <f t="shared" si="17"/>
        <v>-25.885640247624721</v>
      </c>
    </row>
    <row r="255" spans="6:10">
      <c r="F255" s="31">
        <f t="shared" si="20"/>
        <v>2.52999999999999</v>
      </c>
      <c r="G255" s="32">
        <f t="shared" si="18"/>
        <v>16428.571428571155</v>
      </c>
      <c r="H255" s="32">
        <f t="shared" si="19"/>
        <v>16.428571428571153</v>
      </c>
      <c r="I255" s="32">
        <f t="shared" si="21"/>
        <v>-26.718421519850665</v>
      </c>
      <c r="J255" s="33">
        <f t="shared" si="17"/>
        <v>-26.240467879569493</v>
      </c>
    </row>
    <row r="256" spans="6:10">
      <c r="F256" s="31">
        <f t="shared" si="20"/>
        <v>2.5399999999999898</v>
      </c>
      <c r="G256" s="32">
        <f t="shared" si="18"/>
        <v>16710.526315789186</v>
      </c>
      <c r="H256" s="32">
        <f t="shared" si="19"/>
        <v>16.710526315789185</v>
      </c>
      <c r="I256" s="32">
        <f t="shared" si="21"/>
        <v>-26.978004400632244</v>
      </c>
      <c r="J256" s="33">
        <f t="shared" si="17"/>
        <v>-26.60056907896778</v>
      </c>
    </row>
    <row r="257" spans="6:10">
      <c r="F257" s="31">
        <f t="shared" si="20"/>
        <v>2.5499999999999896</v>
      </c>
      <c r="G257" s="32">
        <f t="shared" si="18"/>
        <v>16999.999999999698</v>
      </c>
      <c r="H257" s="32">
        <f t="shared" si="19"/>
        <v>16.999999999999698</v>
      </c>
      <c r="I257" s="32">
        <f t="shared" si="21"/>
        <v>-27.239437827033697</v>
      </c>
      <c r="J257" s="33">
        <f t="shared" si="17"/>
        <v>-26.96572336263948</v>
      </c>
    </row>
    <row r="258" spans="6:10">
      <c r="F258" s="31">
        <f t="shared" si="20"/>
        <v>2.5599999999999894</v>
      </c>
      <c r="G258" s="32">
        <f t="shared" si="18"/>
        <v>17297.297297296984</v>
      </c>
      <c r="H258" s="32">
        <f t="shared" si="19"/>
        <v>17.297297297296982</v>
      </c>
      <c r="I258" s="32">
        <f t="shared" si="21"/>
        <v>-27.502780637329465</v>
      </c>
      <c r="J258" s="33">
        <f t="shared" si="17"/>
        <v>-27.335687525063392</v>
      </c>
    </row>
    <row r="259" spans="6:10">
      <c r="F259" s="31">
        <f t="shared" si="20"/>
        <v>2.5699999999999892</v>
      </c>
      <c r="G259" s="32">
        <f t="shared" si="18"/>
        <v>17602.739726027066</v>
      </c>
      <c r="H259" s="32">
        <f t="shared" si="19"/>
        <v>17.602739726027067</v>
      </c>
      <c r="I259" s="32">
        <f t="shared" si="21"/>
        <v>-27.768093846399665</v>
      </c>
      <c r="J259" s="33">
        <f t="shared" ref="J259:J303" si="22">11.191*F259^6  -112.91*F259^5 + 445.63*F259^4 - 872.24*F259^3 + 886.6*F259^2 - 468.95*F259 + 121.45</f>
        <v>-27.710194942658788</v>
      </c>
    </row>
    <row r="260" spans="6:10">
      <c r="F260" s="31">
        <f t="shared" si="20"/>
        <v>2.579999999999989</v>
      </c>
      <c r="G260" s="32">
        <f t="shared" ref="G260:G303" si="23">5000*F260/(3.3-F260)</f>
        <v>17916.666666666322</v>
      </c>
      <c r="H260" s="32">
        <f t="shared" ref="H260:H303" si="24">G260/$L$12</f>
        <v>17.916666666666323</v>
      </c>
      <c r="I260" s="32">
        <f t="shared" si="21"/>
        <v>-28.035440765157858</v>
      </c>
      <c r="J260" s="33">
        <f t="shared" si="22"/>
        <v>-28.088954870002041</v>
      </c>
    </row>
    <row r="261" spans="6:10">
      <c r="F261" s="31">
        <f t="shared" ref="F261:F303" si="25">0.01+F260</f>
        <v>2.5899999999999888</v>
      </c>
      <c r="G261" s="32">
        <f t="shared" si="23"/>
        <v>18239.436619717948</v>
      </c>
      <c r="H261" s="32">
        <f t="shared" si="24"/>
        <v>18.239436619717949</v>
      </c>
      <c r="I261" s="32">
        <f t="shared" si="21"/>
        <v>-28.304887128109982</v>
      </c>
      <c r="J261" s="33">
        <f t="shared" si="22"/>
        <v>-28.471651728000367</v>
      </c>
    </row>
    <row r="262" spans="6:10">
      <c r="F262" s="31">
        <f t="shared" si="25"/>
        <v>2.5999999999999885</v>
      </c>
      <c r="G262" s="32">
        <f t="shared" si="23"/>
        <v>18571.42857142819</v>
      </c>
      <c r="H262" s="32">
        <f t="shared" si="24"/>
        <v>18.571428571428189</v>
      </c>
      <c r="I262" s="32">
        <f t="shared" si="21"/>
        <v>-28.576501229725864</v>
      </c>
      <c r="J262" s="33">
        <f t="shared" si="22"/>
        <v>-28.857944383998344</v>
      </c>
    </row>
    <row r="263" spans="6:10">
      <c r="F263" s="31">
        <f t="shared" si="25"/>
        <v>2.6099999999999883</v>
      </c>
      <c r="G263" s="32">
        <f t="shared" si="23"/>
        <v>18913.043478260472</v>
      </c>
      <c r="H263" s="32">
        <f t="shared" si="24"/>
        <v>18.913043478260473</v>
      </c>
      <c r="I263" s="32">
        <f t="shared" si="21"/>
        <v>-28.850354070371964</v>
      </c>
      <c r="J263" s="33">
        <f t="shared" si="22"/>
        <v>-29.247465423830178</v>
      </c>
    </row>
    <row r="264" spans="6:10">
      <c r="F264" s="31">
        <f t="shared" si="25"/>
        <v>2.6199999999999881</v>
      </c>
      <c r="G264" s="32">
        <f t="shared" si="23"/>
        <v>19264.705882352522</v>
      </c>
      <c r="H264" s="32">
        <f t="shared" si="24"/>
        <v>19.264705882352523</v>
      </c>
      <c r="I264" s="32">
        <f t="shared" si="21"/>
        <v>-29.126519512630495</v>
      </c>
      <c r="J264" s="33">
        <f t="shared" si="22"/>
        <v>-29.63982041579338</v>
      </c>
    </row>
    <row r="265" spans="6:10">
      <c r="F265" s="31">
        <f t="shared" si="25"/>
        <v>2.6299999999999879</v>
      </c>
      <c r="G265" s="32">
        <f t="shared" si="23"/>
        <v>19626.865671641353</v>
      </c>
      <c r="H265" s="32">
        <f t="shared" si="24"/>
        <v>19.626865671641355</v>
      </c>
      <c r="I265" s="32">
        <f t="shared" si="21"/>
        <v>-29.405074448912046</v>
      </c>
      <c r="J265" s="33">
        <f t="shared" si="22"/>
        <v>-30.034587166636626</v>
      </c>
    </row>
    <row r="266" spans="6:10">
      <c r="F266" s="31">
        <f t="shared" si="25"/>
        <v>2.6399999999999877</v>
      </c>
      <c r="G266" s="32">
        <f t="shared" si="23"/>
        <v>19999.999999999538</v>
      </c>
      <c r="H266" s="32">
        <f t="shared" si="24"/>
        <v>19.999999999999538</v>
      </c>
      <c r="I266" s="32">
        <f t="shared" si="21"/>
        <v>-29.686098981364751</v>
      </c>
      <c r="J266" s="33">
        <f t="shared" si="22"/>
        <v>-30.431314969368984</v>
      </c>
    </row>
    <row r="267" spans="6:10">
      <c r="F267" s="31">
        <f t="shared" si="25"/>
        <v>2.6499999999999875</v>
      </c>
      <c r="G267" s="32">
        <f t="shared" si="23"/>
        <v>20384.615384614903</v>
      </c>
      <c r="H267" s="32">
        <f t="shared" si="24"/>
        <v>20.384615384614904</v>
      </c>
      <c r="I267" s="32">
        <f t="shared" si="21"/>
        <v>-29.969676615188604</v>
      </c>
      <c r="J267" s="33">
        <f t="shared" si="22"/>
        <v>-30.829523843139711</v>
      </c>
    </row>
    <row r="268" spans="6:10">
      <c r="F268" s="31">
        <f t="shared" si="25"/>
        <v>2.6599999999999873</v>
      </c>
      <c r="G268" s="32">
        <f t="shared" si="23"/>
        <v>20781.249999999494</v>
      </c>
      <c r="H268" s="32">
        <f t="shared" si="24"/>
        <v>20.781249999999496</v>
      </c>
      <c r="I268" s="32">
        <f t="shared" si="21"/>
        <v>-30.255894466580344</v>
      </c>
      <c r="J268" s="33">
        <f t="shared" si="22"/>
        <v>-31.22870376496671</v>
      </c>
    </row>
    <row r="269" spans="6:10">
      <c r="F269" s="31">
        <f t="shared" si="25"/>
        <v>2.6699999999999871</v>
      </c>
      <c r="G269" s="32">
        <f t="shared" si="23"/>
        <v>21190.476190475656</v>
      </c>
      <c r="H269" s="32">
        <f t="shared" si="24"/>
        <v>21.190476190475657</v>
      </c>
      <c r="I269" s="32">
        <f t="shared" si="21"/>
        <v>-30.544843486669663</v>
      </c>
      <c r="J269" s="33">
        <f t="shared" si="22"/>
        <v>-31.62831389346097</v>
      </c>
    </row>
    <row r="270" spans="6:10">
      <c r="F270" s="31">
        <f t="shared" si="25"/>
        <v>2.6799999999999868</v>
      </c>
      <c r="G270" s="32">
        <f t="shared" si="23"/>
        <v>21612.903225805894</v>
      </c>
      <c r="H270" s="32">
        <f t="shared" si="24"/>
        <v>21.612903225805894</v>
      </c>
      <c r="I270" s="32">
        <f t="shared" si="21"/>
        <v>-30.836618702955406</v>
      </c>
      <c r="J270" s="33">
        <f t="shared" si="22"/>
        <v>-32.027781784457872</v>
      </c>
    </row>
    <row r="271" spans="6:10">
      <c r="F271" s="31">
        <f t="shared" si="25"/>
        <v>2.6899999999999866</v>
      </c>
      <c r="G271" s="32">
        <f t="shared" si="23"/>
        <v>22049.180327868264</v>
      </c>
      <c r="H271" s="32">
        <f t="shared" si="24"/>
        <v>22.049180327868264</v>
      </c>
      <c r="I271" s="32">
        <f t="shared" si="21"/>
        <v>-31.131319479921444</v>
      </c>
      <c r="J271" s="33">
        <f t="shared" si="22"/>
        <v>-32.426502598630847</v>
      </c>
    </row>
    <row r="272" spans="6:10">
      <c r="F272" s="31">
        <f t="shared" si="25"/>
        <v>2.6999999999999864</v>
      </c>
      <c r="G272" s="32">
        <f t="shared" si="23"/>
        <v>22499.999999999385</v>
      </c>
      <c r="H272" s="32">
        <f t="shared" si="24"/>
        <v>22.499999999999385</v>
      </c>
      <c r="I272" s="32">
        <f t="shared" si="21"/>
        <v>-31.429049800702217</v>
      </c>
      <c r="J272" s="33">
        <f t="shared" si="22"/>
        <v>-32.823838301000066</v>
      </c>
    </row>
    <row r="273" spans="6:10">
      <c r="F273" s="31">
        <f t="shared" si="25"/>
        <v>2.7099999999999862</v>
      </c>
      <c r="G273" s="32">
        <f t="shared" si="23"/>
        <v>22966.101694914607</v>
      </c>
      <c r="H273" s="32">
        <f t="shared" si="24"/>
        <v>22.966101694914606</v>
      </c>
      <c r="I273" s="32">
        <f t="shared" si="21"/>
        <v>-31.729918571884326</v>
      </c>
      <c r="J273" s="33">
        <f t="shared" si="22"/>
        <v>-33.21911685242894</v>
      </c>
    </row>
    <row r="274" spans="6:10">
      <c r="F274" s="31">
        <f t="shared" si="25"/>
        <v>2.719999999999986</v>
      </c>
      <c r="G274" s="32">
        <f t="shared" si="23"/>
        <v>23448.275862068283</v>
      </c>
      <c r="H274" s="32">
        <f t="shared" si="24"/>
        <v>23.448275862068282</v>
      </c>
      <c r="I274" s="32">
        <f t="shared" si="21"/>
        <v>-32.034039953778063</v>
      </c>
      <c r="J274" s="33">
        <f t="shared" si="22"/>
        <v>-33.611631393035893</v>
      </c>
    </row>
    <row r="275" spans="6:10">
      <c r="F275" s="31">
        <f t="shared" si="25"/>
        <v>2.7299999999999858</v>
      </c>
      <c r="G275" s="32">
        <f t="shared" si="23"/>
        <v>23947.368421051917</v>
      </c>
      <c r="H275" s="32">
        <f t="shared" si="24"/>
        <v>23.947368421051916</v>
      </c>
      <c r="I275" s="32">
        <f t="shared" si="21"/>
        <v>-32.341533718771188</v>
      </c>
      <c r="J275" s="33">
        <f t="shared" si="22"/>
        <v>-34.000639417544377</v>
      </c>
    </row>
    <row r="276" spans="6:10">
      <c r="F276" s="31">
        <f t="shared" si="25"/>
        <v>2.7399999999999856</v>
      </c>
      <c r="G276" s="32">
        <f t="shared" si="23"/>
        <v>24464.285714284961</v>
      </c>
      <c r="H276" s="32">
        <f t="shared" si="24"/>
        <v>24.464285714284962</v>
      </c>
      <c r="I276" s="32">
        <f t="shared" si="21"/>
        <v>-32.652525640695899</v>
      </c>
      <c r="J276" s="33">
        <f t="shared" si="22"/>
        <v>-34.385361942603183</v>
      </c>
    </row>
    <row r="277" spans="6:10">
      <c r="F277" s="31">
        <f t="shared" si="25"/>
        <v>2.7499999999999853</v>
      </c>
      <c r="G277" s="32">
        <f t="shared" si="23"/>
        <v>24999.999999999211</v>
      </c>
      <c r="H277" s="32">
        <f t="shared" si="24"/>
        <v>24.999999999999211</v>
      </c>
      <c r="I277" s="32">
        <f t="shared" si="21"/>
        <v>-32.967147918505844</v>
      </c>
      <c r="J277" s="33">
        <f t="shared" si="22"/>
        <v>-34.76498266601179</v>
      </c>
    </row>
    <row r="278" spans="6:10">
      <c r="F278" s="31">
        <f t="shared" si="25"/>
        <v>2.7599999999999851</v>
      </c>
      <c r="G278" s="32">
        <f t="shared" si="23"/>
        <v>25555.555555554722</v>
      </c>
      <c r="H278" s="32">
        <f t="shared" si="24"/>
        <v>25.555555555554722</v>
      </c>
      <c r="I278" s="32">
        <f t="shared" si="21"/>
        <v>-33.285539637974807</v>
      </c>
      <c r="J278" s="33">
        <f t="shared" si="22"/>
        <v>-35.138647117939897</v>
      </c>
    </row>
    <row r="279" spans="6:10">
      <c r="F279" s="31">
        <f t="shared" si="25"/>
        <v>2.7699999999999849</v>
      </c>
      <c r="G279" s="32">
        <f t="shared" si="23"/>
        <v>26132.075471697237</v>
      </c>
      <c r="H279" s="32">
        <f t="shared" si="24"/>
        <v>26.132075471697238</v>
      </c>
      <c r="I279" s="32">
        <f t="shared" si="21"/>
        <v>-33.60784727560943</v>
      </c>
      <c r="J279" s="33">
        <f t="shared" si="22"/>
        <v>-35.505461804026524</v>
      </c>
    </row>
    <row r="280" spans="6:10">
      <c r="F280" s="31">
        <f t="shared" si="25"/>
        <v>2.7799999999999847</v>
      </c>
      <c r="G280" s="32">
        <f t="shared" si="23"/>
        <v>26730.769230768306</v>
      </c>
      <c r="H280" s="32">
        <f t="shared" si="24"/>
        <v>26.730769230768306</v>
      </c>
      <c r="I280" s="32">
        <f t="shared" si="21"/>
        <v>-33.934225249516516</v>
      </c>
      <c r="J280" s="33">
        <f t="shared" si="22"/>
        <v>-35.864493340463284</v>
      </c>
    </row>
    <row r="281" spans="6:10">
      <c r="F281" s="31">
        <f t="shared" si="25"/>
        <v>2.7899999999999845</v>
      </c>
      <c r="G281" s="32">
        <f t="shared" si="23"/>
        <v>27352.941176469612</v>
      </c>
      <c r="H281" s="32">
        <f t="shared" si="24"/>
        <v>27.352941176469614</v>
      </c>
      <c r="I281" s="32">
        <f t="shared" si="21"/>
        <v>-34.264836522602536</v>
      </c>
      <c r="J281" s="33">
        <f t="shared" si="22"/>
        <v>-36.214767581019075</v>
      </c>
    </row>
    <row r="282" spans="6:10">
      <c r="F282" s="31">
        <f t="shared" si="25"/>
        <v>2.7999999999999843</v>
      </c>
      <c r="G282" s="32">
        <f t="shared" si="23"/>
        <v>27999.999999998974</v>
      </c>
      <c r="H282" s="32">
        <f t="shared" si="24"/>
        <v>27.999999999998973</v>
      </c>
      <c r="I282" s="32">
        <f t="shared" si="21"/>
        <v>-34.599853264215113</v>
      </c>
      <c r="J282" s="33">
        <f t="shared" si="22"/>
        <v>-36.555268735996194</v>
      </c>
    </row>
    <row r="283" spans="6:10">
      <c r="F283" s="31">
        <f t="shared" si="25"/>
        <v>2.8099999999999841</v>
      </c>
      <c r="G283" s="32">
        <f t="shared" si="23"/>
        <v>28673.469387754016</v>
      </c>
      <c r="H283" s="32">
        <f t="shared" si="24"/>
        <v>28.673469387754015</v>
      </c>
      <c r="I283" s="32">
        <f t="shared" si="21"/>
        <v>-34.939457577189614</v>
      </c>
      <c r="J283" s="33">
        <f t="shared" si="22"/>
        <v>-36.884938483121502</v>
      </c>
    </row>
    <row r="284" spans="6:10">
      <c r="F284" s="31">
        <f t="shared" si="25"/>
        <v>2.8199999999999839</v>
      </c>
      <c r="G284" s="32">
        <f t="shared" si="23"/>
        <v>29374.999999998858</v>
      </c>
      <c r="H284" s="32">
        <f t="shared" si="24"/>
        <v>29.374999999998856</v>
      </c>
      <c r="I284" s="32">
        <f t="shared" si="21"/>
        <v>-35.283842298251415</v>
      </c>
      <c r="J284" s="33">
        <f t="shared" si="22"/>
        <v>-37.202675070387201</v>
      </c>
    </row>
    <row r="285" spans="6:10">
      <c r="F285" s="31">
        <f t="shared" si="25"/>
        <v>2.8299999999999836</v>
      </c>
      <c r="G285" s="32">
        <f t="shared" si="23"/>
        <v>30106.382978722195</v>
      </c>
      <c r="H285" s="32">
        <f t="shared" si="24"/>
        <v>30.106382978722195</v>
      </c>
      <c r="I285" s="32">
        <f t="shared" si="21"/>
        <v>-35.633211880880481</v>
      </c>
      <c r="J285" s="33">
        <f t="shared" si="22"/>
        <v>-37.507332410863953</v>
      </c>
    </row>
    <row r="286" spans="6:10">
      <c r="F286" s="31">
        <f t="shared" si="25"/>
        <v>2.8399999999999834</v>
      </c>
      <c r="G286" s="32">
        <f t="shared" si="23"/>
        <v>30869.565217390023</v>
      </c>
      <c r="H286" s="32">
        <f t="shared" si="24"/>
        <v>30.869565217390022</v>
      </c>
      <c r="I286" s="32">
        <f t="shared" si="21"/>
        <v>-35.987783371094906</v>
      </c>
      <c r="J286" s="33">
        <f t="shared" si="22"/>
        <v>-37.797719169383569</v>
      </c>
    </row>
    <row r="287" spans="6:10">
      <c r="F287" s="31">
        <f t="shared" si="25"/>
        <v>2.8499999999999832</v>
      </c>
      <c r="G287" s="32">
        <f t="shared" si="23"/>
        <v>31666.666666665311</v>
      </c>
      <c r="H287" s="32">
        <f t="shared" si="24"/>
        <v>31.666666666665311</v>
      </c>
      <c r="I287" s="32">
        <f t="shared" si="21"/>
        <v>-36.3477874881942</v>
      </c>
      <c r="J287" s="33">
        <f t="shared" si="22"/>
        <v>-38.07259784126704</v>
      </c>
    </row>
    <row r="288" spans="6:10">
      <c r="F288" s="31">
        <f t="shared" si="25"/>
        <v>2.859999999999983</v>
      </c>
      <c r="G288" s="32">
        <f t="shared" si="23"/>
        <v>32499.999999998563</v>
      </c>
      <c r="H288" s="32">
        <f t="shared" si="24"/>
        <v>32.499999999998565</v>
      </c>
      <c r="I288" s="32">
        <f t="shared" si="21"/>
        <v>-36.713469824368701</v>
      </c>
      <c r="J288" s="33">
        <f t="shared" si="22"/>
        <v>-38.330683822874377</v>
      </c>
    </row>
    <row r="289" spans="6:10">
      <c r="F289" s="31">
        <f t="shared" si="25"/>
        <v>2.8699999999999828</v>
      </c>
      <c r="G289" s="32">
        <f t="shared" si="23"/>
        <v>33372.093023254296</v>
      </c>
      <c r="H289" s="32">
        <f t="shared" si="24"/>
        <v>33.372093023254294</v>
      </c>
      <c r="I289" s="32">
        <f t="shared" si="21"/>
        <v>-37.085092179287528</v>
      </c>
      <c r="J289" s="33">
        <f t="shared" si="22"/>
        <v>-38.570644474202069</v>
      </c>
    </row>
    <row r="290" spans="6:10">
      <c r="F290" s="31">
        <f t="shared" si="25"/>
        <v>2.8799999999999826</v>
      </c>
      <c r="G290" s="32">
        <f t="shared" si="23"/>
        <v>34285.714285712667</v>
      </c>
      <c r="H290" s="32">
        <f t="shared" si="24"/>
        <v>34.285714285712665</v>
      </c>
      <c r="I290" s="32">
        <f t="shared" si="21"/>
        <v>-37.462934048389144</v>
      </c>
      <c r="J290" s="33">
        <f t="shared" si="22"/>
        <v>-38.79109817338194</v>
      </c>
    </row>
    <row r="291" spans="6:10">
      <c r="F291" s="31">
        <f t="shared" si="25"/>
        <v>2.8899999999999824</v>
      </c>
      <c r="G291" s="32">
        <f t="shared" si="23"/>
        <v>35243.902439022677</v>
      </c>
      <c r="H291" s="32">
        <f t="shared" si="24"/>
        <v>35.243902439022676</v>
      </c>
      <c r="I291" s="32">
        <f t="shared" ref="I291:I303" si="26">$K$12/(LN(G291/$N$12))-273</f>
        <v>-37.847294286711815</v>
      </c>
      <c r="J291" s="33">
        <f t="shared" si="22"/>
        <v>-38.990613363097779</v>
      </c>
    </row>
    <row r="292" spans="6:10">
      <c r="F292" s="31">
        <f t="shared" si="25"/>
        <v>2.8999999999999821</v>
      </c>
      <c r="G292" s="32">
        <f t="shared" si="23"/>
        <v>36249.999999998174</v>
      </c>
      <c r="H292" s="32">
        <f t="shared" si="24"/>
        <v>36.249999999998174</v>
      </c>
      <c r="I292" s="32">
        <f t="shared" si="26"/>
        <v>-38.238492973818239</v>
      </c>
      <c r="J292" s="33">
        <f t="shared" si="22"/>
        <v>-39.167707588995242</v>
      </c>
    </row>
    <row r="293" spans="6:10">
      <c r="F293" s="31">
        <f t="shared" si="25"/>
        <v>2.9099999999999819</v>
      </c>
      <c r="G293" s="32">
        <f t="shared" si="23"/>
        <v>37307.692307690362</v>
      </c>
      <c r="H293" s="32">
        <f t="shared" si="24"/>
        <v>37.30769230769036</v>
      </c>
      <c r="I293" s="32">
        <f t="shared" si="26"/>
        <v>-38.636873509828689</v>
      </c>
      <c r="J293" s="33">
        <f t="shared" si="22"/>
        <v>-39.320846529984053</v>
      </c>
    </row>
    <row r="294" spans="6:10">
      <c r="F294" s="31">
        <f t="shared" si="25"/>
        <v>2.9199999999999817</v>
      </c>
      <c r="G294" s="32">
        <f t="shared" si="23"/>
        <v>38421.05263157688</v>
      </c>
      <c r="H294" s="32">
        <f t="shared" si="24"/>
        <v>38.421052631576877</v>
      </c>
      <c r="I294" s="32">
        <f t="shared" si="26"/>
        <v>-39.04280497795537</v>
      </c>
      <c r="J294" s="33">
        <f t="shared" si="22"/>
        <v>-39.448443020492547</v>
      </c>
    </row>
    <row r="295" spans="6:10">
      <c r="F295" s="31">
        <f t="shared" si="25"/>
        <v>2.9299999999999815</v>
      </c>
      <c r="G295" s="32">
        <f t="shared" si="23"/>
        <v>39594.594594592381</v>
      </c>
      <c r="H295" s="32">
        <f t="shared" si="24"/>
        <v>39.59459459459238</v>
      </c>
      <c r="I295" s="32">
        <f t="shared" si="26"/>
        <v>-39.456684815434159</v>
      </c>
      <c r="J295" s="33">
        <f t="shared" si="22"/>
        <v>-39.548856064750041</v>
      </c>
    </row>
    <row r="296" spans="6:10">
      <c r="F296" s="31">
        <f t="shared" si="25"/>
        <v>2.9399999999999813</v>
      </c>
      <c r="G296" s="32">
        <f t="shared" si="23"/>
        <v>40833.333333330971</v>
      </c>
      <c r="H296" s="32">
        <f t="shared" si="24"/>
        <v>40.83333333333097</v>
      </c>
      <c r="I296" s="32">
        <f t="shared" si="26"/>
        <v>-39.878941842670145</v>
      </c>
      <c r="J296" s="33">
        <f t="shared" si="22"/>
        <v>-39.620389842853271</v>
      </c>
    </row>
    <row r="297" spans="6:10">
      <c r="F297" s="31">
        <f t="shared" si="25"/>
        <v>2.9499999999999811</v>
      </c>
      <c r="G297" s="32">
        <f t="shared" si="23"/>
        <v>42142.857142854613</v>
      </c>
      <c r="H297" s="32">
        <f t="shared" si="24"/>
        <v>42.142857142854616</v>
      </c>
      <c r="I297" s="32">
        <f t="shared" si="26"/>
        <v>-40.310039710083544</v>
      </c>
      <c r="J297" s="33">
        <f t="shared" si="22"/>
        <v>-39.661292708893413</v>
      </c>
    </row>
    <row r="298" spans="6:10">
      <c r="F298" s="31">
        <f t="shared" si="25"/>
        <v>2.9599999999999809</v>
      </c>
      <c r="G298" s="32">
        <f t="shared" si="23"/>
        <v>43529.411764703174</v>
      </c>
      <c r="H298" s="32">
        <f t="shared" si="24"/>
        <v>43.529411764703177</v>
      </c>
      <c r="I298" s="32">
        <f t="shared" si="26"/>
        <v>-40.750480834037461</v>
      </c>
      <c r="J298" s="33">
        <f t="shared" si="22"/>
        <v>-39.669756181029967</v>
      </c>
    </row>
    <row r="299" spans="6:10">
      <c r="F299" s="31">
        <f t="shared" si="25"/>
        <v>2.9699999999999807</v>
      </c>
      <c r="G299" s="32">
        <f t="shared" si="23"/>
        <v>44999.999999997097</v>
      </c>
      <c r="H299" s="32">
        <f t="shared" si="24"/>
        <v>44.999999999997094</v>
      </c>
      <c r="I299" s="32">
        <f t="shared" si="26"/>
        <v>-41.200810907917031</v>
      </c>
      <c r="J299" s="33">
        <f t="shared" si="22"/>
        <v>-39.643913923421493</v>
      </c>
    </row>
    <row r="300" spans="6:10">
      <c r="F300" s="31">
        <f t="shared" si="25"/>
        <v>2.9799999999999804</v>
      </c>
      <c r="G300" s="32">
        <f t="shared" si="23"/>
        <v>46562.499999996871</v>
      </c>
      <c r="H300" s="32">
        <f t="shared" si="24"/>
        <v>46.562499999996874</v>
      </c>
      <c r="I300" s="32">
        <f t="shared" si="26"/>
        <v>-41.661624092693671</v>
      </c>
      <c r="J300" s="33">
        <f t="shared" si="22"/>
        <v>-39.581840720175975</v>
      </c>
    </row>
    <row r="301" spans="6:10">
      <c r="F301" s="31">
        <f t="shared" si="25"/>
        <v>2.9899999999999802</v>
      </c>
      <c r="G301" s="32">
        <f t="shared" si="23"/>
        <v>48225.80645160954</v>
      </c>
      <c r="H301" s="32">
        <f t="shared" si="24"/>
        <v>48.225806451609543</v>
      </c>
      <c r="I301" s="32">
        <f t="shared" si="26"/>
        <v>-42.133569014144797</v>
      </c>
      <c r="J301" s="33">
        <f t="shared" si="22"/>
        <v>-39.481551441195322</v>
      </c>
    </row>
    <row r="302" spans="6:10">
      <c r="F302" s="31">
        <f t="shared" si="25"/>
        <v>2.99999999999998</v>
      </c>
      <c r="G302" s="32">
        <f t="shared" si="23"/>
        <v>49999.999999996362</v>
      </c>
      <c r="H302" s="32">
        <f t="shared" si="24"/>
        <v>49.999999999996362</v>
      </c>
      <c r="I302" s="32">
        <f t="shared" si="26"/>
        <v>-42.61735572265178</v>
      </c>
      <c r="J302" s="33">
        <f t="shared" si="22"/>
        <v>-39.340999999999482</v>
      </c>
    </row>
    <row r="303" spans="6:10">
      <c r="F303" s="49">
        <f t="shared" si="25"/>
        <v>3.0099999999999798</v>
      </c>
      <c r="G303" s="50">
        <f t="shared" si="23"/>
        <v>51896.551724133999</v>
      </c>
      <c r="H303" s="50">
        <f t="shared" si="24"/>
        <v>51.896551724134</v>
      </c>
      <c r="I303" s="50">
        <f t="shared" si="26"/>
        <v>-43.113763807943229</v>
      </c>
      <c r="J303" s="33">
        <f t="shared" si="22"/>
        <v>-39.158078303485624</v>
      </c>
    </row>
    <row r="304" spans="6:10">
      <c r="F304" s="30"/>
      <c r="G304" s="30"/>
      <c r="H304" s="30"/>
      <c r="I304" s="30"/>
      <c r="J304" s="30"/>
    </row>
    <row r="305" spans="6:10">
      <c r="F305" s="30"/>
      <c r="G305" s="30"/>
      <c r="H305" s="30"/>
      <c r="I305" s="30"/>
      <c r="J305" s="30"/>
    </row>
    <row r="306" spans="6:10">
      <c r="F306" s="30"/>
      <c r="G306" s="30"/>
      <c r="H306" s="30"/>
      <c r="I306" s="30"/>
      <c r="J306" s="30"/>
    </row>
    <row r="307" spans="6:10">
      <c r="F307" s="30"/>
      <c r="G307" s="30"/>
      <c r="H307" s="30"/>
      <c r="I307" s="30"/>
      <c r="J307" s="30"/>
    </row>
    <row r="308" spans="6:10">
      <c r="F308" s="30"/>
      <c r="G308" s="30"/>
      <c r="H308" s="30"/>
      <c r="I308" s="30"/>
      <c r="J308" s="30"/>
    </row>
    <row r="309" spans="6:10">
      <c r="F309" s="30"/>
      <c r="G309" s="30"/>
      <c r="H309" s="30"/>
      <c r="I309" s="30"/>
      <c r="J309" s="30"/>
    </row>
    <row r="310" spans="6:10">
      <c r="F310" s="30"/>
      <c r="G310" s="30"/>
      <c r="H310" s="30"/>
      <c r="I310" s="30"/>
      <c r="J310" s="30"/>
    </row>
    <row r="311" spans="6:10">
      <c r="F311" s="30"/>
      <c r="G311" s="30"/>
      <c r="H311" s="30"/>
      <c r="I311" s="30"/>
      <c r="J311" s="30"/>
    </row>
    <row r="312" spans="6:10">
      <c r="F312" s="30"/>
      <c r="G312" s="30"/>
      <c r="H312" s="30"/>
      <c r="I312" s="30"/>
      <c r="J312" s="30"/>
    </row>
    <row r="313" spans="6:10">
      <c r="F313" s="30"/>
      <c r="G313" s="30"/>
      <c r="H313" s="30"/>
      <c r="I313" s="30"/>
      <c r="J313" s="30"/>
    </row>
    <row r="314" spans="6:10">
      <c r="F314" s="30"/>
      <c r="G314" s="30"/>
      <c r="H314" s="30"/>
      <c r="I314" s="30"/>
      <c r="J314" s="30"/>
    </row>
    <row r="315" spans="6:10">
      <c r="F315" s="30"/>
      <c r="G315" s="30"/>
      <c r="H315" s="30"/>
      <c r="I315" s="30"/>
      <c r="J315" s="30"/>
    </row>
    <row r="316" spans="6:10">
      <c r="F316" s="30"/>
      <c r="G316" s="30"/>
      <c r="H316" s="30"/>
      <c r="I316" s="30"/>
      <c r="J316" s="30"/>
    </row>
    <row r="317" spans="6:10">
      <c r="F317" s="30"/>
      <c r="G317" s="30"/>
      <c r="H317" s="30"/>
      <c r="I317" s="30"/>
      <c r="J317" s="30"/>
    </row>
    <row r="318" spans="6:10">
      <c r="F318" s="30"/>
      <c r="G318" s="30"/>
      <c r="H318" s="30"/>
      <c r="I318" s="30"/>
      <c r="J318" s="30"/>
    </row>
    <row r="319" spans="6:10">
      <c r="F319" s="30"/>
      <c r="G319" s="30"/>
      <c r="H319" s="30"/>
      <c r="I319" s="30"/>
      <c r="J319" s="30"/>
    </row>
    <row r="320" spans="6:10">
      <c r="F320" s="30"/>
      <c r="G320" s="30"/>
      <c r="H320" s="30"/>
      <c r="I320" s="30"/>
      <c r="J320" s="30"/>
    </row>
    <row r="321" spans="6:10">
      <c r="F321" s="30"/>
      <c r="G321" s="30"/>
      <c r="H321" s="30"/>
      <c r="I321" s="30"/>
      <c r="J321" s="30"/>
    </row>
    <row r="322" spans="6:10">
      <c r="F322" s="30"/>
      <c r="G322" s="30"/>
      <c r="H322" s="30"/>
      <c r="I322" s="30"/>
      <c r="J322" s="30"/>
    </row>
    <row r="323" spans="6:10">
      <c r="F323" s="30"/>
      <c r="G323" s="30"/>
      <c r="H323" s="30"/>
      <c r="I323" s="30"/>
      <c r="J323" s="30"/>
    </row>
    <row r="324" spans="6:10">
      <c r="F324" s="30"/>
      <c r="G324" s="30"/>
      <c r="H324" s="30"/>
      <c r="I324" s="30"/>
      <c r="J324" s="30"/>
    </row>
    <row r="325" spans="6:10">
      <c r="F325" s="30"/>
      <c r="G325" s="30"/>
      <c r="H325" s="30"/>
      <c r="I325" s="30"/>
      <c r="J325" s="30"/>
    </row>
    <row r="326" spans="6:10">
      <c r="F326" s="30"/>
      <c r="G326" s="30"/>
      <c r="H326" s="30"/>
      <c r="I326" s="30"/>
      <c r="J326" s="30"/>
    </row>
    <row r="327" spans="6:10">
      <c r="F327" s="30"/>
      <c r="G327" s="30"/>
      <c r="H327" s="30"/>
      <c r="I327" s="30"/>
      <c r="J327" s="30"/>
    </row>
    <row r="328" spans="6:10">
      <c r="F328" s="30"/>
      <c r="G328" s="30"/>
      <c r="H328" s="30"/>
      <c r="I328" s="30"/>
      <c r="J328" s="30"/>
    </row>
    <row r="329" spans="6:10">
      <c r="F329" s="30"/>
      <c r="G329" s="30"/>
      <c r="H329" s="30"/>
      <c r="I329" s="30"/>
      <c r="J329" s="30"/>
    </row>
    <row r="330" spans="6:10">
      <c r="F330" s="30"/>
      <c r="G330" s="30"/>
      <c r="H330" s="30"/>
      <c r="I330" s="30"/>
      <c r="J330" s="30"/>
    </row>
    <row r="331" spans="6:10">
      <c r="F331" s="30"/>
      <c r="G331" s="30"/>
      <c r="H331" s="30"/>
      <c r="I331" s="30"/>
      <c r="J331" s="30"/>
    </row>
    <row r="332" spans="6:10">
      <c r="F332" s="30"/>
      <c r="G332" s="30"/>
      <c r="H332" s="30"/>
      <c r="I332" s="30"/>
      <c r="J332" s="30"/>
    </row>
    <row r="333" spans="6:10">
      <c r="F333" s="30"/>
      <c r="G333" s="30"/>
      <c r="H333" s="30"/>
      <c r="I333" s="30"/>
      <c r="J333" s="30"/>
    </row>
    <row r="334" spans="6:10">
      <c r="F334" s="30"/>
      <c r="G334" s="30"/>
      <c r="H334" s="30"/>
      <c r="I334" s="30"/>
      <c r="J334" s="30"/>
    </row>
    <row r="335" spans="6:10">
      <c r="F335" s="30"/>
      <c r="G335" s="30"/>
      <c r="H335" s="30"/>
      <c r="I335" s="30"/>
      <c r="J335" s="30"/>
    </row>
    <row r="336" spans="6:10">
      <c r="F336" s="30"/>
      <c r="G336" s="30"/>
      <c r="H336" s="30"/>
      <c r="I336" s="30"/>
      <c r="J336" s="30"/>
    </row>
    <row r="337" spans="6:10">
      <c r="F337" s="30"/>
      <c r="G337" s="30"/>
      <c r="H337" s="30"/>
      <c r="I337" s="30"/>
      <c r="J337" s="30"/>
    </row>
    <row r="338" spans="6:10">
      <c r="F338" s="30"/>
      <c r="G338" s="30"/>
      <c r="H338" s="30"/>
      <c r="I338" s="30"/>
      <c r="J338" s="30"/>
    </row>
    <row r="339" spans="6:10">
      <c r="F339" s="30"/>
      <c r="G339" s="30"/>
      <c r="H339" s="30"/>
      <c r="I339" s="30"/>
      <c r="J339" s="30"/>
    </row>
    <row r="340" spans="6:10">
      <c r="F340" s="30"/>
      <c r="G340" s="30"/>
      <c r="H340" s="30"/>
      <c r="I340" s="30"/>
      <c r="J340" s="30"/>
    </row>
    <row r="341" spans="6:10">
      <c r="F341" s="30"/>
      <c r="G341" s="30"/>
      <c r="H341" s="30"/>
      <c r="I341" s="30"/>
      <c r="J341" s="30"/>
    </row>
    <row r="342" spans="6:10">
      <c r="F342" s="30"/>
      <c r="G342" s="30"/>
      <c r="H342" s="30"/>
      <c r="I342" s="30"/>
      <c r="J342" s="30"/>
    </row>
    <row r="343" spans="6:10">
      <c r="F343" s="30"/>
      <c r="G343" s="30"/>
      <c r="H343" s="30"/>
      <c r="I343" s="30"/>
      <c r="J343" s="30"/>
    </row>
    <row r="344" spans="6:10">
      <c r="F344" s="30"/>
      <c r="G344" s="30"/>
      <c r="H344" s="30"/>
      <c r="I344" s="30"/>
      <c r="J344" s="30"/>
    </row>
    <row r="345" spans="6:10">
      <c r="F345" s="30"/>
      <c r="G345" s="30"/>
      <c r="H345" s="30"/>
      <c r="I345" s="30"/>
      <c r="J345" s="30"/>
    </row>
    <row r="346" spans="6:10">
      <c r="F346" s="30"/>
      <c r="G346" s="30"/>
      <c r="H346" s="30"/>
      <c r="I346" s="30"/>
      <c r="J346" s="30"/>
    </row>
    <row r="347" spans="6:10">
      <c r="F347" s="30"/>
      <c r="G347" s="30"/>
      <c r="H347" s="30"/>
      <c r="I347" s="30"/>
      <c r="J347" s="30"/>
    </row>
    <row r="348" spans="6:10">
      <c r="F348" s="30"/>
      <c r="G348" s="30"/>
      <c r="H348" s="30"/>
      <c r="I348" s="30"/>
      <c r="J348" s="30"/>
    </row>
    <row r="349" spans="6:10">
      <c r="F349" s="30"/>
      <c r="G349" s="30"/>
      <c r="H349" s="30"/>
      <c r="I349" s="30"/>
      <c r="J349" s="30"/>
    </row>
    <row r="350" spans="6:10">
      <c r="F350" s="30"/>
      <c r="G350" s="30"/>
      <c r="H350" s="30"/>
      <c r="I350" s="30"/>
      <c r="J350" s="30"/>
    </row>
    <row r="351" spans="6:10">
      <c r="F351" s="30"/>
      <c r="G351" s="30"/>
      <c r="H351" s="30"/>
      <c r="I351" s="30"/>
      <c r="J351" s="30"/>
    </row>
    <row r="352" spans="6:10">
      <c r="F352" s="30"/>
      <c r="G352" s="30"/>
      <c r="H352" s="30"/>
      <c r="I352" s="30"/>
      <c r="J352" s="30"/>
    </row>
    <row r="353" spans="6:10">
      <c r="F353" s="30"/>
      <c r="G353" s="30"/>
      <c r="H353" s="30"/>
      <c r="I353" s="30"/>
      <c r="J353" s="30"/>
    </row>
    <row r="354" spans="6:10">
      <c r="F354" s="30"/>
      <c r="G354" s="30"/>
      <c r="H354" s="30"/>
      <c r="I354" s="30"/>
      <c r="J354" s="30"/>
    </row>
    <row r="355" spans="6:10">
      <c r="F355" s="30"/>
      <c r="G355" s="30"/>
      <c r="H355" s="30"/>
      <c r="I355" s="30"/>
      <c r="J355" s="30"/>
    </row>
    <row r="356" spans="6:10">
      <c r="F356" s="30"/>
      <c r="G356" s="30"/>
      <c r="H356" s="30"/>
      <c r="I356" s="30"/>
      <c r="J356" s="30"/>
    </row>
    <row r="357" spans="6:10">
      <c r="F357" s="30"/>
      <c r="G357" s="30"/>
      <c r="H357" s="30"/>
      <c r="I357" s="30"/>
      <c r="J357" s="30"/>
    </row>
    <row r="358" spans="6:10">
      <c r="F358" s="30"/>
      <c r="G358" s="30"/>
      <c r="H358" s="30"/>
      <c r="I358" s="30"/>
      <c r="J358" s="30"/>
    </row>
    <row r="359" spans="6:10">
      <c r="F359" s="30"/>
      <c r="G359" s="30"/>
      <c r="H359" s="30"/>
      <c r="I359" s="30"/>
      <c r="J359" s="30"/>
    </row>
    <row r="360" spans="6:10">
      <c r="F360" s="30"/>
      <c r="G360" s="30"/>
      <c r="H360" s="30"/>
      <c r="I360" s="30"/>
      <c r="J360" s="30"/>
    </row>
    <row r="361" spans="6:10">
      <c r="F361" s="30"/>
      <c r="G361" s="30"/>
      <c r="H361" s="30"/>
      <c r="I361" s="30"/>
      <c r="J361" s="30"/>
    </row>
    <row r="362" spans="6:10">
      <c r="F362" s="30"/>
      <c r="G362" s="30"/>
      <c r="H362" s="30"/>
      <c r="I362" s="30"/>
      <c r="J362" s="30"/>
    </row>
    <row r="363" spans="6:10">
      <c r="F363" s="30"/>
      <c r="G363" s="30"/>
      <c r="H363" s="30"/>
      <c r="I363" s="30"/>
      <c r="J363" s="30"/>
    </row>
    <row r="364" spans="6:10">
      <c r="F364" s="30"/>
      <c r="G364" s="30"/>
      <c r="H364" s="30"/>
      <c r="I364" s="30"/>
      <c r="J364" s="30"/>
    </row>
    <row r="365" spans="6:10">
      <c r="F365" s="30"/>
      <c r="G365" s="30"/>
      <c r="H365" s="30"/>
      <c r="I365" s="30"/>
      <c r="J365" s="30"/>
    </row>
    <row r="366" spans="6:10">
      <c r="F366" s="30"/>
      <c r="G366" s="30"/>
      <c r="H366" s="30"/>
      <c r="I366" s="30"/>
      <c r="J366" s="30"/>
    </row>
    <row r="367" spans="6:10">
      <c r="F367" s="30"/>
      <c r="G367" s="30"/>
      <c r="H367" s="30"/>
      <c r="I367" s="30"/>
      <c r="J367" s="30"/>
    </row>
    <row r="368" spans="6:10">
      <c r="F368" s="30"/>
      <c r="G368" s="30"/>
      <c r="H368" s="30"/>
      <c r="I368" s="30"/>
      <c r="J368" s="30"/>
    </row>
    <row r="369" spans="6:10">
      <c r="F369" s="30"/>
      <c r="G369" s="30"/>
      <c r="H369" s="30"/>
      <c r="I369" s="30"/>
      <c r="J369" s="30"/>
    </row>
    <row r="370" spans="6:10">
      <c r="F370" s="30"/>
      <c r="G370" s="30"/>
      <c r="H370" s="30"/>
      <c r="I370" s="30"/>
      <c r="J370" s="30"/>
    </row>
    <row r="371" spans="6:10">
      <c r="F371" s="30"/>
      <c r="G371" s="30"/>
      <c r="H371" s="30"/>
      <c r="I371" s="30"/>
      <c r="J371" s="30"/>
    </row>
    <row r="372" spans="6:10">
      <c r="F372" s="30"/>
      <c r="G372" s="30"/>
      <c r="H372" s="30"/>
      <c r="I372" s="30"/>
      <c r="J372" s="30"/>
    </row>
    <row r="373" spans="6:10">
      <c r="F373" s="30"/>
      <c r="G373" s="30"/>
      <c r="H373" s="30"/>
      <c r="I373" s="30"/>
      <c r="J373" s="30"/>
    </row>
    <row r="374" spans="6:10">
      <c r="F374" s="30"/>
      <c r="G374" s="30"/>
      <c r="H374" s="30"/>
      <c r="I374" s="30"/>
      <c r="J374" s="30"/>
    </row>
    <row r="375" spans="6:10">
      <c r="F375" s="30"/>
      <c r="G375" s="30"/>
      <c r="H375" s="30"/>
      <c r="I375" s="30"/>
      <c r="J375" s="30"/>
    </row>
    <row r="376" spans="6:10">
      <c r="F376" s="30"/>
      <c r="G376" s="30"/>
      <c r="H376" s="30"/>
      <c r="I376" s="30"/>
      <c r="J376" s="30"/>
    </row>
    <row r="377" spans="6:10">
      <c r="F377" s="30"/>
      <c r="G377" s="30"/>
      <c r="H377" s="30"/>
      <c r="I377" s="30"/>
      <c r="J377" s="30"/>
    </row>
    <row r="378" spans="6:10">
      <c r="F378" s="30"/>
      <c r="G378" s="30"/>
      <c r="H378" s="30"/>
      <c r="I378" s="30"/>
      <c r="J378" s="30"/>
    </row>
    <row r="379" spans="6:10">
      <c r="F379" s="30"/>
      <c r="G379" s="30"/>
      <c r="H379" s="30"/>
      <c r="I379" s="30"/>
      <c r="J379" s="30"/>
    </row>
    <row r="380" spans="6:10">
      <c r="F380" s="30"/>
      <c r="G380" s="30"/>
      <c r="H380" s="30"/>
      <c r="I380" s="30"/>
      <c r="J380" s="30"/>
    </row>
    <row r="381" spans="6:10">
      <c r="F381" s="30"/>
      <c r="G381" s="30"/>
      <c r="H381" s="30"/>
      <c r="I381" s="30"/>
      <c r="J381" s="30"/>
    </row>
    <row r="382" spans="6:10">
      <c r="F382" s="30"/>
      <c r="G382" s="30"/>
      <c r="H382" s="30"/>
      <c r="I382" s="30"/>
      <c r="J382" s="30"/>
    </row>
    <row r="383" spans="6:10">
      <c r="F383" s="30"/>
      <c r="G383" s="30"/>
      <c r="H383" s="30"/>
      <c r="I383" s="30"/>
      <c r="J383" s="30"/>
    </row>
    <row r="384" spans="6:10">
      <c r="F384" s="30"/>
      <c r="G384" s="30"/>
      <c r="H384" s="30"/>
      <c r="I384" s="30"/>
      <c r="J384" s="30"/>
    </row>
    <row r="385" spans="6:10">
      <c r="F385" s="30"/>
      <c r="G385" s="30"/>
      <c r="H385" s="30"/>
      <c r="I385" s="30"/>
      <c r="J385" s="30"/>
    </row>
    <row r="386" spans="6:10">
      <c r="F386" s="30"/>
      <c r="G386" s="30"/>
      <c r="H386" s="30"/>
      <c r="I386" s="30"/>
      <c r="J386" s="30"/>
    </row>
    <row r="387" spans="6:10">
      <c r="F387" s="30"/>
      <c r="G387" s="30"/>
      <c r="H387" s="30"/>
      <c r="I387" s="30"/>
      <c r="J387" s="30"/>
    </row>
    <row r="388" spans="6:10">
      <c r="F388" s="30"/>
      <c r="G388" s="30"/>
      <c r="H388" s="30"/>
      <c r="I388" s="30"/>
      <c r="J388" s="30"/>
    </row>
    <row r="389" spans="6:10">
      <c r="F389" s="30"/>
      <c r="G389" s="30"/>
      <c r="H389" s="30"/>
      <c r="I389" s="30"/>
      <c r="J389" s="30"/>
    </row>
    <row r="390" spans="6:10">
      <c r="F390" s="30"/>
      <c r="G390" s="30"/>
      <c r="H390" s="30"/>
      <c r="I390" s="30"/>
      <c r="J390" s="30"/>
    </row>
    <row r="391" spans="6:10">
      <c r="F391" s="30"/>
      <c r="G391" s="30"/>
      <c r="H391" s="30"/>
      <c r="I391" s="30"/>
      <c r="J391" s="30"/>
    </row>
    <row r="392" spans="6:10">
      <c r="F392" s="30"/>
      <c r="G392" s="30"/>
      <c r="H392" s="30"/>
      <c r="I392" s="30"/>
      <c r="J392" s="30"/>
    </row>
    <row r="393" spans="6:10">
      <c r="F393" s="30"/>
      <c r="G393" s="30"/>
      <c r="H393" s="30"/>
      <c r="I393" s="30"/>
      <c r="J393" s="30"/>
    </row>
    <row r="394" spans="6:10">
      <c r="F394" s="30"/>
      <c r="G394" s="30"/>
      <c r="H394" s="30"/>
      <c r="I394" s="30"/>
      <c r="J394" s="30"/>
    </row>
    <row r="395" spans="6:10">
      <c r="F395" s="30"/>
      <c r="G395" s="30"/>
      <c r="H395" s="30"/>
      <c r="I395" s="30"/>
      <c r="J395" s="30"/>
    </row>
    <row r="396" spans="6:10">
      <c r="F396" s="30"/>
      <c r="G396" s="30"/>
      <c r="H396" s="30"/>
      <c r="I396" s="30"/>
      <c r="J396" s="30"/>
    </row>
    <row r="397" spans="6:10">
      <c r="F397" s="30"/>
      <c r="G397" s="30"/>
      <c r="H397" s="30"/>
      <c r="I397" s="30"/>
      <c r="J397" s="30"/>
    </row>
    <row r="398" spans="6:10">
      <c r="F398" s="30"/>
      <c r="G398" s="30"/>
      <c r="H398" s="30"/>
      <c r="I398" s="30"/>
      <c r="J398" s="30"/>
    </row>
    <row r="399" spans="6:10">
      <c r="F399" s="30"/>
      <c r="G399" s="30"/>
      <c r="H399" s="30"/>
      <c r="I399" s="30"/>
      <c r="J399" s="30"/>
    </row>
    <row r="400" spans="6:10">
      <c r="F400" s="30"/>
      <c r="G400" s="30"/>
      <c r="H400" s="30"/>
      <c r="I400" s="30"/>
      <c r="J400" s="30"/>
    </row>
    <row r="401" spans="6:10">
      <c r="F401" s="30"/>
      <c r="G401" s="30"/>
      <c r="H401" s="30"/>
      <c r="I401" s="30"/>
      <c r="J401" s="30"/>
    </row>
    <row r="402" spans="6:10">
      <c r="F402" s="30"/>
      <c r="G402" s="30"/>
      <c r="H402" s="30"/>
      <c r="I402" s="30"/>
      <c r="J402" s="30"/>
    </row>
    <row r="403" spans="6:10">
      <c r="F403" s="30"/>
      <c r="G403" s="30"/>
      <c r="H403" s="30"/>
      <c r="I403" s="30"/>
      <c r="J403" s="30"/>
    </row>
    <row r="404" spans="6:10">
      <c r="F404" s="30"/>
      <c r="G404" s="30"/>
      <c r="H404" s="30"/>
      <c r="I404" s="30"/>
      <c r="J404" s="30"/>
    </row>
    <row r="405" spans="6:10">
      <c r="F405" s="30"/>
      <c r="G405" s="30"/>
      <c r="H405" s="30"/>
      <c r="I405" s="30"/>
      <c r="J405" s="30"/>
    </row>
    <row r="406" spans="6:10">
      <c r="F406" s="30"/>
      <c r="G406" s="30"/>
      <c r="H406" s="30"/>
      <c r="I406" s="30"/>
      <c r="J406" s="30"/>
    </row>
    <row r="407" spans="6:10">
      <c r="F407" s="30"/>
      <c r="G407" s="30"/>
      <c r="H407" s="30"/>
      <c r="I407" s="30"/>
      <c r="J407" s="30"/>
    </row>
    <row r="408" spans="6:10">
      <c r="F408" s="30"/>
      <c r="G408" s="30"/>
      <c r="H408" s="30"/>
      <c r="I408" s="30"/>
      <c r="J408" s="30"/>
    </row>
    <row r="409" spans="6:10">
      <c r="F409" s="30"/>
      <c r="G409" s="30"/>
      <c r="H409" s="30"/>
      <c r="I409" s="30"/>
      <c r="J409" s="30"/>
    </row>
    <row r="410" spans="6:10">
      <c r="F410" s="30"/>
      <c r="G410" s="30"/>
      <c r="H410" s="30"/>
      <c r="I410" s="30"/>
      <c r="J410" s="30"/>
    </row>
    <row r="411" spans="6:10">
      <c r="F411" s="30"/>
      <c r="G411" s="30"/>
      <c r="H411" s="30"/>
      <c r="I411" s="30"/>
      <c r="J411" s="30"/>
    </row>
    <row r="412" spans="6:10">
      <c r="F412" s="30"/>
      <c r="G412" s="30"/>
      <c r="H412" s="30"/>
      <c r="I412" s="30"/>
      <c r="J412" s="30"/>
    </row>
    <row r="413" spans="6:10">
      <c r="F413" s="30"/>
      <c r="G413" s="30"/>
      <c r="H413" s="30"/>
      <c r="I413" s="30"/>
      <c r="J413" s="30"/>
    </row>
    <row r="414" spans="6:10">
      <c r="F414" s="30"/>
      <c r="G414" s="30"/>
      <c r="H414" s="30"/>
      <c r="I414" s="30"/>
      <c r="J414" s="30"/>
    </row>
    <row r="415" spans="6:10">
      <c r="F415" s="30"/>
      <c r="G415" s="30"/>
      <c r="H415" s="30"/>
      <c r="I415" s="30"/>
      <c r="J415" s="30"/>
    </row>
    <row r="416" spans="6:10">
      <c r="F416" s="30"/>
      <c r="G416" s="30"/>
      <c r="H416" s="30"/>
      <c r="I416" s="30"/>
      <c r="J416" s="30"/>
    </row>
    <row r="417" spans="6:10">
      <c r="F417" s="30"/>
      <c r="G417" s="30"/>
      <c r="H417" s="30"/>
      <c r="I417" s="30"/>
      <c r="J417" s="30"/>
    </row>
    <row r="418" spans="6:10">
      <c r="F418" s="30"/>
      <c r="G418" s="30"/>
      <c r="H418" s="30"/>
      <c r="I418" s="30"/>
      <c r="J418" s="30"/>
    </row>
    <row r="419" spans="6:10">
      <c r="F419" s="30"/>
      <c r="G419" s="30"/>
      <c r="H419" s="30"/>
      <c r="I419" s="30"/>
      <c r="J419" s="30"/>
    </row>
    <row r="420" spans="6:10">
      <c r="F420" s="30"/>
      <c r="G420" s="30"/>
      <c r="H420" s="30"/>
      <c r="I420" s="30"/>
      <c r="J420" s="30"/>
    </row>
    <row r="421" spans="6:10">
      <c r="F421" s="30"/>
      <c r="G421" s="30"/>
      <c r="H421" s="30"/>
      <c r="I421" s="30"/>
      <c r="J421" s="30"/>
    </row>
    <row r="422" spans="6:10">
      <c r="F422" s="30"/>
      <c r="G422" s="30"/>
      <c r="H422" s="30"/>
      <c r="I422" s="30"/>
      <c r="J422" s="30"/>
    </row>
    <row r="423" spans="6:10">
      <c r="F423" s="30"/>
      <c r="G423" s="30"/>
      <c r="H423" s="30"/>
      <c r="I423" s="30"/>
      <c r="J423" s="30"/>
    </row>
    <row r="424" spans="6:10">
      <c r="F424" s="30"/>
      <c r="G424" s="30"/>
      <c r="H424" s="30"/>
      <c r="I424" s="30"/>
      <c r="J424" s="30"/>
    </row>
    <row r="425" spans="6:10">
      <c r="F425" s="30"/>
      <c r="G425" s="30"/>
      <c r="H425" s="30"/>
      <c r="I425" s="30"/>
      <c r="J425" s="30"/>
    </row>
    <row r="426" spans="6:10">
      <c r="F426" s="30"/>
      <c r="G426" s="30"/>
      <c r="H426" s="30"/>
      <c r="I426" s="30"/>
      <c r="J426" s="30"/>
    </row>
    <row r="427" spans="6:10">
      <c r="F427" s="30"/>
      <c r="G427" s="30"/>
      <c r="H427" s="30"/>
      <c r="I427" s="30"/>
      <c r="J427" s="30"/>
    </row>
    <row r="428" spans="6:10">
      <c r="F428" s="30"/>
      <c r="G428" s="30"/>
      <c r="H428" s="30"/>
      <c r="I428" s="30"/>
      <c r="J428" s="30"/>
    </row>
    <row r="429" spans="6:10">
      <c r="F429" s="30"/>
      <c r="G429" s="30"/>
      <c r="H429" s="30"/>
      <c r="I429" s="30"/>
      <c r="J429" s="30"/>
    </row>
    <row r="430" spans="6:10">
      <c r="F430" s="30"/>
      <c r="G430" s="30"/>
      <c r="H430" s="30"/>
      <c r="I430" s="30"/>
      <c r="J430" s="30"/>
    </row>
    <row r="431" spans="6:10">
      <c r="F431" s="30"/>
      <c r="G431" s="30"/>
      <c r="H431" s="30"/>
      <c r="I431" s="30"/>
      <c r="J431" s="30"/>
    </row>
    <row r="432" spans="6:10">
      <c r="F432" s="30"/>
      <c r="G432" s="30"/>
      <c r="H432" s="30"/>
      <c r="I432" s="30"/>
      <c r="J432" s="30"/>
    </row>
    <row r="433" spans="6:10">
      <c r="F433" s="30"/>
      <c r="G433" s="30"/>
      <c r="H433" s="30"/>
      <c r="I433" s="30"/>
      <c r="J433" s="30"/>
    </row>
    <row r="434" spans="6:10">
      <c r="F434" s="30"/>
      <c r="G434" s="30"/>
      <c r="H434" s="30"/>
      <c r="I434" s="30"/>
      <c r="J434" s="30"/>
    </row>
    <row r="435" spans="6:10">
      <c r="F435" s="30"/>
      <c r="G435" s="30"/>
      <c r="H435" s="30"/>
      <c r="I435" s="30"/>
      <c r="J435" s="30"/>
    </row>
    <row r="436" spans="6:10">
      <c r="F436" s="30"/>
      <c r="G436" s="30"/>
      <c r="H436" s="30"/>
      <c r="I436" s="30"/>
      <c r="J436" s="30"/>
    </row>
    <row r="437" spans="6:10">
      <c r="F437" s="30"/>
      <c r="G437" s="30"/>
      <c r="H437" s="30"/>
      <c r="I437" s="30"/>
      <c r="J437" s="30"/>
    </row>
    <row r="438" spans="6:10">
      <c r="F438" s="30"/>
      <c r="G438" s="30"/>
      <c r="H438" s="30"/>
      <c r="I438" s="30"/>
      <c r="J438" s="30"/>
    </row>
    <row r="439" spans="6:10">
      <c r="F439" s="30"/>
      <c r="G439" s="30"/>
      <c r="H439" s="30"/>
      <c r="I439" s="30"/>
      <c r="J439" s="30"/>
    </row>
    <row r="440" spans="6:10">
      <c r="F440" s="30"/>
      <c r="G440" s="30"/>
      <c r="H440" s="30"/>
      <c r="I440" s="30"/>
      <c r="J440" s="30"/>
    </row>
    <row r="441" spans="6:10">
      <c r="F441" s="30"/>
      <c r="G441" s="30"/>
      <c r="H441" s="30"/>
      <c r="I441" s="30"/>
      <c r="J441" s="30"/>
    </row>
    <row r="442" spans="6:10">
      <c r="F442" s="30"/>
      <c r="G442" s="30"/>
      <c r="H442" s="30"/>
      <c r="I442" s="30"/>
      <c r="J442" s="30"/>
    </row>
    <row r="443" spans="6:10">
      <c r="F443" s="30"/>
      <c r="G443" s="30"/>
      <c r="H443" s="30"/>
      <c r="I443" s="30"/>
      <c r="J443" s="30"/>
    </row>
    <row r="444" spans="6:10">
      <c r="F444" s="30"/>
      <c r="G444" s="30"/>
      <c r="H444" s="30"/>
      <c r="I444" s="30"/>
      <c r="J444" s="30"/>
    </row>
    <row r="445" spans="6:10">
      <c r="F445" s="30"/>
      <c r="G445" s="30"/>
      <c r="H445" s="30"/>
      <c r="I445" s="30"/>
      <c r="J445" s="30"/>
    </row>
    <row r="446" spans="6:10">
      <c r="F446" s="30"/>
      <c r="G446" s="30"/>
      <c r="H446" s="30"/>
      <c r="I446" s="30"/>
      <c r="J446" s="30"/>
    </row>
    <row r="447" spans="6:10">
      <c r="F447" s="30"/>
      <c r="G447" s="30"/>
      <c r="H447" s="30"/>
      <c r="I447" s="30"/>
      <c r="J447" s="30"/>
    </row>
    <row r="448" spans="6:10">
      <c r="F448" s="30"/>
      <c r="G448" s="30"/>
      <c r="H448" s="30"/>
      <c r="I448" s="30"/>
      <c r="J448" s="30"/>
    </row>
    <row r="449" spans="6:10">
      <c r="F449" s="30"/>
      <c r="G449" s="30"/>
      <c r="H449" s="30"/>
      <c r="I449" s="30"/>
      <c r="J449" s="30"/>
    </row>
    <row r="450" spans="6:10">
      <c r="F450" s="30"/>
      <c r="G450" s="30"/>
      <c r="H450" s="30"/>
      <c r="I450" s="30"/>
      <c r="J450" s="30"/>
    </row>
    <row r="451" spans="6:10">
      <c r="F451" s="30"/>
      <c r="G451" s="30"/>
      <c r="H451" s="30"/>
      <c r="I451" s="30"/>
      <c r="J451" s="30"/>
    </row>
    <row r="452" spans="6:10">
      <c r="F452" s="30"/>
      <c r="G452" s="30"/>
      <c r="H452" s="30"/>
      <c r="I452" s="30"/>
      <c r="J452" s="30"/>
    </row>
    <row r="453" spans="6:10">
      <c r="F453" s="30"/>
      <c r="G453" s="30"/>
      <c r="H453" s="30"/>
      <c r="I453" s="30"/>
      <c r="J453" s="30"/>
    </row>
    <row r="454" spans="6:10">
      <c r="F454" s="30"/>
      <c r="G454" s="30"/>
      <c r="H454" s="30"/>
      <c r="I454" s="30"/>
      <c r="J454" s="30"/>
    </row>
    <row r="455" spans="6:10">
      <c r="F455" s="30"/>
      <c r="G455" s="30"/>
      <c r="H455" s="30"/>
      <c r="I455" s="30"/>
      <c r="J455" s="30"/>
    </row>
    <row r="456" spans="6:10">
      <c r="F456" s="30"/>
      <c r="G456" s="30"/>
      <c r="H456" s="30"/>
      <c r="I456" s="30"/>
      <c r="J456" s="30"/>
    </row>
    <row r="457" spans="6:10">
      <c r="F457" s="30"/>
      <c r="G457" s="30"/>
      <c r="H457" s="30"/>
      <c r="I457" s="30"/>
      <c r="J457" s="30"/>
    </row>
    <row r="458" spans="6:10">
      <c r="F458" s="30"/>
      <c r="G458" s="30"/>
      <c r="H458" s="30"/>
      <c r="I458" s="30"/>
      <c r="J458" s="30"/>
    </row>
    <row r="459" spans="6:10">
      <c r="F459" s="30"/>
      <c r="G459" s="30"/>
      <c r="H459" s="30"/>
      <c r="I459" s="30"/>
      <c r="J459" s="30"/>
    </row>
    <row r="460" spans="6:10">
      <c r="F460" s="30"/>
      <c r="G460" s="30"/>
      <c r="H460" s="30"/>
      <c r="I460" s="30"/>
      <c r="J460" s="30"/>
    </row>
    <row r="461" spans="6:10">
      <c r="F461" s="30"/>
      <c r="G461" s="30"/>
      <c r="H461" s="30"/>
      <c r="I461" s="30"/>
      <c r="J461" s="30"/>
    </row>
    <row r="462" spans="6:10">
      <c r="F462" s="30"/>
      <c r="G462" s="30"/>
      <c r="H462" s="30"/>
      <c r="I462" s="30"/>
      <c r="J462" s="30"/>
    </row>
    <row r="463" spans="6:10">
      <c r="F463" s="30"/>
      <c r="G463" s="30"/>
      <c r="H463" s="30"/>
      <c r="I463" s="30"/>
      <c r="J463" s="30"/>
    </row>
    <row r="464" spans="6:10">
      <c r="F464" s="30"/>
      <c r="G464" s="30"/>
      <c r="H464" s="30"/>
      <c r="I464" s="30"/>
      <c r="J464" s="30"/>
    </row>
    <row r="465" spans="6:10">
      <c r="F465" s="30"/>
      <c r="G465" s="30"/>
      <c r="H465" s="30"/>
      <c r="I465" s="30"/>
      <c r="J465" s="30"/>
    </row>
    <row r="466" spans="6:10">
      <c r="F466" s="30"/>
      <c r="G466" s="30"/>
      <c r="H466" s="30"/>
      <c r="I466" s="30"/>
      <c r="J466" s="30"/>
    </row>
    <row r="467" spans="6:10">
      <c r="F467" s="30"/>
      <c r="G467" s="30"/>
      <c r="H467" s="30"/>
      <c r="I467" s="30"/>
      <c r="J467" s="30"/>
    </row>
    <row r="468" spans="6:10">
      <c r="F468" s="30"/>
      <c r="G468" s="30"/>
      <c r="H468" s="30"/>
      <c r="I468" s="30"/>
      <c r="J468" s="30"/>
    </row>
    <row r="469" spans="6:10">
      <c r="F469" s="30"/>
      <c r="G469" s="30"/>
      <c r="H469" s="30"/>
      <c r="I469" s="30"/>
      <c r="J469" s="30"/>
    </row>
    <row r="470" spans="6:10">
      <c r="F470" s="30"/>
      <c r="G470" s="30"/>
      <c r="H470" s="30"/>
      <c r="I470" s="30"/>
      <c r="J470" s="30"/>
    </row>
    <row r="471" spans="6:10">
      <c r="F471" s="30"/>
      <c r="G471" s="30"/>
      <c r="H471" s="30"/>
      <c r="I471" s="30"/>
      <c r="J471" s="30"/>
    </row>
    <row r="472" spans="6:10">
      <c r="F472" s="30"/>
      <c r="G472" s="30"/>
      <c r="H472" s="30"/>
      <c r="I472" s="30"/>
      <c r="J472" s="30"/>
    </row>
    <row r="473" spans="6:10">
      <c r="F473" s="30"/>
      <c r="G473" s="30"/>
      <c r="H473" s="30"/>
      <c r="I473" s="30"/>
      <c r="J473" s="30"/>
    </row>
    <row r="474" spans="6:10">
      <c r="F474" s="30"/>
      <c r="G474" s="30"/>
      <c r="H474" s="30"/>
      <c r="I474" s="30"/>
      <c r="J474" s="30"/>
    </row>
    <row r="475" spans="6:10">
      <c r="F475" s="30"/>
      <c r="G475" s="30"/>
      <c r="H475" s="30"/>
      <c r="I475" s="30"/>
      <c r="J475" s="30"/>
    </row>
    <row r="476" spans="6:10">
      <c r="F476" s="30"/>
      <c r="G476" s="30"/>
      <c r="H476" s="30"/>
      <c r="I476" s="30"/>
      <c r="J476" s="30"/>
    </row>
    <row r="477" spans="6:10">
      <c r="F477" s="30"/>
      <c r="G477" s="30"/>
      <c r="H477" s="30"/>
      <c r="I477" s="30"/>
      <c r="J477" s="30"/>
    </row>
    <row r="478" spans="6:10">
      <c r="F478" s="30"/>
      <c r="G478" s="30"/>
      <c r="H478" s="30"/>
      <c r="I478" s="30"/>
      <c r="J478" s="30"/>
    </row>
    <row r="479" spans="6:10">
      <c r="F479" s="30"/>
      <c r="G479" s="30"/>
      <c r="H479" s="30"/>
      <c r="I479" s="30"/>
      <c r="J479" s="30"/>
    </row>
    <row r="480" spans="6:10">
      <c r="F480" s="30"/>
      <c r="G480" s="30"/>
      <c r="H480" s="30"/>
      <c r="I480" s="30"/>
      <c r="J480" s="30"/>
    </row>
    <row r="481" spans="6:10">
      <c r="F481" s="30"/>
      <c r="G481" s="30"/>
      <c r="H481" s="30"/>
      <c r="I481" s="30"/>
      <c r="J481" s="30"/>
    </row>
    <row r="482" spans="6:10">
      <c r="F482" s="30"/>
      <c r="G482" s="30"/>
      <c r="H482" s="30"/>
      <c r="I482" s="30"/>
      <c r="J482" s="30"/>
    </row>
    <row r="483" spans="6:10">
      <c r="F483" s="30"/>
      <c r="G483" s="30"/>
      <c r="H483" s="30"/>
      <c r="I483" s="30"/>
      <c r="J483" s="30"/>
    </row>
    <row r="484" spans="6:10">
      <c r="F484" s="30"/>
      <c r="G484" s="30"/>
      <c r="H484" s="30"/>
      <c r="I484" s="30"/>
      <c r="J484" s="30"/>
    </row>
    <row r="485" spans="6:10">
      <c r="F485" s="30"/>
      <c r="G485" s="30"/>
      <c r="H485" s="30"/>
      <c r="I485" s="30"/>
      <c r="J485" s="30"/>
    </row>
    <row r="486" spans="6:10">
      <c r="F486" s="30"/>
      <c r="G486" s="30"/>
      <c r="H486" s="30"/>
      <c r="I486" s="30"/>
      <c r="J486" s="30"/>
    </row>
    <row r="487" spans="6:10">
      <c r="F487" s="30"/>
      <c r="G487" s="30"/>
      <c r="H487" s="30"/>
      <c r="I487" s="30"/>
      <c r="J487" s="30"/>
    </row>
    <row r="488" spans="6:10">
      <c r="F488" s="30"/>
      <c r="G488" s="30"/>
      <c r="H488" s="30"/>
      <c r="I488" s="30"/>
      <c r="J488" s="30"/>
    </row>
    <row r="489" spans="6:10">
      <c r="F489" s="30"/>
      <c r="G489" s="30"/>
      <c r="H489" s="30"/>
      <c r="I489" s="30"/>
      <c r="J489" s="30"/>
    </row>
    <row r="490" spans="6:10">
      <c r="F490" s="30"/>
      <c r="G490" s="30"/>
      <c r="H490" s="30"/>
      <c r="I490" s="30"/>
      <c r="J490" s="30"/>
    </row>
    <row r="491" spans="6:10">
      <c r="F491" s="30"/>
      <c r="G491" s="30"/>
      <c r="H491" s="30"/>
      <c r="I491" s="30"/>
      <c r="J491" s="30"/>
    </row>
    <row r="492" spans="6:10">
      <c r="F492" s="30"/>
      <c r="G492" s="30"/>
      <c r="H492" s="30"/>
      <c r="I492" s="30"/>
      <c r="J492" s="30"/>
    </row>
    <row r="493" spans="6:10">
      <c r="F493" s="30"/>
      <c r="G493" s="30"/>
      <c r="H493" s="30"/>
      <c r="I493" s="30"/>
      <c r="J493" s="30"/>
    </row>
    <row r="494" spans="6:10">
      <c r="F494" s="30"/>
      <c r="G494" s="30"/>
      <c r="H494" s="30"/>
      <c r="I494" s="30"/>
      <c r="J494" s="30"/>
    </row>
    <row r="495" spans="6:10">
      <c r="F495" s="30"/>
      <c r="G495" s="30"/>
      <c r="H495" s="30"/>
      <c r="I495" s="30"/>
      <c r="J495" s="30"/>
    </row>
    <row r="496" spans="6:10">
      <c r="F496" s="30"/>
      <c r="G496" s="30"/>
      <c r="H496" s="30"/>
      <c r="I496" s="30"/>
      <c r="J496" s="30"/>
    </row>
    <row r="497" spans="6:10">
      <c r="F497" s="30"/>
      <c r="G497" s="30"/>
      <c r="H497" s="30"/>
      <c r="I497" s="30"/>
      <c r="J497" s="30"/>
    </row>
    <row r="498" spans="6:10">
      <c r="F498" s="30"/>
      <c r="G498" s="30"/>
      <c r="H498" s="30"/>
      <c r="I498" s="30"/>
      <c r="J498" s="30"/>
    </row>
    <row r="499" spans="6:10">
      <c r="F499" s="30"/>
      <c r="G499" s="30"/>
      <c r="H499" s="30"/>
      <c r="I499" s="30"/>
      <c r="J499" s="30"/>
    </row>
    <row r="500" spans="6:10">
      <c r="F500" s="30"/>
      <c r="G500" s="30"/>
      <c r="H500" s="30"/>
      <c r="I500" s="30"/>
      <c r="J500" s="30"/>
    </row>
    <row r="501" spans="6:10">
      <c r="F501" s="30"/>
      <c r="G501" s="30"/>
      <c r="H501" s="30"/>
      <c r="I501" s="30"/>
      <c r="J501" s="30"/>
    </row>
    <row r="502" spans="6:10">
      <c r="F502" s="30"/>
      <c r="G502" s="30"/>
      <c r="H502" s="30"/>
      <c r="I502" s="30"/>
      <c r="J502" s="30"/>
    </row>
    <row r="503" spans="6:10">
      <c r="F503" s="30"/>
      <c r="G503" s="30"/>
      <c r="H503" s="30"/>
      <c r="I503" s="30"/>
      <c r="J503" s="30"/>
    </row>
    <row r="504" spans="6:10">
      <c r="F504" s="30"/>
      <c r="G504" s="30"/>
      <c r="H504" s="30"/>
      <c r="I504" s="30"/>
      <c r="J504" s="30"/>
    </row>
    <row r="505" spans="6:10">
      <c r="F505" s="30"/>
      <c r="G505" s="30"/>
      <c r="H505" s="30"/>
      <c r="I505" s="30"/>
      <c r="J505" s="30"/>
    </row>
    <row r="506" spans="6:10">
      <c r="F506" s="30"/>
      <c r="G506" s="30"/>
      <c r="H506" s="30"/>
      <c r="I506" s="30"/>
      <c r="J506" s="30"/>
    </row>
    <row r="507" spans="6:10">
      <c r="F507" s="30"/>
      <c r="G507" s="30"/>
      <c r="H507" s="30"/>
      <c r="I507" s="30"/>
      <c r="J507" s="30"/>
    </row>
    <row r="508" spans="6:10">
      <c r="F508" s="30"/>
      <c r="G508" s="30"/>
      <c r="H508" s="30"/>
      <c r="I508" s="30"/>
      <c r="J508" s="30"/>
    </row>
    <row r="509" spans="6:10">
      <c r="F509" s="30"/>
      <c r="G509" s="30"/>
      <c r="H509" s="30"/>
      <c r="I509" s="30"/>
      <c r="J509" s="30"/>
    </row>
    <row r="510" spans="6:10">
      <c r="F510" s="30"/>
      <c r="G510" s="30"/>
      <c r="H510" s="30"/>
      <c r="I510" s="30"/>
      <c r="J510" s="30"/>
    </row>
    <row r="511" spans="6:10">
      <c r="F511" s="30"/>
      <c r="G511" s="30"/>
      <c r="H511" s="30"/>
      <c r="I511" s="30"/>
      <c r="J511" s="30"/>
    </row>
    <row r="512" spans="6:10">
      <c r="F512" s="30"/>
      <c r="G512" s="30"/>
      <c r="H512" s="30"/>
      <c r="I512" s="30"/>
      <c r="J512" s="30"/>
    </row>
    <row r="513" spans="6:10">
      <c r="F513" s="30"/>
      <c r="G513" s="30"/>
      <c r="H513" s="30"/>
      <c r="I513" s="30"/>
      <c r="J513" s="30"/>
    </row>
    <row r="514" spans="6:10">
      <c r="F514" s="30"/>
      <c r="G514" s="30"/>
      <c r="H514" s="30"/>
      <c r="I514" s="30"/>
      <c r="J514" s="30"/>
    </row>
    <row r="515" spans="6:10">
      <c r="F515" s="30"/>
      <c r="G515" s="30"/>
      <c r="H515" s="30"/>
      <c r="I515" s="30"/>
      <c r="J515" s="30"/>
    </row>
    <row r="516" spans="6:10">
      <c r="F516" s="30"/>
      <c r="G516" s="30"/>
      <c r="H516" s="30"/>
      <c r="I516" s="30"/>
      <c r="J516" s="30"/>
    </row>
    <row r="517" spans="6:10">
      <c r="F517" s="30"/>
      <c r="G517" s="30"/>
      <c r="H517" s="30"/>
      <c r="I517" s="30"/>
      <c r="J517" s="30"/>
    </row>
    <row r="518" spans="6:10">
      <c r="F518" s="30"/>
      <c r="G518" s="30"/>
      <c r="H518" s="30"/>
      <c r="I518" s="30"/>
      <c r="J518" s="30"/>
    </row>
    <row r="519" spans="6:10">
      <c r="F519" s="30"/>
      <c r="G519" s="30"/>
      <c r="H519" s="30"/>
      <c r="I519" s="30"/>
      <c r="J519" s="30"/>
    </row>
    <row r="520" spans="6:10">
      <c r="F520" s="30"/>
      <c r="G520" s="30"/>
      <c r="H520" s="30"/>
      <c r="I520" s="30"/>
      <c r="J520" s="30"/>
    </row>
    <row r="521" spans="6:10">
      <c r="F521" s="30"/>
      <c r="G521" s="30"/>
      <c r="H521" s="30"/>
      <c r="I521" s="30"/>
      <c r="J521" s="30"/>
    </row>
    <row r="522" spans="6:10">
      <c r="F522" s="30"/>
      <c r="G522" s="30"/>
      <c r="H522" s="30"/>
      <c r="I522" s="30"/>
      <c r="J522" s="30"/>
    </row>
    <row r="523" spans="6:10">
      <c r="F523" s="30"/>
      <c r="G523" s="30"/>
      <c r="H523" s="30"/>
      <c r="I523" s="30"/>
      <c r="J523" s="30"/>
    </row>
    <row r="524" spans="6:10">
      <c r="F524" s="30"/>
      <c r="G524" s="30"/>
      <c r="H524" s="30"/>
      <c r="I524" s="30"/>
      <c r="J524" s="30"/>
    </row>
    <row r="525" spans="6:10">
      <c r="F525" s="30"/>
      <c r="G525" s="30"/>
      <c r="H525" s="30"/>
      <c r="I525" s="30"/>
      <c r="J525" s="30"/>
    </row>
    <row r="526" spans="6:10">
      <c r="F526" s="30"/>
      <c r="G526" s="30"/>
      <c r="H526" s="30"/>
      <c r="I526" s="30"/>
      <c r="J526" s="30"/>
    </row>
    <row r="527" spans="6:10">
      <c r="F527" s="30"/>
      <c r="G527" s="30"/>
      <c r="H527" s="30"/>
      <c r="I527" s="30"/>
      <c r="J527" s="30"/>
    </row>
    <row r="528" spans="6:10">
      <c r="F528" s="30"/>
      <c r="G528" s="30"/>
      <c r="H528" s="30"/>
      <c r="I528" s="30"/>
      <c r="J528" s="30"/>
    </row>
    <row r="529" spans="6:10">
      <c r="F529" s="30"/>
      <c r="G529" s="30"/>
      <c r="H529" s="30"/>
      <c r="I529" s="30"/>
      <c r="J529" s="30"/>
    </row>
    <row r="530" spans="6:10">
      <c r="F530" s="30"/>
      <c r="G530" s="30"/>
      <c r="H530" s="30"/>
      <c r="I530" s="30"/>
      <c r="J530" s="30"/>
    </row>
    <row r="531" spans="6:10">
      <c r="F531" s="30"/>
      <c r="G531" s="30"/>
      <c r="H531" s="30"/>
      <c r="I531" s="30"/>
      <c r="J531" s="30"/>
    </row>
    <row r="532" spans="6:10">
      <c r="F532" s="30"/>
      <c r="G532" s="30"/>
      <c r="H532" s="30"/>
      <c r="I532" s="30"/>
      <c r="J532" s="30"/>
    </row>
    <row r="533" spans="6:10">
      <c r="F533" s="30"/>
      <c r="G533" s="30"/>
      <c r="H533" s="30"/>
      <c r="I533" s="30"/>
      <c r="J533" s="30"/>
    </row>
    <row r="534" spans="6:10">
      <c r="F534" s="30"/>
      <c r="G534" s="30"/>
      <c r="H534" s="30"/>
      <c r="I534" s="30"/>
      <c r="J534" s="30"/>
    </row>
    <row r="535" spans="6:10">
      <c r="F535" s="30"/>
      <c r="G535" s="30"/>
      <c r="H535" s="30"/>
      <c r="I535" s="30"/>
      <c r="J535" s="30"/>
    </row>
    <row r="536" spans="6:10">
      <c r="F536" s="30"/>
      <c r="G536" s="30"/>
      <c r="H536" s="30"/>
      <c r="I536" s="30"/>
      <c r="J536" s="30"/>
    </row>
    <row r="537" spans="6:10">
      <c r="F537" s="30"/>
      <c r="G537" s="30"/>
      <c r="H537" s="30"/>
      <c r="I537" s="30"/>
      <c r="J537" s="30"/>
    </row>
    <row r="538" spans="6:10">
      <c r="F538" s="30"/>
      <c r="G538" s="30"/>
      <c r="H538" s="30"/>
      <c r="I538" s="30"/>
      <c r="J538" s="30"/>
    </row>
    <row r="539" spans="6:10">
      <c r="F539" s="30"/>
      <c r="G539" s="30"/>
      <c r="H539" s="30"/>
      <c r="I539" s="30"/>
      <c r="J539" s="30"/>
    </row>
    <row r="540" spans="6:10">
      <c r="F540" s="30"/>
      <c r="G540" s="30"/>
      <c r="H540" s="30"/>
      <c r="I540" s="30"/>
      <c r="J540" s="30"/>
    </row>
    <row r="541" spans="6:10">
      <c r="F541" s="30"/>
      <c r="G541" s="30"/>
      <c r="H541" s="30"/>
      <c r="I541" s="30"/>
      <c r="J541" s="30"/>
    </row>
    <row r="542" spans="6:10">
      <c r="F542" s="30"/>
      <c r="G542" s="30"/>
      <c r="H542" s="30"/>
      <c r="I542" s="30"/>
      <c r="J542" s="30"/>
    </row>
    <row r="543" spans="6:10">
      <c r="F543" s="30"/>
      <c r="G543" s="30"/>
      <c r="H543" s="30"/>
      <c r="I543" s="30"/>
      <c r="J543" s="30"/>
    </row>
    <row r="544" spans="6:10">
      <c r="F544" s="30"/>
      <c r="G544" s="30"/>
      <c r="H544" s="30"/>
      <c r="I544" s="30"/>
      <c r="J544" s="30"/>
    </row>
    <row r="545" spans="6:10">
      <c r="F545" s="30"/>
      <c r="G545" s="30"/>
      <c r="H545" s="30"/>
      <c r="I545" s="30"/>
      <c r="J545" s="30"/>
    </row>
    <row r="546" spans="6:10">
      <c r="F546" s="30"/>
      <c r="G546" s="30"/>
      <c r="H546" s="30"/>
      <c r="I546" s="30"/>
      <c r="J546" s="30"/>
    </row>
    <row r="547" spans="6:10">
      <c r="F547" s="30"/>
      <c r="G547" s="30"/>
      <c r="H547" s="30"/>
      <c r="I547" s="30"/>
      <c r="J547" s="30"/>
    </row>
    <row r="548" spans="6:10">
      <c r="F548" s="30"/>
      <c r="G548" s="30"/>
      <c r="H548" s="30"/>
      <c r="I548" s="30"/>
      <c r="J548" s="30"/>
    </row>
    <row r="549" spans="6:10">
      <c r="F549" s="30"/>
      <c r="G549" s="30"/>
      <c r="H549" s="30"/>
      <c r="I549" s="30"/>
      <c r="J549" s="30"/>
    </row>
    <row r="550" spans="6:10">
      <c r="F550" s="30"/>
      <c r="G550" s="30"/>
      <c r="H550" s="30"/>
      <c r="I550" s="30"/>
      <c r="J550" s="30"/>
    </row>
    <row r="551" spans="6:10">
      <c r="F551" s="30"/>
      <c r="G551" s="30"/>
      <c r="H551" s="30"/>
      <c r="I551" s="30"/>
      <c r="J551" s="30"/>
    </row>
    <row r="552" spans="6:10">
      <c r="F552" s="30"/>
      <c r="G552" s="30"/>
      <c r="H552" s="30"/>
      <c r="I552" s="30"/>
      <c r="J552" s="30"/>
    </row>
    <row r="553" spans="6:10">
      <c r="F553" s="30"/>
      <c r="G553" s="30"/>
      <c r="H553" s="30"/>
      <c r="I553" s="30"/>
      <c r="J553" s="30"/>
    </row>
    <row r="554" spans="6:10">
      <c r="F554" s="30"/>
      <c r="G554" s="30"/>
      <c r="H554" s="30"/>
      <c r="I554" s="30"/>
      <c r="J554" s="30"/>
    </row>
    <row r="555" spans="6:10">
      <c r="F555" s="30"/>
      <c r="G555" s="30"/>
      <c r="H555" s="30"/>
      <c r="I555" s="30"/>
      <c r="J555" s="30"/>
    </row>
    <row r="556" spans="6:10">
      <c r="F556" s="30"/>
      <c r="G556" s="30"/>
      <c r="H556" s="30"/>
      <c r="I556" s="30"/>
      <c r="J556" s="30"/>
    </row>
    <row r="557" spans="6:10">
      <c r="F557" s="30"/>
      <c r="G557" s="30"/>
      <c r="H557" s="30"/>
      <c r="I557" s="30"/>
      <c r="J557" s="30"/>
    </row>
    <row r="558" spans="6:10">
      <c r="F558" s="30"/>
      <c r="G558" s="30"/>
      <c r="H558" s="30"/>
      <c r="I558" s="30"/>
      <c r="J558" s="30"/>
    </row>
    <row r="559" spans="6:10">
      <c r="F559" s="30"/>
      <c r="G559" s="30"/>
      <c r="H559" s="30"/>
      <c r="I559" s="30"/>
      <c r="J559" s="30"/>
    </row>
    <row r="560" spans="6:10">
      <c r="F560" s="30"/>
      <c r="G560" s="30"/>
      <c r="H560" s="30"/>
      <c r="I560" s="30"/>
      <c r="J560" s="30"/>
    </row>
    <row r="561" spans="6:10">
      <c r="F561" s="30"/>
      <c r="G561" s="30"/>
      <c r="H561" s="30"/>
      <c r="I561" s="30"/>
      <c r="J561" s="30"/>
    </row>
    <row r="562" spans="6:10">
      <c r="F562" s="30"/>
      <c r="G562" s="30"/>
      <c r="H562" s="30"/>
      <c r="I562" s="30"/>
      <c r="J562" s="30"/>
    </row>
    <row r="563" spans="6:10">
      <c r="F563" s="30"/>
      <c r="G563" s="30"/>
      <c r="H563" s="30"/>
      <c r="I563" s="30"/>
      <c r="J563" s="30"/>
    </row>
    <row r="564" spans="6:10">
      <c r="F564" s="30"/>
      <c r="G564" s="30"/>
      <c r="H564" s="30"/>
      <c r="I564" s="30"/>
      <c r="J564" s="30"/>
    </row>
    <row r="565" spans="6:10">
      <c r="F565" s="30"/>
      <c r="G565" s="30"/>
      <c r="H565" s="30"/>
      <c r="I565" s="30"/>
      <c r="J565" s="30"/>
    </row>
    <row r="566" spans="6:10">
      <c r="F566" s="30"/>
      <c r="G566" s="30"/>
      <c r="H566" s="30"/>
      <c r="I566" s="30"/>
      <c r="J566" s="30"/>
    </row>
    <row r="567" spans="6:10">
      <c r="F567" s="30"/>
      <c r="G567" s="30"/>
      <c r="H567" s="30"/>
      <c r="I567" s="30"/>
      <c r="J567" s="30"/>
    </row>
    <row r="568" spans="6:10">
      <c r="F568" s="30"/>
      <c r="G568" s="30"/>
      <c r="H568" s="30"/>
      <c r="I568" s="30"/>
      <c r="J568" s="30"/>
    </row>
    <row r="569" spans="6:10">
      <c r="F569" s="30"/>
      <c r="G569" s="30"/>
      <c r="H569" s="30"/>
      <c r="I569" s="30"/>
      <c r="J569" s="30"/>
    </row>
    <row r="570" spans="6:10">
      <c r="F570" s="30"/>
      <c r="G570" s="30"/>
      <c r="H570" s="30"/>
      <c r="I570" s="30"/>
      <c r="J570" s="30"/>
    </row>
    <row r="571" spans="6:10">
      <c r="F571" s="30"/>
      <c r="G571" s="30"/>
      <c r="H571" s="30"/>
      <c r="I571" s="30"/>
      <c r="J571" s="30"/>
    </row>
    <row r="572" spans="6:10">
      <c r="F572" s="30"/>
      <c r="G572" s="30"/>
      <c r="H572" s="30"/>
      <c r="I572" s="30"/>
      <c r="J572" s="30"/>
    </row>
    <row r="573" spans="6:10">
      <c r="F573" s="30"/>
      <c r="G573" s="30"/>
      <c r="H573" s="30"/>
      <c r="I573" s="30"/>
      <c r="J573" s="30"/>
    </row>
    <row r="574" spans="6:10">
      <c r="F574" s="30"/>
      <c r="G574" s="30"/>
      <c r="H574" s="30"/>
      <c r="I574" s="30"/>
      <c r="J574" s="30"/>
    </row>
    <row r="575" spans="6:10">
      <c r="F575" s="30"/>
      <c r="G575" s="30"/>
      <c r="H575" s="30"/>
      <c r="I575" s="30"/>
      <c r="J575" s="30"/>
    </row>
    <row r="576" spans="6:10">
      <c r="F576" s="30"/>
      <c r="G576" s="30"/>
      <c r="H576" s="30"/>
      <c r="I576" s="30"/>
      <c r="J576" s="30"/>
    </row>
    <row r="577" spans="6:10">
      <c r="F577" s="30"/>
      <c r="G577" s="30"/>
      <c r="H577" s="30"/>
      <c r="I577" s="30"/>
      <c r="J577" s="30"/>
    </row>
    <row r="578" spans="6:10">
      <c r="F578" s="30"/>
      <c r="G578" s="30"/>
      <c r="H578" s="30"/>
      <c r="I578" s="30"/>
      <c r="J578" s="30"/>
    </row>
    <row r="579" spans="6:10">
      <c r="F579" s="30"/>
      <c r="G579" s="30"/>
      <c r="H579" s="30"/>
      <c r="I579" s="30"/>
      <c r="J579" s="30"/>
    </row>
    <row r="580" spans="6:10">
      <c r="F580" s="30"/>
      <c r="G580" s="30"/>
      <c r="H580" s="30"/>
      <c r="I580" s="30"/>
      <c r="J580" s="30"/>
    </row>
    <row r="581" spans="6:10">
      <c r="F581" s="30"/>
      <c r="G581" s="30"/>
      <c r="H581" s="30"/>
      <c r="I581" s="30"/>
      <c r="J581" s="30"/>
    </row>
    <row r="582" spans="6:10">
      <c r="F582" s="30"/>
      <c r="G582" s="30"/>
      <c r="H582" s="30"/>
      <c r="I582" s="30"/>
      <c r="J582" s="30"/>
    </row>
    <row r="583" spans="6:10">
      <c r="F583" s="30"/>
      <c r="G583" s="30"/>
      <c r="H583" s="30"/>
      <c r="I583" s="30"/>
      <c r="J583" s="30"/>
    </row>
    <row r="584" spans="6:10">
      <c r="F584" s="30"/>
      <c r="G584" s="30"/>
      <c r="H584" s="30"/>
      <c r="I584" s="30"/>
      <c r="J584" s="30"/>
    </row>
    <row r="585" spans="6:10">
      <c r="F585" s="30"/>
      <c r="G585" s="30"/>
      <c r="H585" s="30"/>
      <c r="I585" s="30"/>
      <c r="J585" s="30"/>
    </row>
    <row r="586" spans="6:10">
      <c r="F586" s="30"/>
      <c r="G586" s="30"/>
      <c r="H586" s="30"/>
      <c r="I586" s="30"/>
      <c r="J586" s="30"/>
    </row>
    <row r="587" spans="6:10">
      <c r="F587" s="30"/>
      <c r="G587" s="30"/>
      <c r="H587" s="30"/>
      <c r="I587" s="30"/>
      <c r="J587" s="30"/>
    </row>
    <row r="588" spans="6:10">
      <c r="F588" s="30"/>
      <c r="G588" s="30"/>
      <c r="H588" s="30"/>
      <c r="I588" s="30"/>
      <c r="J588" s="30"/>
    </row>
    <row r="589" spans="6:10">
      <c r="F589" s="30"/>
      <c r="G589" s="30"/>
      <c r="H589" s="30"/>
      <c r="I589" s="30"/>
      <c r="J589" s="30"/>
    </row>
    <row r="590" spans="6:10">
      <c r="F590" s="30"/>
      <c r="G590" s="30"/>
      <c r="H590" s="30"/>
      <c r="I590" s="30"/>
      <c r="J590" s="30"/>
    </row>
    <row r="591" spans="6:10">
      <c r="F591" s="30"/>
      <c r="G591" s="30"/>
      <c r="H591" s="30"/>
      <c r="I591" s="30"/>
      <c r="J591" s="30"/>
    </row>
    <row r="592" spans="6:10">
      <c r="F592" s="30"/>
      <c r="G592" s="30"/>
      <c r="H592" s="30"/>
      <c r="I592" s="30"/>
      <c r="J592" s="30"/>
    </row>
    <row r="593" spans="6:10">
      <c r="F593" s="30"/>
      <c r="G593" s="30"/>
      <c r="H593" s="30"/>
      <c r="I593" s="30"/>
      <c r="J593" s="30"/>
    </row>
    <row r="594" spans="6:10">
      <c r="F594" s="30"/>
      <c r="G594" s="30"/>
      <c r="H594" s="30"/>
      <c r="I594" s="30"/>
      <c r="J594" s="30"/>
    </row>
    <row r="595" spans="6:10">
      <c r="F595" s="30"/>
      <c r="G595" s="30"/>
      <c r="H595" s="30"/>
      <c r="I595" s="30"/>
      <c r="J595" s="30"/>
    </row>
    <row r="596" spans="6:10">
      <c r="F596" s="30"/>
      <c r="G596" s="30"/>
      <c r="H596" s="30"/>
      <c r="I596" s="30"/>
      <c r="J596" s="30"/>
    </row>
    <row r="597" spans="6:10">
      <c r="F597" s="30"/>
      <c r="G597" s="30"/>
      <c r="H597" s="30"/>
      <c r="I597" s="30"/>
      <c r="J597" s="30"/>
    </row>
    <row r="598" spans="6:10">
      <c r="F598" s="30"/>
      <c r="G598" s="30"/>
      <c r="H598" s="30"/>
      <c r="I598" s="30"/>
      <c r="J598" s="30"/>
    </row>
    <row r="599" spans="6:10">
      <c r="F599" s="30"/>
      <c r="G599" s="30"/>
      <c r="H599" s="30"/>
      <c r="I599" s="30"/>
      <c r="J599" s="30"/>
    </row>
    <row r="600" spans="6:10">
      <c r="F600" s="30"/>
      <c r="G600" s="30"/>
      <c r="H600" s="30"/>
      <c r="I600" s="30"/>
      <c r="J600" s="30"/>
    </row>
    <row r="601" spans="6:10">
      <c r="F601" s="30"/>
      <c r="G601" s="30"/>
      <c r="H601" s="30"/>
      <c r="I601" s="30"/>
      <c r="J601" s="30"/>
    </row>
    <row r="602" spans="6:10">
      <c r="F602" s="30"/>
      <c r="G602" s="30"/>
      <c r="H602" s="30"/>
      <c r="I602" s="30"/>
      <c r="J602" s="30"/>
    </row>
    <row r="603" spans="6:10">
      <c r="F603" s="30"/>
      <c r="G603" s="30"/>
      <c r="H603" s="30"/>
      <c r="I603" s="30"/>
      <c r="J603" s="30"/>
    </row>
    <row r="604" spans="6:10">
      <c r="F604" s="30"/>
      <c r="G604" s="30"/>
      <c r="H604" s="30"/>
      <c r="I604" s="30"/>
      <c r="J604" s="30"/>
    </row>
    <row r="605" spans="6:10">
      <c r="F605" s="30"/>
      <c r="G605" s="30"/>
      <c r="H605" s="30"/>
      <c r="I605" s="30"/>
      <c r="J605" s="30"/>
    </row>
    <row r="606" spans="6:10">
      <c r="F606" s="30"/>
      <c r="G606" s="30"/>
      <c r="H606" s="30"/>
      <c r="I606" s="30"/>
      <c r="J606" s="30"/>
    </row>
    <row r="607" spans="6:10">
      <c r="F607" s="30"/>
      <c r="G607" s="30"/>
      <c r="H607" s="30"/>
      <c r="I607" s="30"/>
      <c r="J607" s="30"/>
    </row>
    <row r="608" spans="6:10">
      <c r="F608" s="30"/>
      <c r="G608" s="30"/>
      <c r="H608" s="30"/>
      <c r="I608" s="30"/>
      <c r="J608" s="30"/>
    </row>
    <row r="609" spans="6:10">
      <c r="F609" s="30"/>
      <c r="G609" s="30"/>
      <c r="H609" s="30"/>
      <c r="I609" s="30"/>
      <c r="J609" s="30"/>
    </row>
    <row r="610" spans="6:10">
      <c r="F610" s="30"/>
      <c r="G610" s="30"/>
      <c r="H610" s="30"/>
      <c r="I610" s="30"/>
      <c r="J610" s="30"/>
    </row>
    <row r="611" spans="6:10">
      <c r="F611" s="30"/>
      <c r="G611" s="30"/>
      <c r="H611" s="30"/>
      <c r="I611" s="30"/>
      <c r="J611" s="30"/>
    </row>
    <row r="612" spans="6:10">
      <c r="F612" s="30"/>
      <c r="G612" s="30"/>
      <c r="H612" s="30"/>
      <c r="I612" s="30"/>
      <c r="J612" s="30"/>
    </row>
    <row r="613" spans="6:10">
      <c r="F613" s="30"/>
      <c r="G613" s="30"/>
      <c r="H613" s="30"/>
      <c r="I613" s="30"/>
      <c r="J613" s="30"/>
    </row>
    <row r="614" spans="6:10">
      <c r="F614" s="30"/>
      <c r="G614" s="30"/>
      <c r="H614" s="30"/>
      <c r="I614" s="30"/>
      <c r="J614" s="30"/>
    </row>
    <row r="615" spans="6:10">
      <c r="F615" s="30"/>
      <c r="G615" s="30"/>
      <c r="H615" s="30"/>
      <c r="I615" s="30"/>
      <c r="J615" s="30"/>
    </row>
    <row r="616" spans="6:10">
      <c r="F616" s="30"/>
      <c r="G616" s="30"/>
      <c r="H616" s="30"/>
      <c r="I616" s="30"/>
      <c r="J616" s="30"/>
    </row>
    <row r="617" spans="6:10">
      <c r="F617" s="30"/>
      <c r="G617" s="30"/>
      <c r="H617" s="30"/>
      <c r="I617" s="30"/>
      <c r="J617" s="30"/>
    </row>
    <row r="618" spans="6:10">
      <c r="F618" s="30"/>
      <c r="G618" s="30"/>
      <c r="H618" s="30"/>
      <c r="I618" s="30"/>
      <c r="J618" s="30"/>
    </row>
    <row r="619" spans="6:10">
      <c r="F619" s="30"/>
      <c r="G619" s="30"/>
      <c r="H619" s="30"/>
      <c r="I619" s="30"/>
      <c r="J619" s="30"/>
    </row>
    <row r="620" spans="6:10">
      <c r="F620" s="30"/>
      <c r="G620" s="30"/>
      <c r="H620" s="30"/>
      <c r="I620" s="30"/>
      <c r="J620" s="30"/>
    </row>
    <row r="621" spans="6:10">
      <c r="F621" s="30"/>
      <c r="G621" s="30"/>
      <c r="H621" s="30"/>
      <c r="I621" s="30"/>
      <c r="J621" s="30"/>
    </row>
    <row r="622" spans="6:10">
      <c r="F622" s="30"/>
      <c r="G622" s="30"/>
      <c r="H622" s="30"/>
      <c r="I622" s="30"/>
      <c r="J622" s="30"/>
    </row>
    <row r="623" spans="6:10">
      <c r="F623" s="30"/>
      <c r="G623" s="30"/>
      <c r="H623" s="30"/>
      <c r="I623" s="30"/>
      <c r="J623" s="30"/>
    </row>
    <row r="624" spans="6:10">
      <c r="F624" s="30"/>
      <c r="G624" s="30"/>
      <c r="H624" s="30"/>
      <c r="I624" s="30"/>
      <c r="J624" s="30"/>
    </row>
    <row r="625" spans="6:10">
      <c r="F625" s="30"/>
      <c r="G625" s="30"/>
      <c r="H625" s="30"/>
      <c r="I625" s="30"/>
      <c r="J625" s="30"/>
    </row>
    <row r="626" spans="6:10">
      <c r="F626" s="30"/>
      <c r="G626" s="30"/>
      <c r="H626" s="30"/>
      <c r="I626" s="30"/>
      <c r="J626" s="30"/>
    </row>
    <row r="627" spans="6:10">
      <c r="F627" s="30"/>
      <c r="G627" s="30"/>
      <c r="H627" s="30"/>
      <c r="I627" s="30"/>
      <c r="J627" s="30"/>
    </row>
    <row r="628" spans="6:10">
      <c r="F628" s="30"/>
      <c r="G628" s="30"/>
      <c r="H628" s="30"/>
      <c r="I628" s="30"/>
      <c r="J628" s="30"/>
    </row>
    <row r="629" spans="6:10">
      <c r="F629" s="30"/>
      <c r="G629" s="30"/>
      <c r="H629" s="30"/>
      <c r="I629" s="30"/>
      <c r="J629" s="30"/>
    </row>
    <row r="630" spans="6:10">
      <c r="F630" s="30"/>
      <c r="G630" s="30"/>
      <c r="H630" s="30"/>
      <c r="I630" s="30"/>
      <c r="J630" s="30"/>
    </row>
    <row r="631" spans="6:10">
      <c r="F631" s="30"/>
      <c r="G631" s="30"/>
      <c r="H631" s="30"/>
      <c r="I631" s="30"/>
      <c r="J631" s="30"/>
    </row>
    <row r="632" spans="6:10">
      <c r="F632" s="30"/>
      <c r="G632" s="30"/>
      <c r="H632" s="30"/>
      <c r="I632" s="30"/>
      <c r="J632" s="30"/>
    </row>
    <row r="633" spans="6:10">
      <c r="F633" s="30"/>
      <c r="G633" s="30"/>
      <c r="H633" s="30"/>
      <c r="I633" s="30"/>
      <c r="J633" s="30"/>
    </row>
    <row r="634" spans="6:10">
      <c r="F634" s="30"/>
      <c r="G634" s="30"/>
      <c r="H634" s="30"/>
      <c r="I634" s="30"/>
      <c r="J634" s="30"/>
    </row>
    <row r="635" spans="6:10">
      <c r="F635" s="30"/>
      <c r="G635" s="30"/>
      <c r="H635" s="30"/>
      <c r="I635" s="30"/>
      <c r="J635" s="30"/>
    </row>
    <row r="636" spans="6:10">
      <c r="F636" s="30"/>
      <c r="G636" s="30"/>
      <c r="H636" s="30"/>
      <c r="I636" s="30"/>
      <c r="J636" s="30"/>
    </row>
    <row r="637" spans="6:10">
      <c r="F637" s="30"/>
      <c r="G637" s="30"/>
      <c r="H637" s="30"/>
      <c r="I637" s="30"/>
      <c r="J637" s="30"/>
    </row>
    <row r="638" spans="6:10">
      <c r="F638" s="30"/>
      <c r="G638" s="30"/>
      <c r="H638" s="30"/>
      <c r="I638" s="30"/>
      <c r="J638" s="30"/>
    </row>
    <row r="639" spans="6:10">
      <c r="F639" s="30"/>
      <c r="G639" s="30"/>
      <c r="H639" s="30"/>
      <c r="I639" s="30"/>
      <c r="J639" s="30"/>
    </row>
    <row r="640" spans="6:10">
      <c r="F640" s="30"/>
      <c r="G640" s="30"/>
      <c r="H640" s="30"/>
      <c r="I640" s="30"/>
      <c r="J640" s="30"/>
    </row>
    <row r="641" spans="6:10">
      <c r="F641" s="30"/>
      <c r="G641" s="30"/>
      <c r="H641" s="30"/>
      <c r="I641" s="30"/>
      <c r="J641" s="30"/>
    </row>
    <row r="642" spans="6:10">
      <c r="F642" s="30"/>
      <c r="G642" s="30"/>
      <c r="H642" s="30"/>
      <c r="I642" s="30"/>
      <c r="J642" s="30"/>
    </row>
    <row r="643" spans="6:10">
      <c r="F643" s="30"/>
      <c r="G643" s="30"/>
      <c r="H643" s="30"/>
      <c r="I643" s="30"/>
      <c r="J643" s="30"/>
    </row>
    <row r="644" spans="6:10">
      <c r="F644" s="30"/>
      <c r="G644" s="30"/>
      <c r="H644" s="30"/>
      <c r="I644" s="30"/>
      <c r="J644" s="30"/>
    </row>
    <row r="645" spans="6:10">
      <c r="F645" s="30"/>
      <c r="G645" s="30"/>
      <c r="H645" s="30"/>
      <c r="I645" s="30"/>
      <c r="J645" s="30"/>
    </row>
    <row r="646" spans="6:10">
      <c r="F646" s="30"/>
      <c r="G646" s="30"/>
      <c r="H646" s="30"/>
      <c r="I646" s="30"/>
      <c r="J646" s="30"/>
    </row>
    <row r="647" spans="6:10">
      <c r="F647" s="30"/>
      <c r="G647" s="30"/>
      <c r="H647" s="30"/>
      <c r="I647" s="30"/>
      <c r="J647" s="30"/>
    </row>
    <row r="648" spans="6:10">
      <c r="F648" s="30"/>
      <c r="G648" s="30"/>
      <c r="H648" s="30"/>
      <c r="I648" s="30"/>
      <c r="J648" s="30"/>
    </row>
    <row r="649" spans="6:10">
      <c r="F649" s="30"/>
      <c r="G649" s="30"/>
      <c r="H649" s="30"/>
      <c r="I649" s="30"/>
      <c r="J649" s="30"/>
    </row>
    <row r="650" spans="6:10">
      <c r="F650" s="30"/>
      <c r="G650" s="30"/>
      <c r="H650" s="30"/>
      <c r="I650" s="30"/>
      <c r="J650" s="30"/>
    </row>
    <row r="651" spans="6:10">
      <c r="F651" s="30"/>
      <c r="G651" s="30"/>
      <c r="H651" s="30"/>
      <c r="I651" s="30"/>
      <c r="J651" s="30"/>
    </row>
    <row r="652" spans="6:10">
      <c r="F652" s="30"/>
      <c r="G652" s="30"/>
      <c r="H652" s="30"/>
      <c r="I652" s="30"/>
      <c r="J652" s="30"/>
    </row>
    <row r="653" spans="6:10">
      <c r="F653" s="30"/>
      <c r="G653" s="30"/>
      <c r="H653" s="30"/>
      <c r="I653" s="30"/>
      <c r="J653" s="30"/>
    </row>
    <row r="654" spans="6:10">
      <c r="F654" s="30"/>
      <c r="G654" s="30"/>
      <c r="H654" s="30"/>
      <c r="I654" s="30"/>
      <c r="J654" s="30"/>
    </row>
    <row r="655" spans="6:10">
      <c r="F655" s="30"/>
      <c r="G655" s="30"/>
      <c r="H655" s="30"/>
      <c r="I655" s="30"/>
      <c r="J655" s="30"/>
    </row>
    <row r="656" spans="6:10">
      <c r="F656" s="30"/>
      <c r="G656" s="30"/>
      <c r="H656" s="30"/>
      <c r="I656" s="30"/>
      <c r="J656" s="30"/>
    </row>
    <row r="657" spans="6:10">
      <c r="F657" s="30"/>
      <c r="G657" s="30"/>
      <c r="H657" s="30"/>
      <c r="I657" s="30"/>
      <c r="J657" s="30"/>
    </row>
    <row r="658" spans="6:10">
      <c r="F658" s="30"/>
      <c r="G658" s="30"/>
      <c r="H658" s="30"/>
      <c r="I658" s="30"/>
      <c r="J658" s="30"/>
    </row>
    <row r="659" spans="6:10">
      <c r="F659" s="30"/>
      <c r="G659" s="30"/>
      <c r="H659" s="30"/>
      <c r="I659" s="30"/>
      <c r="J659" s="30"/>
    </row>
    <row r="660" spans="6:10">
      <c r="F660" s="30"/>
      <c r="G660" s="30"/>
      <c r="H660" s="30"/>
      <c r="I660" s="30"/>
      <c r="J660" s="30"/>
    </row>
    <row r="661" spans="6:10">
      <c r="F661" s="30"/>
      <c r="G661" s="30"/>
      <c r="H661" s="30"/>
      <c r="I661" s="30"/>
      <c r="J661" s="30"/>
    </row>
    <row r="662" spans="6:10">
      <c r="F662" s="30"/>
      <c r="G662" s="30"/>
      <c r="H662" s="30"/>
      <c r="I662" s="30"/>
      <c r="J662" s="30"/>
    </row>
    <row r="663" spans="6:10">
      <c r="F663" s="30"/>
      <c r="G663" s="30"/>
      <c r="H663" s="30"/>
      <c r="I663" s="30"/>
      <c r="J663" s="30"/>
    </row>
    <row r="664" spans="6:10">
      <c r="F664" s="30"/>
      <c r="G664" s="30"/>
      <c r="H664" s="30"/>
      <c r="I664" s="30"/>
      <c r="J664" s="30"/>
    </row>
    <row r="665" spans="6:10">
      <c r="F665" s="30"/>
      <c r="G665" s="30"/>
      <c r="H665" s="30"/>
      <c r="I665" s="30"/>
      <c r="J665" s="30"/>
    </row>
    <row r="666" spans="6:10">
      <c r="F666" s="30"/>
      <c r="G666" s="30"/>
      <c r="H666" s="30"/>
      <c r="I666" s="30"/>
      <c r="J666" s="30"/>
    </row>
    <row r="667" spans="6:10">
      <c r="F667" s="30"/>
      <c r="G667" s="30"/>
      <c r="H667" s="30"/>
      <c r="I667" s="30"/>
      <c r="J667" s="30"/>
    </row>
    <row r="668" spans="6:10">
      <c r="F668" s="30"/>
      <c r="G668" s="30"/>
      <c r="H668" s="30"/>
      <c r="I668" s="30"/>
      <c r="J668" s="30"/>
    </row>
    <row r="669" spans="6:10">
      <c r="F669" s="30"/>
      <c r="G669" s="30"/>
      <c r="H669" s="30"/>
      <c r="I669" s="30"/>
      <c r="J669" s="30"/>
    </row>
    <row r="670" spans="6:10">
      <c r="F670" s="30"/>
      <c r="G670" s="30"/>
      <c r="H670" s="30"/>
      <c r="I670" s="30"/>
      <c r="J670" s="30"/>
    </row>
    <row r="671" spans="6:10">
      <c r="F671" s="30"/>
      <c r="G671" s="30"/>
      <c r="H671" s="30"/>
      <c r="I671" s="30"/>
      <c r="J671" s="30"/>
    </row>
    <row r="672" spans="6:10">
      <c r="F672" s="30"/>
      <c r="G672" s="30"/>
      <c r="H672" s="30"/>
      <c r="I672" s="30"/>
      <c r="J672" s="30"/>
    </row>
    <row r="673" spans="6:10">
      <c r="F673" s="30"/>
      <c r="G673" s="30"/>
      <c r="H673" s="30"/>
      <c r="I673" s="30"/>
      <c r="J673" s="30"/>
    </row>
    <row r="674" spans="6:10">
      <c r="F674" s="30"/>
      <c r="G674" s="30"/>
      <c r="H674" s="30"/>
      <c r="I674" s="30"/>
      <c r="J674" s="30"/>
    </row>
    <row r="675" spans="6:10">
      <c r="F675" s="30"/>
      <c r="G675" s="30"/>
      <c r="H675" s="30"/>
      <c r="I675" s="30"/>
      <c r="J675" s="30"/>
    </row>
    <row r="676" spans="6:10">
      <c r="F676" s="30"/>
      <c r="G676" s="30"/>
      <c r="H676" s="30"/>
      <c r="I676" s="30"/>
      <c r="J676" s="30"/>
    </row>
    <row r="677" spans="6:10">
      <c r="F677" s="30"/>
      <c r="G677" s="30"/>
      <c r="H677" s="30"/>
      <c r="I677" s="30"/>
      <c r="J677" s="30"/>
    </row>
    <row r="678" spans="6:10">
      <c r="F678" s="30"/>
      <c r="G678" s="30"/>
      <c r="H678" s="30"/>
      <c r="I678" s="30"/>
      <c r="J678" s="30"/>
    </row>
    <row r="679" spans="6:10">
      <c r="F679" s="30"/>
      <c r="G679" s="30"/>
      <c r="H679" s="30"/>
      <c r="I679" s="30"/>
      <c r="J679" s="30"/>
    </row>
    <row r="680" spans="6:10">
      <c r="F680" s="30"/>
      <c r="G680" s="30"/>
      <c r="H680" s="30"/>
      <c r="I680" s="30"/>
      <c r="J680" s="30"/>
    </row>
    <row r="681" spans="6:10">
      <c r="F681" s="30"/>
      <c r="G681" s="30"/>
      <c r="H681" s="30"/>
      <c r="I681" s="30"/>
      <c r="J681" s="30"/>
    </row>
    <row r="682" spans="6:10">
      <c r="F682" s="30"/>
      <c r="G682" s="30"/>
      <c r="H682" s="30"/>
      <c r="I682" s="30"/>
      <c r="J682" s="30"/>
    </row>
    <row r="683" spans="6:10">
      <c r="F683" s="30"/>
      <c r="G683" s="30"/>
      <c r="H683" s="30"/>
      <c r="I683" s="30"/>
      <c r="J683" s="30"/>
    </row>
    <row r="684" spans="6:10">
      <c r="F684" s="30"/>
      <c r="G684" s="30"/>
      <c r="H684" s="30"/>
      <c r="I684" s="30"/>
      <c r="J684" s="30"/>
    </row>
    <row r="685" spans="6:10">
      <c r="F685" s="30"/>
      <c r="G685" s="30"/>
      <c r="H685" s="30"/>
      <c r="I685" s="30"/>
      <c r="J685" s="30"/>
    </row>
    <row r="686" spans="6:10">
      <c r="F686" s="30"/>
      <c r="G686" s="30"/>
      <c r="H686" s="30"/>
      <c r="I686" s="30"/>
      <c r="J686" s="30"/>
    </row>
    <row r="687" spans="6:10">
      <c r="F687" s="30"/>
      <c r="G687" s="30"/>
      <c r="H687" s="30"/>
      <c r="I687" s="30"/>
      <c r="J687" s="30"/>
    </row>
    <row r="688" spans="6:10">
      <c r="F688" s="30"/>
      <c r="G688" s="30"/>
      <c r="H688" s="30"/>
      <c r="I688" s="30"/>
      <c r="J688" s="30"/>
    </row>
    <row r="689" spans="6:10">
      <c r="F689" s="30"/>
      <c r="G689" s="30"/>
      <c r="H689" s="30"/>
      <c r="I689" s="30"/>
      <c r="J689" s="30"/>
    </row>
    <row r="690" spans="6:10">
      <c r="F690" s="30"/>
      <c r="G690" s="30"/>
      <c r="H690" s="30"/>
      <c r="I690" s="30"/>
      <c r="J690" s="30"/>
    </row>
    <row r="691" spans="6:10">
      <c r="F691" s="30"/>
      <c r="G691" s="30"/>
      <c r="H691" s="30"/>
      <c r="I691" s="30"/>
      <c r="J691" s="30"/>
    </row>
    <row r="692" spans="6:10">
      <c r="F692" s="30"/>
      <c r="G692" s="30"/>
      <c r="H692" s="30"/>
      <c r="I692" s="30"/>
      <c r="J692" s="30"/>
    </row>
    <row r="693" spans="6:10">
      <c r="F693" s="30"/>
      <c r="G693" s="30"/>
      <c r="H693" s="30"/>
      <c r="I693" s="30"/>
      <c r="J693" s="30"/>
    </row>
    <row r="694" spans="6:10">
      <c r="F694" s="30"/>
      <c r="G694" s="30"/>
      <c r="H694" s="30"/>
      <c r="I694" s="30"/>
      <c r="J694" s="30"/>
    </row>
    <row r="695" spans="6:10">
      <c r="F695" s="30"/>
      <c r="G695" s="30"/>
      <c r="H695" s="30"/>
      <c r="I695" s="30"/>
      <c r="J695" s="30"/>
    </row>
    <row r="696" spans="6:10">
      <c r="F696" s="30"/>
      <c r="G696" s="30"/>
      <c r="H696" s="30"/>
      <c r="I696" s="30"/>
      <c r="J696" s="30"/>
    </row>
    <row r="697" spans="6:10">
      <c r="F697" s="30"/>
      <c r="G697" s="30"/>
      <c r="H697" s="30"/>
      <c r="I697" s="30"/>
      <c r="J697" s="30"/>
    </row>
    <row r="698" spans="6:10">
      <c r="F698" s="30"/>
      <c r="G698" s="30"/>
      <c r="H698" s="30"/>
      <c r="I698" s="30"/>
      <c r="J698" s="30"/>
    </row>
    <row r="699" spans="6:10">
      <c r="F699" s="30"/>
      <c r="G699" s="30"/>
      <c r="H699" s="30"/>
      <c r="I699" s="30"/>
      <c r="J699" s="30"/>
    </row>
    <row r="700" spans="6:10">
      <c r="F700" s="30"/>
      <c r="G700" s="30"/>
      <c r="H700" s="30"/>
      <c r="I700" s="30"/>
      <c r="J700" s="30"/>
    </row>
    <row r="701" spans="6:10">
      <c r="F701" s="30"/>
      <c r="G701" s="30"/>
      <c r="H701" s="30"/>
      <c r="I701" s="30"/>
      <c r="J701" s="30"/>
    </row>
    <row r="702" spans="6:10">
      <c r="F702" s="30"/>
      <c r="G702" s="30"/>
      <c r="H702" s="30"/>
      <c r="I702" s="30"/>
      <c r="J702" s="30"/>
    </row>
    <row r="703" spans="6:10">
      <c r="F703" s="30"/>
      <c r="G703" s="30"/>
      <c r="H703" s="30"/>
      <c r="I703" s="30"/>
      <c r="J703" s="30"/>
    </row>
    <row r="704" spans="6:10">
      <c r="F704" s="30"/>
      <c r="G704" s="30"/>
      <c r="H704" s="30"/>
      <c r="I704" s="30"/>
      <c r="J704" s="30"/>
    </row>
    <row r="705" spans="6:10">
      <c r="F705" s="30"/>
      <c r="G705" s="30"/>
      <c r="H705" s="30"/>
      <c r="I705" s="30"/>
      <c r="J705" s="30"/>
    </row>
    <row r="706" spans="6:10">
      <c r="F706" s="30"/>
      <c r="G706" s="30"/>
      <c r="H706" s="30"/>
      <c r="I706" s="30"/>
      <c r="J706" s="30"/>
    </row>
    <row r="707" spans="6:10">
      <c r="F707" s="30"/>
      <c r="G707" s="30"/>
      <c r="H707" s="30"/>
      <c r="I707" s="30"/>
      <c r="J707" s="30"/>
    </row>
    <row r="708" spans="6:10">
      <c r="F708" s="30"/>
      <c r="G708" s="30"/>
      <c r="H708" s="30"/>
      <c r="I708" s="30"/>
      <c r="J708" s="30"/>
    </row>
    <row r="709" spans="6:10">
      <c r="F709" s="30"/>
      <c r="G709" s="30"/>
      <c r="H709" s="30"/>
      <c r="I709" s="30"/>
      <c r="J709" s="30"/>
    </row>
    <row r="710" spans="6:10">
      <c r="F710" s="30"/>
      <c r="G710" s="30"/>
      <c r="H710" s="30"/>
      <c r="I710" s="30"/>
      <c r="J710" s="30"/>
    </row>
    <row r="711" spans="6:10">
      <c r="F711" s="30"/>
      <c r="G711" s="30"/>
      <c r="H711" s="30"/>
      <c r="I711" s="30"/>
      <c r="J711" s="30"/>
    </row>
    <row r="712" spans="6:10">
      <c r="F712" s="30"/>
      <c r="G712" s="30"/>
      <c r="H712" s="30"/>
      <c r="I712" s="30"/>
      <c r="J712" s="30"/>
    </row>
    <row r="713" spans="6:10">
      <c r="F713" s="30"/>
      <c r="G713" s="30"/>
      <c r="H713" s="30"/>
      <c r="I713" s="30"/>
      <c r="J713" s="30"/>
    </row>
    <row r="714" spans="6:10">
      <c r="F714" s="30"/>
      <c r="G714" s="30"/>
      <c r="H714" s="30"/>
      <c r="I714" s="30"/>
      <c r="J714" s="30"/>
    </row>
    <row r="715" spans="6:10">
      <c r="F715" s="30"/>
      <c r="G715" s="30"/>
      <c r="H715" s="30"/>
      <c r="I715" s="30"/>
      <c r="J715" s="30"/>
    </row>
    <row r="716" spans="6:10">
      <c r="F716" s="30"/>
      <c r="G716" s="30"/>
      <c r="H716" s="30"/>
      <c r="I716" s="30"/>
      <c r="J716" s="30"/>
    </row>
    <row r="717" spans="6:10">
      <c r="F717" s="30"/>
      <c r="G717" s="30"/>
      <c r="H717" s="30"/>
      <c r="I717" s="30"/>
      <c r="J717" s="30"/>
    </row>
    <row r="718" spans="6:10">
      <c r="F718" s="51"/>
      <c r="G718" s="44"/>
      <c r="I718" s="44"/>
      <c r="J718" s="44"/>
    </row>
    <row r="719" spans="6:10">
      <c r="F719" s="51"/>
      <c r="G719" s="44"/>
      <c r="I719" s="44"/>
      <c r="J719" s="44"/>
    </row>
    <row r="720" spans="6:10">
      <c r="F720" s="51"/>
      <c r="G720" s="44"/>
      <c r="I720" s="44"/>
      <c r="J720" s="44"/>
    </row>
    <row r="721" spans="6:10">
      <c r="F721" s="51"/>
      <c r="G721" s="44"/>
      <c r="I721" s="44"/>
      <c r="J721" s="44"/>
    </row>
    <row r="722" spans="6:10">
      <c r="F722" s="51"/>
      <c r="G722" s="44"/>
      <c r="I722" s="44"/>
      <c r="J722" s="44"/>
    </row>
    <row r="723" spans="6:10">
      <c r="F723" s="51"/>
      <c r="G723" s="44"/>
      <c r="I723" s="44"/>
      <c r="J723" s="44"/>
    </row>
    <row r="724" spans="6:10">
      <c r="F724" s="51"/>
      <c r="G724" s="44"/>
      <c r="I724" s="44"/>
      <c r="J724" s="44"/>
    </row>
    <row r="725" spans="6:10">
      <c r="F725" s="51"/>
      <c r="G725" s="44"/>
      <c r="I725" s="44"/>
      <c r="J725" s="44"/>
    </row>
    <row r="726" spans="6:10">
      <c r="F726" s="51"/>
      <c r="G726" s="44"/>
      <c r="I726" s="44"/>
      <c r="J726" s="44"/>
    </row>
    <row r="727" spans="6:10">
      <c r="F727" s="51"/>
      <c r="G727" s="44"/>
      <c r="I727" s="44"/>
      <c r="J727" s="44"/>
    </row>
    <row r="728" spans="6:10">
      <c r="F728" s="51"/>
      <c r="G728" s="44"/>
      <c r="I728" s="44"/>
      <c r="J728" s="44"/>
    </row>
    <row r="729" spans="6:10">
      <c r="F729" s="51"/>
      <c r="G729" s="44"/>
      <c r="I729" s="44"/>
      <c r="J729" s="44"/>
    </row>
    <row r="730" spans="6:10">
      <c r="F730" s="51"/>
      <c r="G730" s="44"/>
      <c r="I730" s="44"/>
      <c r="J730" s="44"/>
    </row>
    <row r="731" spans="6:10">
      <c r="F731" s="51"/>
      <c r="G731" s="44"/>
      <c r="I731" s="44"/>
      <c r="J731" s="44"/>
    </row>
    <row r="732" spans="6:10">
      <c r="F732" s="51"/>
      <c r="G732" s="44"/>
      <c r="I732" s="44"/>
      <c r="J732" s="44"/>
    </row>
    <row r="733" spans="6:10">
      <c r="F733" s="51"/>
      <c r="G733" s="44"/>
      <c r="I733" s="44"/>
      <c r="J733" s="44"/>
    </row>
    <row r="734" spans="6:10">
      <c r="F734" s="51"/>
      <c r="G734" s="44"/>
      <c r="I734" s="44"/>
      <c r="J734" s="44"/>
    </row>
    <row r="735" spans="6:10">
      <c r="F735" s="51"/>
      <c r="G735" s="44"/>
      <c r="I735" s="44"/>
      <c r="J735" s="44"/>
    </row>
    <row r="736" spans="6:10">
      <c r="F736" s="51"/>
      <c r="G736" s="44"/>
      <c r="I736" s="44"/>
      <c r="J736" s="44"/>
    </row>
    <row r="737" spans="6:10">
      <c r="F737" s="51"/>
      <c r="G737" s="44"/>
      <c r="I737" s="44"/>
      <c r="J737" s="44"/>
    </row>
    <row r="738" spans="6:10">
      <c r="F738" s="51"/>
      <c r="G738" s="44"/>
      <c r="I738" s="44"/>
      <c r="J738" s="44"/>
    </row>
    <row r="739" spans="6:10">
      <c r="F739" s="51"/>
      <c r="G739" s="44"/>
      <c r="I739" s="44"/>
      <c r="J739" s="44"/>
    </row>
    <row r="740" spans="6:10">
      <c r="F740" s="51"/>
      <c r="G740" s="44"/>
      <c r="I740" s="44"/>
      <c r="J740" s="44"/>
    </row>
    <row r="741" spans="6:10">
      <c r="F741" s="51"/>
      <c r="G741" s="44"/>
      <c r="I741" s="44"/>
      <c r="J741" s="44"/>
    </row>
    <row r="742" spans="6:10">
      <c r="F742" s="51"/>
      <c r="G742" s="44"/>
      <c r="I742" s="44"/>
      <c r="J742" s="44"/>
    </row>
    <row r="743" spans="6:10">
      <c r="F743" s="51"/>
      <c r="G743" s="44"/>
      <c r="I743" s="44"/>
      <c r="J743" s="44"/>
    </row>
    <row r="744" spans="6:10">
      <c r="F744" s="51"/>
      <c r="G744" s="44"/>
      <c r="I744" s="44"/>
      <c r="J744" s="44"/>
    </row>
    <row r="745" spans="6:10">
      <c r="F745" s="51"/>
      <c r="G745" s="44"/>
      <c r="I745" s="44"/>
      <c r="J745" s="44"/>
    </row>
    <row r="746" spans="6:10">
      <c r="F746" s="51"/>
      <c r="G746" s="44"/>
      <c r="I746" s="44"/>
      <c r="J746" s="44"/>
    </row>
    <row r="747" spans="6:10">
      <c r="F747" s="51"/>
      <c r="G747" s="44"/>
      <c r="I747" s="44"/>
      <c r="J747" s="44"/>
    </row>
    <row r="748" spans="6:10">
      <c r="F748" s="51"/>
      <c r="G748" s="44"/>
      <c r="I748" s="44"/>
      <c r="J748" s="44"/>
    </row>
    <row r="749" spans="6:10">
      <c r="F749" s="51"/>
      <c r="G749" s="44"/>
      <c r="I749" s="44"/>
      <c r="J749" s="44"/>
    </row>
    <row r="750" spans="6:10">
      <c r="F750" s="51"/>
      <c r="G750" s="44"/>
      <c r="I750" s="44"/>
      <c r="J750" s="44"/>
    </row>
    <row r="751" spans="6:10">
      <c r="F751" s="51"/>
      <c r="G751" s="44"/>
      <c r="I751" s="44"/>
      <c r="J751" s="44"/>
    </row>
    <row r="752" spans="6:10">
      <c r="F752" s="51"/>
      <c r="G752" s="44"/>
      <c r="I752" s="44"/>
      <c r="J752" s="44"/>
    </row>
    <row r="753" spans="6:10">
      <c r="F753" s="51"/>
      <c r="G753" s="44"/>
      <c r="I753" s="44"/>
      <c r="J753" s="44"/>
    </row>
    <row r="754" spans="6:10">
      <c r="F754" s="51"/>
      <c r="G754" s="44"/>
      <c r="I754" s="44"/>
      <c r="J754" s="44"/>
    </row>
    <row r="755" spans="6:10">
      <c r="F755" s="51"/>
      <c r="G755" s="44"/>
      <c r="I755" s="44"/>
      <c r="J755" s="44"/>
    </row>
    <row r="756" spans="6:10">
      <c r="F756" s="51"/>
      <c r="G756" s="44"/>
      <c r="I756" s="44"/>
      <c r="J756" s="44"/>
    </row>
    <row r="757" spans="6:10">
      <c r="F757" s="51"/>
      <c r="G757" s="44"/>
      <c r="I757" s="44"/>
      <c r="J757" s="44"/>
    </row>
    <row r="758" spans="6:10">
      <c r="F758" s="51"/>
      <c r="G758" s="44"/>
      <c r="I758" s="44"/>
      <c r="J758" s="44"/>
    </row>
    <row r="759" spans="6:10">
      <c r="F759" s="51"/>
      <c r="G759" s="44"/>
      <c r="I759" s="44"/>
      <c r="J759" s="44"/>
    </row>
    <row r="760" spans="6:10">
      <c r="F760" s="51"/>
      <c r="G760" s="44"/>
      <c r="I760" s="44"/>
      <c r="J760" s="44"/>
    </row>
    <row r="761" spans="6:10">
      <c r="F761" s="51"/>
      <c r="G761" s="44"/>
      <c r="I761" s="44"/>
      <c r="J761" s="44"/>
    </row>
    <row r="762" spans="6:10">
      <c r="F762" s="51"/>
      <c r="G762" s="44"/>
      <c r="I762" s="44"/>
      <c r="J762" s="44"/>
    </row>
    <row r="763" spans="6:10">
      <c r="F763" s="51"/>
      <c r="G763" s="44"/>
      <c r="I763" s="44"/>
      <c r="J763" s="44"/>
    </row>
    <row r="764" spans="6:10">
      <c r="F764" s="51"/>
      <c r="G764" s="44"/>
      <c r="I764" s="44"/>
      <c r="J764" s="44"/>
    </row>
    <row r="765" spans="6:10">
      <c r="F765" s="51"/>
      <c r="G765" s="44"/>
      <c r="I765" s="44"/>
      <c r="J765" s="44"/>
    </row>
    <row r="766" spans="6:10">
      <c r="F766" s="51"/>
      <c r="G766" s="44"/>
      <c r="I766" s="44"/>
      <c r="J766" s="44"/>
    </row>
    <row r="767" spans="6:10">
      <c r="F767" s="51"/>
      <c r="G767" s="44"/>
      <c r="I767" s="44"/>
      <c r="J767" s="44"/>
    </row>
    <row r="768" spans="6:10">
      <c r="F768" s="51"/>
      <c r="G768" s="44"/>
      <c r="I768" s="44"/>
      <c r="J768" s="44"/>
    </row>
    <row r="769" spans="6:10">
      <c r="F769" s="51"/>
      <c r="G769" s="44"/>
      <c r="I769" s="44"/>
      <c r="J769" s="44"/>
    </row>
    <row r="770" spans="6:10">
      <c r="F770" s="51"/>
      <c r="G770" s="44"/>
      <c r="I770" s="44"/>
      <c r="J770" s="44"/>
    </row>
    <row r="771" spans="6:10">
      <c r="F771" s="51"/>
      <c r="G771" s="44"/>
      <c r="I771" s="44"/>
      <c r="J771" s="44"/>
    </row>
    <row r="772" spans="6:10">
      <c r="F772" s="51"/>
      <c r="G772" s="44"/>
      <c r="I772" s="44"/>
      <c r="J772" s="44"/>
    </row>
    <row r="773" spans="6:10">
      <c r="F773" s="51"/>
      <c r="G773" s="44"/>
      <c r="I773" s="44"/>
      <c r="J773" s="44"/>
    </row>
    <row r="774" spans="6:10">
      <c r="F774" s="51"/>
      <c r="G774" s="44"/>
      <c r="I774" s="44"/>
      <c r="J774" s="44"/>
    </row>
    <row r="775" spans="6:10">
      <c r="F775" s="51"/>
      <c r="G775" s="44"/>
      <c r="I775" s="44"/>
      <c r="J775" s="44"/>
    </row>
    <row r="776" spans="6:10">
      <c r="F776" s="51"/>
      <c r="G776" s="44"/>
      <c r="I776" s="44"/>
      <c r="J776" s="44"/>
    </row>
    <row r="777" spans="6:10">
      <c r="F777" s="51"/>
      <c r="G777" s="44"/>
      <c r="I777" s="44"/>
      <c r="J777" s="44"/>
    </row>
    <row r="778" spans="6:10">
      <c r="F778" s="51"/>
      <c r="G778" s="44"/>
      <c r="I778" s="44"/>
      <c r="J778" s="44"/>
    </row>
    <row r="779" spans="6:10">
      <c r="F779" s="51"/>
      <c r="G779" s="44"/>
      <c r="I779" s="44"/>
      <c r="J779" s="44"/>
    </row>
    <row r="780" spans="6:10">
      <c r="F780" s="51"/>
      <c r="G780" s="44"/>
      <c r="I780" s="44"/>
      <c r="J780" s="44"/>
    </row>
    <row r="781" spans="6:10">
      <c r="F781" s="51"/>
      <c r="G781" s="44"/>
      <c r="I781" s="44"/>
      <c r="J781" s="44"/>
    </row>
    <row r="782" spans="6:10">
      <c r="F782" s="51"/>
      <c r="G782" s="44"/>
      <c r="I782" s="44"/>
      <c r="J782" s="44"/>
    </row>
    <row r="783" spans="6:10">
      <c r="F783" s="51"/>
      <c r="G783" s="44"/>
      <c r="I783" s="44"/>
      <c r="J783" s="44"/>
    </row>
    <row r="784" spans="6:10">
      <c r="F784" s="51"/>
      <c r="G784" s="44"/>
      <c r="I784" s="44"/>
      <c r="J784" s="44"/>
    </row>
    <row r="785" spans="6:10">
      <c r="F785" s="51"/>
      <c r="G785" s="44"/>
      <c r="I785" s="44"/>
      <c r="J785" s="44"/>
    </row>
    <row r="786" spans="6:10">
      <c r="F786" s="51"/>
      <c r="G786" s="44"/>
      <c r="I786" s="44"/>
      <c r="J786" s="44"/>
    </row>
    <row r="787" spans="6:10">
      <c r="F787" s="51"/>
      <c r="G787" s="44"/>
      <c r="I787" s="44"/>
      <c r="J787" s="44"/>
    </row>
    <row r="788" spans="6:10">
      <c r="F788" s="51"/>
      <c r="G788" s="44"/>
      <c r="I788" s="44"/>
      <c r="J788" s="44"/>
    </row>
    <row r="789" spans="6:10">
      <c r="F789" s="51"/>
      <c r="G789" s="44"/>
      <c r="I789" s="44"/>
      <c r="J789" s="44"/>
    </row>
    <row r="790" spans="6:10">
      <c r="F790" s="51"/>
      <c r="G790" s="44"/>
      <c r="I790" s="44"/>
      <c r="J790" s="44"/>
    </row>
    <row r="791" spans="6:10">
      <c r="F791" s="51"/>
      <c r="G791" s="44"/>
      <c r="I791" s="44"/>
      <c r="J791" s="44"/>
    </row>
    <row r="792" spans="6:10">
      <c r="F792" s="51"/>
      <c r="G792" s="44"/>
      <c r="I792" s="44"/>
      <c r="J792" s="44"/>
    </row>
    <row r="793" spans="6:10">
      <c r="F793" s="51"/>
      <c r="G793" s="44"/>
      <c r="I793" s="44"/>
      <c r="J793" s="44"/>
    </row>
    <row r="794" spans="6:10">
      <c r="F794" s="51"/>
      <c r="G794" s="44"/>
      <c r="I794" s="44"/>
      <c r="J794" s="44"/>
    </row>
    <row r="795" spans="6:10">
      <c r="F795" s="51"/>
      <c r="G795" s="44"/>
      <c r="I795" s="44"/>
      <c r="J795" s="44"/>
    </row>
    <row r="796" spans="6:10">
      <c r="F796" s="51"/>
      <c r="G796" s="44"/>
      <c r="I796" s="44"/>
      <c r="J796" s="44"/>
    </row>
    <row r="797" spans="6:10">
      <c r="F797" s="51"/>
      <c r="G797" s="44"/>
      <c r="I797" s="44"/>
      <c r="J797" s="44"/>
    </row>
    <row r="798" spans="6:10">
      <c r="F798" s="51"/>
      <c r="G798" s="44"/>
      <c r="I798" s="44"/>
      <c r="J798" s="44"/>
    </row>
    <row r="799" spans="6:10">
      <c r="F799" s="51"/>
      <c r="G799" s="44"/>
      <c r="I799" s="44"/>
      <c r="J799" s="44"/>
    </row>
    <row r="800" spans="6:10">
      <c r="F800" s="51"/>
      <c r="G800" s="44"/>
      <c r="I800" s="44"/>
      <c r="J800" s="4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I313"/>
  <sheetViews>
    <sheetView workbookViewId="0">
      <selection activeCell="D34" sqref="D34"/>
    </sheetView>
  </sheetViews>
  <sheetFormatPr defaultRowHeight="15"/>
  <cols>
    <col min="3" max="3" width="12" bestFit="1" customWidth="1"/>
  </cols>
  <sheetData>
    <row r="17" spans="1:9">
      <c r="B17" t="s">
        <v>2</v>
      </c>
      <c r="C17" t="s">
        <v>5</v>
      </c>
      <c r="D17" t="s">
        <v>6</v>
      </c>
      <c r="I17" t="s">
        <v>12</v>
      </c>
    </row>
    <row r="18" spans="1:9">
      <c r="B18">
        <v>4.7</v>
      </c>
      <c r="C18">
        <v>298</v>
      </c>
      <c r="D18" s="14">
        <v>3530</v>
      </c>
    </row>
    <row r="21" spans="1:9">
      <c r="A21" t="s">
        <v>8</v>
      </c>
      <c r="B21" t="s">
        <v>7</v>
      </c>
      <c r="C21" t="s">
        <v>9</v>
      </c>
      <c r="D21" t="s">
        <v>10</v>
      </c>
      <c r="E21" t="s">
        <v>11</v>
      </c>
    </row>
    <row r="22" spans="1:9">
      <c r="A22">
        <v>-40</v>
      </c>
      <c r="B22">
        <v>233</v>
      </c>
      <c r="C22">
        <f t="shared" ref="C22:C86" si="0">$B$18*EXP($D$18*((1/B22)-(1/$C$18)))</f>
        <v>128.01398517079073</v>
      </c>
      <c r="D22">
        <f>1.8*C22/(C22+4.7)</f>
        <v>1.7362538922396709</v>
      </c>
      <c r="E22">
        <f>D22/3</f>
        <v>0.57875129741322362</v>
      </c>
    </row>
    <row r="23" spans="1:9">
      <c r="A23">
        <f>1+A22</f>
        <v>-39</v>
      </c>
      <c r="B23">
        <f>B22+1</f>
        <v>234</v>
      </c>
      <c r="C23">
        <f t="shared" si="0"/>
        <v>119.98839266278473</v>
      </c>
      <c r="D23">
        <f t="shared" ref="D23:D86" si="1">1.8*C23/(C23+4.7)</f>
        <v>1.7321508616854195</v>
      </c>
      <c r="E23">
        <f t="shared" ref="E23:E86" si="2">D23/3</f>
        <v>0.57738362056180648</v>
      </c>
    </row>
    <row r="24" spans="1:9">
      <c r="A24">
        <f t="shared" ref="A24:A87" si="3">1+A23</f>
        <v>-38</v>
      </c>
      <c r="B24">
        <f t="shared" ref="B24:B87" si="4">B23+1</f>
        <v>235</v>
      </c>
      <c r="C24">
        <f t="shared" si="0"/>
        <v>112.5279370971373</v>
      </c>
      <c r="D24">
        <f t="shared" si="1"/>
        <v>1.7278329022117835</v>
      </c>
      <c r="E24">
        <f t="shared" si="2"/>
        <v>0.57594430073726122</v>
      </c>
    </row>
    <row r="25" spans="1:9">
      <c r="A25">
        <f t="shared" si="3"/>
        <v>-37</v>
      </c>
      <c r="B25">
        <f t="shared" si="4"/>
        <v>236</v>
      </c>
      <c r="C25">
        <f t="shared" si="0"/>
        <v>105.58877238073858</v>
      </c>
      <c r="D25">
        <f t="shared" si="1"/>
        <v>1.7232922824565096</v>
      </c>
      <c r="E25">
        <f t="shared" si="2"/>
        <v>0.57443076081883648</v>
      </c>
    </row>
    <row r="26" spans="1:9">
      <c r="A26">
        <f t="shared" si="3"/>
        <v>-36</v>
      </c>
      <c r="B26">
        <f t="shared" si="4"/>
        <v>237</v>
      </c>
      <c r="C26">
        <f t="shared" si="0"/>
        <v>99.130750685691496</v>
      </c>
      <c r="D26">
        <f t="shared" si="1"/>
        <v>1.7185212478564327</v>
      </c>
      <c r="E26">
        <f t="shared" si="2"/>
        <v>0.57284041595214419</v>
      </c>
    </row>
    <row r="27" spans="1:9">
      <c r="A27">
        <f t="shared" si="3"/>
        <v>-35</v>
      </c>
      <c r="B27">
        <f t="shared" si="4"/>
        <v>238</v>
      </c>
      <c r="C27">
        <f t="shared" si="0"/>
        <v>93.117086688551737</v>
      </c>
      <c r="D27">
        <f t="shared" si="1"/>
        <v>1.713512042871032</v>
      </c>
      <c r="E27">
        <f t="shared" si="2"/>
        <v>0.57117068095701062</v>
      </c>
    </row>
    <row r="28" spans="1:9">
      <c r="A28">
        <f t="shared" si="3"/>
        <v>-34</v>
      </c>
      <c r="B28">
        <f t="shared" si="4"/>
        <v>239</v>
      </c>
      <c r="C28">
        <f t="shared" si="0"/>
        <v>87.514054367731305</v>
      </c>
      <c r="D28">
        <f t="shared" si="1"/>
        <v>1.7082569348240215</v>
      </c>
      <c r="E28">
        <f t="shared" si="2"/>
        <v>0.5694189782746738</v>
      </c>
    </row>
    <row r="29" spans="1:9">
      <c r="A29">
        <f t="shared" si="3"/>
        <v>-33</v>
      </c>
      <c r="B29">
        <f t="shared" si="4"/>
        <v>240</v>
      </c>
      <c r="C29">
        <f t="shared" si="0"/>
        <v>82.290713008012091</v>
      </c>
      <c r="D29">
        <f t="shared" si="1"/>
        <v>1.7027482393526212</v>
      </c>
      <c r="E29">
        <f t="shared" si="2"/>
        <v>0.5675827464508737</v>
      </c>
    </row>
    <row r="30" spans="1:9">
      <c r="A30">
        <f t="shared" si="3"/>
        <v>-32</v>
      </c>
      <c r="B30">
        <f t="shared" si="4"/>
        <v>241</v>
      </c>
      <c r="C30">
        <f t="shared" si="0"/>
        <v>77.418659425328741</v>
      </c>
      <c r="D30">
        <f t="shared" si="1"/>
        <v>1.6969783474401119</v>
      </c>
      <c r="E30">
        <f t="shared" si="2"/>
        <v>0.56565944914670396</v>
      </c>
    </row>
    <row r="31" spans="1:9">
      <c r="A31">
        <f t="shared" si="3"/>
        <v>-31</v>
      </c>
      <c r="B31">
        <f t="shared" si="4"/>
        <v>242</v>
      </c>
      <c r="C31">
        <f t="shared" si="0"/>
        <v>72.871803747589411</v>
      </c>
      <c r="D31">
        <f t="shared" si="1"/>
        <v>1.6909397539919537</v>
      </c>
      <c r="E31">
        <f t="shared" si="2"/>
        <v>0.56364658466398454</v>
      </c>
    </row>
    <row r="32" spans="1:9">
      <c r="A32">
        <f t="shared" si="3"/>
        <v>-30</v>
      </c>
      <c r="B32">
        <f t="shared" si="4"/>
        <v>243</v>
      </c>
      <c r="C32">
        <f t="shared" si="0"/>
        <v>68.6261663732529</v>
      </c>
      <c r="D32">
        <f t="shared" si="1"/>
        <v>1.6846250878992366</v>
      </c>
      <c r="E32">
        <f t="shared" si="2"/>
        <v>0.56154169596641224</v>
      </c>
    </row>
    <row r="33" spans="1:5">
      <c r="A33">
        <f t="shared" si="3"/>
        <v>-29</v>
      </c>
      <c r="B33">
        <f t="shared" si="4"/>
        <v>244</v>
      </c>
      <c r="C33">
        <f t="shared" si="0"/>
        <v>64.659693983062382</v>
      </c>
      <c r="D33">
        <f t="shared" si="1"/>
        <v>1.6780271435155707</v>
      </c>
      <c r="E33">
        <f t="shared" si="2"/>
        <v>0.55934238117185686</v>
      </c>
    </row>
    <row r="34" spans="1:5">
      <c r="A34">
        <f t="shared" si="3"/>
        <v>-28</v>
      </c>
      <c r="B34">
        <f t="shared" si="4"/>
        <v>245</v>
      </c>
      <c r="C34">
        <f t="shared" si="0"/>
        <v>60.952092705551934</v>
      </c>
      <c r="D34">
        <f t="shared" si="1"/>
        <v>1.6711389134548551</v>
      </c>
      <c r="E34">
        <f t="shared" si="2"/>
        <v>0.55704630448495174</v>
      </c>
    </row>
    <row r="35" spans="1:5">
      <c r="A35">
        <f t="shared" si="3"/>
        <v>-27</v>
      </c>
      <c r="B35">
        <f t="shared" si="4"/>
        <v>246</v>
      </c>
      <c r="C35">
        <f t="shared" si="0"/>
        <v>57.484676737038193</v>
      </c>
      <c r="D35">
        <f t="shared" si="1"/>
        <v>1.6639536225978144</v>
      </c>
      <c r="E35">
        <f t="shared" si="2"/>
        <v>0.55465120753260477</v>
      </c>
    </row>
    <row r="36" spans="1:5">
      <c r="A36">
        <f t="shared" si="3"/>
        <v>-26</v>
      </c>
      <c r="B36">
        <f t="shared" si="4"/>
        <v>247</v>
      </c>
      <c r="C36">
        <f t="shared" si="0"/>
        <v>54.240230894734296</v>
      </c>
      <c r="D36">
        <f t="shared" si="1"/>
        <v>1.6564647631749299</v>
      </c>
      <c r="E36">
        <f t="shared" si="2"/>
        <v>0.55215492105830999</v>
      </c>
    </row>
    <row r="37" spans="1:5">
      <c r="A37">
        <f t="shared" si="3"/>
        <v>-25</v>
      </c>
      <c r="B37">
        <f t="shared" si="4"/>
        <v>248</v>
      </c>
      <c r="C37">
        <f t="shared" si="0"/>
        <v>51.202885739937408</v>
      </c>
      <c r="D37">
        <f t="shared" si="1"/>
        <v>1.6486661307726351</v>
      </c>
      <c r="E37">
        <f t="shared" si="2"/>
        <v>0.54955537692421175</v>
      </c>
    </row>
    <row r="38" spans="1:5">
      <c r="A38">
        <f t="shared" si="3"/>
        <v>-24</v>
      </c>
      <c r="B38">
        <f t="shared" si="4"/>
        <v>249</v>
      </c>
      <c r="C38">
        <f t="shared" si="0"/>
        <v>48.358004049219197</v>
      </c>
      <c r="D38">
        <f t="shared" si="1"/>
        <v>1.6405518610886287</v>
      </c>
      <c r="E38">
        <f t="shared" si="2"/>
        <v>0.54685062036287624</v>
      </c>
    </row>
    <row r="39" spans="1:5">
      <c r="A39">
        <f t="shared" si="3"/>
        <v>-23</v>
      </c>
      <c r="B39">
        <f t="shared" si="4"/>
        <v>250</v>
      </c>
      <c r="C39">
        <f t="shared" si="0"/>
        <v>45.692077537182655</v>
      </c>
      <c r="D39">
        <f t="shared" si="1"/>
        <v>1.6321164672411521</v>
      </c>
      <c r="E39">
        <f t="shared" si="2"/>
        <v>0.54403882241371737</v>
      </c>
    </row>
    <row r="40" spans="1:5">
      <c r="A40">
        <f t="shared" si="3"/>
        <v>-22</v>
      </c>
      <c r="B40">
        <f t="shared" si="4"/>
        <v>251</v>
      </c>
      <c r="C40">
        <f t="shared" si="0"/>
        <v>43.192632846379411</v>
      </c>
      <c r="D40">
        <f t="shared" si="1"/>
        <v>1.6233548774164006</v>
      </c>
      <c r="E40">
        <f t="shared" si="2"/>
        <v>0.5411182924721335</v>
      </c>
    </row>
    <row r="41" spans="1:5">
      <c r="A41">
        <f t="shared" si="3"/>
        <v>-21</v>
      </c>
      <c r="B41">
        <f t="shared" si="4"/>
        <v>252</v>
      </c>
      <c r="C41">
        <f t="shared" si="0"/>
        <v>40.848145919968772</v>
      </c>
      <c r="D41">
        <f t="shared" si="1"/>
        <v>1.6142624726182093</v>
      </c>
      <c r="E41">
        <f t="shared" si="2"/>
        <v>0.53808749087273644</v>
      </c>
    </row>
    <row r="42" spans="1:5">
      <c r="A42">
        <f t="shared" si="3"/>
        <v>-20</v>
      </c>
      <c r="B42">
        <f t="shared" si="4"/>
        <v>253</v>
      </c>
      <c r="C42">
        <f t="shared" si="0"/>
        <v>38.647963961984409</v>
      </c>
      <c r="D42">
        <f t="shared" si="1"/>
        <v>1.6048351242651369</v>
      </c>
      <c r="E42">
        <f t="shared" si="2"/>
        <v>0.53494504142171229</v>
      </c>
    </row>
    <row r="43" spans="1:5">
      <c r="A43">
        <f t="shared" si="3"/>
        <v>-19</v>
      </c>
      <c r="B43">
        <f t="shared" si="4"/>
        <v>254</v>
      </c>
      <c r="C43">
        <f t="shared" si="0"/>
        <v>36.582234269875329</v>
      </c>
      <c r="D43">
        <f t="shared" si="1"/>
        <v>1.595069231362473</v>
      </c>
      <c r="E43">
        <f t="shared" si="2"/>
        <v>0.53168974378749101</v>
      </c>
    </row>
    <row r="44" spans="1:5">
      <c r="A44">
        <f t="shared" si="3"/>
        <v>-18</v>
      </c>
      <c r="B44">
        <f t="shared" si="4"/>
        <v>255</v>
      </c>
      <c r="C44">
        <f t="shared" si="0"/>
        <v>34.641839295347268</v>
      </c>
      <c r="D44">
        <f t="shared" si="1"/>
        <v>1.5849617569608516</v>
      </c>
      <c r="E44">
        <f t="shared" si="2"/>
        <v>0.52832058565361717</v>
      </c>
    </row>
    <row r="45" spans="1:5">
      <c r="A45">
        <f t="shared" si="3"/>
        <v>-17</v>
      </c>
      <c r="B45">
        <f t="shared" si="4"/>
        <v>256</v>
      </c>
      <c r="C45">
        <f t="shared" si="0"/>
        <v>32.818337353394718</v>
      </c>
      <c r="D45">
        <f t="shared" si="1"/>
        <v>1.5745102635995534</v>
      </c>
      <c r="E45">
        <f t="shared" si="2"/>
        <v>0.52483675453318446</v>
      </c>
    </row>
    <row r="46" spans="1:5">
      <c r="A46">
        <f t="shared" si="3"/>
        <v>-16</v>
      </c>
      <c r="B46">
        <f t="shared" si="4"/>
        <v>257</v>
      </c>
      <c r="C46">
        <f t="shared" si="0"/>
        <v>31.103908456603996</v>
      </c>
      <c r="D46">
        <f t="shared" si="1"/>
        <v>1.5637129474215388</v>
      </c>
      <c r="E46">
        <f t="shared" si="2"/>
        <v>0.52123764914051296</v>
      </c>
    </row>
    <row r="47" spans="1:5">
      <c r="A47">
        <f t="shared" si="3"/>
        <v>-15</v>
      </c>
      <c r="B47">
        <f t="shared" si="4"/>
        <v>258</v>
      </c>
      <c r="C47">
        <f t="shared" si="0"/>
        <v>29.491304803058888</v>
      </c>
      <c r="D47">
        <f t="shared" si="1"/>
        <v>1.5525686706392339</v>
      </c>
      <c r="E47">
        <f t="shared" si="2"/>
        <v>0.51752289021307796</v>
      </c>
    </row>
    <row r="48" spans="1:5">
      <c r="A48">
        <f t="shared" si="3"/>
        <v>-14</v>
      </c>
      <c r="B48">
        <f t="shared" si="4"/>
        <v>259</v>
      </c>
      <c r="C48">
        <f t="shared" si="0"/>
        <v>27.973805492136741</v>
      </c>
      <c r="D48">
        <f t="shared" si="1"/>
        <v>1.5410769920254319</v>
      </c>
      <c r="E48">
        <f t="shared" si="2"/>
        <v>0.51369233067514397</v>
      </c>
    </row>
    <row r="49" spans="1:5">
      <c r="A49">
        <f t="shared" si="3"/>
        <v>-13</v>
      </c>
      <c r="B49">
        <f t="shared" si="4"/>
        <v>260</v>
      </c>
      <c r="C49">
        <f t="shared" si="0"/>
        <v>26.54517508372161</v>
      </c>
      <c r="D49">
        <f t="shared" si="1"/>
        <v>1.5292381951027196</v>
      </c>
      <c r="E49">
        <f t="shared" si="2"/>
        <v>0.50974606503423991</v>
      </c>
    </row>
    <row r="50" spans="1:5">
      <c r="A50">
        <f t="shared" si="3"/>
        <v>-12</v>
      </c>
      <c r="B50">
        <f t="shared" si="4"/>
        <v>261</v>
      </c>
      <c r="C50">
        <f t="shared" si="0"/>
        <v>25.199625653388686</v>
      </c>
      <c r="D50">
        <f t="shared" si="1"/>
        <v>1.5170533137079198</v>
      </c>
      <c r="E50">
        <f t="shared" si="2"/>
        <v>0.50568443790263995</v>
      </c>
    </row>
    <row r="51" spans="1:5">
      <c r="A51">
        <f t="shared" si="3"/>
        <v>-11</v>
      </c>
      <c r="B51">
        <f t="shared" si="4"/>
        <v>262</v>
      </c>
      <c r="C51">
        <f t="shared" si="0"/>
        <v>23.9317820293825</v>
      </c>
      <c r="D51">
        <f t="shared" si="1"/>
        <v>1.5045241546153789</v>
      </c>
      <c r="E51">
        <f t="shared" si="2"/>
        <v>0.50150805153845968</v>
      </c>
    </row>
    <row r="52" spans="1:5">
      <c r="A52">
        <f t="shared" si="3"/>
        <v>-10</v>
      </c>
      <c r="B52">
        <f t="shared" si="4"/>
        <v>263</v>
      </c>
      <c r="C52">
        <f t="shared" si="0"/>
        <v>22.736649927121242</v>
      </c>
      <c r="D52">
        <f t="shared" si="1"/>
        <v>1.4916533169147137</v>
      </c>
      <c r="E52">
        <f t="shared" si="2"/>
        <v>0.49721777230490455</v>
      </c>
    </row>
    <row r="53" spans="1:5">
      <c r="A53">
        <f t="shared" si="3"/>
        <v>-9</v>
      </c>
      <c r="B53">
        <f t="shared" si="4"/>
        <v>264</v>
      </c>
      <c r="C53">
        <f t="shared" si="0"/>
        <v>21.609586723868237</v>
      </c>
      <c r="D53">
        <f t="shared" si="1"/>
        <v>1.478444207855039</v>
      </c>
      <c r="E53">
        <f t="shared" si="2"/>
        <v>0.49281473595167968</v>
      </c>
    </row>
    <row r="54" spans="1:5">
      <c r="A54">
        <f t="shared" si="3"/>
        <v>-8</v>
      </c>
      <c r="B54">
        <f t="shared" si="4"/>
        <v>265</v>
      </c>
      <c r="C54">
        <f t="shared" si="0"/>
        <v>20.546274640432383</v>
      </c>
      <c r="D54">
        <f t="shared" si="1"/>
        <v>1.4649010548886625</v>
      </c>
      <c r="E54">
        <f t="shared" si="2"/>
        <v>0.48830035162955415</v>
      </c>
    </row>
    <row r="55" spans="1:5">
      <c r="A55">
        <f t="shared" si="3"/>
        <v>-7</v>
      </c>
      <c r="B55">
        <f t="shared" si="4"/>
        <v>266</v>
      </c>
      <c r="C55">
        <f t="shared" si="0"/>
        <v>19.542696118577492</v>
      </c>
      <c r="D55">
        <f t="shared" si="1"/>
        <v>1.4510289136728074</v>
      </c>
      <c r="E55">
        <f t="shared" si="2"/>
        <v>0.48367630455760247</v>
      </c>
    </row>
    <row r="56" spans="1:5">
      <c r="A56">
        <f t="shared" si="3"/>
        <v>-6</v>
      </c>
      <c r="B56">
        <f t="shared" si="4"/>
        <v>267</v>
      </c>
      <c r="C56">
        <f t="shared" si="0"/>
        <v>18.595111202484322</v>
      </c>
      <c r="D56">
        <f t="shared" si="1"/>
        <v>1.4368336718178973</v>
      </c>
      <c r="E56">
        <f t="shared" si="2"/>
        <v>0.47894455727263247</v>
      </c>
    </row>
    <row r="57" spans="1:5">
      <c r="A57">
        <f t="shared" si="3"/>
        <v>-5</v>
      </c>
      <c r="B57">
        <f t="shared" si="4"/>
        <v>268</v>
      </c>
      <c r="C57">
        <f t="shared" si="0"/>
        <v>17.700036750342623</v>
      </c>
      <c r="D57">
        <f t="shared" si="1"/>
        <v>1.4223220482050951</v>
      </c>
      <c r="E57">
        <f t="shared" si="2"/>
        <v>0.47410734940169835</v>
      </c>
    </row>
    <row r="58" spans="1:5">
      <c r="A58">
        <f t="shared" si="3"/>
        <v>-4</v>
      </c>
      <c r="B58">
        <f t="shared" si="4"/>
        <v>269</v>
      </c>
      <c r="C58">
        <f t="shared" si="0"/>
        <v>16.854227318153757</v>
      </c>
      <c r="D58">
        <f t="shared" si="1"/>
        <v>1.4075015877338048</v>
      </c>
      <c r="E58">
        <f t="shared" si="2"/>
        <v>0.46916719591126826</v>
      </c>
    </row>
    <row r="59" spans="1:5">
      <c r="A59">
        <f t="shared" si="3"/>
        <v>-3</v>
      </c>
      <c r="B59">
        <f t="shared" si="4"/>
        <v>270</v>
      </c>
      <c r="C59">
        <f t="shared" si="0"/>
        <v>16.054657572272241</v>
      </c>
      <c r="D59">
        <f t="shared" si="1"/>
        <v>1.3923806514012369</v>
      </c>
      <c r="E59">
        <f t="shared" si="2"/>
        <v>0.46412688380041228</v>
      </c>
    </row>
    <row r="60" spans="1:5">
      <c r="A60">
        <f t="shared" si="3"/>
        <v>-2</v>
      </c>
      <c r="B60">
        <f t="shared" si="4"/>
        <v>271</v>
      </c>
      <c r="C60">
        <f t="shared" si="0"/>
        <v>15.298506100269417</v>
      </c>
      <c r="D60">
        <f t="shared" si="1"/>
        <v>1.3769684016604609</v>
      </c>
      <c r="E60">
        <f t="shared" si="2"/>
        <v>0.4589894672201536</v>
      </c>
    </row>
    <row r="61" spans="1:5">
      <c r="A61">
        <f t="shared" si="3"/>
        <v>-1</v>
      </c>
      <c r="B61">
        <f t="shared" si="4"/>
        <v>272</v>
      </c>
      <c r="C61">
        <f t="shared" si="0"/>
        <v>14.583140501502582</v>
      </c>
      <c r="D61">
        <f t="shared" si="1"/>
        <v>1.3612747830499508</v>
      </c>
      <c r="E61">
        <f t="shared" si="2"/>
        <v>0.45375826101665023</v>
      </c>
    </row>
    <row r="62" spans="1:5">
      <c r="A62">
        <f t="shared" si="3"/>
        <v>0</v>
      </c>
      <c r="B62">
        <f t="shared" si="4"/>
        <v>273</v>
      </c>
      <c r="C62">
        <f t="shared" si="0"/>
        <v>13.906103649445624</v>
      </c>
      <c r="D62">
        <f t="shared" si="1"/>
        <v>1.3453104981358055</v>
      </c>
      <c r="E62">
        <f t="shared" si="2"/>
        <v>0.44843683271193518</v>
      </c>
    </row>
    <row r="63" spans="1:5">
      <c r="A63">
        <f t="shared" si="3"/>
        <v>1</v>
      </c>
      <c r="B63">
        <f t="shared" si="4"/>
        <v>274</v>
      </c>
      <c r="C63">
        <f t="shared" si="0"/>
        <v>13.265101027497673</v>
      </c>
      <c r="D63">
        <f t="shared" si="1"/>
        <v>1.3290869788568966</v>
      </c>
      <c r="E63">
        <f t="shared" si="2"/>
        <v>0.44302899295229886</v>
      </c>
    </row>
    <row r="64" spans="1:5">
      <c r="A64">
        <f t="shared" si="3"/>
        <v>2</v>
      </c>
      <c r="B64">
        <f t="shared" si="4"/>
        <v>275</v>
      </c>
      <c r="C64">
        <f t="shared" si="0"/>
        <v>12.657989048732478</v>
      </c>
      <c r="D64">
        <f t="shared" si="1"/>
        <v>1.3126163534123345</v>
      </c>
      <c r="E64">
        <f t="shared" si="2"/>
        <v>0.43753878447077815</v>
      </c>
    </row>
    <row r="65" spans="1:5">
      <c r="A65">
        <f t="shared" si="3"/>
        <v>3</v>
      </c>
      <c r="B65">
        <f t="shared" si="4"/>
        <v>276</v>
      </c>
      <c r="C65">
        <f t="shared" si="0"/>
        <v>12.082764277976329</v>
      </c>
      <c r="D65">
        <f t="shared" si="1"/>
        <v>1.2959114088790555</v>
      </c>
      <c r="E65">
        <f t="shared" si="2"/>
        <v>0.43197046962635183</v>
      </c>
    </row>
    <row r="66" spans="1:5">
      <c r="A66">
        <f t="shared" si="3"/>
        <v>4</v>
      </c>
      <c r="B66">
        <f t="shared" si="4"/>
        <v>277</v>
      </c>
      <c r="C66">
        <f t="shared" si="0"/>
        <v>11.537553481786853</v>
      </c>
      <c r="D66">
        <f t="shared" si="1"/>
        <v>1.2789855497942277</v>
      </c>
      <c r="E66">
        <f t="shared" si="2"/>
        <v>0.42632851659807591</v>
      </c>
    </row>
    <row r="67" spans="1:5">
      <c r="A67">
        <f t="shared" si="3"/>
        <v>5</v>
      </c>
      <c r="B67">
        <f t="shared" si="4"/>
        <v>278</v>
      </c>
      <c r="C67">
        <f t="shared" si="0"/>
        <v>11.020604438420891</v>
      </c>
      <c r="D67">
        <f t="shared" si="1"/>
        <v>1.2618527529816919</v>
      </c>
      <c r="E67">
        <f t="shared" si="2"/>
        <v>0.42061758432723062</v>
      </c>
    </row>
    <row r="68" spans="1:5">
      <c r="A68">
        <f t="shared" si="3"/>
        <v>6</v>
      </c>
      <c r="B68">
        <f t="shared" si="4"/>
        <v>279</v>
      </c>
      <c r="C68">
        <f t="shared" si="0"/>
        <v>10.530277445793738</v>
      </c>
      <c r="D68">
        <f t="shared" si="1"/>
        <v>1.2445275189430993</v>
      </c>
      <c r="E68">
        <f t="shared" si="2"/>
        <v>0.41484250631436642</v>
      </c>
    </row>
    <row r="69" spans="1:5">
      <c r="A69">
        <f t="shared" si="3"/>
        <v>7</v>
      </c>
      <c r="B69">
        <f t="shared" si="4"/>
        <v>280</v>
      </c>
      <c r="C69">
        <f t="shared" si="0"/>
        <v>10.065037470801569</v>
      </c>
      <c r="D69">
        <f t="shared" si="1"/>
        <v>1.2270248201719789</v>
      </c>
      <c r="E69">
        <f t="shared" si="2"/>
        <v>0.40900827339065965</v>
      </c>
    </row>
    <row r="70" spans="1:5">
      <c r="A70">
        <f t="shared" si="3"/>
        <v>8</v>
      </c>
      <c r="B70">
        <f t="shared" si="4"/>
        <v>281</v>
      </c>
      <c r="C70">
        <f t="shared" si="0"/>
        <v>9.6234468882572379</v>
      </c>
      <c r="D70">
        <f t="shared" si="1"/>
        <v>1.2093600467820533</v>
      </c>
      <c r="E70">
        <f t="shared" si="2"/>
        <v>0.40312001559401778</v>
      </c>
    </row>
    <row r="71" spans="1:5">
      <c r="A71">
        <f t="shared" si="3"/>
        <v>9</v>
      </c>
      <c r="B71">
        <f t="shared" si="4"/>
        <v>282</v>
      </c>
      <c r="C71">
        <f t="shared" si="0"/>
        <v>9.2041587621240897</v>
      </c>
      <c r="D71">
        <f t="shared" si="1"/>
        <v>1.1915489498691831</v>
      </c>
      <c r="E71">
        <f t="shared" si="2"/>
        <v>0.39718298328972773</v>
      </c>
    </row>
    <row r="72" spans="1:5">
      <c r="A72">
        <f t="shared" si="3"/>
        <v>10</v>
      </c>
      <c r="B72">
        <f t="shared" si="4"/>
        <v>283</v>
      </c>
      <c r="C72">
        <f t="shared" si="0"/>
        <v>8.8059106257651312</v>
      </c>
      <c r="D72">
        <f t="shared" si="1"/>
        <v>1.1736075830487935</v>
      </c>
      <c r="E72">
        <f t="shared" si="2"/>
        <v>0.39120252768293118</v>
      </c>
    </row>
    <row r="73" spans="1:5">
      <c r="A73">
        <f t="shared" si="3"/>
        <v>11</v>
      </c>
      <c r="B73">
        <f t="shared" si="4"/>
        <v>284</v>
      </c>
      <c r="C73">
        <f t="shared" si="0"/>
        <v>8.4275187215944793</v>
      </c>
      <c r="D73">
        <f t="shared" si="1"/>
        <v>1.1555522426272768</v>
      </c>
      <c r="E73">
        <f t="shared" si="2"/>
        <v>0.38518408087575895</v>
      </c>
    </row>
    <row r="74" spans="1:5">
      <c r="A74">
        <f t="shared" si="3"/>
        <v>12</v>
      </c>
      <c r="B74">
        <f t="shared" si="4"/>
        <v>285</v>
      </c>
      <c r="C74">
        <f t="shared" si="0"/>
        <v>8.0678726638587595</v>
      </c>
      <c r="D74">
        <f t="shared" si="1"/>
        <v>1.137399406876354</v>
      </c>
      <c r="E74">
        <f t="shared" si="2"/>
        <v>0.37913313562545131</v>
      </c>
    </row>
    <row r="75" spans="1:5">
      <c r="A75">
        <f t="shared" si="3"/>
        <v>13</v>
      </c>
      <c r="B75">
        <f t="shared" si="4"/>
        <v>286</v>
      </c>
      <c r="C75">
        <f t="shared" si="0"/>
        <v>7.7259304913190254</v>
      </c>
      <c r="D75">
        <f t="shared" si="1"/>
        <v>1.1191656748836389</v>
      </c>
      <c r="E75">
        <f t="shared" si="2"/>
        <v>0.37305522496121296</v>
      </c>
    </row>
    <row r="76" spans="1:5">
      <c r="A76">
        <f t="shared" si="3"/>
        <v>14</v>
      </c>
      <c r="B76">
        <f t="shared" si="4"/>
        <v>287</v>
      </c>
      <c r="C76">
        <f t="shared" si="0"/>
        <v>7.4007140793767858</v>
      </c>
      <c r="D76">
        <f t="shared" si="1"/>
        <v>1.1008677054506761</v>
      </c>
      <c r="E76">
        <f t="shared" si="2"/>
        <v>0.36695590181689203</v>
      </c>
    </row>
    <row r="77" spans="1:5">
      <c r="A77">
        <f t="shared" si="3"/>
        <v>15</v>
      </c>
      <c r="B77">
        <f t="shared" si="4"/>
        <v>288</v>
      </c>
      <c r="C77">
        <f t="shared" si="0"/>
        <v>7.0913048837161261</v>
      </c>
      <c r="D77">
        <f t="shared" si="1"/>
        <v>1.0825221565016676</v>
      </c>
      <c r="E77">
        <f t="shared" si="2"/>
        <v>0.36084071883388918</v>
      </c>
    </row>
    <row r="78" spans="1:5">
      <c r="A78">
        <f t="shared" si="3"/>
        <v>16</v>
      </c>
      <c r="B78">
        <f t="shared" si="4"/>
        <v>289</v>
      </c>
      <c r="C78">
        <f t="shared" si="0"/>
        <v>6.796839989840409</v>
      </c>
      <c r="D78">
        <f t="shared" si="1"/>
        <v>1.0641456254522128</v>
      </c>
      <c r="E78">
        <f t="shared" si="2"/>
        <v>0.35471520848407095</v>
      </c>
    </row>
    <row r="79" spans="1:5">
      <c r="A79">
        <f t="shared" si="3"/>
        <v>17</v>
      </c>
      <c r="B79">
        <f t="shared" si="4"/>
        <v>290</v>
      </c>
      <c r="C79">
        <f t="shared" si="0"/>
        <v>6.516508444986794</v>
      </c>
      <c r="D79">
        <f t="shared" si="1"/>
        <v>1.0457545909679953</v>
      </c>
      <c r="E79">
        <f t="shared" si="2"/>
        <v>0.34858486365599844</v>
      </c>
    </row>
    <row r="80" spans="1:5">
      <c r="A80">
        <f t="shared" si="3"/>
        <v>18</v>
      </c>
      <c r="B80">
        <f t="shared" si="4"/>
        <v>291</v>
      </c>
      <c r="C80">
        <f t="shared" si="0"/>
        <v>6.2495478508243236</v>
      </c>
      <c r="D80">
        <f t="shared" si="1"/>
        <v>1.0273653565189818</v>
      </c>
      <c r="E80">
        <f t="shared" si="2"/>
        <v>0.34245511883966057</v>
      </c>
    </row>
    <row r="81" spans="1:5">
      <c r="A81">
        <f t="shared" si="3"/>
        <v>19</v>
      </c>
      <c r="B81">
        <f t="shared" si="4"/>
        <v>292</v>
      </c>
      <c r="C81">
        <f t="shared" si="0"/>
        <v>5.9952411970967159</v>
      </c>
      <c r="D81">
        <f t="shared" si="1"/>
        <v>1.0089939961058088</v>
      </c>
      <c r="E81">
        <f t="shared" si="2"/>
        <v>0.3363313320352696</v>
      </c>
    </row>
    <row r="82" spans="1:5">
      <c r="A82">
        <f t="shared" si="3"/>
        <v>20</v>
      </c>
      <c r="B82">
        <f t="shared" si="4"/>
        <v>293</v>
      </c>
      <c r="C82">
        <f t="shared" si="0"/>
        <v>5.7529139179763833</v>
      </c>
      <c r="D82">
        <f t="shared" si="1"/>
        <v>0.99065630250231695</v>
      </c>
      <c r="E82">
        <f t="shared" si="2"/>
        <v>0.33021876750077234</v>
      </c>
    </row>
    <row r="83" spans="1:5">
      <c r="A83">
        <f t="shared" si="3"/>
        <v>21</v>
      </c>
      <c r="B83">
        <f t="shared" si="4"/>
        <v>294</v>
      </c>
      <c r="C83">
        <f t="shared" si="0"/>
        <v>5.5219311543633305</v>
      </c>
      <c r="D83">
        <f t="shared" si="1"/>
        <v>0.97236773832224765</v>
      </c>
      <c r="E83">
        <f t="shared" si="2"/>
        <v>0.32412257944074924</v>
      </c>
    </row>
    <row r="84" spans="1:5">
      <c r="A84">
        <f t="shared" si="3"/>
        <v>22</v>
      </c>
      <c r="B84">
        <f t="shared" si="4"/>
        <v>295</v>
      </c>
      <c r="C84">
        <f t="shared" si="0"/>
        <v>5.3016952067054497</v>
      </c>
      <c r="D84">
        <f t="shared" si="1"/>
        <v>0.95414339017968175</v>
      </c>
      <c r="E84">
        <f t="shared" si="2"/>
        <v>0.31804779672656058</v>
      </c>
    </row>
    <row r="85" spans="1:5">
      <c r="A85">
        <f t="shared" si="3"/>
        <v>23</v>
      </c>
      <c r="B85">
        <f t="shared" si="4"/>
        <v>296</v>
      </c>
      <c r="C85">
        <f t="shared" si="0"/>
        <v>5.0916431641452293</v>
      </c>
      <c r="D85">
        <f t="shared" si="1"/>
        <v>0.93599792617253486</v>
      </c>
      <c r="E85">
        <f t="shared" si="2"/>
        <v>0.3119993087241783</v>
      </c>
    </row>
    <row r="86" spans="1:5">
      <c r="A86">
        <f t="shared" si="3"/>
        <v>24</v>
      </c>
      <c r="B86">
        <f t="shared" si="4"/>
        <v>297</v>
      </c>
      <c r="C86">
        <f t="shared" si="0"/>
        <v>4.8912446969232981</v>
      </c>
      <c r="D86">
        <f t="shared" si="1"/>
        <v>0.91794555687711543</v>
      </c>
      <c r="E86">
        <f t="shared" si="2"/>
        <v>0.30598185229237179</v>
      </c>
    </row>
    <row r="87" spans="1:5">
      <c r="A87">
        <f t="shared" si="3"/>
        <v>25</v>
      </c>
      <c r="B87">
        <f t="shared" si="4"/>
        <v>298</v>
      </c>
      <c r="C87">
        <f t="shared" ref="C87:C150" si="5">$B$18*EXP($D$18*((1/B87)-(1/$C$18)))</f>
        <v>4.7</v>
      </c>
      <c r="D87">
        <f t="shared" ref="D87:D150" si="6">1.8*C87/(C87+4.7)</f>
        <v>0.9</v>
      </c>
      <c r="E87">
        <f t="shared" ref="E87:E150" si="7">D87/3</f>
        <v>0.3</v>
      </c>
    </row>
    <row r="88" spans="1:5">
      <c r="A88">
        <f t="shared" ref="A88:A108" si="8">1+A87</f>
        <v>26</v>
      </c>
      <c r="B88">
        <f t="shared" ref="B88:B151" si="9">B87+1</f>
        <v>299</v>
      </c>
      <c r="C88">
        <f t="shared" si="5"/>
        <v>4.5174378768006713</v>
      </c>
      <c r="D88">
        <f t="shared" si="6"/>
        <v>0.8821744487920079</v>
      </c>
      <c r="E88">
        <f t="shared" si="7"/>
        <v>0.29405814959733595</v>
      </c>
    </row>
    <row r="89" spans="1:5">
      <c r="A89">
        <f t="shared" si="8"/>
        <v>27</v>
      </c>
      <c r="B89">
        <f t="shared" si="9"/>
        <v>300</v>
      </c>
      <c r="C89">
        <f t="shared" si="5"/>
        <v>4.3431139528569718</v>
      </c>
      <c r="D89">
        <f t="shared" si="6"/>
        <v>0.86448154428848589</v>
      </c>
      <c r="E89">
        <f t="shared" si="7"/>
        <v>0.28816051476282861</v>
      </c>
    </row>
    <row r="90" spans="1:5">
      <c r="A90">
        <f t="shared" si="8"/>
        <v>28</v>
      </c>
      <c r="B90">
        <f t="shared" si="9"/>
        <v>301</v>
      </c>
      <c r="C90">
        <f t="shared" si="5"/>
        <v>4.1766090099108286</v>
      </c>
      <c r="D90">
        <f t="shared" si="6"/>
        <v>0.8469333514009324</v>
      </c>
      <c r="E90">
        <f t="shared" si="7"/>
        <v>0.28231111713364415</v>
      </c>
    </row>
    <row r="91" spans="1:5">
      <c r="A91">
        <f t="shared" si="8"/>
        <v>29</v>
      </c>
      <c r="B91">
        <f t="shared" si="9"/>
        <v>302</v>
      </c>
      <c r="C91">
        <f t="shared" si="5"/>
        <v>4.0175274317771743</v>
      </c>
      <c r="D91">
        <f t="shared" si="6"/>
        <v>0.82954133884780612</v>
      </c>
      <c r="E91">
        <f t="shared" si="7"/>
        <v>0.27651377961593537</v>
      </c>
    </row>
    <row r="92" spans="1:5">
      <c r="A92">
        <f t="shared" si="8"/>
        <v>30</v>
      </c>
      <c r="B92">
        <f t="shared" si="9"/>
        <v>303</v>
      </c>
      <c r="C92">
        <f t="shared" si="5"/>
        <v>3.8654957539309218</v>
      </c>
      <c r="D92">
        <f t="shared" si="6"/>
        <v>0.81231636287747933</v>
      </c>
      <c r="E92">
        <f t="shared" si="7"/>
        <v>0.27077212095915976</v>
      </c>
    </row>
    <row r="93" spans="1:5">
      <c r="A93">
        <f t="shared" si="8"/>
        <v>31</v>
      </c>
      <c r="B93">
        <f t="shared" si="9"/>
        <v>304</v>
      </c>
      <c r="C93">
        <f t="shared" si="5"/>
        <v>3.7201613093988795</v>
      </c>
      <c r="D93">
        <f t="shared" si="6"/>
        <v>0.79526865470419772</v>
      </c>
      <c r="E93">
        <f t="shared" si="7"/>
        <v>0.26508955156806591</v>
      </c>
    </row>
    <row r="94" spans="1:5">
      <c r="A94">
        <f t="shared" si="8"/>
        <v>32</v>
      </c>
      <c r="B94">
        <f t="shared" si="9"/>
        <v>305</v>
      </c>
      <c r="C94">
        <f t="shared" si="5"/>
        <v>3.5811909641023596</v>
      </c>
      <c r="D94">
        <f t="shared" si="6"/>
        <v>0.7784078115487556</v>
      </c>
      <c r="E94">
        <f t="shared" si="7"/>
        <v>0.25946927051625185</v>
      </c>
    </row>
    <row r="95" spans="1:5">
      <c r="A95">
        <f t="shared" si="8"/>
        <v>33</v>
      </c>
      <c r="B95">
        <f t="shared" si="9"/>
        <v>306</v>
      </c>
      <c r="C95">
        <f t="shared" si="5"/>
        <v>3.4482699353157122</v>
      </c>
      <c r="D95">
        <f t="shared" si="6"/>
        <v>0.76174279114966392</v>
      </c>
      <c r="E95">
        <f t="shared" si="7"/>
        <v>0.25391426371655462</v>
      </c>
    </row>
    <row r="96" spans="1:5">
      <c r="A96">
        <f t="shared" si="8"/>
        <v>34</v>
      </c>
      <c r="B96">
        <f t="shared" si="9"/>
        <v>307</v>
      </c>
      <c r="C96">
        <f t="shared" si="5"/>
        <v>3.3211006873840363</v>
      </c>
      <c r="D96">
        <f t="shared" si="6"/>
        <v>0.74528190958800888</v>
      </c>
      <c r="E96">
        <f t="shared" si="7"/>
        <v>0.24842730319600295</v>
      </c>
    </row>
    <row r="97" spans="1:5">
      <c r="A97">
        <f t="shared" si="8"/>
        <v>35</v>
      </c>
      <c r="B97">
        <f t="shared" si="9"/>
        <v>308</v>
      </c>
      <c r="C97">
        <f t="shared" si="5"/>
        <v>3.1994018992827788</v>
      </c>
      <c r="D97">
        <f t="shared" si="6"/>
        <v>0.72903284224997844</v>
      </c>
      <c r="E97">
        <f t="shared" si="7"/>
        <v>0.24301094741665949</v>
      </c>
    </row>
    <row r="98" spans="1:5">
      <c r="A98">
        <f t="shared" si="8"/>
        <v>36</v>
      </c>
      <c r="B98">
        <f t="shared" si="9"/>
        <v>309</v>
      </c>
      <c r="C98">
        <f t="shared" si="5"/>
        <v>3.082907499006712</v>
      </c>
      <c r="D98">
        <f t="shared" si="6"/>
        <v>0.71300262773523881</v>
      </c>
      <c r="E98">
        <f t="shared" si="7"/>
        <v>0.23766754257841294</v>
      </c>
    </row>
    <row r="99" spans="1:5">
      <c r="A99">
        <f t="shared" si="8"/>
        <v>37</v>
      </c>
      <c r="B99">
        <f t="shared" si="9"/>
        <v>310</v>
      </c>
      <c r="C99">
        <f t="shared" si="5"/>
        <v>2.971365760148402</v>
      </c>
      <c r="D99">
        <f t="shared" si="6"/>
        <v>0.69719767450687387</v>
      </c>
      <c r="E99">
        <f t="shared" si="7"/>
        <v>0.23239922483562461</v>
      </c>
    </row>
    <row r="100" spans="1:5">
      <c r="A100">
        <f t="shared" si="8"/>
        <v>38</v>
      </c>
      <c r="B100">
        <f t="shared" si="9"/>
        <v>311</v>
      </c>
      <c r="C100">
        <f t="shared" si="5"/>
        <v>2.8645384563695506</v>
      </c>
      <c r="D100">
        <f t="shared" si="6"/>
        <v>0.6816237700693496</v>
      </c>
      <c r="E100">
        <f t="shared" si="7"/>
        <v>0.22720792335644988</v>
      </c>
    </row>
    <row r="101" spans="1:5">
      <c r="A101">
        <f t="shared" si="8"/>
        <v>39</v>
      </c>
      <c r="B101">
        <f t="shared" si="9"/>
        <v>312</v>
      </c>
      <c r="C101">
        <f t="shared" si="5"/>
        <v>2.7622000697849622</v>
      </c>
      <c r="D101">
        <f t="shared" si="6"/>
        <v>0.66628609245479642</v>
      </c>
      <c r="E101">
        <f t="shared" si="7"/>
        <v>0.22209536415159881</v>
      </c>
    </row>
    <row r="102" spans="1:5">
      <c r="A102">
        <f t="shared" si="8"/>
        <v>40</v>
      </c>
      <c r="B102">
        <f t="shared" si="9"/>
        <v>313</v>
      </c>
      <c r="C102">
        <f t="shared" si="5"/>
        <v>2.664137049570571</v>
      </c>
      <c r="D102">
        <f t="shared" si="6"/>
        <v>0.65118922379461519</v>
      </c>
      <c r="E102">
        <f t="shared" si="7"/>
        <v>0.21706307459820506</v>
      </c>
    </row>
    <row r="103" spans="1:5">
      <c r="A103">
        <f t="shared" si="8"/>
        <v>41</v>
      </c>
      <c r="B103">
        <f t="shared" si="9"/>
        <v>314</v>
      </c>
      <c r="C103">
        <f t="shared" si="5"/>
        <v>2.5701471173759591</v>
      </c>
      <c r="D103">
        <f t="shared" si="6"/>
        <v>0.63633716575277521</v>
      </c>
      <c r="E103">
        <f t="shared" si="7"/>
        <v>0.2121123885842584</v>
      </c>
    </row>
    <row r="104" spans="1:5">
      <c r="A104">
        <f t="shared" si="8"/>
        <v>42</v>
      </c>
      <c r="B104">
        <f t="shared" si="9"/>
        <v>315</v>
      </c>
      <c r="C104">
        <f t="shared" si="5"/>
        <v>2.480038616370011</v>
      </c>
      <c r="D104">
        <f t="shared" si="6"/>
        <v>0.62173335659897955</v>
      </c>
      <c r="E104">
        <f t="shared" si="7"/>
        <v>0.20724445219965984</v>
      </c>
    </row>
    <row r="105" spans="1:5">
      <c r="A105">
        <f t="shared" si="8"/>
        <v>43</v>
      </c>
      <c r="B105">
        <f t="shared" si="9"/>
        <v>316</v>
      </c>
      <c r="C105">
        <f t="shared" si="5"/>
        <v>2.3936299009775022</v>
      </c>
      <c r="D105">
        <f t="shared" si="6"/>
        <v>0.60738068970384085</v>
      </c>
      <c r="E105">
        <f t="shared" si="7"/>
        <v>0.20246022990128029</v>
      </c>
    </row>
    <row r="106" spans="1:5">
      <c r="A106">
        <f t="shared" si="8"/>
        <v>44</v>
      </c>
      <c r="B106">
        <f t="shared" si="9"/>
        <v>317</v>
      </c>
      <c r="C106">
        <f t="shared" si="5"/>
        <v>2.3107487645758815</v>
      </c>
      <c r="D106">
        <f t="shared" si="6"/>
        <v>0.5932815332440754</v>
      </c>
      <c r="E106">
        <f t="shared" si="7"/>
        <v>0.19776051108135848</v>
      </c>
    </row>
    <row r="107" spans="1:5">
      <c r="A107">
        <f t="shared" si="8"/>
        <v>45</v>
      </c>
      <c r="B107">
        <f t="shared" si="9"/>
        <v>318</v>
      </c>
      <c r="C107">
        <f t="shared" si="5"/>
        <v>2.2312319026170453</v>
      </c>
      <c r="D107">
        <f t="shared" si="6"/>
        <v>0.57943775091326366</v>
      </c>
      <c r="E107">
        <f t="shared" si="7"/>
        <v>0.19314591697108788</v>
      </c>
    </row>
    <row r="108" spans="1:5">
      <c r="A108">
        <f t="shared" si="8"/>
        <v>46</v>
      </c>
      <c r="B108">
        <f t="shared" si="9"/>
        <v>319</v>
      </c>
      <c r="C108">
        <f t="shared" si="5"/>
        <v>2.1549244088194062</v>
      </c>
      <c r="D108">
        <f t="shared" si="6"/>
        <v>0.56585072344261944</v>
      </c>
      <c r="E108">
        <f t="shared" si="7"/>
        <v>0.18861690781420648</v>
      </c>
    </row>
    <row r="109" spans="1:5">
      <c r="A109">
        <f t="shared" ref="A109:A172" si="10">1+A108</f>
        <v>47</v>
      </c>
      <c r="B109">
        <f t="shared" si="9"/>
        <v>320</v>
      </c>
      <c r="C109">
        <f t="shared" si="5"/>
        <v>2.0816793022425859</v>
      </c>
      <c r="D109">
        <f t="shared" si="6"/>
        <v>0.55252137074626606</v>
      </c>
      <c r="E109">
        <f t="shared" si="7"/>
        <v>0.18417379024875535</v>
      </c>
    </row>
    <row r="110" spans="1:5">
      <c r="A110">
        <f t="shared" si="10"/>
        <v>48</v>
      </c>
      <c r="B110">
        <f t="shared" si="9"/>
        <v>321</v>
      </c>
      <c r="C110">
        <f t="shared" si="5"/>
        <v>2.0113570832113221</v>
      </c>
      <c r="D110">
        <f t="shared" si="6"/>
        <v>0.53945017451642308</v>
      </c>
      <c r="E110">
        <f t="shared" si="7"/>
        <v>0.1798167248388077</v>
      </c>
    </row>
    <row r="111" spans="1:5">
      <c r="A111">
        <f t="shared" si="10"/>
        <v>49</v>
      </c>
      <c r="B111">
        <f t="shared" si="9"/>
        <v>322</v>
      </c>
      <c r="C111">
        <f t="shared" si="5"/>
        <v>1.9438253161982149</v>
      </c>
      <c r="D111">
        <f t="shared" si="6"/>
        <v>0.52663720110554446</v>
      </c>
      <c r="E111">
        <f t="shared" si="7"/>
        <v>0.17554573370184814</v>
      </c>
    </row>
    <row r="112" spans="1:5">
      <c r="A112">
        <f t="shared" si="10"/>
        <v>50</v>
      </c>
      <c r="B112">
        <f t="shared" si="9"/>
        <v>323</v>
      </c>
      <c r="C112">
        <f t="shared" si="5"/>
        <v>1.8789582379068916</v>
      </c>
      <c r="D112">
        <f t="shared" si="6"/>
        <v>0.5140821245444529</v>
      </c>
      <c r="E112">
        <f t="shared" si="7"/>
        <v>0.1713607081814843</v>
      </c>
    </row>
    <row r="113" spans="1:5">
      <c r="A113">
        <f t="shared" si="10"/>
        <v>51</v>
      </c>
      <c r="B113">
        <f t="shared" si="9"/>
        <v>324</v>
      </c>
      <c r="C113">
        <f t="shared" si="5"/>
        <v>1.816636388919719</v>
      </c>
      <c r="D113">
        <f t="shared" si="6"/>
        <v>0.50178424955785539</v>
      </c>
      <c r="E113">
        <f t="shared" si="7"/>
        <v>0.16726141651928514</v>
      </c>
    </row>
    <row r="114" spans="1:5">
      <c r="A114">
        <f t="shared" si="10"/>
        <v>52</v>
      </c>
      <c r="B114">
        <f t="shared" si="9"/>
        <v>325</v>
      </c>
      <c r="C114">
        <f t="shared" si="5"/>
        <v>1.7567462673875018</v>
      </c>
      <c r="D114">
        <f t="shared" si="6"/>
        <v>0.48974253445101767</v>
      </c>
      <c r="E114">
        <f t="shared" si="7"/>
        <v>0.16324751148367256</v>
      </c>
    </row>
    <row r="115" spans="1:5">
      <c r="A115">
        <f t="shared" si="10"/>
        <v>53</v>
      </c>
      <c r="B115">
        <f t="shared" si="9"/>
        <v>326</v>
      </c>
      <c r="C115">
        <f t="shared" si="5"/>
        <v>1.6991800033434932</v>
      </c>
      <c r="D115">
        <f t="shared" si="6"/>
        <v>0.47795561375367568</v>
      </c>
      <c r="E115">
        <f t="shared" si="7"/>
        <v>0.15931853791789188</v>
      </c>
    </row>
    <row r="116" spans="1:5">
      <c r="A116">
        <f t="shared" si="10"/>
        <v>54</v>
      </c>
      <c r="B116">
        <f t="shared" si="9"/>
        <v>327</v>
      </c>
      <c r="C116">
        <f t="shared" si="5"/>
        <v>1.6438350523215512</v>
      </c>
      <c r="D116">
        <f t="shared" si="6"/>
        <v>0.4664218205194301</v>
      </c>
      <c r="E116">
        <f t="shared" si="7"/>
        <v>0.15547394017314337</v>
      </c>
    </row>
    <row r="117" spans="1:5">
      <c r="A117">
        <f t="shared" si="10"/>
        <v>55</v>
      </c>
      <c r="B117">
        <f t="shared" si="9"/>
        <v>328</v>
      </c>
      <c r="C117">
        <f t="shared" si="5"/>
        <v>1.5906139070483478</v>
      </c>
      <c r="D117">
        <f t="shared" si="6"/>
        <v>0.45513920819064202</v>
      </c>
      <c r="E117">
        <f t="shared" si="7"/>
        <v>0.15171306939688067</v>
      </c>
    </row>
    <row r="118" spans="1:5">
      <c r="A118">
        <f t="shared" si="10"/>
        <v>56</v>
      </c>
      <c r="B118">
        <f t="shared" si="9"/>
        <v>329</v>
      </c>
      <c r="C118">
        <f t="shared" si="5"/>
        <v>1.5394238260632891</v>
      </c>
      <c r="D118">
        <f t="shared" si="6"/>
        <v>0.44410557195026062</v>
      </c>
      <c r="E118">
        <f t="shared" si="7"/>
        <v>0.14803519065008688</v>
      </c>
    </row>
    <row r="119" spans="1:5">
      <c r="A119">
        <f t="shared" si="10"/>
        <v>57</v>
      </c>
      <c r="B119">
        <f t="shared" si="9"/>
        <v>330</v>
      </c>
      <c r="C119">
        <f t="shared" si="5"/>
        <v>1.4901765781974436</v>
      </c>
      <c r="D119">
        <f t="shared" si="6"/>
        <v>0.4333184694929138</v>
      </c>
      <c r="E119">
        <f t="shared" si="7"/>
        <v>0.14443948983097127</v>
      </c>
    </row>
    <row r="120" spans="1:5">
      <c r="A120">
        <f t="shared" si="10"/>
        <v>58</v>
      </c>
      <c r="B120">
        <f t="shared" si="9"/>
        <v>331</v>
      </c>
      <c r="C120">
        <f t="shared" si="5"/>
        <v>1.4427882019147944</v>
      </c>
      <c r="D120">
        <f t="shared" si="6"/>
        <v>0.42277524115793258</v>
      </c>
      <c r="E120">
        <f t="shared" si="7"/>
        <v>0.14092508038597754</v>
      </c>
    </row>
    <row r="121" spans="1:5">
      <c r="A121">
        <f t="shared" si="10"/>
        <v>59</v>
      </c>
      <c r="B121">
        <f t="shared" si="9"/>
        <v>332</v>
      </c>
      <c r="C121">
        <f t="shared" si="5"/>
        <v>1.397178778586067</v>
      </c>
      <c r="D121">
        <f t="shared" si="6"/>
        <v>0.41247302937673247</v>
      </c>
      <c r="E121">
        <f t="shared" si="7"/>
        <v>0.13749100979224416</v>
      </c>
    </row>
    <row r="122" spans="1:5">
      <c r="A122">
        <f t="shared" si="10"/>
        <v>60</v>
      </c>
      <c r="B122">
        <f t="shared" si="9"/>
        <v>333</v>
      </c>
      <c r="C122">
        <f t="shared" si="5"/>
        <v>1.3532722188274833</v>
      </c>
      <c r="D122">
        <f t="shared" si="6"/>
        <v>0.40240879739608021</v>
      </c>
      <c r="E122">
        <f t="shared" si="7"/>
        <v>0.13413626579869339</v>
      </c>
    </row>
    <row r="123" spans="1:5">
      <c r="A123">
        <f t="shared" si="10"/>
        <v>61</v>
      </c>
      <c r="B123">
        <f t="shared" si="9"/>
        <v>334</v>
      </c>
      <c r="C123">
        <f t="shared" si="5"/>
        <v>1.3109960610945337</v>
      </c>
      <c r="D123">
        <f t="shared" si="6"/>
        <v>0.39257934724722965</v>
      </c>
      <c r="E123">
        <f t="shared" si="7"/>
        <v>0.13085978241574323</v>
      </c>
    </row>
    <row r="124" spans="1:5">
      <c r="A124">
        <f t="shared" si="10"/>
        <v>62</v>
      </c>
      <c r="B124">
        <f t="shared" si="9"/>
        <v>335</v>
      </c>
      <c r="C124">
        <f t="shared" si="5"/>
        <v>1.2702812817744562</v>
      </c>
      <c r="D124">
        <f t="shared" si="6"/>
        <v>0.38298133693869069</v>
      </c>
      <c r="E124">
        <f t="shared" si="7"/>
        <v>0.12766044564623022</v>
      </c>
    </row>
    <row r="125" spans="1:5">
      <c r="A125">
        <f t="shared" si="10"/>
        <v>63</v>
      </c>
      <c r="B125">
        <f t="shared" si="9"/>
        <v>336</v>
      </c>
      <c r="C125">
        <f t="shared" si="5"/>
        <v>1.2310621160710598</v>
      </c>
      <c r="D125">
        <f t="shared" si="6"/>
        <v>0.37361129685753552</v>
      </c>
      <c r="E125">
        <f t="shared" si="7"/>
        <v>0.12453709895251185</v>
      </c>
    </row>
    <row r="126" spans="1:5">
      <c r="A126">
        <f t="shared" si="10"/>
        <v>64</v>
      </c>
      <c r="B126">
        <f t="shared" si="9"/>
        <v>337</v>
      </c>
      <c r="C126">
        <f t="shared" si="5"/>
        <v>1.193275889021798</v>
      </c>
      <c r="D126">
        <f t="shared" si="6"/>
        <v>0.36446564537058473</v>
      </c>
      <c r="E126">
        <f t="shared" si="7"/>
        <v>0.12148854845686158</v>
      </c>
    </row>
    <row r="127" spans="1:5">
      <c r="A127">
        <f t="shared" si="10"/>
        <v>65</v>
      </c>
      <c r="B127">
        <f t="shared" si="9"/>
        <v>338</v>
      </c>
      <c r="C127">
        <f t="shared" si="5"/>
        <v>1.1568628560302177</v>
      </c>
      <c r="D127">
        <f t="shared" si="6"/>
        <v>0.35554070362265766</v>
      </c>
      <c r="E127">
        <f t="shared" si="7"/>
        <v>0.11851356787421923</v>
      </c>
    </row>
    <row r="128" spans="1:5">
      <c r="A128">
        <f t="shared" si="10"/>
        <v>66</v>
      </c>
      <c r="B128">
        <f t="shared" si="9"/>
        <v>339</v>
      </c>
      <c r="C128">
        <f t="shared" si="5"/>
        <v>1.1217660523370374</v>
      </c>
      <c r="D128">
        <f t="shared" si="6"/>
        <v>0.34683270953426687</v>
      </c>
      <c r="E128">
        <f t="shared" si="7"/>
        <v>0.11561090317808896</v>
      </c>
    </row>
    <row r="129" spans="1:5">
      <c r="A129">
        <f t="shared" si="10"/>
        <v>67</v>
      </c>
      <c r="B129">
        <f t="shared" si="9"/>
        <v>340</v>
      </c>
      <c r="C129">
        <f t="shared" si="5"/>
        <v>1.0879311508904259</v>
      </c>
      <c r="D129">
        <f t="shared" si="6"/>
        <v>0.33833783100573028</v>
      </c>
      <c r="E129">
        <f t="shared" si="7"/>
        <v>0.11277927700191009</v>
      </c>
    </row>
    <row r="130" spans="1:5">
      <c r="A130">
        <f t="shared" si="10"/>
        <v>68</v>
      </c>
      <c r="B130">
        <f t="shared" si="9"/>
        <v>341</v>
      </c>
      <c r="C130">
        <f t="shared" si="5"/>
        <v>1.055306328110923</v>
      </c>
      <c r="D130">
        <f t="shared" si="6"/>
        <v>0.33005217833872541</v>
      </c>
      <c r="E130">
        <f t="shared" si="7"/>
        <v>0.11001739277957513</v>
      </c>
    </row>
    <row r="131" spans="1:5">
      <c r="A131">
        <f t="shared" si="10"/>
        <v>69</v>
      </c>
      <c r="B131">
        <f t="shared" si="9"/>
        <v>342</v>
      </c>
      <c r="C131">
        <f t="shared" si="5"/>
        <v>1.023842137078786</v>
      </c>
      <c r="D131">
        <f t="shared" si="6"/>
        <v>0.32197181588980084</v>
      </c>
      <c r="E131">
        <f t="shared" si="7"/>
        <v>0.10732393862993361</v>
      </c>
    </row>
    <row r="132" spans="1:5">
      <c r="A132">
        <f t="shared" si="10"/>
        <v>70</v>
      </c>
      <c r="B132">
        <f t="shared" si="9"/>
        <v>343</v>
      </c>
      <c r="C132">
        <f t="shared" si="5"/>
        <v>0.9934913877017959</v>
      </c>
      <c r="D132">
        <f t="shared" si="6"/>
        <v>0.31409277297336563</v>
      </c>
      <c r="E132">
        <f t="shared" si="7"/>
        <v>0.10469759099112187</v>
      </c>
    </row>
    <row r="133" spans="1:5">
      <c r="A133">
        <f t="shared" si="10"/>
        <v>71</v>
      </c>
      <c r="B133">
        <f t="shared" si="9"/>
        <v>344</v>
      </c>
      <c r="C133">
        <f t="shared" si="5"/>
        <v>0.96420903344964615</v>
      </c>
      <c r="D133">
        <f t="shared" si="6"/>
        <v>0.30641105403420349</v>
      </c>
      <c r="E133">
        <f t="shared" si="7"/>
        <v>0.10213701801140117</v>
      </c>
    </row>
    <row r="134" spans="1:5">
      <c r="A134">
        <f t="shared" si="10"/>
        <v>72</v>
      </c>
      <c r="B134">
        <f t="shared" si="9"/>
        <v>345</v>
      </c>
      <c r="C134">
        <f t="shared" si="5"/>
        <v>0.9359520642673399</v>
      </c>
      <c r="D134">
        <f t="shared" si="6"/>
        <v>0.29892264811166741</v>
      </c>
      <c r="E134">
        <f t="shared" si="7"/>
        <v>9.9640882703889141E-2</v>
      </c>
    </row>
    <row r="135" spans="1:5">
      <c r="A135">
        <f t="shared" si="10"/>
        <v>73</v>
      </c>
      <c r="B135">
        <f t="shared" si="9"/>
        <v>346</v>
      </c>
      <c r="C135">
        <f t="shared" si="5"/>
        <v>0.90867940530442415</v>
      </c>
      <c r="D135">
        <f t="shared" si="6"/>
        <v>0.29162353761940263</v>
      </c>
      <c r="E135">
        <f t="shared" si="7"/>
        <v>9.7207845873134205E-2</v>
      </c>
    </row>
    <row r="136" spans="1:5">
      <c r="A136">
        <f t="shared" si="10"/>
        <v>74</v>
      </c>
      <c r="B136">
        <f t="shared" si="9"/>
        <v>347</v>
      </c>
      <c r="C136">
        <f t="shared" si="5"/>
        <v>0.88235182111977739</v>
      </c>
      <c r="D136">
        <f t="shared" si="6"/>
        <v>0.28450970646579776</v>
      </c>
      <c r="E136">
        <f t="shared" si="7"/>
        <v>9.4836568821932588E-2</v>
      </c>
    </row>
    <row r="137" spans="1:5">
      <c r="A137">
        <f t="shared" si="10"/>
        <v>75</v>
      </c>
      <c r="B137">
        <f t="shared" si="9"/>
        <v>348</v>
      </c>
      <c r="C137">
        <f t="shared" si="5"/>
        <v>0.85693182504291709</v>
      </c>
      <c r="D137">
        <f t="shared" si="6"/>
        <v>0.27757714754136614</v>
      </c>
      <c r="E137">
        <f t="shared" si="7"/>
        <v>9.2525715847122048E-2</v>
      </c>
    </row>
    <row r="138" spans="1:5">
      <c r="A138">
        <f t="shared" si="10"/>
        <v>76</v>
      </c>
      <c r="B138">
        <f t="shared" si="9"/>
        <v>349</v>
      </c>
      <c r="C138">
        <f t="shared" si="5"/>
        <v>0.83238359339271784</v>
      </c>
      <c r="D138">
        <f t="shared" si="6"/>
        <v>0.27082186959998372</v>
      </c>
      <c r="E138">
        <f t="shared" si="7"/>
        <v>9.0273956533327912E-2</v>
      </c>
    </row>
    <row r="139" spans="1:5">
      <c r="A139">
        <f t="shared" si="10"/>
        <v>77</v>
      </c>
      <c r="B139">
        <f t="shared" si="9"/>
        <v>350</v>
      </c>
      <c r="C139">
        <f t="shared" si="5"/>
        <v>0.80867288427297612</v>
      </c>
      <c r="D139">
        <f t="shared" si="6"/>
        <v>0.26423990356135763</v>
      </c>
      <c r="E139">
        <f t="shared" si="7"/>
        <v>8.807996785378587E-2</v>
      </c>
    </row>
    <row r="140" spans="1:5">
      <c r="A140">
        <f t="shared" si="10"/>
        <v>78</v>
      </c>
      <c r="B140">
        <f t="shared" si="9"/>
        <v>351</v>
      </c>
      <c r="C140">
        <f t="shared" si="5"/>
        <v>0.78576696068159135</v>
      </c>
      <c r="D140">
        <f t="shared" si="6"/>
        <v>0.25782730826231304</v>
      </c>
      <c r="E140">
        <f t="shared" si="7"/>
        <v>8.5942436087437679E-2</v>
      </c>
    </row>
    <row r="141" spans="1:5">
      <c r="A141">
        <f t="shared" si="10"/>
        <v>79</v>
      </c>
      <c r="B141">
        <f t="shared" si="9"/>
        <v>352</v>
      </c>
      <c r="C141">
        <f t="shared" si="5"/>
        <v>0.76363451768635404</v>
      </c>
      <c r="D141">
        <f t="shared" si="6"/>
        <v>0.25158017568450108</v>
      </c>
      <c r="E141">
        <f t="shared" si="7"/>
        <v>8.3860058561500361E-2</v>
      </c>
    </row>
    <row r="142" spans="1:5">
      <c r="A142">
        <f t="shared" si="10"/>
        <v>80</v>
      </c>
      <c r="B142">
        <f t="shared" si="9"/>
        <v>353</v>
      </c>
      <c r="C142">
        <f t="shared" si="5"/>
        <v>0.74224561343545714</v>
      </c>
      <c r="D142">
        <f t="shared" si="6"/>
        <v>0.24549463568595475</v>
      </c>
      <c r="E142">
        <f t="shared" si="7"/>
        <v>8.1831545228651589E-2</v>
      </c>
    </row>
    <row r="143" spans="1:5">
      <c r="A143">
        <f t="shared" si="10"/>
        <v>81</v>
      </c>
      <c r="B143">
        <f t="shared" si="9"/>
        <v>354</v>
      </c>
      <c r="C143">
        <f t="shared" si="5"/>
        <v>0.72157160378499141</v>
      </c>
      <c r="D143">
        <f t="shared" si="6"/>
        <v>0.2395668602635859</v>
      </c>
      <c r="E143">
        <f t="shared" si="7"/>
        <v>7.985562008786197E-2</v>
      </c>
    </row>
    <row r="144" spans="1:5">
      <c r="A144">
        <f t="shared" si="10"/>
        <v>82</v>
      </c>
      <c r="B144">
        <f t="shared" si="9"/>
        <v>355</v>
      </c>
      <c r="C144">
        <f t="shared" si="5"/>
        <v>0.70158508033894484</v>
      </c>
      <c r="D144">
        <f t="shared" si="6"/>
        <v>0.23379306737326402</v>
      </c>
      <c r="E144">
        <f t="shared" si="7"/>
        <v>7.793102245775467E-2</v>
      </c>
    </row>
    <row r="145" spans="1:5">
      <c r="A145">
        <f t="shared" si="10"/>
        <v>83</v>
      </c>
      <c r="B145">
        <f t="shared" si="9"/>
        <v>356</v>
      </c>
      <c r="C145">
        <f t="shared" si="5"/>
        <v>0.68225981170956851</v>
      </c>
      <c r="D145">
        <f t="shared" si="6"/>
        <v>0.22816952433352564</v>
      </c>
      <c r="E145">
        <f t="shared" si="7"/>
        <v>7.6056508111175217E-2</v>
      </c>
    </row>
    <row r="146" spans="1:5">
      <c r="A146">
        <f t="shared" si="10"/>
        <v>84</v>
      </c>
      <c r="B146">
        <f t="shared" si="9"/>
        <v>357</v>
      </c>
      <c r="C146">
        <f t="shared" si="5"/>
        <v>0.66357068781759143</v>
      </c>
      <c r="D146">
        <f t="shared" si="6"/>
        <v>0.22269255083830555</v>
      </c>
      <c r="E146">
        <f t="shared" si="7"/>
        <v>7.4230850279435184E-2</v>
      </c>
    </row>
    <row r="147" spans="1:5">
      <c r="A147">
        <f t="shared" si="10"/>
        <v>85</v>
      </c>
      <c r="B147">
        <f t="shared" si="9"/>
        <v>358</v>
      </c>
      <c r="C147">
        <f t="shared" si="5"/>
        <v>0.64549366706255851</v>
      </c>
      <c r="D147">
        <f t="shared" si="6"/>
        <v>0.21735852160331587</v>
      </c>
      <c r="E147">
        <f t="shared" si="7"/>
        <v>7.2452840534438623E-2</v>
      </c>
    </row>
    <row r="148" spans="1:5">
      <c r="A148">
        <f t="shared" si="10"/>
        <v>86</v>
      </c>
      <c r="B148">
        <f t="shared" si="9"/>
        <v>359</v>
      </c>
      <c r="C148">
        <f t="shared" si="5"/>
        <v>0.62800572620375694</v>
      </c>
      <c r="D148">
        <f t="shared" si="6"/>
        <v>0.21216386866989878</v>
      </c>
      <c r="E148">
        <f t="shared" si="7"/>
        <v>7.0721289556632927E-2</v>
      </c>
    </row>
    <row r="149" spans="1:5">
      <c r="A149">
        <f t="shared" si="10"/>
        <v>87</v>
      </c>
      <c r="B149">
        <f t="shared" si="9"/>
        <v>360</v>
      </c>
      <c r="C149">
        <f t="shared" si="5"/>
        <v>0.61108481280166094</v>
      </c>
      <c r="D149">
        <f t="shared" si="6"/>
        <v>0.20710508338931072</v>
      </c>
      <c r="E149">
        <f t="shared" si="7"/>
        <v>6.9035027796436901E-2</v>
      </c>
    </row>
    <row r="150" spans="1:5">
      <c r="A150">
        <f t="shared" si="10"/>
        <v>88</v>
      </c>
      <c r="B150">
        <f t="shared" si="9"/>
        <v>361</v>
      </c>
      <c r="C150">
        <f t="shared" si="5"/>
        <v>0.59470980007873464</v>
      </c>
      <c r="D150">
        <f t="shared" si="6"/>
        <v>0.20217871810949939</v>
      </c>
      <c r="E150">
        <f t="shared" si="7"/>
        <v>6.7392906036499792E-2</v>
      </c>
    </row>
    <row r="151" spans="1:5">
      <c r="A151">
        <f t="shared" si="10"/>
        <v>89</v>
      </c>
      <c r="B151">
        <f t="shared" si="9"/>
        <v>362</v>
      </c>
      <c r="C151">
        <f t="shared" ref="C151:C214" si="11">$B$18*EXP($D$18*((1/B151)-(1/$C$18)))</f>
        <v>0.57886044406677872</v>
      </c>
      <c r="D151">
        <f t="shared" ref="D151:D214" si="12">1.8*C151/(C151+4.7)</f>
        <v>0.19738138758551746</v>
      </c>
      <c r="E151">
        <f t="shared" ref="E151:E214" si="13">D151/3</f>
        <v>6.5793795861839158E-2</v>
      </c>
    </row>
    <row r="152" spans="1:5">
      <c r="A152">
        <f t="shared" si="10"/>
        <v>90</v>
      </c>
      <c r="B152">
        <f t="shared" ref="B152:B215" si="14">B151+1</f>
        <v>363</v>
      </c>
      <c r="C152">
        <f t="shared" si="11"/>
        <v>0.56351734291579592</v>
      </c>
      <c r="D152">
        <f t="shared" si="12"/>
        <v>0.19270977013377336</v>
      </c>
      <c r="E152">
        <f t="shared" si="13"/>
        <v>6.4236590044591119E-2</v>
      </c>
    </row>
    <row r="153" spans="1:5">
      <c r="A153">
        <f t="shared" si="10"/>
        <v>91</v>
      </c>
      <c r="B153">
        <f t="shared" si="14"/>
        <v>364</v>
      </c>
      <c r="C153">
        <f t="shared" si="11"/>
        <v>0.54866189824669032</v>
      </c>
      <c r="D153">
        <f t="shared" si="12"/>
        <v>0.18816060854938024</v>
      </c>
      <c r="E153">
        <f t="shared" si="13"/>
        <v>6.2720202849793419E-2</v>
      </c>
    </row>
    <row r="154" spans="1:5">
      <c r="A154">
        <f t="shared" si="10"/>
        <v>92</v>
      </c>
      <c r="B154">
        <f t="shared" si="14"/>
        <v>365</v>
      </c>
      <c r="C154">
        <f t="shared" si="11"/>
        <v>0.53427627843697889</v>
      </c>
      <c r="D154">
        <f t="shared" si="12"/>
        <v>0.18373071080492087</v>
      </c>
      <c r="E154">
        <f t="shared" si="13"/>
        <v>6.1243570268306957E-2</v>
      </c>
    </row>
    <row r="155" spans="1:5">
      <c r="A155">
        <f t="shared" si="10"/>
        <v>93</v>
      </c>
      <c r="B155">
        <f t="shared" si="14"/>
        <v>366</v>
      </c>
      <c r="C155">
        <f t="shared" si="11"/>
        <v>0.52034338373512823</v>
      </c>
      <c r="D155">
        <f t="shared" si="12"/>
        <v>0.17941695054800888</v>
      </c>
      <c r="E155">
        <f t="shared" si="13"/>
        <v>5.9805650182669624E-2</v>
      </c>
    </row>
    <row r="156" spans="1:5">
      <c r="A156">
        <f t="shared" si="10"/>
        <v>94</v>
      </c>
      <c r="B156">
        <f t="shared" si="14"/>
        <v>367</v>
      </c>
      <c r="C156">
        <f t="shared" si="11"/>
        <v>0.50684681310516244</v>
      </c>
      <c r="D156">
        <f t="shared" si="12"/>
        <v>0.17521626741410076</v>
      </c>
      <c r="E156">
        <f t="shared" si="13"/>
        <v>5.8405422471366923E-2</v>
      </c>
    </row>
    <row r="157" spans="1:5">
      <c r="A157">
        <f t="shared" si="10"/>
        <v>95</v>
      </c>
      <c r="B157">
        <f t="shared" si="14"/>
        <v>368</v>
      </c>
      <c r="C157">
        <f t="shared" si="11"/>
        <v>0.49377083270888406</v>
      </c>
      <c r="D157">
        <f t="shared" si="12"/>
        <v>0.17112566717011496</v>
      </c>
      <c r="E157">
        <f t="shared" si="13"/>
        <v>5.7041889056704986E-2</v>
      </c>
    </row>
    <row r="158" spans="1:5">
      <c r="A158">
        <f t="shared" si="10"/>
        <v>96</v>
      </c>
      <c r="B158">
        <f t="shared" si="14"/>
        <v>369</v>
      </c>
      <c r="C158">
        <f t="shared" si="11"/>
        <v>0.48110034593833378</v>
      </c>
      <c r="D158">
        <f t="shared" si="12"/>
        <v>0.16714222170351839</v>
      </c>
      <c r="E158">
        <f t="shared" si="13"/>
        <v>5.5714073901172799E-2</v>
      </c>
    </row>
    <row r="159" spans="1:5">
      <c r="A159">
        <f t="shared" si="10"/>
        <v>97</v>
      </c>
      <c r="B159">
        <f t="shared" si="14"/>
        <v>370</v>
      </c>
      <c r="C159">
        <f t="shared" si="11"/>
        <v>0.46882086491614183</v>
      </c>
      <c r="D159">
        <f t="shared" si="12"/>
        <v>0.16326306887068839</v>
      </c>
      <c r="E159">
        <f t="shared" si="13"/>
        <v>5.4421022956896131E-2</v>
      </c>
    </row>
    <row r="160" spans="1:5">
      <c r="A160">
        <f t="shared" si="10"/>
        <v>98</v>
      </c>
      <c r="B160">
        <f t="shared" si="14"/>
        <v>371</v>
      </c>
      <c r="C160">
        <f t="shared" si="11"/>
        <v>0.45691848338609231</v>
      </c>
      <c r="D160">
        <f t="shared" si="12"/>
        <v>0.15948541221751752</v>
      </c>
      <c r="E160">
        <f t="shared" si="13"/>
        <v>5.3161804072505842E-2</v>
      </c>
    </row>
    <row r="161" spans="1:5">
      <c r="A161">
        <f t="shared" si="10"/>
        <v>99</v>
      </c>
      <c r="B161">
        <f t="shared" si="14"/>
        <v>372</v>
      </c>
      <c r="C161">
        <f t="shared" si="11"/>
        <v>0.44537985092064092</v>
      </c>
      <c r="D161">
        <f t="shared" si="12"/>
        <v>0.15580652058442523</v>
      </c>
      <c r="E161">
        <f t="shared" si="13"/>
        <v>5.1935506861475078E-2</v>
      </c>
    </row>
    <row r="162" spans="1:5">
      <c r="A162">
        <f t="shared" si="10"/>
        <v>100</v>
      </c>
      <c r="B162">
        <f t="shared" si="14"/>
        <v>373</v>
      </c>
      <c r="C162">
        <f t="shared" si="11"/>
        <v>0.43419214837626002</v>
      </c>
      <c r="D162">
        <f t="shared" si="12"/>
        <v>0.15222372760716402</v>
      </c>
      <c r="E162">
        <f t="shared" si="13"/>
        <v>5.0741242535721341E-2</v>
      </c>
    </row>
    <row r="163" spans="1:5">
      <c r="A163">
        <f t="shared" si="10"/>
        <v>101</v>
      </c>
      <c r="B163">
        <f t="shared" si="14"/>
        <v>374</v>
      </c>
      <c r="C163">
        <f t="shared" si="11"/>
        <v>0.42334306453137804</v>
      </c>
      <c r="D163">
        <f t="shared" si="12"/>
        <v>0.14873443112406151</v>
      </c>
      <c r="E163">
        <f t="shared" si="13"/>
        <v>4.9578143708020501E-2</v>
      </c>
    </row>
    <row r="164" spans="1:5">
      <c r="A164">
        <f t="shared" si="10"/>
        <v>102</v>
      </c>
      <c r="B164">
        <f t="shared" si="14"/>
        <v>375</v>
      </c>
      <c r="C164">
        <f t="shared" si="11"/>
        <v>0.41282077384533689</v>
      </c>
      <c r="D164">
        <f t="shared" si="12"/>
        <v>0.14533609249962817</v>
      </c>
      <c r="E164">
        <f t="shared" si="13"/>
        <v>4.8445364166542722E-2</v>
      </c>
    </row>
    <row r="165" spans="1:5">
      <c r="A165">
        <f t="shared" si="10"/>
        <v>103</v>
      </c>
      <c r="B165">
        <f t="shared" si="14"/>
        <v>376</v>
      </c>
      <c r="C165">
        <f t="shared" si="11"/>
        <v>0.40261391528022655</v>
      </c>
      <c r="D165">
        <f t="shared" si="12"/>
        <v>0.1420262358737773</v>
      </c>
      <c r="E165">
        <f t="shared" si="13"/>
        <v>4.7342078624592436E-2</v>
      </c>
    </row>
    <row r="166" spans="1:5">
      <c r="A166">
        <f t="shared" si="10"/>
        <v>104</v>
      </c>
      <c r="B166">
        <f t="shared" si="14"/>
        <v>377</v>
      </c>
      <c r="C166">
        <f t="shared" si="11"/>
        <v>0.39271157213069879</v>
      </c>
      <c r="D166">
        <f t="shared" si="12"/>
        <v>0.13880244734525807</v>
      </c>
      <c r="E166">
        <f t="shared" si="13"/>
        <v>4.6267482448419356E-2</v>
      </c>
    </row>
    <row r="167" spans="1:5">
      <c r="A167">
        <f t="shared" si="10"/>
        <v>105</v>
      </c>
      <c r="B167">
        <f t="shared" si="14"/>
        <v>378</v>
      </c>
      <c r="C167">
        <f t="shared" si="11"/>
        <v>0.3831032528098931</v>
      </c>
      <c r="D167">
        <f t="shared" si="12"/>
        <v>0.13566237409728216</v>
      </c>
      <c r="E167">
        <f t="shared" si="13"/>
        <v>4.5220791365760717E-2</v>
      </c>
    </row>
    <row r="168" spans="1:5">
      <c r="A168">
        <f t="shared" si="10"/>
        <v>106</v>
      </c>
      <c r="B168">
        <f t="shared" si="14"/>
        <v>379</v>
      </c>
      <c r="C168">
        <f t="shared" si="11"/>
        <v>0.37377887254247744</v>
      </c>
      <c r="D168">
        <f t="shared" si="12"/>
        <v>0.13260372347274121</v>
      </c>
      <c r="E168">
        <f t="shared" si="13"/>
        <v>4.4201241157580402E-2</v>
      </c>
    </row>
    <row r="169" spans="1:5">
      <c r="A169">
        <f t="shared" si="10"/>
        <v>107</v>
      </c>
      <c r="B169">
        <f t="shared" si="14"/>
        <v>380</v>
      </c>
      <c r="C169">
        <f t="shared" si="11"/>
        <v>0.36472873591849897</v>
      </c>
      <c r="D169">
        <f t="shared" si="12"/>
        <v>0.12962426200585814</v>
      </c>
      <c r="E169">
        <f t="shared" si="13"/>
        <v>4.3208087335286048E-2</v>
      </c>
    </row>
    <row r="170" spans="1:5">
      <c r="A170">
        <f t="shared" si="10"/>
        <v>108</v>
      </c>
      <c r="B170">
        <f t="shared" si="14"/>
        <v>381</v>
      </c>
      <c r="C170">
        <f t="shared" si="11"/>
        <v>0.35594352026427589</v>
      </c>
      <c r="D170">
        <f t="shared" si="12"/>
        <v>0.12672181441659125</v>
      </c>
      <c r="E170">
        <f t="shared" si="13"/>
        <v>4.2240604805530414E-2</v>
      </c>
    </row>
    <row r="171" spans="1:5">
      <c r="A171">
        <f t="shared" si="10"/>
        <v>109</v>
      </c>
      <c r="B171">
        <f t="shared" si="14"/>
        <v>382</v>
      </c>
      <c r="C171">
        <f t="shared" si="11"/>
        <v>0.34741425978894924</v>
      </c>
      <c r="D171">
        <f t="shared" si="12"/>
        <v>0.12389426257361659</v>
      </c>
      <c r="E171">
        <f t="shared" si="13"/>
        <v>4.1298087524538861E-2</v>
      </c>
    </row>
    <row r="172" spans="1:5">
      <c r="A172">
        <f t="shared" si="10"/>
        <v>110</v>
      </c>
      <c r="B172">
        <f t="shared" si="14"/>
        <v>383</v>
      </c>
      <c r="C172">
        <f t="shared" si="11"/>
        <v>0.3391323304675618</v>
      </c>
      <c r="D172">
        <f t="shared" si="12"/>
        <v>0.12113954443124754</v>
      </c>
      <c r="E172">
        <f t="shared" si="13"/>
        <v>4.0379848143749182E-2</v>
      </c>
    </row>
    <row r="173" spans="1:5">
      <c r="A173">
        <f t="shared" ref="A173:A236" si="15">1+A172</f>
        <v>111</v>
      </c>
      <c r="B173">
        <f t="shared" si="14"/>
        <v>384</v>
      </c>
      <c r="C173">
        <f t="shared" si="11"/>
        <v>0.33108943562365561</v>
      </c>
      <c r="D173">
        <f t="shared" si="12"/>
        <v>0.11845565294521634</v>
      </c>
      <c r="E173">
        <f t="shared" si="13"/>
        <v>3.948521764840545E-2</v>
      </c>
    </row>
    <row r="174" spans="1:5">
      <c r="A174">
        <f t="shared" si="15"/>
        <v>112</v>
      </c>
      <c r="B174">
        <f t="shared" si="14"/>
        <v>385</v>
      </c>
      <c r="C174">
        <f t="shared" si="11"/>
        <v>0.3232775921763637</v>
      </c>
      <c r="D174">
        <f t="shared" si="12"/>
        <v>0.1158406349718259</v>
      </c>
      <c r="E174">
        <f t="shared" si="13"/>
        <v>3.8613544990608629E-2</v>
      </c>
    </row>
    <row r="175" spans="1:5">
      <c r="A175">
        <f t="shared" si="15"/>
        <v>113</v>
      </c>
      <c r="B175">
        <f t="shared" si="14"/>
        <v>386</v>
      </c>
      <c r="C175">
        <f t="shared" si="11"/>
        <v>0.31568911751886819</v>
      </c>
      <c r="D175">
        <f t="shared" si="12"/>
        <v>0.11329259015460204</v>
      </c>
      <c r="E175">
        <f t="shared" si="13"/>
        <v>3.7764196718200679E-2</v>
      </c>
    </row>
    <row r="176" spans="1:5">
      <c r="A176">
        <f t="shared" si="15"/>
        <v>114</v>
      </c>
      <c r="B176">
        <f t="shared" si="14"/>
        <v>387</v>
      </c>
      <c r="C176">
        <f t="shared" si="11"/>
        <v>0.30831661699686097</v>
      </c>
      <c r="D176">
        <f t="shared" si="12"/>
        <v>0.11080966980221121</v>
      </c>
      <c r="E176">
        <f t="shared" si="13"/>
        <v>3.6936556600737074E-2</v>
      </c>
    </row>
    <row r="177" spans="1:5">
      <c r="A177">
        <f t="shared" si="15"/>
        <v>115</v>
      </c>
      <c r="B177">
        <f t="shared" si="14"/>
        <v>388</v>
      </c>
      <c r="C177">
        <f t="shared" si="11"/>
        <v>0.30115297195731699</v>
      </c>
      <c r="D177">
        <f t="shared" si="12"/>
        <v>0.10839007576107332</v>
      </c>
      <c r="E177">
        <f t="shared" si="13"/>
        <v>3.6130025253691106E-2</v>
      </c>
    </row>
    <row r="178" spans="1:5">
      <c r="A178">
        <f t="shared" si="15"/>
        <v>116</v>
      </c>
      <c r="B178">
        <f t="shared" si="14"/>
        <v>389</v>
      </c>
      <c r="C178">
        <f t="shared" si="11"/>
        <v>0.29419132833946976</v>
      </c>
      <c r="D178">
        <f t="shared" si="12"/>
        <v>0.10603205928578531</v>
      </c>
      <c r="E178">
        <f t="shared" si="13"/>
        <v>3.5344019761928434E-2</v>
      </c>
    </row>
    <row r="179" spans="1:5">
      <c r="A179">
        <f t="shared" si="15"/>
        <v>117</v>
      </c>
      <c r="B179">
        <f t="shared" si="14"/>
        <v>390</v>
      </c>
      <c r="C179">
        <f t="shared" si="11"/>
        <v>0.28742508578136605</v>
      </c>
      <c r="D179">
        <f t="shared" si="12"/>
        <v>0.10373391991017841</v>
      </c>
      <c r="E179">
        <f t="shared" si="13"/>
        <v>3.4577973303392802E-2</v>
      </c>
    </row>
    <row r="180" spans="1:5">
      <c r="A180">
        <f t="shared" si="15"/>
        <v>118</v>
      </c>
      <c r="B180">
        <f t="shared" si="14"/>
        <v>391</v>
      </c>
      <c r="C180">
        <f t="shared" si="11"/>
        <v>0.2808478872167765</v>
      </c>
      <c r="D180">
        <f t="shared" si="12"/>
        <v>0.10149400432155704</v>
      </c>
      <c r="E180">
        <f t="shared" si="13"/>
        <v>3.3831334773852348E-2</v>
      </c>
    </row>
    <row r="181" spans="1:5">
      <c r="A181">
        <f t="shared" si="15"/>
        <v>119</v>
      </c>
      <c r="B181">
        <f t="shared" si="14"/>
        <v>392</v>
      </c>
      <c r="C181">
        <f t="shared" si="11"/>
        <v>0.27445360893857285</v>
      </c>
      <c r="D181">
        <f t="shared" si="12"/>
        <v>9.9310705240417796E-2</v>
      </c>
      <c r="E181">
        <f t="shared" si="13"/>
        <v>3.3103568413472596E-2</v>
      </c>
    </row>
    <row r="182" spans="1:5">
      <c r="A182">
        <f t="shared" si="15"/>
        <v>120</v>
      </c>
      <c r="B182">
        <f t="shared" si="14"/>
        <v>393</v>
      </c>
      <c r="C182">
        <f t="shared" si="11"/>
        <v>0.26823635110592531</v>
      </c>
      <c r="D182">
        <f t="shared" si="12"/>
        <v>9.7182460307708385E-2</v>
      </c>
      <c r="E182">
        <f t="shared" si="13"/>
        <v>3.2394153435902795E-2</v>
      </c>
    </row>
    <row r="183" spans="1:5">
      <c r="A183">
        <f t="shared" si="15"/>
        <v>121</v>
      </c>
      <c r="B183">
        <f t="shared" si="14"/>
        <v>394</v>
      </c>
      <c r="C183">
        <f t="shared" si="11"/>
        <v>0.26219042867384862</v>
      </c>
      <c r="D183">
        <f t="shared" si="12"/>
        <v>9.5107750981466219E-2</v>
      </c>
      <c r="E183">
        <f t="shared" si="13"/>
        <v>3.170258366048874E-2</v>
      </c>
    </row>
    <row r="184" spans="1:5">
      <c r="A184">
        <f t="shared" si="15"/>
        <v>122</v>
      </c>
      <c r="B184">
        <f t="shared" si="14"/>
        <v>395</v>
      </c>
      <c r="C184">
        <f t="shared" si="11"/>
        <v>0.25631036272476604</v>
      </c>
      <c r="D184">
        <f t="shared" si="12"/>
        <v>9.3085101444483342E-2</v>
      </c>
      <c r="E184">
        <f t="shared" si="13"/>
        <v>3.1028367148161113E-2</v>
      </c>
    </row>
    <row r="185" spans="1:5">
      <c r="A185">
        <f t="shared" si="15"/>
        <v>123</v>
      </c>
      <c r="B185">
        <f t="shared" si="14"/>
        <v>396</v>
      </c>
      <c r="C185">
        <f t="shared" si="11"/>
        <v>0.25059087218277515</v>
      </c>
      <c r="D185">
        <f t="shared" si="12"/>
        <v>9.1113077524444253E-2</v>
      </c>
      <c r="E185">
        <f t="shared" si="13"/>
        <v>3.0371025841481419E-2</v>
      </c>
    </row>
    <row r="186" spans="1:5">
      <c r="A186">
        <f t="shared" si="15"/>
        <v>124</v>
      </c>
      <c r="B186">
        <f t="shared" si="14"/>
        <v>397</v>
      </c>
      <c r="C186">
        <f t="shared" si="11"/>
        <v>0.24502686589233127</v>
      </c>
      <c r="D186">
        <f t="shared" si="12"/>
        <v>8.9190285627823176E-2</v>
      </c>
      <c r="E186">
        <f t="shared" si="13"/>
        <v>2.9730095209274391E-2</v>
      </c>
    </row>
    <row r="187" spans="1:5">
      <c r="A187">
        <f t="shared" si="15"/>
        <v>125</v>
      </c>
      <c r="B187">
        <f t="shared" si="14"/>
        <v>398</v>
      </c>
      <c r="C187">
        <f t="shared" si="11"/>
        <v>0.23961343504398241</v>
      </c>
      <c r="D187">
        <f t="shared" si="12"/>
        <v>8.7315371688660895E-2</v>
      </c>
      <c r="E187">
        <f t="shared" si="13"/>
        <v>2.9105123896220299E-2</v>
      </c>
    </row>
    <row r="188" spans="1:5">
      <c r="A188">
        <f t="shared" si="15"/>
        <v>126</v>
      </c>
      <c r="B188">
        <f t="shared" si="14"/>
        <v>399</v>
      </c>
      <c r="C188">
        <f t="shared" si="11"/>
        <v>0.23434584593068056</v>
      </c>
      <c r="D188">
        <f t="shared" si="12"/>
        <v>8.5487020133195368E-2</v>
      </c>
      <c r="E188">
        <f t="shared" si="13"/>
        <v>2.8495673377731789E-2</v>
      </c>
    </row>
    <row r="189" spans="1:5">
      <c r="A189">
        <f t="shared" si="15"/>
        <v>127</v>
      </c>
      <c r="B189">
        <f t="shared" si="14"/>
        <v>400</v>
      </c>
      <c r="C189">
        <f t="shared" si="11"/>
        <v>0.22921953301904618</v>
      </c>
      <c r="D189">
        <f t="shared" si="12"/>
        <v>8.3703952861189979E-2</v>
      </c>
      <c r="E189">
        <f t="shared" si="13"/>
        <v>2.790131762039666E-2</v>
      </c>
    </row>
    <row r="190" spans="1:5">
      <c r="A190">
        <f t="shared" si="15"/>
        <v>128</v>
      </c>
      <c r="B190">
        <f t="shared" si="14"/>
        <v>401</v>
      </c>
      <c r="C190">
        <f t="shared" si="11"/>
        <v>0.22423009232074242</v>
      </c>
      <c r="D190">
        <f t="shared" si="12"/>
        <v>8.1964928244674454E-2</v>
      </c>
      <c r="E190">
        <f t="shared" si="13"/>
        <v>2.7321642748224819E-2</v>
      </c>
    </row>
    <row r="191" spans="1:5">
      <c r="A191">
        <f t="shared" si="15"/>
        <v>129</v>
      </c>
      <c r="B191">
        <f t="shared" si="14"/>
        <v>402</v>
      </c>
      <c r="C191">
        <f t="shared" si="11"/>
        <v>0.21937327504987789</v>
      </c>
      <c r="D191">
        <f t="shared" si="12"/>
        <v>8.0268740144704018E-2</v>
      </c>
      <c r="E191">
        <f t="shared" si="13"/>
        <v>2.675624671490134E-2</v>
      </c>
    </row>
    <row r="192" spans="1:5">
      <c r="A192">
        <f t="shared" si="15"/>
        <v>130</v>
      </c>
      <c r="B192">
        <f t="shared" si="14"/>
        <v>403</v>
      </c>
      <c r="C192">
        <f t="shared" si="11"/>
        <v>0.21464498155305883</v>
      </c>
      <c r="D192">
        <f t="shared" si="12"/>
        <v>7.8614216946635562E-2</v>
      </c>
      <c r="E192">
        <f t="shared" si="13"/>
        <v>2.6204738982211855E-2</v>
      </c>
    </row>
    <row r="193" spans="1:5">
      <c r="A193">
        <f t="shared" si="15"/>
        <v>131</v>
      </c>
      <c r="B193">
        <f t="shared" si="14"/>
        <v>404</v>
      </c>
      <c r="C193">
        <f t="shared" si="11"/>
        <v>0.21004125549939229</v>
      </c>
      <c r="D193">
        <f t="shared" si="12"/>
        <v>7.700022061432818E-2</v>
      </c>
      <c r="E193">
        <f t="shared" si="13"/>
        <v>2.5666740204776061E-2</v>
      </c>
    </row>
    <row r="194" spans="1:5">
      <c r="A194">
        <f t="shared" si="15"/>
        <v>132</v>
      </c>
      <c r="B194">
        <f t="shared" si="14"/>
        <v>405</v>
      </c>
      <c r="C194">
        <f t="shared" si="11"/>
        <v>0.20555827831837112</v>
      </c>
      <c r="D194">
        <f t="shared" si="12"/>
        <v>7.5425645763585958E-2</v>
      </c>
      <c r="E194">
        <f t="shared" si="13"/>
        <v>2.5141881921195319E-2</v>
      </c>
    </row>
    <row r="195" spans="1:5">
      <c r="A195">
        <f t="shared" si="15"/>
        <v>133</v>
      </c>
      <c r="B195">
        <f t="shared" si="14"/>
        <v>406</v>
      </c>
      <c r="C195">
        <f t="shared" si="11"/>
        <v>0.20119236387417722</v>
      </c>
      <c r="D195">
        <f t="shared" si="12"/>
        <v>7.388941875508398E-2</v>
      </c>
      <c r="E195">
        <f t="shared" si="13"/>
        <v>2.4629806251694659E-2</v>
      </c>
    </row>
    <row r="196" spans="1:5">
      <c r="A196">
        <f t="shared" si="15"/>
        <v>134</v>
      </c>
      <c r="B196">
        <f t="shared" si="14"/>
        <v>407</v>
      </c>
      <c r="C196">
        <f t="shared" si="11"/>
        <v>0.19693995336550954</v>
      </c>
      <c r="D196">
        <f t="shared" si="12"/>
        <v>7.2390496806947008E-2</v>
      </c>
      <c r="E196">
        <f t="shared" si="13"/>
        <v>2.4130165602315668E-2</v>
      </c>
    </row>
    <row r="197" spans="1:5">
      <c r="A197">
        <f t="shared" si="15"/>
        <v>135</v>
      </c>
      <c r="B197">
        <f t="shared" si="14"/>
        <v>408</v>
      </c>
      <c r="C197">
        <f t="shared" si="11"/>
        <v>0.1927976104405825</v>
      </c>
      <c r="D197">
        <f t="shared" si="12"/>
        <v>7.0927867127084973E-2</v>
      </c>
      <c r="E197">
        <f t="shared" si="13"/>
        <v>2.3642622375694991E-2</v>
      </c>
    </row>
    <row r="198" spans="1:5">
      <c r="A198">
        <f t="shared" si="15"/>
        <v>136</v>
      </c>
      <c r="B198">
        <f t="shared" si="14"/>
        <v>409</v>
      </c>
      <c r="C198">
        <f t="shared" si="11"/>
        <v>0.18876201651745089</v>
      </c>
      <c r="D198">
        <f t="shared" si="12"/>
        <v>6.9500546065331001E-2</v>
      </c>
      <c r="E198">
        <f t="shared" si="13"/>
        <v>2.3166848688443667E-2</v>
      </c>
    </row>
    <row r="199" spans="1:5">
      <c r="A199">
        <f t="shared" si="15"/>
        <v>137</v>
      </c>
      <c r="B199">
        <f t="shared" si="14"/>
        <v>410</v>
      </c>
      <c r="C199">
        <f t="shared" si="11"/>
        <v>0.18482996630030393</v>
      </c>
      <c r="D199">
        <f t="shared" si="12"/>
        <v>6.8107578285375683E-2</v>
      </c>
      <c r="E199">
        <f t="shared" si="13"/>
        <v>2.2702526095125228E-2</v>
      </c>
    </row>
    <row r="200" spans="1:5">
      <c r="A200">
        <f t="shared" si="15"/>
        <v>138</v>
      </c>
      <c r="B200">
        <f t="shared" si="14"/>
        <v>411</v>
      </c>
      <c r="C200">
        <f t="shared" si="11"/>
        <v>0.18099836348282747</v>
      </c>
      <c r="D200">
        <f t="shared" si="12"/>
        <v>6.6748035956442631E-2</v>
      </c>
      <c r="E200">
        <f t="shared" si="13"/>
        <v>2.2249345318814211E-2</v>
      </c>
    </row>
    <row r="201" spans="1:5">
      <c r="A201">
        <f t="shared" si="15"/>
        <v>139</v>
      </c>
      <c r="B201">
        <f t="shared" si="14"/>
        <v>412</v>
      </c>
      <c r="C201">
        <f t="shared" si="11"/>
        <v>0.17726421663016967</v>
      </c>
      <c r="D201">
        <f t="shared" si="12"/>
        <v>6.5421017964608669E-2</v>
      </c>
      <c r="E201">
        <f t="shared" si="13"/>
        <v>2.1807005988202888E-2</v>
      </c>
    </row>
    <row r="202" spans="1:5">
      <c r="A202">
        <f t="shared" si="15"/>
        <v>140</v>
      </c>
      <c r="B202">
        <f t="shared" si="14"/>
        <v>413</v>
      </c>
      <c r="C202">
        <f t="shared" si="11"/>
        <v>0.17362463523145816</v>
      </c>
      <c r="D202">
        <f t="shared" si="12"/>
        <v>6.4125649143634209E-2</v>
      </c>
      <c r="E202">
        <f t="shared" si="13"/>
        <v>2.1375216381211402E-2</v>
      </c>
    </row>
    <row r="203" spans="1:5">
      <c r="A203">
        <f t="shared" si="15"/>
        <v>141</v>
      </c>
      <c r="B203">
        <f t="shared" si="14"/>
        <v>414</v>
      </c>
      <c r="C203">
        <f t="shared" si="11"/>
        <v>0.17007682591520237</v>
      </c>
      <c r="D203">
        <f t="shared" si="12"/>
        <v>6.2861079525133284E-2</v>
      </c>
      <c r="E203">
        <f t="shared" si="13"/>
        <v>2.0953693175044429E-2</v>
      </c>
    </row>
    <row r="204" spans="1:5">
      <c r="A204">
        <f t="shared" si="15"/>
        <v>142</v>
      </c>
      <c r="B204">
        <f t="shared" si="14"/>
        <v>415</v>
      </c>
      <c r="C204">
        <f t="shared" si="11"/>
        <v>0.16661808882029633</v>
      </c>
      <c r="D204">
        <f t="shared" si="12"/>
        <v>6.1626483607887625E-2</v>
      </c>
      <c r="E204">
        <f t="shared" si="13"/>
        <v>2.0542161202629208E-2</v>
      </c>
    </row>
    <row r="205" spans="1:5">
      <c r="A205">
        <f t="shared" si="15"/>
        <v>143</v>
      </c>
      <c r="B205">
        <f t="shared" si="14"/>
        <v>416</v>
      </c>
      <c r="C205">
        <f t="shared" si="11"/>
        <v>0.16324581411567171</v>
      </c>
      <c r="D205">
        <f t="shared" si="12"/>
        <v>6.042105964607531E-2</v>
      </c>
      <c r="E205">
        <f t="shared" si="13"/>
        <v>2.0140353215358436E-2</v>
      </c>
    </row>
    <row r="206" spans="1:5">
      <c r="A206">
        <f t="shared" si="15"/>
        <v>144</v>
      </c>
      <c r="B206">
        <f t="shared" si="14"/>
        <v>417</v>
      </c>
      <c r="C206">
        <f t="shared" si="11"/>
        <v>0.15995747866200324</v>
      </c>
      <c r="D206">
        <f t="shared" si="12"/>
        <v>5.9244028956169842E-2</v>
      </c>
      <c r="E206">
        <f t="shared" si="13"/>
        <v>1.9748009652056614E-2</v>
      </c>
    </row>
    <row r="207" spans="1:5">
      <c r="A207">
        <f t="shared" si="15"/>
        <v>145</v>
      </c>
      <c r="B207">
        <f t="shared" si="14"/>
        <v>418</v>
      </c>
      <c r="C207">
        <f t="shared" si="11"/>
        <v>0.15675064280916778</v>
      </c>
      <c r="D207">
        <f t="shared" si="12"/>
        <v>5.8094635242237687E-2</v>
      </c>
      <c r="E207">
        <f t="shared" si="13"/>
        <v>1.9364878414079228E-2</v>
      </c>
    </row>
    <row r="208" spans="1:5">
      <c r="A208">
        <f t="shared" si="15"/>
        <v>146</v>
      </c>
      <c r="B208">
        <f t="shared" si="14"/>
        <v>419</v>
      </c>
      <c r="C208">
        <f t="shared" si="11"/>
        <v>0.15362294732346818</v>
      </c>
      <c r="D208">
        <f t="shared" si="12"/>
        <v>5.6972143939349566E-2</v>
      </c>
      <c r="E208">
        <f t="shared" si="13"/>
        <v>1.8990714646449854E-2</v>
      </c>
    </row>
    <row r="209" spans="1:5">
      <c r="A209">
        <f t="shared" si="15"/>
        <v>147</v>
      </c>
      <c r="B209">
        <f t="shared" si="14"/>
        <v>420</v>
      </c>
      <c r="C209">
        <f t="shared" si="11"/>
        <v>0.15057211043891561</v>
      </c>
      <c r="D209">
        <f t="shared" si="12"/>
        <v>5.5875841574804123E-2</v>
      </c>
      <c r="E209">
        <f t="shared" si="13"/>
        <v>1.8625280524934708E-2</v>
      </c>
    </row>
    <row r="210" spans="1:5">
      <c r="A210">
        <f t="shared" si="15"/>
        <v>148</v>
      </c>
      <c r="B210">
        <f t="shared" si="14"/>
        <v>421</v>
      </c>
      <c r="C210">
        <f t="shared" si="11"/>
        <v>0.14759592502713317</v>
      </c>
      <c r="D210">
        <f t="shared" si="12"/>
        <v>5.480503514685018E-2</v>
      </c>
      <c r="E210">
        <f t="shared" si="13"/>
        <v>1.8268345048950061E-2</v>
      </c>
    </row>
    <row r="211" spans="1:5">
      <c r="A211">
        <f t="shared" si="15"/>
        <v>149</v>
      </c>
      <c r="B211">
        <f t="shared" si="14"/>
        <v>422</v>
      </c>
      <c r="C211">
        <f t="shared" si="11"/>
        <v>0.14469225588069959</v>
      </c>
      <c r="D211">
        <f t="shared" si="12"/>
        <v>5.3759051520582843E-2</v>
      </c>
      <c r="E211">
        <f t="shared" si="13"/>
        <v>1.7919683840194281E-2</v>
      </c>
    </row>
    <row r="212" spans="1:5">
      <c r="A212">
        <f t="shared" si="15"/>
        <v>150</v>
      </c>
      <c r="B212">
        <f t="shared" si="14"/>
        <v>423</v>
      </c>
      <c r="C212">
        <f t="shared" si="11"/>
        <v>0.14185903710499642</v>
      </c>
      <c r="D212">
        <f t="shared" si="12"/>
        <v>5.2737236840680116E-2</v>
      </c>
      <c r="E212">
        <f t="shared" si="13"/>
        <v>1.7579078946893371E-2</v>
      </c>
    </row>
    <row r="213" spans="1:5">
      <c r="A213">
        <f t="shared" si="15"/>
        <v>151</v>
      </c>
      <c r="B213">
        <f t="shared" si="14"/>
        <v>424</v>
      </c>
      <c r="C213">
        <f t="shared" si="11"/>
        <v>0.13909426961385582</v>
      </c>
      <c r="D213">
        <f t="shared" si="12"/>
        <v>5.1738955960640785E-2</v>
      </c>
      <c r="E213">
        <f t="shared" si="13"/>
        <v>1.7246318653546928E-2</v>
      </c>
    </row>
    <row r="214" spans="1:5">
      <c r="A214">
        <f t="shared" si="15"/>
        <v>152</v>
      </c>
      <c r="B214">
        <f t="shared" si="14"/>
        <v>425</v>
      </c>
      <c r="C214">
        <f t="shared" si="11"/>
        <v>0.13639601872451843</v>
      </c>
      <c r="D214">
        <f t="shared" si="12"/>
        <v>5.0763591888176522E-2</v>
      </c>
      <c r="E214">
        <f t="shared" si="13"/>
        <v>1.692119729605884E-2</v>
      </c>
    </row>
    <row r="215" spans="1:5">
      <c r="A215">
        <f t="shared" si="15"/>
        <v>153</v>
      </c>
      <c r="B215">
        <f t="shared" si="14"/>
        <v>426</v>
      </c>
      <c r="C215">
        <f t="shared" ref="C215:C278" si="16">$B$18*EXP($D$18*((1/B215)-(1/$C$18)))</f>
        <v>0.13376241184763021</v>
      </c>
      <c r="D215">
        <f t="shared" ref="D215:D278" si="17">1.8*C215/(C215+4.7)</f>
        <v>4.9810545246410425E-2</v>
      </c>
      <c r="E215">
        <f t="shared" ref="E215:E278" si="18">D215/3</f>
        <v>1.6603515082136807E-2</v>
      </c>
    </row>
    <row r="216" spans="1:5">
      <c r="A216">
        <f t="shared" si="15"/>
        <v>154</v>
      </c>
      <c r="B216">
        <f t="shared" ref="B216:B279" si="19">B215+1</f>
        <v>427</v>
      </c>
      <c r="C216">
        <f t="shared" si="16"/>
        <v>0.13119163626819369</v>
      </c>
      <c r="D216">
        <f t="shared" si="17"/>
        <v>4.8879233750527946E-2</v>
      </c>
      <c r="E216">
        <f t="shared" si="18"/>
        <v>1.629307791684265E-2</v>
      </c>
    </row>
    <row r="217" spans="1:5">
      <c r="A217">
        <f t="shared" si="15"/>
        <v>155</v>
      </c>
      <c r="B217">
        <f t="shared" si="19"/>
        <v>428</v>
      </c>
      <c r="C217">
        <f t="shared" si="16"/>
        <v>0.12868193701358932</v>
      </c>
      <c r="D217">
        <f t="shared" si="17"/>
        <v>4.7969091699528288E-2</v>
      </c>
      <c r="E217">
        <f t="shared" si="18"/>
        <v>1.5989697233176097E-2</v>
      </c>
    </row>
    <row r="218" spans="1:5">
      <c r="A218">
        <f t="shared" si="15"/>
        <v>156</v>
      </c>
      <c r="B218">
        <f t="shared" si="19"/>
        <v>429</v>
      </c>
      <c r="C218">
        <f t="shared" si="16"/>
        <v>0.12623161480495168</v>
      </c>
      <c r="D218">
        <f t="shared" si="17"/>
        <v>4.7079569482720698E-2</v>
      </c>
      <c r="E218">
        <f t="shared" si="18"/>
        <v>1.5693189827573565E-2</v>
      </c>
    </row>
    <row r="219" spans="1:5">
      <c r="A219">
        <f t="shared" si="15"/>
        <v>157</v>
      </c>
      <c r="B219">
        <f t="shared" si="19"/>
        <v>430</v>
      </c>
      <c r="C219">
        <f t="shared" si="16"/>
        <v>0.12383902408836139</v>
      </c>
      <c r="D219">
        <f t="shared" si="17"/>
        <v>4.6210133100612213E-2</v>
      </c>
      <c r="E219">
        <f t="shared" si="18"/>
        <v>1.5403377700204071E-2</v>
      </c>
    </row>
    <row r="220" spans="1:5">
      <c r="A220">
        <f t="shared" si="15"/>
        <v>158</v>
      </c>
      <c r="B220">
        <f t="shared" si="19"/>
        <v>431</v>
      </c>
      <c r="C220">
        <f t="shared" si="16"/>
        <v>0.1215025711424758</v>
      </c>
      <c r="D220">
        <f t="shared" si="17"/>
        <v>4.5360263699835257E-2</v>
      </c>
      <c r="E220">
        <f t="shared" si="18"/>
        <v>1.5120087899945086E-2</v>
      </c>
    </row>
    <row r="221" spans="1:5">
      <c r="A221">
        <f t="shared" si="15"/>
        <v>159</v>
      </c>
      <c r="B221">
        <f t="shared" si="19"/>
        <v>432</v>
      </c>
      <c r="C221">
        <f t="shared" si="16"/>
        <v>0.11922071225937156</v>
      </c>
      <c r="D221">
        <f t="shared" si="17"/>
        <v>4.4529457121763615E-2</v>
      </c>
      <c r="E221">
        <f t="shared" si="18"/>
        <v>1.4843152373921205E-2</v>
      </c>
    </row>
    <row r="222" spans="1:5">
      <c r="A222">
        <f t="shared" si="15"/>
        <v>160</v>
      </c>
      <c r="B222">
        <f t="shared" si="19"/>
        <v>433</v>
      </c>
      <c r="C222">
        <f t="shared" si="16"/>
        <v>0.1169919519955227</v>
      </c>
      <c r="D222">
        <f t="shared" si="17"/>
        <v>4.3717223464469795E-2</v>
      </c>
      <c r="E222">
        <f t="shared" si="18"/>
        <v>1.4572407821489932E-2</v>
      </c>
    </row>
    <row r="223" spans="1:5">
      <c r="A223">
        <f t="shared" si="15"/>
        <v>161</v>
      </c>
      <c r="B223">
        <f t="shared" si="19"/>
        <v>434</v>
      </c>
      <c r="C223">
        <f t="shared" si="16"/>
        <v>0.11481484148997531</v>
      </c>
      <c r="D223">
        <f t="shared" si="17"/>
        <v>4.2923086657679493E-2</v>
      </c>
      <c r="E223">
        <f t="shared" si="18"/>
        <v>1.4307695552559832E-2</v>
      </c>
    </row>
    <row r="224" spans="1:5">
      <c r="A224">
        <f t="shared" si="15"/>
        <v>162</v>
      </c>
      <c r="B224">
        <f t="shared" si="19"/>
        <v>435</v>
      </c>
      <c r="C224">
        <f t="shared" si="16"/>
        <v>0.11268797684691297</v>
      </c>
      <c r="D224">
        <f t="shared" si="17"/>
        <v>4.2146584050382414E-2</v>
      </c>
      <c r="E224">
        <f t="shared" si="18"/>
        <v>1.4048861350127471E-2</v>
      </c>
    </row>
    <row r="225" spans="1:5">
      <c r="A225">
        <f t="shared" si="15"/>
        <v>163</v>
      </c>
      <c r="B225">
        <f t="shared" si="19"/>
        <v>436</v>
      </c>
      <c r="C225">
        <f t="shared" si="16"/>
        <v>0.11060999757993377</v>
      </c>
      <c r="D225">
        <f t="shared" si="17"/>
        <v>4.1387266010763854E-2</v>
      </c>
      <c r="E225">
        <f t="shared" si="18"/>
        <v>1.3795755336921284E-2</v>
      </c>
    </row>
    <row r="226" spans="1:5">
      <c r="A226">
        <f t="shared" si="15"/>
        <v>164</v>
      </c>
      <c r="B226">
        <f t="shared" si="19"/>
        <v>437</v>
      </c>
      <c r="C226">
        <f t="shared" si="16"/>
        <v>0.10857958511547851</v>
      </c>
      <c r="D226">
        <f t="shared" si="17"/>
        <v>4.0644695538124845E-2</v>
      </c>
      <c r="E226">
        <f t="shared" si="18"/>
        <v>1.3548231846041614E-2</v>
      </c>
    </row>
    <row r="227" spans="1:5">
      <c r="A227">
        <f t="shared" si="15"/>
        <v>165</v>
      </c>
      <c r="B227">
        <f t="shared" si="19"/>
        <v>438</v>
      </c>
      <c r="C227">
        <f t="shared" si="16"/>
        <v>0.10659546135296676</v>
      </c>
      <c r="D227">
        <f t="shared" si="17"/>
        <v>3.9918447886465536E-2</v>
      </c>
      <c r="E227">
        <f t="shared" si="18"/>
        <v>1.3306149295488512E-2</v>
      </c>
    </row>
    <row r="228" spans="1:5">
      <c r="A228">
        <f t="shared" si="15"/>
        <v>166</v>
      </c>
      <c r="B228">
        <f t="shared" si="19"/>
        <v>439</v>
      </c>
      <c r="C228">
        <f t="shared" si="16"/>
        <v>0.10465638727930301</v>
      </c>
      <c r="D228">
        <f t="shared" si="17"/>
        <v>3.9208110199409868E-2</v>
      </c>
      <c r="E228">
        <f t="shared" si="18"/>
        <v>1.3069370066469957E-2</v>
      </c>
    </row>
    <row r="229" spans="1:5">
      <c r="A229">
        <f t="shared" si="15"/>
        <v>167</v>
      </c>
      <c r="B229">
        <f t="shared" si="19"/>
        <v>440</v>
      </c>
      <c r="C229">
        <f t="shared" si="16"/>
        <v>0.10276116163552144</v>
      </c>
      <c r="D229">
        <f t="shared" si="17"/>
        <v>3.8513281156156702E-2</v>
      </c>
      <c r="E229">
        <f t="shared" si="18"/>
        <v>1.2837760385385567E-2</v>
      </c>
    </row>
    <row r="230" spans="1:5">
      <c r="A230">
        <f t="shared" si="15"/>
        <v>168</v>
      </c>
      <c r="B230">
        <f t="shared" si="19"/>
        <v>441</v>
      </c>
      <c r="C230">
        <f t="shared" si="16"/>
        <v>0.10090861963343627</v>
      </c>
      <c r="D230">
        <f t="shared" si="17"/>
        <v>3.7833570628147822E-2</v>
      </c>
      <c r="E230">
        <f t="shared" si="18"/>
        <v>1.2611190209382608E-2</v>
      </c>
    </row>
    <row r="231" spans="1:5">
      <c r="A231">
        <f t="shared" si="15"/>
        <v>169</v>
      </c>
      <c r="B231">
        <f t="shared" si="19"/>
        <v>442</v>
      </c>
      <c r="C231">
        <f t="shared" si="16"/>
        <v>9.9097631720257096E-2</v>
      </c>
      <c r="D231">
        <f t="shared" si="17"/>
        <v>3.7168599346149002E-2</v>
      </c>
      <c r="E231">
        <f t="shared" si="18"/>
        <v>1.2389533115383001E-2</v>
      </c>
    </row>
    <row r="232" spans="1:5">
      <c r="A232">
        <f t="shared" si="15"/>
        <v>170</v>
      </c>
      <c r="B232">
        <f t="shared" si="19"/>
        <v>443</v>
      </c>
      <c r="C232">
        <f t="shared" si="16"/>
        <v>9.732710238922046E-2</v>
      </c>
      <c r="D232">
        <f t="shared" si="17"/>
        <v>3.6517998577446864E-2</v>
      </c>
      <c r="E232">
        <f t="shared" si="18"/>
        <v>1.2172666192482287E-2</v>
      </c>
    </row>
    <row r="233" spans="1:5">
      <c r="A233">
        <f t="shared" si="15"/>
        <v>171</v>
      </c>
      <c r="B233">
        <f t="shared" si="19"/>
        <v>444</v>
      </c>
      <c r="C233">
        <f t="shared" si="16"/>
        <v>9.5595969034373868E-2</v>
      </c>
      <c r="D233">
        <f t="shared" si="17"/>
        <v>3.5881409812870656E-2</v>
      </c>
      <c r="E233">
        <f t="shared" si="18"/>
        <v>1.1960469937623551E-2</v>
      </c>
    </row>
    <row r="234" spans="1:5">
      <c r="A234">
        <f t="shared" si="15"/>
        <v>172</v>
      </c>
      <c r="B234">
        <f t="shared" si="19"/>
        <v>445</v>
      </c>
      <c r="C234">
        <f t="shared" si="16"/>
        <v>9.3903200847726645E-2</v>
      </c>
      <c r="D234">
        <f t="shared" si="17"/>
        <v>3.5258484463353029E-2</v>
      </c>
      <c r="E234">
        <f t="shared" si="18"/>
        <v>1.1752828154451009E-2</v>
      </c>
    </row>
    <row r="235" spans="1:5">
      <c r="A235">
        <f t="shared" si="15"/>
        <v>173</v>
      </c>
      <c r="B235">
        <f t="shared" si="19"/>
        <v>446</v>
      </c>
      <c r="C235">
        <f t="shared" si="16"/>
        <v>9.2247797757066638E-2</v>
      </c>
      <c r="D235">
        <f t="shared" si="17"/>
        <v>3.4648883565752811E-2</v>
      </c>
      <c r="E235">
        <f t="shared" si="18"/>
        <v>1.1549627855250938E-2</v>
      </c>
    </row>
    <row r="236" spans="1:5">
      <c r="A236">
        <f t="shared" si="15"/>
        <v>174</v>
      </c>
      <c r="B236">
        <f t="shared" si="19"/>
        <v>447</v>
      </c>
      <c r="C236">
        <f t="shared" si="16"/>
        <v>9.0628789402808607E-2</v>
      </c>
      <c r="D236">
        <f t="shared" si="17"/>
        <v>3.4052277497666691E-2</v>
      </c>
      <c r="E236">
        <f t="shared" si="18"/>
        <v>1.1350759165888897E-2</v>
      </c>
    </row>
    <row r="237" spans="1:5">
      <c r="A237">
        <f t="shared" ref="A237:A300" si="20">1+A236</f>
        <v>175</v>
      </c>
      <c r="B237">
        <f t="shared" si="19"/>
        <v>448</v>
      </c>
      <c r="C237">
        <f t="shared" si="16"/>
        <v>8.9045234152314079E-2</v>
      </c>
      <c r="D237">
        <f t="shared" si="17"/>
        <v>3.3468345700964339E-2</v>
      </c>
      <c r="E237">
        <f t="shared" si="18"/>
        <v>1.1156115233654779E-2</v>
      </c>
    </row>
    <row r="238" spans="1:5">
      <c r="A238">
        <f t="shared" si="20"/>
        <v>176</v>
      </c>
      <c r="B238">
        <f t="shared" si="19"/>
        <v>449</v>
      </c>
      <c r="C238">
        <f t="shared" si="16"/>
        <v>8.7496218150190527E-2</v>
      </c>
      <c r="D238">
        <f t="shared" si="17"/>
        <v>3.2896776413788111E-2</v>
      </c>
      <c r="E238">
        <f t="shared" si="18"/>
        <v>1.0965592137929371E-2</v>
      </c>
    </row>
    <row r="239" spans="1:5">
      <c r="A239">
        <f t="shared" si="20"/>
        <v>177</v>
      </c>
      <c r="B239">
        <f t="shared" si="19"/>
        <v>450</v>
      </c>
      <c r="C239">
        <f t="shared" si="16"/>
        <v>8.598085440313992E-2</v>
      </c>
      <c r="D239">
        <f t="shared" si="17"/>
        <v>3.2337266410764343E-2</v>
      </c>
      <c r="E239">
        <f t="shared" si="18"/>
        <v>1.0779088803588114E-2</v>
      </c>
    </row>
    <row r="240" spans="1:5">
      <c r="A240">
        <f t="shared" si="20"/>
        <v>178</v>
      </c>
      <c r="B240">
        <f t="shared" si="19"/>
        <v>451</v>
      </c>
      <c r="C240">
        <f t="shared" si="16"/>
        <v>8.4498281897988761E-2</v>
      </c>
      <c r="D240">
        <f t="shared" si="17"/>
        <v>3.178952075117971E-2</v>
      </c>
      <c r="E240">
        <f t="shared" si="18"/>
        <v>1.0596506917059904E-2</v>
      </c>
    </row>
    <row r="241" spans="1:5">
      <c r="A241">
        <f t="shared" si="20"/>
        <v>179</v>
      </c>
      <c r="B241">
        <f t="shared" si="19"/>
        <v>452</v>
      </c>
      <c r="C241">
        <f t="shared" si="16"/>
        <v>8.3047664751590464E-2</v>
      </c>
      <c r="D241">
        <f t="shared" si="17"/>
        <v>3.1253252534882786E-2</v>
      </c>
      <c r="E241">
        <f t="shared" si="18"/>
        <v>1.0417750844960929E-2</v>
      </c>
    </row>
    <row r="242" spans="1:5">
      <c r="A242">
        <f t="shared" si="20"/>
        <v>180</v>
      </c>
      <c r="B242">
        <f t="shared" si="19"/>
        <v>453</v>
      </c>
      <c r="C242">
        <f t="shared" si="16"/>
        <v>8.1628191391346805E-2</v>
      </c>
      <c r="D242">
        <f t="shared" si="17"/>
        <v>3.0728182665677044E-2</v>
      </c>
      <c r="E242">
        <f t="shared" si="18"/>
        <v>1.0242727555225681E-2</v>
      </c>
    </row>
    <row r="243" spans="1:5">
      <c r="A243">
        <f t="shared" si="20"/>
        <v>181</v>
      </c>
      <c r="B243">
        <f t="shared" si="19"/>
        <v>454</v>
      </c>
      <c r="C243">
        <f t="shared" si="16"/>
        <v>8.0239073765146537E-2</v>
      </c>
      <c r="D243">
        <f t="shared" si="17"/>
        <v>3.0214039621977207E-2</v>
      </c>
      <c r="E243">
        <f t="shared" si="18"/>
        <v>1.007134654065907E-2</v>
      </c>
    </row>
    <row r="244" spans="1:5">
      <c r="A244">
        <f t="shared" si="20"/>
        <v>182</v>
      </c>
      <c r="B244">
        <f t="shared" si="19"/>
        <v>455</v>
      </c>
      <c r="C244">
        <f t="shared" si="16"/>
        <v>7.8879546579572829E-2</v>
      </c>
      <c r="D244">
        <f t="shared" si="17"/>
        <v>2.9710559234507997E-2</v>
      </c>
      <c r="E244">
        <f t="shared" si="18"/>
        <v>9.9035197448359997E-3</v>
      </c>
    </row>
    <row r="245" spans="1:5">
      <c r="A245">
        <f t="shared" si="20"/>
        <v>183</v>
      </c>
      <c r="B245">
        <f t="shared" si="19"/>
        <v>456</v>
      </c>
      <c r="C245">
        <f t="shared" si="16"/>
        <v>7.7548866565278637E-2</v>
      </c>
      <c r="D245">
        <f t="shared" si="17"/>
        <v>2.9217484470829804E-2</v>
      </c>
      <c r="E245">
        <f t="shared" si="18"/>
        <v>9.739161490276602E-3</v>
      </c>
    </row>
    <row r="246" spans="1:5">
      <c r="A246">
        <f t="shared" si="20"/>
        <v>184</v>
      </c>
      <c r="B246">
        <f t="shared" si="19"/>
        <v>457</v>
      </c>
      <c r="C246">
        <f t="shared" si="16"/>
        <v>7.6246311768473504E-2</v>
      </c>
      <c r="D246">
        <f t="shared" si="17"/>
        <v>2.8734565226481375E-2</v>
      </c>
      <c r="E246">
        <f t="shared" si="18"/>
        <v>9.5781884088271246E-3</v>
      </c>
    </row>
    <row r="247" spans="1:5">
      <c r="A247">
        <f t="shared" si="20"/>
        <v>185</v>
      </c>
      <c r="B247">
        <f t="shared" si="19"/>
        <v>458</v>
      </c>
      <c r="C247">
        <f t="shared" si="16"/>
        <v>7.4971180867511755E-2</v>
      </c>
      <c r="D247">
        <f t="shared" si="17"/>
        <v>2.8261558122535922E-2</v>
      </c>
      <c r="E247">
        <f t="shared" si="18"/>
        <v>9.4205193741786399E-3</v>
      </c>
    </row>
    <row r="248" spans="1:5">
      <c r="A248">
        <f t="shared" si="20"/>
        <v>186</v>
      </c>
      <c r="B248">
        <f t="shared" si="19"/>
        <v>459</v>
      </c>
      <c r="C248">
        <f t="shared" si="16"/>
        <v>7.3722792513615285E-2</v>
      </c>
      <c r="D248">
        <f t="shared" si="17"/>
        <v>2.7798226309373415E-2</v>
      </c>
      <c r="E248">
        <f t="shared" si="18"/>
        <v>9.2660754364578043E-3</v>
      </c>
    </row>
    <row r="249" spans="1:5">
      <c r="A249">
        <f t="shared" si="20"/>
        <v>187</v>
      </c>
      <c r="B249">
        <f t="shared" si="19"/>
        <v>460</v>
      </c>
      <c r="C249">
        <f t="shared" si="16"/>
        <v>7.2500484694799638E-2</v>
      </c>
      <c r="D249">
        <f t="shared" si="17"/>
        <v>2.7344339276475706E-2</v>
      </c>
      <c r="E249">
        <f t="shared" si="18"/>
        <v>9.1147797588252352E-3</v>
      </c>
    </row>
    <row r="250" spans="1:5">
      <c r="A250">
        <f t="shared" si="20"/>
        <v>188</v>
      </c>
      <c r="B250">
        <f t="shared" si="19"/>
        <v>461</v>
      </c>
      <c r="C250">
        <f t="shared" si="16"/>
        <v>7.130361412211722E-2</v>
      </c>
      <c r="D250">
        <f t="shared" si="17"/>
        <v>2.6899672668058823E-2</v>
      </c>
      <c r="E250">
        <f t="shared" si="18"/>
        <v>8.9665575560196071E-3</v>
      </c>
    </row>
    <row r="251" spans="1:5">
      <c r="A251">
        <f t="shared" si="20"/>
        <v>189</v>
      </c>
      <c r="B251">
        <f t="shared" si="19"/>
        <v>462</v>
      </c>
      <c r="C251">
        <f t="shared" si="16"/>
        <v>7.0131555637361717E-2</v>
      </c>
      <c r="D251">
        <f t="shared" si="17"/>
        <v>2.6464008104360118E-2</v>
      </c>
      <c r="E251">
        <f t="shared" si="18"/>
        <v>8.8213360347867056E-3</v>
      </c>
    </row>
    <row r="252" spans="1:5">
      <c r="A252">
        <f t="shared" si="20"/>
        <v>190</v>
      </c>
      <c r="B252">
        <f t="shared" si="19"/>
        <v>463</v>
      </c>
      <c r="C252">
        <f t="shared" si="16"/>
        <v>6.8983701641418496E-2</v>
      </c>
      <c r="D252">
        <f t="shared" si="17"/>
        <v>2.6037133008405013E-2</v>
      </c>
      <c r="E252">
        <f t="shared" si="18"/>
        <v>8.6790443361350039E-3</v>
      </c>
    </row>
    <row r="253" spans="1:5">
      <c r="A253">
        <f t="shared" si="20"/>
        <v>191</v>
      </c>
      <c r="B253">
        <f t="shared" si="19"/>
        <v>464</v>
      </c>
      <c r="C253">
        <f t="shared" si="16"/>
        <v>6.785946154247588E-2</v>
      </c>
      <c r="D253">
        <f t="shared" si="17"/>
        <v>2.5618840438082071E-2</v>
      </c>
      <c r="E253">
        <f t="shared" si="18"/>
        <v>8.5396134793606897E-3</v>
      </c>
    </row>
    <row r="254" spans="1:5">
      <c r="A254">
        <f t="shared" si="20"/>
        <v>192</v>
      </c>
      <c r="B254">
        <f t="shared" si="19"/>
        <v>465</v>
      </c>
      <c r="C254">
        <f t="shared" si="16"/>
        <v>6.6758261223345619E-2</v>
      </c>
      <c r="D254">
        <f t="shared" si="17"/>
        <v>2.5208928923360775E-2</v>
      </c>
      <c r="E254">
        <f t="shared" si="18"/>
        <v>8.4029763077869257E-3</v>
      </c>
    </row>
    <row r="255" spans="1:5">
      <c r="A255">
        <f t="shared" si="20"/>
        <v>193</v>
      </c>
      <c r="B255">
        <f t="shared" si="19"/>
        <v>466</v>
      </c>
      <c r="C255">
        <f t="shared" si="16"/>
        <v>6.5679542527171744E-2</v>
      </c>
      <c r="D255">
        <f t="shared" si="17"/>
        <v>2.4807202308491157E-2</v>
      </c>
      <c r="E255">
        <f t="shared" si="18"/>
        <v>8.2690674361637195E-3</v>
      </c>
    </row>
    <row r="256" spans="1:5">
      <c r="A256">
        <f t="shared" si="20"/>
        <v>194</v>
      </c>
      <c r="B256">
        <f t="shared" si="19"/>
        <v>467</v>
      </c>
      <c r="C256">
        <f t="shared" si="16"/>
        <v>6.4622762760835742E-2</v>
      </c>
      <c r="D256">
        <f t="shared" si="17"/>
        <v>2.4413469599029233E-2</v>
      </c>
      <c r="E256">
        <f t="shared" si="18"/>
        <v>8.1378231996764114E-3</v>
      </c>
    </row>
    <row r="257" spans="1:5">
      <c r="A257">
        <f t="shared" si="20"/>
        <v>195</v>
      </c>
      <c r="B257">
        <f t="shared" si="19"/>
        <v>468</v>
      </c>
      <c r="C257">
        <f t="shared" si="16"/>
        <v>6.3587394215394777E-2</v>
      </c>
      <c r="D257">
        <f t="shared" si="17"/>
        <v>2.4027544813537052E-2</v>
      </c>
      <c r="E257">
        <f t="shared" si="18"/>
        <v>8.0091816045123505E-3</v>
      </c>
    </row>
    <row r="258" spans="1:5">
      <c r="A258">
        <f t="shared" si="20"/>
        <v>196</v>
      </c>
      <c r="B258">
        <f t="shared" si="19"/>
        <v>469</v>
      </c>
      <c r="C258">
        <f t="shared" si="16"/>
        <v>6.2572923702916089E-2</v>
      </c>
      <c r="D258">
        <f t="shared" si="17"/>
        <v>2.364924683981065E-2</v>
      </c>
      <c r="E258">
        <f t="shared" si="18"/>
        <v>7.883082279936884E-3</v>
      </c>
    </row>
    <row r="259" spans="1:5">
      <c r="A259">
        <f t="shared" si="20"/>
        <v>197</v>
      </c>
      <c r="B259">
        <f t="shared" si="19"/>
        <v>470</v>
      </c>
      <c r="C259">
        <f t="shared" si="16"/>
        <v>6.1578852109096791E-2</v>
      </c>
      <c r="D259">
        <f t="shared" si="17"/>
        <v>2.3278399295493725E-2</v>
      </c>
      <c r="E259">
        <f t="shared" si="18"/>
        <v>7.7594664318312414E-3</v>
      </c>
    </row>
    <row r="260" spans="1:5">
      <c r="A260">
        <f t="shared" si="20"/>
        <v>198</v>
      </c>
      <c r="B260">
        <f t="shared" si="19"/>
        <v>471</v>
      </c>
      <c r="C260">
        <f t="shared" si="16"/>
        <v>6.0604693961081861E-2</v>
      </c>
      <c r="D260">
        <f t="shared" si="17"/>
        <v>2.2914830392938974E-2</v>
      </c>
      <c r="E260">
        <f t="shared" si="18"/>
        <v>7.6382767976463243E-3</v>
      </c>
    </row>
    <row r="261" spans="1:5">
      <c r="A261">
        <f t="shared" si="20"/>
        <v>199</v>
      </c>
      <c r="B261">
        <f t="shared" si="19"/>
        <v>472</v>
      </c>
      <c r="C261">
        <f t="shared" si="16"/>
        <v>5.9649977009918656E-2</v>
      </c>
      <c r="D261">
        <f t="shared" si="17"/>
        <v>2.2558372808183881E-2</v>
      </c>
      <c r="E261">
        <f t="shared" si="18"/>
        <v>7.5194576027279606E-3</v>
      </c>
    </row>
    <row r="262" spans="1:5">
      <c r="A262">
        <f t="shared" si="20"/>
        <v>200</v>
      </c>
      <c r="B262">
        <f t="shared" si="19"/>
        <v>473</v>
      </c>
      <c r="C262">
        <f t="shared" si="16"/>
        <v>5.8714241827106571E-2</v>
      </c>
      <c r="D262">
        <f t="shared" si="17"/>
        <v>2.2208863553911121E-2</v>
      </c>
      <c r="E262">
        <f t="shared" si="18"/>
        <v>7.4029545179703738E-3</v>
      </c>
    </row>
    <row r="263" spans="1:5">
      <c r="A263">
        <f t="shared" si="20"/>
        <v>201</v>
      </c>
      <c r="B263">
        <f t="shared" si="19"/>
        <v>474</v>
      </c>
      <c r="C263">
        <f t="shared" si="16"/>
        <v>5.7797041414723693E-2</v>
      </c>
      <c r="D263">
        <f t="shared" si="17"/>
        <v>2.1866143856268425E-2</v>
      </c>
      <c r="E263">
        <f t="shared" si="18"/>
        <v>7.2887146187561418E-3</v>
      </c>
    </row>
    <row r="264" spans="1:5">
      <c r="A264">
        <f t="shared" si="20"/>
        <v>202</v>
      </c>
      <c r="B264">
        <f t="shared" si="19"/>
        <v>475</v>
      </c>
      <c r="C264">
        <f t="shared" si="16"/>
        <v>5.6897940828631796E-2</v>
      </c>
      <c r="D264">
        <f t="shared" si="17"/>
        <v>2.1530059035426086E-2</v>
      </c>
      <c r="E264">
        <f t="shared" si="18"/>
        <v>7.1766863451420285E-3</v>
      </c>
    </row>
    <row r="265" spans="1:5">
      <c r="A265">
        <f t="shared" si="20"/>
        <v>203</v>
      </c>
      <c r="B265">
        <f t="shared" si="19"/>
        <v>476</v>
      </c>
      <c r="C265">
        <f t="shared" si="16"/>
        <v>5.6016516814281755E-2</v>
      </c>
      <c r="D265">
        <f t="shared" si="17"/>
        <v>2.1200458389754678E-2</v>
      </c>
      <c r="E265">
        <f t="shared" si="18"/>
        <v>7.0668194632515597E-3</v>
      </c>
    </row>
    <row r="266" spans="1:5">
      <c r="A266">
        <f t="shared" si="20"/>
        <v>204</v>
      </c>
      <c r="B266">
        <f t="shared" si="19"/>
        <v>477</v>
      </c>
      <c r="C266">
        <f t="shared" si="16"/>
        <v>5.5152357454659275E-2</v>
      </c>
      <c r="D266">
        <f t="shared" si="17"/>
        <v>2.087719508350859E-2</v>
      </c>
      <c r="E266">
        <f t="shared" si="18"/>
        <v>6.9590650278361964E-3</v>
      </c>
    </row>
    <row r="267" spans="1:5">
      <c r="A267">
        <f t="shared" si="20"/>
        <v>205</v>
      </c>
      <c r="B267">
        <f t="shared" si="19"/>
        <v>478</v>
      </c>
      <c r="C267">
        <f t="shared" si="16"/>
        <v>5.4305061829930092E-2</v>
      </c>
      <c r="D267">
        <f t="shared" si="17"/>
        <v>2.0560126037905226E-2</v>
      </c>
      <c r="E267">
        <f t="shared" si="18"/>
        <v>6.8533753459684085E-3</v>
      </c>
    </row>
    <row r="268" spans="1:5">
      <c r="A268">
        <f t="shared" si="20"/>
        <v>206</v>
      </c>
      <c r="B268">
        <f t="shared" si="19"/>
        <v>479</v>
      </c>
      <c r="C268">
        <f t="shared" si="16"/>
        <v>5.3474239688360584E-2</v>
      </c>
      <c r="D268">
        <f t="shared" si="17"/>
        <v>2.0249111825492817E-2</v>
      </c>
      <c r="E268">
        <f t="shared" si="18"/>
        <v>6.7497039418309389E-3</v>
      </c>
    </row>
    <row r="269" spans="1:5">
      <c r="A269">
        <f t="shared" si="20"/>
        <v>207</v>
      </c>
      <c r="B269">
        <f t="shared" si="19"/>
        <v>480</v>
      </c>
      <c r="C269">
        <f t="shared" si="16"/>
        <v>5.2659511128105768E-2</v>
      </c>
      <c r="D269">
        <f t="shared" si="17"/>
        <v>1.9944016567703043E-2</v>
      </c>
      <c r="E269">
        <f t="shared" si="18"/>
        <v>6.6480055225676812E-3</v>
      </c>
    </row>
    <row r="270" spans="1:5">
      <c r="A270">
        <f t="shared" si="20"/>
        <v>208</v>
      </c>
      <c r="B270">
        <f t="shared" si="19"/>
        <v>481</v>
      </c>
      <c r="C270">
        <f t="shared" si="16"/>
        <v>5.1860506289473592E-2</v>
      </c>
      <c r="D270">
        <f t="shared" si="17"/>
        <v>1.9644707835488349E-2</v>
      </c>
      <c r="E270">
        <f t="shared" si="18"/>
        <v>6.5482359451627834E-3</v>
      </c>
    </row>
    <row r="271" spans="1:5">
      <c r="A271">
        <f t="shared" si="20"/>
        <v>209</v>
      </c>
      <c r="B271">
        <f t="shared" si="19"/>
        <v>482</v>
      </c>
      <c r="C271">
        <f t="shared" si="16"/>
        <v>5.1076865057289478E-2</v>
      </c>
      <c r="D271">
        <f t="shared" si="17"/>
        <v>1.9351056552946857E-2</v>
      </c>
      <c r="E271">
        <f t="shared" si="18"/>
        <v>6.4503521843156187E-3</v>
      </c>
    </row>
    <row r="272" spans="1:5">
      <c r="A272">
        <f t="shared" si="20"/>
        <v>210</v>
      </c>
      <c r="B272">
        <f t="shared" si="19"/>
        <v>483</v>
      </c>
      <c r="C272">
        <f t="shared" si="16"/>
        <v>5.0308236772999108E-2</v>
      </c>
      <c r="D272">
        <f t="shared" si="17"/>
        <v>1.9062936903840689E-2</v>
      </c>
      <c r="E272">
        <f t="shared" si="18"/>
        <v>6.3543123012802299E-3</v>
      </c>
    </row>
    <row r="273" spans="1:5">
      <c r="A273">
        <f t="shared" si="20"/>
        <v>211</v>
      </c>
      <c r="B273">
        <f t="shared" si="19"/>
        <v>484</v>
      </c>
      <c r="C273">
        <f t="shared" si="16"/>
        <v>4.9554279956161594E-2</v>
      </c>
      <c r="D273">
        <f t="shared" si="17"/>
        <v>1.8780226240916686E-2</v>
      </c>
      <c r="E273">
        <f t="shared" si="18"/>
        <v>6.2600754136388952E-3</v>
      </c>
    </row>
    <row r="274" spans="1:5">
      <c r="A274">
        <f t="shared" si="20"/>
        <v>212</v>
      </c>
      <c r="B274">
        <f t="shared" si="19"/>
        <v>485</v>
      </c>
      <c r="C274">
        <f t="shared" si="16"/>
        <v>4.8814662034999422E-2</v>
      </c>
      <c r="D274">
        <f t="shared" si="17"/>
        <v>1.8502804997941477E-2</v>
      </c>
      <c r="E274">
        <f t="shared" si="18"/>
        <v>6.1676016659804921E-3</v>
      </c>
    </row>
    <row r="275" spans="1:5">
      <c r="A275">
        <f t="shared" si="20"/>
        <v>213</v>
      </c>
      <c r="B275">
        <f t="shared" si="19"/>
        <v>486</v>
      </c>
      <c r="C275">
        <f t="shared" si="16"/>
        <v>4.8089059085683249E-2</v>
      </c>
      <c r="D275">
        <f t="shared" si="17"/>
        <v>1.8230556604365452E-2</v>
      </c>
      <c r="E275">
        <f t="shared" si="18"/>
        <v>6.0768522014551509E-3</v>
      </c>
    </row>
    <row r="276" spans="1:5">
      <c r="A276">
        <f t="shared" si="20"/>
        <v>214</v>
      </c>
      <c r="B276">
        <f t="shared" si="19"/>
        <v>487</v>
      </c>
      <c r="C276">
        <f t="shared" si="16"/>
        <v>4.7377155580042539E-2</v>
      </c>
      <c r="D276">
        <f t="shared" si="17"/>
        <v>1.7963367402533043E-2</v>
      </c>
      <c r="E276">
        <f t="shared" si="18"/>
        <v>5.9877891341776806E-3</v>
      </c>
    </row>
    <row r="277" spans="1:5">
      <c r="A277">
        <f t="shared" si="20"/>
        <v>215</v>
      </c>
      <c r="B277">
        <f t="shared" si="19"/>
        <v>488</v>
      </c>
      <c r="C277">
        <f t="shared" si="16"/>
        <v>4.6678644141405518E-2</v>
      </c>
      <c r="D277">
        <f t="shared" si="17"/>
        <v>1.7701126567359612E-2</v>
      </c>
      <c r="E277">
        <f t="shared" si="18"/>
        <v>5.9003755224532042E-3</v>
      </c>
    </row>
    <row r="278" spans="1:5">
      <c r="A278">
        <f t="shared" si="20"/>
        <v>216</v>
      </c>
      <c r="B278">
        <f t="shared" si="19"/>
        <v>489</v>
      </c>
      <c r="C278">
        <f t="shared" si="16"/>
        <v>4.599322530828124E-2</v>
      </c>
      <c r="D278">
        <f t="shared" si="17"/>
        <v>1.7443726028397073E-2</v>
      </c>
      <c r="E278">
        <f t="shared" si="18"/>
        <v>5.8145753427990242E-3</v>
      </c>
    </row>
    <row r="279" spans="1:5">
      <c r="A279">
        <f t="shared" si="20"/>
        <v>217</v>
      </c>
      <c r="B279">
        <f t="shared" si="19"/>
        <v>490</v>
      </c>
      <c r="C279">
        <f t="shared" ref="C279:C313" si="21">$B$18*EXP($D$18*((1/B279)-(1/$C$18)))</f>
        <v>4.5320607305610168E-2</v>
      </c>
      <c r="D279">
        <f t="shared" ref="D279:D313" si="22">1.8*C279/(C279+4.7)</f>
        <v>1.719106039421385E-2</v>
      </c>
      <c r="E279">
        <f t="shared" ref="E279:E313" si="23">D279/3</f>
        <v>5.73035346473795E-3</v>
      </c>
    </row>
    <row r="280" spans="1:5">
      <c r="A280">
        <f t="shared" si="20"/>
        <v>218</v>
      </c>
      <c r="B280">
        <f t="shared" ref="B280:B313" si="24">B279+1</f>
        <v>491</v>
      </c>
      <c r="C280">
        <f t="shared" si="21"/>
        <v>4.4660505823317771E-2</v>
      </c>
      <c r="D280">
        <f t="shared" si="22"/>
        <v>1.6943026879016391E-2</v>
      </c>
      <c r="E280">
        <f t="shared" si="23"/>
        <v>5.6476756263387972E-3</v>
      </c>
    </row>
    <row r="281" spans="1:5">
      <c r="A281">
        <f t="shared" si="20"/>
        <v>219</v>
      </c>
      <c r="B281">
        <f t="shared" si="24"/>
        <v>492</v>
      </c>
      <c r="C281">
        <f t="shared" si="21"/>
        <v>4.4012643801917155E-2</v>
      </c>
      <c r="D281">
        <f t="shared" si="22"/>
        <v>1.6699525231442188E-2</v>
      </c>
      <c r="E281">
        <f t="shared" si="23"/>
        <v>5.5665084104807297E-3</v>
      </c>
    </row>
    <row r="282" spans="1:5">
      <c r="A282">
        <f t="shared" si="20"/>
        <v>220</v>
      </c>
      <c r="B282">
        <f t="shared" si="24"/>
        <v>493</v>
      </c>
      <c r="C282">
        <f t="shared" si="21"/>
        <v>4.3376751224914564E-2</v>
      </c>
      <c r="D282">
        <f t="shared" si="22"/>
        <v>1.6460457665456063E-2</v>
      </c>
      <c r="E282">
        <f t="shared" si="23"/>
        <v>5.486819221818688E-3</v>
      </c>
    </row>
    <row r="283" spans="1:5">
      <c r="A283">
        <f t="shared" si="20"/>
        <v>221</v>
      </c>
      <c r="B283">
        <f t="shared" si="24"/>
        <v>494</v>
      </c>
      <c r="C283">
        <f t="shared" si="21"/>
        <v>4.2752564917784376E-2</v>
      </c>
      <c r="D283">
        <f t="shared" si="22"/>
        <v>1.6225728793284808E-2</v>
      </c>
      <c r="E283">
        <f t="shared" si="23"/>
        <v>5.4085762644282692E-3</v>
      </c>
    </row>
    <row r="284" spans="1:5">
      <c r="A284">
        <f t="shared" si="20"/>
        <v>222</v>
      </c>
      <c r="B284">
        <f t="shared" si="24"/>
        <v>495</v>
      </c>
      <c r="C284">
        <f t="shared" si="21"/>
        <v>4.2139828353283615E-2</v>
      </c>
      <c r="D284">
        <f t="shared" si="22"/>
        <v>1.5995245560325482E-2</v>
      </c>
      <c r="E284">
        <f t="shared" si="23"/>
        <v>5.3317485201084943E-3</v>
      </c>
    </row>
    <row r="285" spans="1:5">
      <c r="A285">
        <f t="shared" si="20"/>
        <v>223</v>
      </c>
      <c r="B285">
        <f t="shared" si="24"/>
        <v>496</v>
      </c>
      <c r="C285">
        <f t="shared" si="21"/>
        <v>4.1538291462890266E-2</v>
      </c>
      <c r="D285">
        <f t="shared" si="22"/>
        <v>1.5768917181966758E-2</v>
      </c>
      <c r="E285">
        <f t="shared" si="23"/>
        <v>5.256305727322253E-3</v>
      </c>
    </row>
    <row r="286" spans="1:5">
      <c r="A286">
        <f t="shared" si="20"/>
        <v>224</v>
      </c>
      <c r="B286">
        <f t="shared" si="24"/>
        <v>497</v>
      </c>
      <c r="C286">
        <f t="shared" si="21"/>
        <v>4.0947710454153192E-2</v>
      </c>
      <c r="D286">
        <f t="shared" si="22"/>
        <v>1.5546655082263114E-2</v>
      </c>
      <c r="E286">
        <f t="shared" si="23"/>
        <v>5.1822183607543714E-3</v>
      </c>
    </row>
    <row r="287" spans="1:5">
      <c r="A287">
        <f t="shared" si="20"/>
        <v>225</v>
      </c>
      <c r="B287">
        <f t="shared" si="24"/>
        <v>498</v>
      </c>
      <c r="C287">
        <f t="shared" si="21"/>
        <v>4.0367847633752119E-2</v>
      </c>
      <c r="D287">
        <f t="shared" si="22"/>
        <v>1.5328372834404516E-2</v>
      </c>
      <c r="E287">
        <f t="shared" si="23"/>
        <v>5.1094576114681716E-3</v>
      </c>
    </row>
    <row r="288" spans="1:5">
      <c r="A288">
        <f t="shared" si="20"/>
        <v>226</v>
      </c>
      <c r="B288">
        <f t="shared" si="24"/>
        <v>499</v>
      </c>
      <c r="C288">
        <f t="shared" si="21"/>
        <v>3.9798471236072948E-2</v>
      </c>
      <c r="D288">
        <f t="shared" si="22"/>
        <v>1.5113986102925876E-2</v>
      </c>
      <c r="E288">
        <f t="shared" si="23"/>
        <v>5.0379953676419585E-3</v>
      </c>
    </row>
    <row r="289" spans="1:5">
      <c r="A289">
        <f t="shared" si="20"/>
        <v>227</v>
      </c>
      <c r="B289">
        <f t="shared" si="24"/>
        <v>500</v>
      </c>
      <c r="C289">
        <f t="shared" si="21"/>
        <v>3.9239355257109317E-2</v>
      </c>
      <c r="D289">
        <f t="shared" si="22"/>
        <v>1.4903412587601828E-2</v>
      </c>
      <c r="E289">
        <f t="shared" si="23"/>
        <v>4.9678041958672757E-3</v>
      </c>
    </row>
    <row r="290" spans="1:5">
      <c r="A290">
        <f t="shared" si="20"/>
        <v>228</v>
      </c>
      <c r="B290">
        <f t="shared" si="24"/>
        <v>501</v>
      </c>
      <c r="C290">
        <f t="shared" si="21"/>
        <v>3.8690279293511022E-2</v>
      </c>
      <c r="D290">
        <f t="shared" si="22"/>
        <v>1.4696571968975109E-2</v>
      </c>
      <c r="E290">
        <f t="shared" si="23"/>
        <v>4.8988573229917032E-3</v>
      </c>
    </row>
    <row r="291" spans="1:5">
      <c r="A291">
        <f t="shared" si="20"/>
        <v>229</v>
      </c>
      <c r="B291">
        <f t="shared" si="24"/>
        <v>502</v>
      </c>
      <c r="C291">
        <f t="shared" si="21"/>
        <v>3.8151028386604439E-2</v>
      </c>
      <c r="D291">
        <f t="shared" si="22"/>
        <v>1.4493385855467668E-2</v>
      </c>
      <c r="E291">
        <f t="shared" si="23"/>
        <v>4.831128618489223E-3</v>
      </c>
    </row>
    <row r="292" spans="1:5">
      <c r="A292">
        <f t="shared" si="20"/>
        <v>230</v>
      </c>
      <c r="B292">
        <f t="shared" si="24"/>
        <v>503</v>
      </c>
      <c r="C292">
        <f t="shared" si="21"/>
        <v>3.762139287121672E-2</v>
      </c>
      <c r="D292">
        <f t="shared" si="22"/>
        <v>1.429377773202547E-2</v>
      </c>
      <c r="E292">
        <f t="shared" si="23"/>
        <v>4.7645925773418234E-3</v>
      </c>
    </row>
    <row r="293" spans="1:5">
      <c r="A293">
        <f t="shared" si="20"/>
        <v>231</v>
      </c>
      <c r="B293">
        <f t="shared" si="24"/>
        <v>504</v>
      </c>
      <c r="C293">
        <f t="shared" si="21"/>
        <v>3.7101168229143319E-2</v>
      </c>
      <c r="D293">
        <f t="shared" si="22"/>
        <v>1.4097672910250074E-2</v>
      </c>
      <c r="E293">
        <f t="shared" si="23"/>
        <v>4.6992243034166912E-3</v>
      </c>
    </row>
    <row r="294" spans="1:5">
      <c r="A294">
        <f t="shared" si="20"/>
        <v>232</v>
      </c>
      <c r="B294">
        <f t="shared" si="24"/>
        <v>505</v>
      </c>
      <c r="C294">
        <f t="shared" si="21"/>
        <v>3.6590154947101244E-2</v>
      </c>
      <c r="D294">
        <f t="shared" si="22"/>
        <v>1.3904998479970409E-2</v>
      </c>
      <c r="E294">
        <f t="shared" si="23"/>
        <v>4.6349994933234696E-3</v>
      </c>
    </row>
    <row r="295" spans="1:5">
      <c r="A295">
        <f t="shared" si="20"/>
        <v>233</v>
      </c>
      <c r="B295">
        <f t="shared" si="24"/>
        <v>506</v>
      </c>
      <c r="C295">
        <f t="shared" si="21"/>
        <v>3.6088158379019637E-2</v>
      </c>
      <c r="D295">
        <f t="shared" si="22"/>
        <v>1.3715683262211106E-2</v>
      </c>
      <c r="E295">
        <f t="shared" si="23"/>
        <v>4.5718944207370354E-3</v>
      </c>
    </row>
    <row r="296" spans="1:5">
      <c r="A296">
        <f t="shared" si="20"/>
        <v>234</v>
      </c>
      <c r="B296">
        <f t="shared" si="24"/>
        <v>507</v>
      </c>
      <c r="C296">
        <f t="shared" si="21"/>
        <v>3.5594988612522187E-2</v>
      </c>
      <c r="D296">
        <f t="shared" si="22"/>
        <v>1.3529657763514114E-2</v>
      </c>
      <c r="E296">
        <f t="shared" si="23"/>
        <v>4.5098859211713709E-3</v>
      </c>
    </row>
    <row r="297" spans="1:5">
      <c r="A297">
        <f t="shared" si="20"/>
        <v>235</v>
      </c>
      <c r="B297">
        <f t="shared" si="24"/>
        <v>508</v>
      </c>
      <c r="C297">
        <f t="shared" si="21"/>
        <v>3.5110460339461275E-2</v>
      </c>
      <c r="D297">
        <f t="shared" si="22"/>
        <v>1.3346854131571738E-2</v>
      </c>
      <c r="E297">
        <f t="shared" si="23"/>
        <v>4.4489513771905796E-3</v>
      </c>
    </row>
    <row r="298" spans="1:5">
      <c r="A298">
        <f t="shared" si="20"/>
        <v>236</v>
      </c>
      <c r="B298">
        <f t="shared" si="24"/>
        <v>509</v>
      </c>
      <c r="C298">
        <f t="shared" si="21"/>
        <v>3.4634392730371194E-2</v>
      </c>
      <c r="D298">
        <f t="shared" si="22"/>
        <v>1.3167206112131666E-2</v>
      </c>
      <c r="E298">
        <f t="shared" si="23"/>
        <v>4.3890687040438886E-3</v>
      </c>
    </row>
    <row r="299" spans="1:5">
      <c r="A299">
        <f t="shared" si="20"/>
        <v>237</v>
      </c>
      <c r="B299">
        <f t="shared" si="24"/>
        <v>510</v>
      </c>
      <c r="C299">
        <f t="shared" si="21"/>
        <v>3.4166609312708596E-2</v>
      </c>
      <c r="D299">
        <f t="shared" si="22"/>
        <v>1.2990649007134085E-2</v>
      </c>
      <c r="E299">
        <f t="shared" si="23"/>
        <v>4.3302163357113619E-3</v>
      </c>
    </row>
    <row r="300" spans="1:5">
      <c r="A300">
        <f t="shared" si="20"/>
        <v>238</v>
      </c>
      <c r="B300">
        <f t="shared" si="24"/>
        <v>511</v>
      </c>
      <c r="C300">
        <f t="shared" si="21"/>
        <v>3.3706937852757017E-2</v>
      </c>
      <c r="D300">
        <f t="shared" si="22"/>
        <v>1.2817119634043949E-2</v>
      </c>
      <c r="E300">
        <f t="shared" si="23"/>
        <v>4.2723732113479828E-3</v>
      </c>
    </row>
    <row r="301" spans="1:5">
      <c r="A301">
        <f t="shared" ref="A301:A313" si="25">1+A300</f>
        <v>239</v>
      </c>
      <c r="B301">
        <f t="shared" si="24"/>
        <v>512</v>
      </c>
      <c r="C301">
        <f t="shared" si="21"/>
        <v>3.3255210241074112E-2</v>
      </c>
      <c r="D301">
        <f t="shared" si="22"/>
        <v>1.2646556286341603E-2</v>
      </c>
      <c r="E301">
        <f t="shared" si="23"/>
        <v>4.2155187621138674E-3</v>
      </c>
    </row>
    <row r="302" spans="1:5">
      <c r="A302">
        <f t="shared" si="25"/>
        <v>240</v>
      </c>
      <c r="B302">
        <f t="shared" si="24"/>
        <v>513</v>
      </c>
      <c r="C302">
        <f t="shared" si="21"/>
        <v>3.2811262381365267E-2</v>
      </c>
      <c r="D302">
        <f t="shared" si="22"/>
        <v>1.2478898695136359E-2</v>
      </c>
      <c r="E302">
        <f t="shared" si="23"/>
        <v>4.1596328983787862E-3</v>
      </c>
    </row>
    <row r="303" spans="1:5">
      <c r="A303">
        <f t="shared" si="25"/>
        <v>241</v>
      </c>
      <c r="B303">
        <f t="shared" si="24"/>
        <v>514</v>
      </c>
      <c r="C303">
        <f t="shared" si="21"/>
        <v>3.2374934082672294E-2</v>
      </c>
      <c r="D303">
        <f t="shared" si="22"/>
        <v>1.2314087991869177E-2</v>
      </c>
      <c r="E303">
        <f t="shared" si="23"/>
        <v>4.1046959972897258E-3</v>
      </c>
    </row>
    <row r="304" spans="1:5">
      <c r="A304">
        <f t="shared" si="25"/>
        <v>242</v>
      </c>
      <c r="B304">
        <f t="shared" si="24"/>
        <v>515</v>
      </c>
      <c r="C304">
        <f t="shared" si="21"/>
        <v>3.1946068954767974E-2</v>
      </c>
      <c r="D304">
        <f t="shared" si="22"/>
        <v>1.2152066672070945E-2</v>
      </c>
      <c r="E304">
        <f t="shared" si="23"/>
        <v>4.0506888906903151E-3</v>
      </c>
    </row>
    <row r="305" spans="1:5">
      <c r="A305">
        <f t="shared" si="25"/>
        <v>243</v>
      </c>
      <c r="B305">
        <f t="shared" si="24"/>
        <v>516</v>
      </c>
      <c r="C305">
        <f t="shared" si="21"/>
        <v>3.1524514306653227E-2</v>
      </c>
      <c r="D305">
        <f t="shared" si="22"/>
        <v>1.199277856014468E-2</v>
      </c>
      <c r="E305">
        <f t="shared" si="23"/>
        <v>3.9975928533815602E-3</v>
      </c>
    </row>
    <row r="306" spans="1:5">
      <c r="A306">
        <f t="shared" si="25"/>
        <v>244</v>
      </c>
      <c r="B306">
        <f t="shared" si="24"/>
        <v>517</v>
      </c>
      <c r="C306">
        <f t="shared" si="21"/>
        <v>3.1110121048055564E-2</v>
      </c>
      <c r="D306">
        <f t="shared" si="22"/>
        <v>1.1836168775140462E-2</v>
      </c>
      <c r="E306">
        <f t="shared" si="23"/>
        <v>3.9453895917134869E-3</v>
      </c>
    </row>
    <row r="307" spans="1:5">
      <c r="A307">
        <f t="shared" si="25"/>
        <v>245</v>
      </c>
      <c r="B307">
        <f t="shared" si="24"/>
        <v>518</v>
      </c>
      <c r="C307">
        <f t="shared" si="21"/>
        <v>3.0702743593832085E-2</v>
      </c>
      <c r="D307">
        <f t="shared" si="22"/>
        <v>1.16821836974931E-2</v>
      </c>
      <c r="E307">
        <f t="shared" si="23"/>
        <v>3.8940612324977002E-3</v>
      </c>
    </row>
    <row r="308" spans="1:5">
      <c r="A308">
        <f t="shared" si="25"/>
        <v>246</v>
      </c>
      <c r="B308">
        <f t="shared" si="24"/>
        <v>519</v>
      </c>
      <c r="C308">
        <f t="shared" si="21"/>
        <v>3.0302239771183157E-2</v>
      </c>
      <c r="D308">
        <f t="shared" si="22"/>
        <v>1.1530770936693491E-2</v>
      </c>
      <c r="E308">
        <f t="shared" si="23"/>
        <v>3.8435903122311637E-3</v>
      </c>
    </row>
    <row r="309" spans="1:5">
      <c r="A309">
        <f t="shared" si="25"/>
        <v>247</v>
      </c>
      <c r="B309">
        <f t="shared" si="24"/>
        <v>520</v>
      </c>
      <c r="C309">
        <f t="shared" si="21"/>
        <v>2.9908470729586592E-2</v>
      </c>
      <c r="D309">
        <f t="shared" si="22"/>
        <v>1.1381879299865564E-2</v>
      </c>
      <c r="E309">
        <f t="shared" si="23"/>
        <v>3.7939597666218545E-3</v>
      </c>
    </row>
    <row r="310" spans="1:5">
      <c r="A310">
        <f t="shared" si="25"/>
        <v>248</v>
      </c>
      <c r="B310">
        <f t="shared" si="24"/>
        <v>521</v>
      </c>
      <c r="C310">
        <f t="shared" si="21"/>
        <v>2.9521300853364719E-2</v>
      </c>
      <c r="D310">
        <f t="shared" si="22"/>
        <v>1.123545876122147E-2</v>
      </c>
      <c r="E310">
        <f t="shared" si="23"/>
        <v>3.7451529204071566E-3</v>
      </c>
    </row>
    <row r="311" spans="1:5">
      <c r="A311">
        <f t="shared" si="25"/>
        <v>249</v>
      </c>
      <c r="B311">
        <f t="shared" si="24"/>
        <v>522</v>
      </c>
      <c r="C311">
        <f t="shared" si="21"/>
        <v>2.9140597676800654E-2</v>
      </c>
      <c r="D311">
        <f t="shared" si="22"/>
        <v>1.1091460432368801E-2</v>
      </c>
      <c r="E311">
        <f t="shared" si="23"/>
        <v>3.6971534774562671E-3</v>
      </c>
    </row>
    <row r="312" spans="1:5">
      <c r="A312">
        <f t="shared" si="25"/>
        <v>250</v>
      </c>
      <c r="B312">
        <f t="shared" si="24"/>
        <v>523</v>
      </c>
      <c r="C312">
        <f t="shared" si="21"/>
        <v>2.8766231801721717E-2</v>
      </c>
      <c r="D312">
        <f t="shared" si="22"/>
        <v>1.0949836533444059E-2</v>
      </c>
      <c r="E312">
        <f t="shared" si="23"/>
        <v>3.6499455111480197E-3</v>
      </c>
    </row>
    <row r="313" spans="1:5">
      <c r="A313">
        <f t="shared" si="25"/>
        <v>251</v>
      </c>
      <c r="B313">
        <f t="shared" si="24"/>
        <v>524</v>
      </c>
      <c r="C313">
        <f t="shared" si="21"/>
        <v>2.8398076817472348E-2</v>
      </c>
      <c r="D313">
        <f t="shared" si="22"/>
        <v>1.0810540365047916E-2</v>
      </c>
      <c r="E313">
        <f t="shared" si="23"/>
        <v>3.603513455015972E-3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opLeftCell="A16" workbookViewId="0">
      <selection activeCell="F24" sqref="F24"/>
    </sheetView>
  </sheetViews>
  <sheetFormatPr defaultRowHeight="15"/>
  <cols>
    <col min="2" max="2" width="10.85546875" customWidth="1"/>
    <col min="4" max="4" width="12.140625" customWidth="1"/>
    <col min="5" max="5" width="15.42578125" customWidth="1"/>
    <col min="7" max="7" width="9.5703125" bestFit="1" customWidth="1"/>
  </cols>
  <sheetData>
    <row r="1" spans="2:13" ht="15.75" thickBot="1"/>
    <row r="2" spans="2:13">
      <c r="B2" t="s">
        <v>19</v>
      </c>
      <c r="C2" t="s">
        <v>20</v>
      </c>
      <c r="D2" t="s">
        <v>23</v>
      </c>
      <c r="E2" t="s">
        <v>24</v>
      </c>
      <c r="F2" t="s">
        <v>21</v>
      </c>
      <c r="G2" t="s">
        <v>22</v>
      </c>
      <c r="J2" s="1" t="s">
        <v>3</v>
      </c>
      <c r="K2" s="2"/>
      <c r="L2" s="2"/>
      <c r="M2" s="3"/>
    </row>
    <row r="3" spans="2:13">
      <c r="B3">
        <v>-20</v>
      </c>
      <c r="C3">
        <v>0.50991799999999998</v>
      </c>
      <c r="D3">
        <f>4700*3*$C3/(1.8-3*$C3)</f>
        <v>26604.81117204325</v>
      </c>
      <c r="E3">
        <f>3510/(LN(D3/$M$4))-273</f>
        <v>-13.231925781409302</v>
      </c>
      <c r="F3">
        <v>-13.332800000000001</v>
      </c>
      <c r="G3">
        <v>-13</v>
      </c>
      <c r="J3" s="4" t="s">
        <v>0</v>
      </c>
      <c r="K3" s="5" t="s">
        <v>2</v>
      </c>
      <c r="L3" s="5" t="s">
        <v>16</v>
      </c>
      <c r="M3" s="6" t="s">
        <v>1</v>
      </c>
    </row>
    <row r="4" spans="2:13" ht="15.75" thickBot="1">
      <c r="B4">
        <f>B3+5</f>
        <v>-15</v>
      </c>
      <c r="C4">
        <v>0.48699799999999999</v>
      </c>
      <c r="D4">
        <f t="shared" ref="D4:D20" si="0">4700*3*$C4/(1.8-3*$C4)</f>
        <v>20255.310525477416</v>
      </c>
      <c r="E4">
        <f t="shared" ref="E4:E18" si="1">3510/(LN(D4/$M$4))-273</f>
        <v>-7.8818046412056333</v>
      </c>
      <c r="F4">
        <v>-6.7783499999999997</v>
      </c>
      <c r="G4">
        <v>-8</v>
      </c>
      <c r="J4" s="7">
        <v>3510</v>
      </c>
      <c r="K4" s="8">
        <v>4700</v>
      </c>
      <c r="L4" s="9">
        <v>298</v>
      </c>
      <c r="M4" s="10">
        <f>K4*EXP(-J4/L4)</f>
        <v>3.6037122104931936E-2</v>
      </c>
    </row>
    <row r="5" spans="2:13">
      <c r="B5">
        <f>B4+5</f>
        <v>-10</v>
      </c>
      <c r="C5">
        <v>0.46748200000000001</v>
      </c>
      <c r="D5">
        <f t="shared" si="0"/>
        <v>16580.127982613685</v>
      </c>
      <c r="E5">
        <f t="shared" si="1"/>
        <v>-3.8110012265395312</v>
      </c>
      <c r="F5">
        <v>-2.0724999999999998</v>
      </c>
      <c r="G5">
        <v>-4</v>
      </c>
    </row>
    <row r="6" spans="2:13">
      <c r="B6">
        <v>-4.2</v>
      </c>
      <c r="C6">
        <v>0.44378659999999998</v>
      </c>
      <c r="D6">
        <f t="shared" si="0"/>
        <v>13352.22855401649</v>
      </c>
      <c r="E6">
        <f t="shared" si="1"/>
        <v>0.734490482707713</v>
      </c>
      <c r="F6">
        <v>2.8</v>
      </c>
      <c r="G6">
        <v>0</v>
      </c>
    </row>
    <row r="7" spans="2:13">
      <c r="B7">
        <v>0.6</v>
      </c>
      <c r="C7">
        <v>0.41887999999999997</v>
      </c>
      <c r="D7">
        <f t="shared" si="0"/>
        <v>10869.787985865722</v>
      </c>
      <c r="E7">
        <f t="shared" si="1"/>
        <v>5.1972272994352693</v>
      </c>
      <c r="F7">
        <v>7.4569999999999999</v>
      </c>
      <c r="G7">
        <v>4</v>
      </c>
    </row>
    <row r="8" spans="2:13">
      <c r="B8">
        <v>6</v>
      </c>
      <c r="C8">
        <v>0.39373000000000002</v>
      </c>
      <c r="D8">
        <f t="shared" si="0"/>
        <v>8971.4015610607457</v>
      </c>
      <c r="E8">
        <f t="shared" si="1"/>
        <v>9.4949039999565343</v>
      </c>
      <c r="F8">
        <v>11.26</v>
      </c>
      <c r="G8">
        <v>8</v>
      </c>
    </row>
    <row r="9" spans="2:13">
      <c r="B9">
        <v>11</v>
      </c>
      <c r="C9">
        <v>0.36077799999999999</v>
      </c>
      <c r="D9">
        <f t="shared" si="0"/>
        <v>7088.2134586283855</v>
      </c>
      <c r="E9">
        <f t="shared" si="1"/>
        <v>14.955242964518163</v>
      </c>
      <c r="F9">
        <v>15.711</v>
      </c>
      <c r="G9">
        <v>13</v>
      </c>
    </row>
    <row r="10" spans="2:13">
      <c r="B10">
        <v>13.4</v>
      </c>
      <c r="C10">
        <v>0.33270260000000001</v>
      </c>
      <c r="D10">
        <f t="shared" si="0"/>
        <v>5850.0465025099393</v>
      </c>
      <c r="E10">
        <f t="shared" si="1"/>
        <v>19.563130452877829</v>
      </c>
      <c r="F10">
        <v>19.128350000000001</v>
      </c>
      <c r="G10">
        <v>17</v>
      </c>
    </row>
    <row r="11" spans="2:13">
      <c r="B11">
        <v>20.5</v>
      </c>
      <c r="C11">
        <v>0.30633539999999998</v>
      </c>
      <c r="D11">
        <f t="shared" si="0"/>
        <v>4902.7917563097481</v>
      </c>
      <c r="E11">
        <f t="shared" si="1"/>
        <v>23.935077491027073</v>
      </c>
      <c r="F11">
        <v>22.56</v>
      </c>
      <c r="G11">
        <v>22</v>
      </c>
    </row>
    <row r="12" spans="2:13">
      <c r="B12">
        <v>25</v>
      </c>
      <c r="C12">
        <v>0.24874869999999999</v>
      </c>
      <c r="D12">
        <f t="shared" si="0"/>
        <v>3328.440037090254</v>
      </c>
      <c r="E12">
        <f t="shared" si="1"/>
        <v>33.993556768292649</v>
      </c>
      <c r="F12">
        <v>31.08</v>
      </c>
      <c r="G12">
        <v>32</v>
      </c>
    </row>
    <row r="13" spans="2:13">
      <c r="B13">
        <v>30</v>
      </c>
      <c r="C13">
        <v>0.24581900000000001</v>
      </c>
      <c r="D13">
        <f t="shared" si="0"/>
        <v>3262.0307131099635</v>
      </c>
      <c r="E13">
        <f t="shared" si="1"/>
        <v>34.535651180385344</v>
      </c>
      <c r="F13">
        <v>31.670829999999999</v>
      </c>
      <c r="G13">
        <v>32</v>
      </c>
    </row>
    <row r="14" spans="2:13">
      <c r="B14">
        <v>40</v>
      </c>
      <c r="C14">
        <v>0.1967468</v>
      </c>
      <c r="D14">
        <f t="shared" si="0"/>
        <v>2293.12491506577</v>
      </c>
      <c r="E14">
        <f t="shared" si="1"/>
        <v>44.334707841317822</v>
      </c>
      <c r="F14">
        <v>43</v>
      </c>
      <c r="G14">
        <v>42</v>
      </c>
    </row>
    <row r="15" spans="2:13">
      <c r="B15">
        <v>50</v>
      </c>
      <c r="C15">
        <v>0.1620788</v>
      </c>
      <c r="D15">
        <f t="shared" si="0"/>
        <v>1739.5146889440382</v>
      </c>
      <c r="E15">
        <f t="shared" si="1"/>
        <v>52.465079317883522</v>
      </c>
      <c r="F15">
        <v>51</v>
      </c>
      <c r="G15">
        <v>49</v>
      </c>
    </row>
    <row r="16" spans="2:13">
      <c r="B16">
        <v>60</v>
      </c>
      <c r="C16">
        <v>0.1239929</v>
      </c>
      <c r="D16">
        <f t="shared" si="0"/>
        <v>1224.2813815172083</v>
      </c>
      <c r="E16">
        <f t="shared" si="1"/>
        <v>63.422315566812131</v>
      </c>
      <c r="F16">
        <v>61.173000000000002</v>
      </c>
      <c r="G16">
        <v>60</v>
      </c>
    </row>
    <row r="17" spans="2:7">
      <c r="B17">
        <v>70</v>
      </c>
      <c r="C17">
        <v>9.8958099999999993E-2</v>
      </c>
      <c r="D17">
        <f t="shared" si="0"/>
        <v>928.27180720813965</v>
      </c>
      <c r="E17">
        <f t="shared" si="1"/>
        <v>72.590462542560033</v>
      </c>
      <c r="F17">
        <v>71.599999999999994</v>
      </c>
      <c r="G17">
        <v>70</v>
      </c>
    </row>
    <row r="18" spans="2:7">
      <c r="B18">
        <v>80</v>
      </c>
      <c r="C18">
        <v>8.0047599999999997E-2</v>
      </c>
      <c r="D18">
        <f t="shared" si="0"/>
        <v>723.57338864096005</v>
      </c>
      <c r="E18">
        <f t="shared" si="1"/>
        <v>81.280364129140764</v>
      </c>
      <c r="F18">
        <v>82</v>
      </c>
      <c r="G18">
        <v>79</v>
      </c>
    </row>
    <row r="19" spans="2:7">
      <c r="B19">
        <v>90</v>
      </c>
      <c r="C19">
        <v>6.1492900000000003E-2</v>
      </c>
      <c r="D19">
        <f t="shared" si="0"/>
        <v>536.69975753337326</v>
      </c>
      <c r="E19">
        <f>3510/(LN(D19/$M$4))-273</f>
        <v>92.296061184389828</v>
      </c>
      <c r="F19">
        <v>94.411900000000003</v>
      </c>
      <c r="G19">
        <v>90</v>
      </c>
    </row>
    <row r="20" spans="2:7">
      <c r="B20">
        <v>100</v>
      </c>
      <c r="C20">
        <v>5.1971400000000001E-2</v>
      </c>
      <c r="D20">
        <f t="shared" si="0"/>
        <v>445.71684762437582</v>
      </c>
      <c r="E20">
        <f>3510/(LN(D20/$M$4))-273</f>
        <v>99.49720157646135</v>
      </c>
      <c r="F20">
        <v>102.85</v>
      </c>
      <c r="G20">
        <v>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opLeftCell="D1" workbookViewId="0">
      <selection activeCell="R4" sqref="R4"/>
    </sheetView>
  </sheetViews>
  <sheetFormatPr defaultRowHeight="15"/>
  <cols>
    <col min="1" max="1" width="11.5703125" style="24" customWidth="1"/>
    <col min="2" max="2" width="15.7109375" style="18" customWidth="1"/>
    <col min="3" max="3" width="14" customWidth="1"/>
    <col min="4" max="4" width="7.5703125" bestFit="1" customWidth="1"/>
    <col min="5" max="5" width="15.7109375" style="18" customWidth="1"/>
    <col min="6" max="7" width="14" customWidth="1"/>
    <col min="12" max="12" width="18" customWidth="1"/>
    <col min="17" max="17" width="9.42578125" customWidth="1"/>
    <col min="18" max="18" width="16" customWidth="1"/>
  </cols>
  <sheetData>
    <row r="1" spans="1:19">
      <c r="A1" s="21" t="s">
        <v>36</v>
      </c>
      <c r="B1" s="19" t="s">
        <v>39</v>
      </c>
      <c r="C1" s="3"/>
      <c r="E1" s="19"/>
      <c r="F1" s="3" t="s">
        <v>35</v>
      </c>
      <c r="G1" s="3"/>
    </row>
    <row r="2" spans="1:19" ht="15.75" thickBot="1">
      <c r="A2" s="22" t="s">
        <v>17</v>
      </c>
      <c r="B2" s="20" t="s">
        <v>25</v>
      </c>
      <c r="C2" s="12" t="s">
        <v>34</v>
      </c>
      <c r="E2" s="20" t="s">
        <v>17</v>
      </c>
      <c r="F2" s="12" t="s">
        <v>25</v>
      </c>
      <c r="G2" s="12" t="s">
        <v>34</v>
      </c>
    </row>
    <row r="3" spans="1:19" ht="15.75" thickBot="1">
      <c r="A3" s="23">
        <v>168.69963744506822</v>
      </c>
      <c r="B3" s="23">
        <v>157.17207830472699</v>
      </c>
      <c r="C3" s="13">
        <f>ABS(A3-B3)</f>
        <v>11.527559140341225</v>
      </c>
      <c r="E3" s="23">
        <v>168.69963744506822</v>
      </c>
      <c r="F3" s="13">
        <v>153.14418072359999</v>
      </c>
      <c r="G3" s="13">
        <f>ABS(E3-F3)</f>
        <v>15.555456721468232</v>
      </c>
      <c r="L3" s="3" t="s">
        <v>35</v>
      </c>
      <c r="P3">
        <f>R3*Q3</f>
        <v>2375.5837404848999</v>
      </c>
      <c r="Q3">
        <v>10021</v>
      </c>
      <c r="R3" s="25">
        <v>0.2370605469</v>
      </c>
      <c r="S3" s="25" t="s">
        <v>29</v>
      </c>
    </row>
    <row r="4" spans="1:19" ht="15.75" thickBot="1">
      <c r="A4" s="23">
        <v>149.59412929230274</v>
      </c>
      <c r="B4" s="23">
        <v>147.50499299147128</v>
      </c>
      <c r="C4" s="13">
        <f t="shared" ref="C4:C67" si="0">ABS(A4-B4)</f>
        <v>2.0891363008314556</v>
      </c>
      <c r="E4" s="23">
        <v>149.59412929230274</v>
      </c>
      <c r="F4" s="13">
        <v>144.96125499024379</v>
      </c>
      <c r="G4" s="13">
        <f t="shared" ref="G4:G67" si="1">ABS(E4-F4)</f>
        <v>4.6328743020589513</v>
      </c>
      <c r="I4" s="25"/>
      <c r="J4" s="25"/>
      <c r="K4" s="25"/>
      <c r="L4" s="26" t="s">
        <v>37</v>
      </c>
      <c r="M4" s="25"/>
      <c r="N4" s="25"/>
      <c r="O4" s="25"/>
      <c r="P4">
        <f>R4*Q4</f>
        <v>3799.4142974284041</v>
      </c>
      <c r="Q4">
        <v>67608</v>
      </c>
      <c r="R4">
        <f>R3^2</f>
        <v>5.6197702896527098E-2</v>
      </c>
      <c r="S4" t="s">
        <v>30</v>
      </c>
    </row>
    <row r="5" spans="1:19" ht="15.75" thickBot="1">
      <c r="A5" s="23">
        <v>136.39467891198791</v>
      </c>
      <c r="B5" s="23">
        <v>138.63421505219753</v>
      </c>
      <c r="C5" s="13">
        <f t="shared" si="0"/>
        <v>2.2395361402096228</v>
      </c>
      <c r="E5" s="23">
        <v>136.39467891198791</v>
      </c>
      <c r="F5" s="13">
        <v>137.31198454623689</v>
      </c>
      <c r="G5" s="13">
        <f t="shared" si="1"/>
        <v>0.91730563424897582</v>
      </c>
      <c r="P5">
        <f>R5*Q5</f>
        <v>3046.7471574592591</v>
      </c>
      <c r="Q5">
        <v>228696</v>
      </c>
      <c r="R5">
        <f>R3^3</f>
        <v>1.3322258183174429E-2</v>
      </c>
      <c r="S5" t="s">
        <v>31</v>
      </c>
    </row>
    <row r="6" spans="1:19" ht="15.75" thickBot="1">
      <c r="A6" s="23">
        <v>126.40864382987235</v>
      </c>
      <c r="B6" s="23">
        <v>130.50321273783214</v>
      </c>
      <c r="C6" s="13">
        <f t="shared" si="0"/>
        <v>4.0945689079597969</v>
      </c>
      <c r="E6" s="23">
        <v>126.40864382987235</v>
      </c>
      <c r="F6" s="13">
        <v>130.16797956193278</v>
      </c>
      <c r="G6" s="13">
        <f t="shared" si="1"/>
        <v>3.7593357320604355</v>
      </c>
      <c r="L6" t="s">
        <v>39</v>
      </c>
      <c r="P6">
        <f>R6*Q6</f>
        <v>1194.5285808618401</v>
      </c>
      <c r="Q6">
        <v>378233</v>
      </c>
      <c r="R6">
        <f>R3^4</f>
        <v>3.1581818108463301E-3</v>
      </c>
      <c r="S6" t="s">
        <v>32</v>
      </c>
    </row>
    <row r="7" spans="1:19" ht="15.75" thickBot="1">
      <c r="A7" s="23">
        <v>118.42301199326351</v>
      </c>
      <c r="B7" s="23">
        <v>123.05832966725262</v>
      </c>
      <c r="C7" s="13">
        <f t="shared" si="0"/>
        <v>4.6353176739891069</v>
      </c>
      <c r="E7" s="23">
        <v>118.42301199326351</v>
      </c>
      <c r="F7" s="13">
        <v>123.50182407925465</v>
      </c>
      <c r="G7" s="13">
        <f t="shared" si="1"/>
        <v>5.0788120859911317</v>
      </c>
      <c r="I7" s="25"/>
      <c r="J7" s="25"/>
      <c r="K7" s="25"/>
      <c r="L7" s="26" t="s">
        <v>38</v>
      </c>
      <c r="M7" s="25"/>
      <c r="N7" s="25"/>
      <c r="O7" s="25"/>
      <c r="P7">
        <f>R7*Q7</f>
        <v>183.30314303506887</v>
      </c>
      <c r="Q7">
        <v>244835</v>
      </c>
      <c r="R7">
        <f>R3^5</f>
        <v>7.4868030728886335E-4</v>
      </c>
      <c r="S7" t="s">
        <v>33</v>
      </c>
    </row>
    <row r="8" spans="1:19" ht="15.75" thickBot="1">
      <c r="A8" s="23">
        <v>111.79326286886607</v>
      </c>
      <c r="B8" s="23">
        <v>116.24869257244407</v>
      </c>
      <c r="C8" s="13">
        <f t="shared" si="0"/>
        <v>4.4554297035780053</v>
      </c>
      <c r="E8" s="23">
        <v>111.79326286886607</v>
      </c>
      <c r="F8" s="13">
        <v>117.28705981685613</v>
      </c>
      <c r="G8" s="13">
        <f t="shared" si="1"/>
        <v>5.493796947990063</v>
      </c>
    </row>
    <row r="9" spans="1:19" ht="15.75" thickBot="1">
      <c r="A9" s="23">
        <v>106.13828760224271</v>
      </c>
      <c r="B9" s="23">
        <v>110.02612043925036</v>
      </c>
      <c r="C9" s="13">
        <f t="shared" si="0"/>
        <v>3.8878328370076503</v>
      </c>
      <c r="E9" s="23">
        <v>106.13828760224271</v>
      </c>
      <c r="F9" s="13">
        <v>111.49816997528202</v>
      </c>
      <c r="G9" s="13">
        <f t="shared" si="1"/>
        <v>5.3598823730393121</v>
      </c>
    </row>
    <row r="10" spans="1:19" ht="15.75" thickBot="1">
      <c r="A10" s="23">
        <v>101.21507907809837</v>
      </c>
      <c r="B10" s="23">
        <v>104.34503504371909</v>
      </c>
      <c r="C10" s="13">
        <f t="shared" si="0"/>
        <v>3.1299559656207236</v>
      </c>
      <c r="E10" s="23">
        <v>101.21507907809837</v>
      </c>
      <c r="F10" s="13">
        <v>106.11056304212909</v>
      </c>
      <c r="G10" s="13">
        <f t="shared" si="1"/>
        <v>4.8954839640307171</v>
      </c>
    </row>
    <row r="11" spans="1:19" ht="15.75" thickBot="1">
      <c r="A11" s="23">
        <v>96.859723414551411</v>
      </c>
      <c r="B11" s="23">
        <v>99.162372884041176</v>
      </c>
      <c r="C11" s="13">
        <f t="shared" si="0"/>
        <v>2.302649469489765</v>
      </c>
      <c r="E11" s="23">
        <v>96.859723414551411</v>
      </c>
      <c r="F11" s="13">
        <v>101.10055659720676</v>
      </c>
      <c r="G11" s="13">
        <f t="shared" si="1"/>
        <v>4.2408331826553507</v>
      </c>
    </row>
    <row r="12" spans="1:19" ht="15.75" thickBot="1">
      <c r="A12" s="23">
        <v>92.956725643050959</v>
      </c>
      <c r="B12" s="23">
        <v>94.437498508084303</v>
      </c>
      <c r="C12" s="13">
        <f t="shared" si="0"/>
        <v>1.4807728650333445</v>
      </c>
      <c r="E12" s="23">
        <v>92.956725643050959</v>
      </c>
      <c r="F12" s="13">
        <v>96.4453611176979</v>
      </c>
      <c r="G12" s="13">
        <f t="shared" si="1"/>
        <v>3.4886354746469408</v>
      </c>
    </row>
    <row r="13" spans="1:19" ht="15.75" thickBot="1">
      <c r="A13" s="23">
        <v>89.421818673417533</v>
      </c>
      <c r="B13" s="23">
        <v>90.132119236520921</v>
      </c>
      <c r="C13" s="13">
        <f t="shared" si="0"/>
        <v>0.71030056310338807</v>
      </c>
      <c r="E13" s="23">
        <v>89.421818673417533</v>
      </c>
      <c r="F13" s="13">
        <v>92.123063783319537</v>
      </c>
      <c r="G13" s="13">
        <f t="shared" si="1"/>
        <v>2.7012451099020041</v>
      </c>
    </row>
    <row r="14" spans="1:19" ht="15.75" thickBot="1">
      <c r="A14" s="23">
        <v>86.19173984383724</v>
      </c>
      <c r="B14" s="23">
        <v>86.210201281550241</v>
      </c>
      <c r="C14" s="13">
        <f t="shared" si="0"/>
        <v>1.846143771300035E-2</v>
      </c>
      <c r="E14" s="23">
        <v>86.19173984383724</v>
      </c>
      <c r="F14" s="13">
        <v>88.112612281483564</v>
      </c>
      <c r="G14" s="13">
        <f t="shared" si="1"/>
        <v>1.9208724376463238</v>
      </c>
    </row>
    <row r="15" spans="1:19" ht="15.75" thickBot="1">
      <c r="A15" s="23">
        <v>83.217851539764979</v>
      </c>
      <c r="B15" s="23">
        <v>82.637887261214473</v>
      </c>
      <c r="C15" s="13">
        <f t="shared" si="0"/>
        <v>0.5799642785505057</v>
      </c>
      <c r="E15" s="23">
        <v>83.217851539764979</v>
      </c>
      <c r="F15" s="13">
        <v>84.393798612457559</v>
      </c>
      <c r="G15" s="13">
        <f t="shared" si="1"/>
        <v>1.1759470726925798</v>
      </c>
    </row>
    <row r="16" spans="1:19" ht="15.75" thickBot="1">
      <c r="A16" s="23">
        <v>80.461998799586695</v>
      </c>
      <c r="B16" s="23">
        <v>79.383415109309524</v>
      </c>
      <c r="C16" s="13">
        <f t="shared" si="0"/>
        <v>1.0785836902771706</v>
      </c>
      <c r="E16" s="23">
        <v>80.461998799586695</v>
      </c>
      <c r="F16" s="13">
        <v>80.947242894525516</v>
      </c>
      <c r="G16" s="13">
        <f t="shared" si="1"/>
        <v>0.48524409493882104</v>
      </c>
    </row>
    <row r="17" spans="1:7" ht="15.75" thickBot="1">
      <c r="A17" s="23">
        <v>77.893727752785423</v>
      </c>
      <c r="B17" s="23">
        <v>76.417038380889579</v>
      </c>
      <c r="C17" s="13">
        <f t="shared" si="0"/>
        <v>1.4766893718958443</v>
      </c>
      <c r="E17" s="23">
        <v>77.893727752785423</v>
      </c>
      <c r="F17" s="13">
        <v>77.754377169148484</v>
      </c>
      <c r="G17" s="13">
        <f t="shared" si="1"/>
        <v>0.13935058363693997</v>
      </c>
    </row>
    <row r="18" spans="1:7" ht="15.75" thickBot="1">
      <c r="A18" s="23">
        <v>75.488363552905298</v>
      </c>
      <c r="B18" s="23">
        <v>73.710947953366158</v>
      </c>
      <c r="C18" s="13">
        <f t="shared" si="0"/>
        <v>1.7774155995391396</v>
      </c>
      <c r="E18" s="23">
        <v>75.488363552905298</v>
      </c>
      <c r="F18" s="13">
        <v>74.797429206125443</v>
      </c>
      <c r="G18" s="13">
        <f t="shared" si="1"/>
        <v>0.69093434677985499</v>
      </c>
    </row>
    <row r="19" spans="1:7" ht="15.75" thickBot="1">
      <c r="A19" s="23">
        <v>73.225648914130204</v>
      </c>
      <c r="B19" s="23">
        <v>71.239195123201256</v>
      </c>
      <c r="C19" s="13">
        <f t="shared" si="0"/>
        <v>1.9864537909289481</v>
      </c>
      <c r="E19" s="23">
        <v>73.225648914130204</v>
      </c>
      <c r="F19" s="13">
        <v>72.059406308753978</v>
      </c>
      <c r="G19" s="13">
        <f t="shared" si="1"/>
        <v>1.166242605376226</v>
      </c>
    </row>
    <row r="20" spans="1:7" ht="15.75" thickBot="1">
      <c r="A20" s="23">
        <v>71.08875864932611</v>
      </c>
      <c r="B20" s="23">
        <v>68.977616098194886</v>
      </c>
      <c r="C20" s="13">
        <f t="shared" si="0"/>
        <v>2.1111425511312234</v>
      </c>
      <c r="E20" s="23">
        <v>71.08875864932611</v>
      </c>
      <c r="F20" s="13">
        <v>69.52407911899104</v>
      </c>
      <c r="G20" s="13">
        <f t="shared" si="1"/>
        <v>1.56467953033507</v>
      </c>
    </row>
    <row r="21" spans="1:7" ht="15.75" thickBot="1">
      <c r="A21" s="23">
        <v>69.063572636939114</v>
      </c>
      <c r="B21" s="23">
        <v>66.903757885366588</v>
      </c>
      <c r="C21" s="13">
        <f t="shared" si="0"/>
        <v>2.1598147515725259</v>
      </c>
      <c r="E21" s="23">
        <v>69.063572636939114</v>
      </c>
      <c r="F21" s="13">
        <v>67.175965422613672</v>
      </c>
      <c r="G21" s="13">
        <f t="shared" si="1"/>
        <v>1.8876072143254419</v>
      </c>
    </row>
    <row r="22" spans="1:7" ht="15.75" thickBot="1">
      <c r="A22" s="23">
        <v>67.138130286479566</v>
      </c>
      <c r="B22" s="23">
        <v>64.996805574431335</v>
      </c>
      <c r="C22" s="13">
        <f t="shared" si="0"/>
        <v>2.141324712048231</v>
      </c>
      <c r="E22" s="23">
        <v>67.138130286479566</v>
      </c>
      <c r="F22" s="13">
        <v>65.000313954379777</v>
      </c>
      <c r="G22" s="13">
        <f t="shared" si="1"/>
        <v>2.1378163320997885</v>
      </c>
    </row>
    <row r="23" spans="1:7" ht="15.75" thickBot="1">
      <c r="A23" s="23">
        <v>65.302214947749292</v>
      </c>
      <c r="B23" s="23">
        <v>63.237511016869746</v>
      </c>
      <c r="C23" s="13">
        <f t="shared" si="0"/>
        <v>2.0647039308795456</v>
      </c>
      <c r="E23" s="23">
        <v>65.302214947749292</v>
      </c>
      <c r="F23" s="13">
        <v>62.983088203188885</v>
      </c>
      <c r="G23" s="13">
        <f t="shared" si="1"/>
        <v>2.3191267445604069</v>
      </c>
    </row>
    <row r="24" spans="1:7" ht="15.75" thickBot="1">
      <c r="A24" s="23">
        <v>63.547032969697</v>
      </c>
      <c r="B24" s="23">
        <v>61.608122900592292</v>
      </c>
      <c r="C24" s="13">
        <f t="shared" si="0"/>
        <v>1.9389100691047076</v>
      </c>
      <c r="E24" s="23">
        <v>63.547032969697</v>
      </c>
      <c r="F24" s="13">
        <v>61.110950217242703</v>
      </c>
      <c r="G24" s="13">
        <f t="shared" si="1"/>
        <v>2.436082752454297</v>
      </c>
    </row>
    <row r="25" spans="1:7" ht="15.75" thickBot="1">
      <c r="A25" s="23">
        <v>61.864962779739074</v>
      </c>
      <c r="B25" s="23">
        <v>60.092318220197797</v>
      </c>
      <c r="C25" s="13">
        <f t="shared" si="0"/>
        <v>1.772644559541277</v>
      </c>
      <c r="E25" s="23">
        <v>61.864962779739074</v>
      </c>
      <c r="F25" s="13">
        <v>59.371244409206184</v>
      </c>
      <c r="G25" s="13">
        <f t="shared" si="1"/>
        <v>2.4937183705328891</v>
      </c>
    </row>
    <row r="26" spans="1:7" ht="15.75" thickBot="1">
      <c r="A26" s="23">
        <v>60.249356496983353</v>
      </c>
      <c r="B26" s="23">
        <v>58.675135142826321</v>
      </c>
      <c r="C26" s="13">
        <f t="shared" si="0"/>
        <v>1.5742213541570322</v>
      </c>
      <c r="E26" s="23">
        <v>60.249356496983353</v>
      </c>
      <c r="F26" s="13">
        <v>57.751981361367967</v>
      </c>
      <c r="G26" s="13">
        <f t="shared" si="1"/>
        <v>2.4973751356153855</v>
      </c>
    </row>
    <row r="27" spans="1:7" ht="15.75" thickBot="1">
      <c r="A27" s="23">
        <v>58.694381467673225</v>
      </c>
      <c r="B27" s="23">
        <v>57.342907269606371</v>
      </c>
      <c r="C27" s="13">
        <f t="shared" si="0"/>
        <v>1.3514741980668532</v>
      </c>
      <c r="E27" s="23">
        <v>58.694381467673225</v>
      </c>
      <c r="F27" s="13">
        <v>56.241821630801439</v>
      </c>
      <c r="G27" s="13">
        <f t="shared" si="1"/>
        <v>2.4525598368717851</v>
      </c>
    </row>
    <row r="28" spans="1:7" ht="15.75" thickBot="1">
      <c r="A28" s="23">
        <v>57.194892495975864</v>
      </c>
      <c r="B28" s="23">
        <v>56.083199292695383</v>
      </c>
      <c r="C28" s="13">
        <f t="shared" si="0"/>
        <v>1.1116932032804812</v>
      </c>
      <c r="E28" s="23">
        <v>57.194892495975864</v>
      </c>
      <c r="F28" s="13">
        <v>54.830059554525008</v>
      </c>
      <c r="G28" s="13">
        <f t="shared" si="1"/>
        <v>2.3648329414508567</v>
      </c>
    </row>
    <row r="29" spans="1:7" ht="15.75" thickBot="1">
      <c r="A29" s="23">
        <v>55.746327930606867</v>
      </c>
      <c r="B29" s="23">
        <v>54.884744047916229</v>
      </c>
      <c r="C29" s="13">
        <f t="shared" si="0"/>
        <v>0.86158388269063835</v>
      </c>
      <c r="E29" s="23">
        <v>55.746327930606867</v>
      </c>
      <c r="F29" s="13">
        <v>53.506607054663363</v>
      </c>
      <c r="G29" s="13">
        <f t="shared" si="1"/>
        <v>2.2397208759435046</v>
      </c>
    </row>
    <row r="30" spans="1:7" ht="15.75" thickBot="1">
      <c r="A30" s="23">
        <v>54.344624476030845</v>
      </c>
      <c r="B30" s="23">
        <v>53.737380962985867</v>
      </c>
      <c r="C30" s="13">
        <f t="shared" si="0"/>
        <v>0.60724351304497759</v>
      </c>
      <c r="E30" s="23">
        <v>54.344624476030845</v>
      </c>
      <c r="F30" s="13">
        <v>52.26197744360789</v>
      </c>
      <c r="G30" s="13">
        <f t="shared" si="1"/>
        <v>2.0826470324229547</v>
      </c>
    </row>
    <row r="31" spans="1:7" ht="15.75" thickBot="1">
      <c r="A31" s="23">
        <v>52.986146835576335</v>
      </c>
      <c r="B31" s="23">
        <v>52.631995901340019</v>
      </c>
      <c r="C31" s="13">
        <f t="shared" si="0"/>
        <v>0.35415093423631561</v>
      </c>
      <c r="E31" s="23">
        <v>52.986146835576335</v>
      </c>
      <c r="F31" s="13">
        <v>51.087269229177394</v>
      </c>
      <c r="G31" s="13">
        <f t="shared" si="1"/>
        <v>1.8988776063989405</v>
      </c>
    </row>
    <row r="32" spans="1:7" ht="15.75" thickBot="1">
      <c r="A32" s="23">
        <v>51.667629202921489</v>
      </c>
      <c r="B32" s="23">
        <v>51.560462401550978</v>
      </c>
      <c r="C32" s="13">
        <f t="shared" si="0"/>
        <v>0.10716680137051071</v>
      </c>
      <c r="E32" s="23">
        <v>51.667629202921489</v>
      </c>
      <c r="F32" s="13">
        <v>49.974149919779222</v>
      </c>
      <c r="G32" s="13">
        <f t="shared" si="1"/>
        <v>1.6934792831422669</v>
      </c>
    </row>
    <row r="33" spans="1:12" ht="15.75" thickBot="1">
      <c r="A33" s="23">
        <v>50.386126293281279</v>
      </c>
      <c r="B33" s="23">
        <v>50.51558431233974</v>
      </c>
      <c r="C33" s="13">
        <f t="shared" si="0"/>
        <v>0.1294580190584611</v>
      </c>
      <c r="E33" s="23">
        <v>50.386126293281279</v>
      </c>
      <c r="F33" s="13">
        <v>48.914839829569559</v>
      </c>
      <c r="G33" s="13">
        <f t="shared" si="1"/>
        <v>1.4712864637117207</v>
      </c>
    </row>
    <row r="34" spans="1:12" ht="15.75" thickBot="1">
      <c r="A34" s="23">
        <v>49.138972111910846</v>
      </c>
      <c r="B34" s="23">
        <v>49.49103982318303</v>
      </c>
      <c r="C34" s="13">
        <f t="shared" si="0"/>
        <v>0.35206771127218417</v>
      </c>
      <c r="E34" s="23">
        <v>49.138972111910846</v>
      </c>
      <c r="F34" s="13">
        <v>47.902095883614152</v>
      </c>
      <c r="G34" s="13">
        <f t="shared" si="1"/>
        <v>1.2368762282966941</v>
      </c>
    </row>
    <row r="35" spans="1:12" ht="15.75" thickBot="1">
      <c r="A35" s="23">
        <v>47.923745041086761</v>
      </c>
      <c r="B35" s="23">
        <v>48.481326890513799</v>
      </c>
      <c r="C35" s="13">
        <f t="shared" si="0"/>
        <v>0.55758184942703792</v>
      </c>
      <c r="E35" s="23">
        <v>47.923745041086761</v>
      </c>
      <c r="F35" s="13">
        <v>46.92919542304972</v>
      </c>
      <c r="G35" s="13">
        <f t="shared" si="1"/>
        <v>0.99454961803704123</v>
      </c>
    </row>
    <row r="36" spans="1:12" ht="15.75" thickBot="1">
      <c r="A36" s="23">
        <v>46.73823811995527</v>
      </c>
      <c r="B36" s="23">
        <v>47.481710059516331</v>
      </c>
      <c r="C36" s="13">
        <f t="shared" si="0"/>
        <v>0.74347193956106139</v>
      </c>
      <c r="E36" s="23">
        <v>46.73823811995527</v>
      </c>
      <c r="F36" s="13">
        <v>45.98992001024385</v>
      </c>
      <c r="G36" s="13">
        <f t="shared" si="1"/>
        <v>0.74831810971141977</v>
      </c>
    </row>
    <row r="37" spans="1:12" ht="15.75" thickBot="1">
      <c r="A37" s="23">
        <v>45.58043361775043</v>
      </c>
      <c r="B37" s="23">
        <v>46.488168681515504</v>
      </c>
      <c r="C37" s="13">
        <f t="shared" si="0"/>
        <v>0.90773506376507385</v>
      </c>
      <c r="E37" s="23">
        <v>45.58043361775043</v>
      </c>
      <c r="F37" s="13">
        <v>45.078539233956008</v>
      </c>
      <c r="G37" s="13">
        <f t="shared" si="1"/>
        <v>0.50189438379442208</v>
      </c>
    </row>
    <row r="38" spans="1:12" ht="15.75" thickBot="1">
      <c r="A38" s="23">
        <v>44.448481176633152</v>
      </c>
      <c r="B38" s="23">
        <v>45.497346526960087</v>
      </c>
      <c r="C38" s="13">
        <f t="shared" si="0"/>
        <v>1.0488653503269347</v>
      </c>
      <c r="E38" s="23">
        <v>44.448481176633152</v>
      </c>
      <c r="F38" s="13">
        <v>44.189794514498999</v>
      </c>
      <c r="G38" s="13">
        <f t="shared" si="1"/>
        <v>0.25868666213415281</v>
      </c>
    </row>
    <row r="39" spans="1:12" ht="15.75" thickBot="1">
      <c r="A39" s="23">
        <v>43.340678938053713</v>
      </c>
      <c r="B39" s="23">
        <v>44.506502794000994</v>
      </c>
      <c r="C39" s="13">
        <f t="shared" si="0"/>
        <v>1.1658238559472807</v>
      </c>
      <c r="E39" s="23">
        <v>43.340678938053713</v>
      </c>
      <c r="F39" s="13">
        <v>43.318882908898331</v>
      </c>
      <c r="G39" s="13">
        <f t="shared" si="1"/>
        <v>2.1796029155382257E-2</v>
      </c>
    </row>
    <row r="40" spans="1:12" ht="15.75" thickBot="1">
      <c r="A40" s="23">
        <v>42.255457175103231</v>
      </c>
      <c r="B40" s="23">
        <v>43.513464512662438</v>
      </c>
      <c r="C40" s="13">
        <f t="shared" si="0"/>
        <v>1.2580073375592065</v>
      </c>
      <c r="E40" s="23">
        <v>42.255457175103231</v>
      </c>
      <c r="F40" s="13">
        <v>42.461440916054244</v>
      </c>
      <c r="G40" s="13">
        <f t="shared" si="1"/>
        <v>0.20598374095101235</v>
      </c>
    </row>
    <row r="41" spans="1:12" ht="15.75" thickBot="1">
      <c r="A41" s="23">
        <v>41.19136403952956</v>
      </c>
      <c r="B41" s="23">
        <v>42.516580344608712</v>
      </c>
      <c r="C41" s="13">
        <f t="shared" si="0"/>
        <v>1.3252163050791523</v>
      </c>
      <c r="E41" s="23">
        <v>41.19136403952956</v>
      </c>
      <c r="F41" s="13">
        <v>41.613528281901779</v>
      </c>
      <c r="G41" s="13">
        <f t="shared" si="1"/>
        <v>0.42216424237221872</v>
      </c>
    </row>
    <row r="42" spans="1:12" ht="15.75" thickBot="1">
      <c r="A42" s="23">
        <v>40.147053100967923</v>
      </c>
      <c r="B42" s="23">
        <v>41.51467577850417</v>
      </c>
      <c r="C42" s="13">
        <f t="shared" si="0"/>
        <v>1.3676226775362466</v>
      </c>
      <c r="E42" s="23">
        <v>40.147053100967923</v>
      </c>
      <c r="F42" s="13">
        <v>40.771611804571535</v>
      </c>
      <c r="G42" s="13">
        <f t="shared" si="1"/>
        <v>0.62455870360361132</v>
      </c>
    </row>
    <row r="43" spans="1:12" ht="15.75" thickBot="1">
      <c r="A43" s="23">
        <v>39.121272411309008</v>
      </c>
      <c r="B43" s="23">
        <v>40.507009720968085</v>
      </c>
      <c r="C43" s="13">
        <f t="shared" si="0"/>
        <v>1.3857373096590777</v>
      </c>
      <c r="E43" s="23">
        <v>39.121272411309008</v>
      </c>
      <c r="F43" s="13">
        <v>39.932549139550872</v>
      </c>
      <c r="G43" s="13">
        <f t="shared" si="1"/>
        <v>0.81127672824186448</v>
      </c>
    </row>
    <row r="44" spans="1:12" ht="15.75" thickBot="1">
      <c r="A44" s="23">
        <v>38.112854871875697</v>
      </c>
      <c r="B44" s="23">
        <v>39.493232483123393</v>
      </c>
      <c r="C44" s="13">
        <f t="shared" si="0"/>
        <v>1.3803776112476953</v>
      </c>
      <c r="E44" s="23">
        <v>38.112854871875697</v>
      </c>
      <c r="F44" s="13">
        <v>39.093572604843871</v>
      </c>
      <c r="G44" s="13">
        <f t="shared" si="1"/>
        <v>0.98071773296817355</v>
      </c>
    </row>
    <row r="45" spans="1:12" ht="15.75" thickBot="1">
      <c r="A45" s="23">
        <v>37.12070971744771</v>
      </c>
      <c r="B45" s="23">
        <v>38.473345162739747</v>
      </c>
      <c r="C45" s="13">
        <f t="shared" si="0"/>
        <v>1.3526354452920373</v>
      </c>
      <c r="E45" s="23">
        <v>37.12070971744771</v>
      </c>
      <c r="F45" s="13">
        <v>38.252272986133164</v>
      </c>
      <c r="G45" s="13">
        <f t="shared" si="1"/>
        <v>1.1315632686854542</v>
      </c>
      <c r="L45">
        <v>1</v>
      </c>
    </row>
    <row r="46" spans="1:12" ht="15.75" thickBot="1">
      <c r="A46" s="23">
        <v>36.14381496087492</v>
      </c>
      <c r="B46" s="23">
        <v>37.44766042197034</v>
      </c>
      <c r="C46" s="13">
        <f t="shared" si="0"/>
        <v>1.3038454610954204</v>
      </c>
      <c r="E46" s="23">
        <v>36.14381496087492</v>
      </c>
      <c r="F46" s="13">
        <v>37.406583341939324</v>
      </c>
      <c r="G46" s="13">
        <f t="shared" si="1"/>
        <v>1.2627683810644044</v>
      </c>
      <c r="K46">
        <v>0.2358398438</v>
      </c>
      <c r="L46">
        <f>K46*L45</f>
        <v>0.2358398438</v>
      </c>
    </row>
    <row r="47" spans="1:12" ht="15.75" thickBot="1">
      <c r="A47" s="23">
        <v>35.181210666385539</v>
      </c>
      <c r="B47" s="23">
        <v>36.416764660684635</v>
      </c>
      <c r="C47" s="13">
        <f t="shared" si="0"/>
        <v>1.2355539942990958</v>
      </c>
      <c r="E47" s="23">
        <v>35.181210666385539</v>
      </c>
      <c r="F47" s="13">
        <v>36.554762808782812</v>
      </c>
      <c r="G47" s="13">
        <f t="shared" si="1"/>
        <v>1.3735521423972727</v>
      </c>
      <c r="K47">
        <v>0.2358398438</v>
      </c>
      <c r="L47">
        <f t="shared" ref="L47:L52" si="2">K47*L46</f>
        <v>5.5620431923608403E-2</v>
      </c>
    </row>
    <row r="48" spans="1:12" ht="15.75" thickBot="1">
      <c r="A48" s="23">
        <v>34.231992939783538</v>
      </c>
      <c r="B48" s="23">
        <v>35.381481585392521</v>
      </c>
      <c r="C48" s="13">
        <f t="shared" si="0"/>
        <v>1.149488645608983</v>
      </c>
      <c r="E48" s="23">
        <v>34.231992939783538</v>
      </c>
      <c r="F48" s="13">
        <v>35.695380406344384</v>
      </c>
      <c r="G48" s="13">
        <f t="shared" si="1"/>
        <v>1.463387466560846</v>
      </c>
      <c r="K48">
        <v>0.2358398438</v>
      </c>
      <c r="L48">
        <f t="shared" si="2"/>
        <v>1.3117513976952339E-2</v>
      </c>
    </row>
    <row r="49" spans="1:12" ht="15.75" thickBot="1">
      <c r="A49" s="23">
        <v>33.295308540347605</v>
      </c>
      <c r="B49" s="23">
        <v>34.342837173765588</v>
      </c>
      <c r="C49" s="13">
        <f t="shared" si="0"/>
        <v>1.0475286334179827</v>
      </c>
      <c r="E49" s="23">
        <v>33.295308540347605</v>
      </c>
      <c r="F49" s="13">
        <v>34.827298842624771</v>
      </c>
      <c r="G49" s="13">
        <f t="shared" si="1"/>
        <v>1.5319903022771655</v>
      </c>
      <c r="K49">
        <v>0.2358398438</v>
      </c>
      <c r="L49">
        <f t="shared" si="2"/>
        <v>3.0936324473687564E-3</v>
      </c>
    </row>
    <row r="50" spans="1:12" ht="15.75" thickBot="1">
      <c r="A50" s="23">
        <v>32.370350033052716</v>
      </c>
      <c r="B50" s="23">
        <v>33.30202603475027</v>
      </c>
      <c r="C50" s="13">
        <f t="shared" si="0"/>
        <v>0.9316760016975536</v>
      </c>
      <c r="E50" s="23">
        <v>32.370350033052716</v>
      </c>
      <c r="F50" s="13">
        <v>33.949658319107755</v>
      </c>
      <c r="G50" s="13">
        <f t="shared" si="1"/>
        <v>1.5793082860550385</v>
      </c>
      <c r="K50">
        <v>0.2358398438</v>
      </c>
      <c r="L50">
        <f t="shared" si="2"/>
        <v>7.2960179316205922E-4</v>
      </c>
    </row>
    <row r="51" spans="1:12" ht="15.75" thickBot="1">
      <c r="A51" s="23">
        <v>31.456351411247397</v>
      </c>
      <c r="B51" s="23">
        <v>32.260379164277197</v>
      </c>
      <c r="C51" s="13">
        <f t="shared" si="0"/>
        <v>0.8040277530297999</v>
      </c>
      <c r="E51" s="23">
        <v>31.456351411247397</v>
      </c>
      <c r="F51" s="13">
        <v>33.061860335918141</v>
      </c>
      <c r="G51" s="13">
        <f t="shared" si="1"/>
        <v>1.6055089246707439</v>
      </c>
      <c r="K51">
        <v>0.2358398438</v>
      </c>
      <c r="L51">
        <f t="shared" si="2"/>
        <v>1.7206917293553995E-4</v>
      </c>
    </row>
    <row r="52" spans="1:12" ht="15.75" thickBot="1">
      <c r="A52" s="23">
        <v>30.552584129544869</v>
      </c>
      <c r="B52" s="23">
        <v>31.219333096563105</v>
      </c>
      <c r="C52" s="13">
        <f t="shared" si="0"/>
        <v>0.66674896701823627</v>
      </c>
      <c r="E52" s="23">
        <v>30.552584129544869</v>
      </c>
      <c r="F52" s="13">
        <v>32.163551496984894</v>
      </c>
      <c r="G52" s="13">
        <f t="shared" si="1"/>
        <v>1.6109673674400256</v>
      </c>
      <c r="K52">
        <v>0.2358398438</v>
      </c>
      <c r="L52">
        <f t="shared" si="2"/>
        <v>4.0580766867912929E-5</v>
      </c>
    </row>
    <row r="53" spans="1:12" ht="15.75" thickBot="1">
      <c r="A53" s="23">
        <v>29.658353494762196</v>
      </c>
      <c r="B53" s="23">
        <v>30.18040045100804</v>
      </c>
      <c r="C53" s="13">
        <f t="shared" si="0"/>
        <v>0.52204695624584474</v>
      </c>
      <c r="E53" s="23">
        <v>29.658353494762196</v>
      </c>
      <c r="F53" s="13">
        <v>31.254607315199962</v>
      </c>
      <c r="G53" s="13">
        <f t="shared" si="1"/>
        <v>1.5962538204377665</v>
      </c>
    </row>
    <row r="54" spans="1:12" ht="15.75" thickBot="1">
      <c r="A54" s="23">
        <v>28.772995369526825</v>
      </c>
      <c r="B54" s="23">
        <v>29.145141874686374</v>
      </c>
      <c r="C54" s="13">
        <f t="shared" si="0"/>
        <v>0.37214650515954872</v>
      </c>
      <c r="E54" s="23">
        <v>28.772995369526825</v>
      </c>
      <c r="F54" s="13">
        <v>30.335116017580788</v>
      </c>
      <c r="G54" s="13">
        <f t="shared" si="1"/>
        <v>1.5621206480539627</v>
      </c>
    </row>
    <row r="55" spans="1:12" ht="15.75" thickBot="1">
      <c r="A55" s="23">
        <v>27.895873148886835</v>
      </c>
      <c r="B55" s="23">
        <v>28.115139380431401</v>
      </c>
      <c r="C55" s="13">
        <f t="shared" si="0"/>
        <v>0.21926623154456593</v>
      </c>
      <c r="E55" s="23">
        <v>27.895873148886835</v>
      </c>
      <c r="F55" s="13">
        <v>29.405362350429129</v>
      </c>
      <c r="G55" s="13">
        <f t="shared" si="1"/>
        <v>1.5094892015422943</v>
      </c>
    </row>
    <row r="56" spans="1:12" ht="15.75" thickBot="1">
      <c r="A56" s="23">
        <v>27.026374975080444</v>
      </c>
      <c r="B56" s="23">
        <v>27.091971080517169</v>
      </c>
      <c r="C56" s="13">
        <f t="shared" si="0"/>
        <v>6.5596105436725338E-2</v>
      </c>
      <c r="E56" s="23">
        <v>27.026374975080444</v>
      </c>
      <c r="F56" s="13">
        <v>28.465811384493861</v>
      </c>
      <c r="G56" s="13">
        <f t="shared" si="1"/>
        <v>1.4394364094134176</v>
      </c>
    </row>
    <row r="57" spans="1:12" ht="15.75" thickBot="1">
      <c r="A57" s="23">
        <v>26.163911159682982</v>
      </c>
      <c r="B57" s="23">
        <v>26.077187315928427</v>
      </c>
      <c r="C57" s="13">
        <f t="shared" si="0"/>
        <v>8.6723843754555219E-2</v>
      </c>
      <c r="E57" s="23">
        <v>26.163911159682982</v>
      </c>
      <c r="F57" s="13">
        <v>27.517092320130303</v>
      </c>
      <c r="G57" s="13">
        <f t="shared" si="1"/>
        <v>1.3531811604473205</v>
      </c>
    </row>
    <row r="58" spans="1:12" ht="15.75" thickBot="1">
      <c r="A58" s="23">
        <v>25.307911785776753</v>
      </c>
      <c r="B58" s="23">
        <v>25.07228818123258</v>
      </c>
      <c r="C58" s="13">
        <f t="shared" si="0"/>
        <v>0.2356236045441733</v>
      </c>
      <c r="E58" s="23">
        <v>25.307911785776753</v>
      </c>
      <c r="F58" s="13">
        <v>26.559982292460916</v>
      </c>
      <c r="G58" s="13">
        <f t="shared" si="1"/>
        <v>1.2520705066841629</v>
      </c>
    </row>
    <row r="59" spans="1:12" ht="15.75" thickBot="1">
      <c r="A59" s="23">
        <v>24.45782446566767</v>
      </c>
      <c r="B59" s="23">
        <v>24.078702445039198</v>
      </c>
      <c r="C59" s="13">
        <f t="shared" si="0"/>
        <v>0.379122020628472</v>
      </c>
      <c r="E59" s="23">
        <v>24.45782446566767</v>
      </c>
      <c r="F59" s="13">
        <v>25.595390176537137</v>
      </c>
      <c r="G59" s="13">
        <f t="shared" si="1"/>
        <v>1.1375657108694668</v>
      </c>
    </row>
    <row r="60" spans="1:12" ht="15.75" thickBot="1">
      <c r="A60" s="23">
        <v>23.613112232085314</v>
      </c>
      <c r="B60" s="23">
        <v>23.097767866057552</v>
      </c>
      <c r="C60" s="13">
        <f t="shared" si="0"/>
        <v>0.51534436602776168</v>
      </c>
      <c r="E60" s="23">
        <v>23.613112232085314</v>
      </c>
      <c r="F60" s="13">
        <v>24.624340392498823</v>
      </c>
      <c r="G60" s="13">
        <f t="shared" si="1"/>
        <v>1.0112281604135092</v>
      </c>
    </row>
    <row r="61" spans="1:12" ht="15.75" thickBot="1">
      <c r="A61" s="23">
        <v>22.773251542807259</v>
      </c>
      <c r="B61" s="23">
        <v>22.13071290474727</v>
      </c>
      <c r="C61" s="13">
        <f t="shared" si="0"/>
        <v>0.6425386380599889</v>
      </c>
      <c r="E61" s="23">
        <v>22.773251542807259</v>
      </c>
      <c r="F61" s="13">
        <v>23.647956710736423</v>
      </c>
      <c r="G61" s="13">
        <f t="shared" si="1"/>
        <v>0.87470516792916442</v>
      </c>
    </row>
    <row r="62" spans="1:12" ht="15.75" thickBot="1">
      <c r="A62" s="23">
        <v>21.937730380298774</v>
      </c>
      <c r="B62" s="23">
        <v>21.178639830562702</v>
      </c>
      <c r="C62" s="13">
        <f t="shared" si="0"/>
        <v>0.75909054973607226</v>
      </c>
      <c r="E62" s="23">
        <v>21.937730380298774</v>
      </c>
      <c r="F62" s="13">
        <v>22.667446057050427</v>
      </c>
      <c r="G62" s="13">
        <f t="shared" si="1"/>
        <v>0.72971567675165261</v>
      </c>
    </row>
    <row r="63" spans="1:12" ht="15.75" thickBot="1">
      <c r="A63" s="23">
        <v>21.106046429290586</v>
      </c>
      <c r="B63" s="23">
        <v>20.242509224792116</v>
      </c>
      <c r="C63" s="13">
        <f t="shared" si="0"/>
        <v>0.8635372044984706</v>
      </c>
      <c r="E63" s="23">
        <v>21.106046429290586</v>
      </c>
      <c r="F63" s="13">
        <v>21.684082317812397</v>
      </c>
      <c r="G63" s="13">
        <f t="shared" si="1"/>
        <v>0.57803588852181065</v>
      </c>
    </row>
    <row r="64" spans="1:12" ht="15.75" thickBot="1">
      <c r="A64" s="23">
        <v>20.277705316266463</v>
      </c>
      <c r="B64" s="23">
        <v>19.323125878991391</v>
      </c>
      <c r="C64" s="13">
        <f t="shared" si="0"/>
        <v>0.954579437275072</v>
      </c>
      <c r="E64" s="23">
        <v>20.277705316266463</v>
      </c>
      <c r="F64" s="13">
        <v>20.699190145126352</v>
      </c>
      <c r="G64" s="13">
        <f t="shared" si="1"/>
        <v>0.42148482885988869</v>
      </c>
    </row>
    <row r="65" spans="1:7" ht="15.75" thickBot="1">
      <c r="A65" s="23">
        <v>19.452218895616795</v>
      </c>
      <c r="B65" s="23">
        <v>18.421126089011864</v>
      </c>
      <c r="C65" s="13">
        <f t="shared" si="0"/>
        <v>1.0310928066049314</v>
      </c>
      <c r="E65" s="23">
        <v>19.452218895616795</v>
      </c>
      <c r="F65" s="13">
        <v>19.714128761988889</v>
      </c>
      <c r="G65" s="13">
        <f t="shared" si="1"/>
        <v>0.26190986637209335</v>
      </c>
    </row>
    <row r="66" spans="1:7" ht="15.75" thickBot="1">
      <c r="A66" s="23">
        <v>18.629103567756033</v>
      </c>
      <c r="B66" s="23">
        <v>17.536966344621192</v>
      </c>
      <c r="C66" s="13">
        <f t="shared" si="0"/>
        <v>1.0921372231348414</v>
      </c>
      <c r="E66" s="23">
        <v>18.629103567756033</v>
      </c>
      <c r="F66" s="13">
        <v>18.730275767450451</v>
      </c>
      <c r="G66" s="13">
        <f t="shared" si="1"/>
        <v>0.10117219969441749</v>
      </c>
    </row>
    <row r="67" spans="1:7" ht="15.75" thickBot="1">
      <c r="A67" s="23">
        <v>17.807878614808146</v>
      </c>
      <c r="B67" s="23">
        <v>16.670913414719166</v>
      </c>
      <c r="C67" s="13">
        <f t="shared" si="0"/>
        <v>1.1369652000889801</v>
      </c>
      <c r="E67" s="23">
        <v>17.807878614808146</v>
      </c>
      <c r="F67" s="13">
        <v>17.749010941774884</v>
      </c>
      <c r="G67" s="13">
        <f t="shared" si="1"/>
        <v>5.8867673033262236E-2</v>
      </c>
    </row>
    <row r="68" spans="1:7" ht="15.75" thickBot="1">
      <c r="A68" s="23">
        <v>16.988064539539437</v>
      </c>
      <c r="B68" s="23">
        <v>15.823035828150864</v>
      </c>
      <c r="C68" s="13">
        <f t="shared" ref="C68:C117" si="3">ABS(A68-B68)</f>
        <v>1.1650287113885724</v>
      </c>
      <c r="E68" s="23">
        <v>16.988064539539437</v>
      </c>
      <c r="F68" s="13">
        <v>16.771700051602181</v>
      </c>
      <c r="G68" s="13">
        <f t="shared" ref="G68:G117" si="4">ABS(E68-F68)</f>
        <v>0.21636448793725549</v>
      </c>
    </row>
    <row r="69" spans="1:7" ht="15.75" thickBot="1">
      <c r="A69" s="23">
        <v>16.169181393063127</v>
      </c>
      <c r="B69" s="23">
        <v>14.993196750106222</v>
      </c>
      <c r="C69" s="13">
        <f t="shared" si="3"/>
        <v>1.1759846429569052</v>
      </c>
      <c r="E69" s="23">
        <v>16.169181393063127</v>
      </c>
      <c r="F69" s="13">
        <v>15.799678655107471</v>
      </c>
      <c r="G69" s="13">
        <f t="shared" si="4"/>
        <v>0.36950273795565636</v>
      </c>
    </row>
    <row r="70" spans="1:7" ht="15.75" thickBot="1">
      <c r="A70" s="23">
        <v>15.350747076442531</v>
      </c>
      <c r="B70" s="23">
        <v>14.181048254122629</v>
      </c>
      <c r="C70" s="13">
        <f t="shared" si="3"/>
        <v>1.1696988223199014</v>
      </c>
      <c r="E70" s="23">
        <v>15.350747076442531</v>
      </c>
      <c r="F70" s="13">
        <v>14.834235907161712</v>
      </c>
      <c r="G70" s="13">
        <f t="shared" si="4"/>
        <v>0.51651116928081819</v>
      </c>
    </row>
    <row r="71" spans="1:7" ht="15.75" thickBot="1">
      <c r="A71" s="23">
        <v>14.532275600671255</v>
      </c>
      <c r="B71" s="23">
        <v>13.386026989676452</v>
      </c>
      <c r="C71" s="13">
        <f t="shared" si="3"/>
        <v>1.1462486109948031</v>
      </c>
      <c r="E71" s="23">
        <v>14.532275600671255</v>
      </c>
      <c r="F71" s="13">
        <v>13.876598364494669</v>
      </c>
      <c r="G71" s="13">
        <f t="shared" si="4"/>
        <v>0.65567723617658658</v>
      </c>
    </row>
    <row r="72" spans="1:7" ht="15.75" thickBot="1">
      <c r="A72" s="23">
        <v>13.713275288582849</v>
      </c>
      <c r="B72" s="23">
        <v>12.607351245369955</v>
      </c>
      <c r="C72" s="13">
        <f t="shared" si="3"/>
        <v>1.1059240432128945</v>
      </c>
      <c r="E72" s="23">
        <v>13.713275288582849</v>
      </c>
      <c r="F72" s="13">
        <v>12.92791379085287</v>
      </c>
      <c r="G72" s="13">
        <f t="shared" si="4"/>
        <v>0.78536149772997987</v>
      </c>
    </row>
    <row r="73" spans="1:7" ht="15.75" thickBot="1">
      <c r="A73" s="23">
        <v>12.893246901010684</v>
      </c>
      <c r="B73" s="23">
        <v>11.844019407713176</v>
      </c>
      <c r="C73" s="13">
        <f t="shared" si="3"/>
        <v>1.0492274932975079</v>
      </c>
      <c r="E73" s="23">
        <v>12.893246901010684</v>
      </c>
      <c r="F73" s="13">
        <v>11.989234962161561</v>
      </c>
      <c r="G73" s="13">
        <f t="shared" si="4"/>
        <v>0.90401193884912345</v>
      </c>
    </row>
    <row r="74" spans="1:7" ht="15.75" thickBot="1">
      <c r="A74" s="23">
        <v>12.071681667946109</v>
      </c>
      <c r="B74" s="23">
        <v>11.094809815498593</v>
      </c>
      <c r="C74" s="13">
        <f t="shared" si="3"/>
        <v>0.97687185244751618</v>
      </c>
      <c r="E74" s="23">
        <v>12.071681667946109</v>
      </c>
      <c r="F74" s="13">
        <v>11.061503471685853</v>
      </c>
      <c r="G74" s="13">
        <f t="shared" si="4"/>
        <v>1.0101781962602558</v>
      </c>
    </row>
    <row r="75" spans="1:7" ht="15.75" thickBot="1">
      <c r="A75" s="23">
        <v>11.248059203470746</v>
      </c>
      <c r="B75" s="23">
        <v>10.358282009772893</v>
      </c>
      <c r="C75" s="13">
        <f t="shared" si="3"/>
        <v>0.88977719369785291</v>
      </c>
      <c r="E75" s="23">
        <v>11.248059203470746</v>
      </c>
      <c r="F75" s="13">
        <v>10.145533535192101</v>
      </c>
      <c r="G75" s="13">
        <f t="shared" si="4"/>
        <v>1.1025256682786448</v>
      </c>
    </row>
    <row r="76" spans="1:7" ht="15.75" thickBot="1">
      <c r="A76" s="23">
        <v>10.421845280810601</v>
      </c>
      <c r="B76" s="23">
        <v>9.6327793793989258</v>
      </c>
      <c r="C76" s="13">
        <f t="shared" si="3"/>
        <v>0.78906590141167499</v>
      </c>
      <c r="E76" s="23">
        <v>10.421845280810601</v>
      </c>
      <c r="F76" s="13">
        <v>9.2419957961045043</v>
      </c>
      <c r="G76" s="13">
        <f t="shared" si="4"/>
        <v>1.1798494847060965</v>
      </c>
    </row>
    <row r="77" spans="1:7" ht="15.75" thickBot="1">
      <c r="A77" s="23">
        <v>9.592489440892507</v>
      </c>
      <c r="B77" s="23">
        <v>8.9164332022144208</v>
      </c>
      <c r="C77" s="13">
        <f t="shared" si="3"/>
        <v>0.67605623867808617</v>
      </c>
      <c r="E77" s="23">
        <v>9.592489440892507</v>
      </c>
      <c r="F77" s="13">
        <v>8.3514011306718317</v>
      </c>
      <c r="G77" s="13">
        <f t="shared" si="4"/>
        <v>1.2410883102206753</v>
      </c>
    </row>
    <row r="78" spans="1:7" ht="15.75" thickBot="1">
      <c r="A78" s="23">
        <v>8.7594224041697544</v>
      </c>
      <c r="B78" s="23">
        <v>8.2071680817875858</v>
      </c>
      <c r="C78" s="13">
        <f t="shared" si="3"/>
        <v>0.55225432238216854</v>
      </c>
      <c r="E78" s="23">
        <v>8.7594224041697544</v>
      </c>
      <c r="F78" s="13">
        <v>7.4740844531249309</v>
      </c>
      <c r="G78" s="13">
        <f t="shared" si="4"/>
        <v>1.2853379510448235</v>
      </c>
    </row>
    <row r="79" spans="1:7" ht="15.75" thickBot="1">
      <c r="A79" s="23">
        <v>7.9220532511074566</v>
      </c>
      <c r="B79" s="23">
        <v>7.5027087797554941</v>
      </c>
      <c r="C79" s="13">
        <f t="shared" si="3"/>
        <v>0.41934447135196251</v>
      </c>
      <c r="E79" s="23">
        <v>7.9220532511074566</v>
      </c>
      <c r="F79" s="13">
        <v>6.6101885208365161</v>
      </c>
      <c r="G79" s="13">
        <f t="shared" si="4"/>
        <v>1.3118647302709405</v>
      </c>
    </row>
    <row r="80" spans="1:7" ht="15.75" thickBot="1">
      <c r="A80" s="23">
        <v>7.0797663314046986</v>
      </c>
      <c r="B80" s="23">
        <v>6.8005884437739041</v>
      </c>
      <c r="C80" s="13">
        <f t="shared" si="3"/>
        <v>0.27917788763079443</v>
      </c>
      <c r="E80" s="23">
        <v>7.0797663314046986</v>
      </c>
      <c r="F80" s="13">
        <v>5.7596477394840235</v>
      </c>
      <c r="G80" s="13">
        <f t="shared" si="4"/>
        <v>1.320118591920675</v>
      </c>
    </row>
    <row r="81" spans="1:7" ht="15.75" thickBot="1">
      <c r="A81" s="23">
        <v>6.2319178555927692</v>
      </c>
      <c r="B81" s="23">
        <v>6.0981582310494105</v>
      </c>
      <c r="C81" s="13">
        <f t="shared" si="3"/>
        <v>0.13375962454335877</v>
      </c>
      <c r="E81" s="23">
        <v>6.2319178555927692</v>
      </c>
      <c r="F81" s="13">
        <v>4.9221719682093976</v>
      </c>
      <c r="G81" s="13">
        <f t="shared" si="4"/>
        <v>1.3097458873833716</v>
      </c>
    </row>
    <row r="82" spans="1:7" ht="15.75" thickBot="1">
      <c r="A82" s="23">
        <v>5.3778321148151349</v>
      </c>
      <c r="B82" s="23">
        <v>5.3925983274699547</v>
      </c>
      <c r="C82" s="13">
        <f t="shared" si="3"/>
        <v>1.476621265481981E-2</v>
      </c>
      <c r="E82" s="23">
        <v>5.3778321148151349</v>
      </c>
      <c r="F82" s="13">
        <v>4.0972303247802415</v>
      </c>
      <c r="G82" s="13">
        <f t="shared" si="4"/>
        <v>1.2806017900348934</v>
      </c>
    </row>
    <row r="83" spans="1:7" ht="15.75" thickBot="1">
      <c r="A83" s="23">
        <v>4.5167972650571073</v>
      </c>
      <c r="B83" s="23">
        <v>4.6809303623221012</v>
      </c>
      <c r="C83" s="13">
        <f t="shared" si="3"/>
        <v>0.16413309726499392</v>
      </c>
      <c r="E83" s="23">
        <v>4.5167972650571073</v>
      </c>
      <c r="F83" s="13">
        <v>3.2840349907501718</v>
      </c>
      <c r="G83" s="13">
        <f t="shared" si="4"/>
        <v>1.2327622743069355</v>
      </c>
    </row>
    <row r="84" spans="1:7" ht="15.75" thickBot="1">
      <c r="A84" s="23">
        <v>3.6480606004227525</v>
      </c>
      <c r="B84" s="23">
        <v>3.9600312186184965</v>
      </c>
      <c r="C84" s="13">
        <f t="shared" si="3"/>
        <v>0.31197061819574401</v>
      </c>
      <c r="E84" s="23">
        <v>3.6480606004227525</v>
      </c>
      <c r="F84" s="13">
        <v>2.4815250166201963</v>
      </c>
      <c r="G84" s="13">
        <f t="shared" si="4"/>
        <v>1.1665355838025562</v>
      </c>
    </row>
    <row r="85" spans="1:7" ht="15.75" thickBot="1">
      <c r="A85" s="23">
        <v>2.7708232257334089</v>
      </c>
      <c r="B85" s="23">
        <v>3.2266482390002693</v>
      </c>
      <c r="C85" s="13">
        <f t="shared" si="3"/>
        <v>0.45582501326686042</v>
      </c>
      <c r="E85" s="23">
        <v>2.7708232257334089</v>
      </c>
      <c r="F85" s="13">
        <v>1.6883501269950898</v>
      </c>
      <c r="G85" s="13">
        <f t="shared" si="4"/>
        <v>1.0824730987383191</v>
      </c>
    </row>
    <row r="86" spans="1:7" ht="15.75" thickBot="1">
      <c r="A86" s="23">
        <v>1.8842340210568409</v>
      </c>
      <c r="B86" s="23">
        <v>2.477415827256209</v>
      </c>
      <c r="C86" s="13">
        <f t="shared" si="3"/>
        <v>0.59318180619936811</v>
      </c>
      <c r="E86" s="23">
        <v>1.8842340210568409</v>
      </c>
      <c r="F86" s="13">
        <v>0.90285452575557201</v>
      </c>
      <c r="G86" s="13">
        <f t="shared" si="4"/>
        <v>0.98137949530126889</v>
      </c>
    </row>
    <row r="87" spans="1:7" ht="15.75" thickBot="1">
      <c r="A87" s="23">
        <v>0.98738276887746679</v>
      </c>
      <c r="B87" s="23">
        <v>1.7088734454050609</v>
      </c>
      <c r="C87" s="13">
        <f t="shared" si="3"/>
        <v>0.72149067652759413</v>
      </c>
      <c r="E87" s="23">
        <v>0.98738276887746679</v>
      </c>
      <c r="F87" s="13">
        <v>0.1230607012058158</v>
      </c>
      <c r="G87" s="13">
        <f t="shared" si="4"/>
        <v>0.86432206767165098</v>
      </c>
    </row>
    <row r="88" spans="1:7" ht="15.75" thickBot="1">
      <c r="A88" s="23">
        <v>7.9292287329167266E-2</v>
      </c>
      <c r="B88" s="23">
        <v>0.91748500640937891</v>
      </c>
      <c r="C88" s="13">
        <f t="shared" si="3"/>
        <v>0.83819271908021165</v>
      </c>
      <c r="E88" s="23">
        <v>7.9292287329167266E-2</v>
      </c>
      <c r="F88" s="13">
        <v>-0.65334676875994546</v>
      </c>
      <c r="G88" s="13">
        <f t="shared" si="4"/>
        <v>0.73263905608911273</v>
      </c>
    </row>
    <row r="89" spans="1:7" ht="15.75" thickBot="1">
      <c r="A89" s="23">
        <v>-0.84109062130607981</v>
      </c>
      <c r="B89" s="23">
        <v>9.9659662448630115E-2</v>
      </c>
      <c r="C89" s="13">
        <f t="shared" si="3"/>
        <v>0.94075028375470993</v>
      </c>
      <c r="E89" s="23">
        <v>-0.84109062130607981</v>
      </c>
      <c r="F89" s="13">
        <v>-1.4290374114959263</v>
      </c>
      <c r="G89" s="13">
        <f t="shared" si="4"/>
        <v>0.58794679018984652</v>
      </c>
    </row>
    <row r="90" spans="1:7" ht="15.75" thickBot="1">
      <c r="A90" s="23">
        <v>-1.7749056408035813</v>
      </c>
      <c r="B90" s="23">
        <v>-0.74822601118717103</v>
      </c>
      <c r="C90" s="13">
        <f t="shared" si="3"/>
        <v>1.0266796296164102</v>
      </c>
      <c r="E90" s="23">
        <v>-1.7749056408035813</v>
      </c>
      <c r="F90" s="13">
        <v>-2.2070510544425019</v>
      </c>
      <c r="G90" s="13">
        <f t="shared" si="4"/>
        <v>0.43214541363892067</v>
      </c>
    </row>
    <row r="91" spans="1:7" ht="15.75" thickBot="1">
      <c r="A91" s="23">
        <v>-2.7233911187317972</v>
      </c>
      <c r="B91" s="23">
        <v>-1.6298044366212707</v>
      </c>
      <c r="C91" s="13">
        <f t="shared" si="3"/>
        <v>1.0935866821105265</v>
      </c>
      <c r="E91" s="23">
        <v>-2.7233911187317972</v>
      </c>
      <c r="F91" s="13">
        <v>-2.9908140199727882</v>
      </c>
      <c r="G91" s="13">
        <f t="shared" si="4"/>
        <v>0.267422901240991</v>
      </c>
    </row>
    <row r="92" spans="1:7" ht="15.75" thickBot="1">
      <c r="A92" s="23">
        <v>-3.6878983107587828</v>
      </c>
      <c r="B92" s="23">
        <v>-2.5486920583286974</v>
      </c>
      <c r="C92" s="13">
        <f t="shared" si="3"/>
        <v>1.1392062524300854</v>
      </c>
      <c r="E92" s="23">
        <v>-3.6878983107587828</v>
      </c>
      <c r="F92" s="13">
        <v>-3.7841553202241016</v>
      </c>
      <c r="G92" s="13">
        <f t="shared" si="4"/>
        <v>9.6257009465318788E-2</v>
      </c>
    </row>
    <row r="93" spans="1:7" ht="15.75" thickBot="1">
      <c r="A93" s="23">
        <v>-4.6699081411486532</v>
      </c>
      <c r="B93" s="23">
        <v>-3.5084629724528895</v>
      </c>
      <c r="C93" s="13">
        <f t="shared" si="3"/>
        <v>1.1614451686957636</v>
      </c>
      <c r="E93" s="23">
        <v>-4.6699081411486532</v>
      </c>
      <c r="F93" s="13">
        <v>-4.5913228519402196</v>
      </c>
      <c r="G93" s="13">
        <f t="shared" si="4"/>
        <v>7.8585289208433551E-2</v>
      </c>
    </row>
    <row r="94" spans="1:7" ht="15.75" thickBot="1">
      <c r="A94" s="23">
        <v>-5.6710510469260953</v>
      </c>
      <c r="B94" s="23">
        <v>-4.5126211605613662</v>
      </c>
      <c r="C94" s="13">
        <f t="shared" si="3"/>
        <v>1.1584298863647291</v>
      </c>
      <c r="E94" s="23">
        <v>-5.6710510469260953</v>
      </c>
      <c r="F94" s="13">
        <v>-5.4169995913109119</v>
      </c>
      <c r="G94" s="13">
        <f t="shared" si="4"/>
        <v>0.25405145561518339</v>
      </c>
    </row>
    <row r="95" spans="1:7" ht="15.75" thickBot="1">
      <c r="A95" s="23">
        <v>-6.6931306279265073</v>
      </c>
      <c r="B95" s="23">
        <v>-5.5645713277826871</v>
      </c>
      <c r="C95" s="13">
        <f t="shared" si="3"/>
        <v>1.1285593001438201</v>
      </c>
      <c r="E95" s="23">
        <v>-6.6931306279265073</v>
      </c>
      <c r="F95" s="13">
        <v>-6.2663197888104492</v>
      </c>
      <c r="G95" s="13">
        <f t="shared" si="4"/>
        <v>0.4268108391160581</v>
      </c>
    </row>
    <row r="96" spans="1:7" ht="15.75" thickBot="1">
      <c r="A96" s="23">
        <v>-7.7381520301166802</v>
      </c>
      <c r="B96" s="23">
        <v>-6.667588345366994</v>
      </c>
      <c r="C96" s="13">
        <f t="shared" si="3"/>
        <v>1.0705636847496862</v>
      </c>
      <c r="E96" s="23">
        <v>-7.7381520301166802</v>
      </c>
      <c r="F96" s="13">
        <v>-7.1448851640416819</v>
      </c>
      <c r="G96" s="13">
        <f t="shared" si="4"/>
        <v>0.59326686607499823</v>
      </c>
    </row>
    <row r="97" spans="1:7" ht="15.75" thickBot="1">
      <c r="A97" s="23">
        <v>-8.8083562644742983</v>
      </c>
      <c r="B97" s="23">
        <v>-7.8247852976251124</v>
      </c>
      <c r="C97" s="13">
        <f t="shared" si="3"/>
        <v>0.98357096684918588</v>
      </c>
      <c r="E97" s="23">
        <v>-8.8083562644742983</v>
      </c>
      <c r="F97" s="13">
        <v>-8.0587811005614753</v>
      </c>
      <c r="G97" s="13">
        <f t="shared" si="4"/>
        <v>0.74957516391282297</v>
      </c>
    </row>
    <row r="98" spans="1:7" ht="15.75" thickBot="1">
      <c r="A98" s="23">
        <v>-9.9062620362623193</v>
      </c>
      <c r="B98" s="23">
        <v>-9.0390801333116997</v>
      </c>
      <c r="C98" s="13">
        <f t="shared" si="3"/>
        <v>0.86718190295061959</v>
      </c>
      <c r="E98" s="23">
        <v>-9.9062620362623193</v>
      </c>
      <c r="F98" s="13">
        <v>-9.0145928407378619</v>
      </c>
      <c r="G98" s="13">
        <f t="shared" si="4"/>
        <v>0.89166919552445734</v>
      </c>
    </row>
    <row r="99" spans="1:7" ht="15.75" thickBot="1">
      <c r="A99" s="23">
        <v>-11.034717170664067</v>
      </c>
      <c r="B99" s="23">
        <v>-10.3131609213915</v>
      </c>
      <c r="C99" s="13">
        <f t="shared" si="3"/>
        <v>0.72155624927256667</v>
      </c>
      <c r="E99" s="23">
        <v>-11.034717170664067</v>
      </c>
      <c r="F99" s="13">
        <v>-10.019421680580479</v>
      </c>
      <c r="G99" s="13">
        <f t="shared" si="4"/>
        <v>1.015295490083588</v>
      </c>
    </row>
    <row r="100" spans="1:7" ht="15.75" thickBot="1">
      <c r="A100" s="23">
        <v>-12.196962431416921</v>
      </c>
      <c r="B100" s="23">
        <v>-11.64944971118598</v>
      </c>
      <c r="C100" s="13">
        <f t="shared" si="3"/>
        <v>0.54751272023094089</v>
      </c>
      <c r="E100" s="23">
        <v>-12.196962431416921</v>
      </c>
      <c r="F100" s="13">
        <v>-11.080901164574186</v>
      </c>
      <c r="G100" s="13">
        <f t="shared" si="4"/>
        <v>1.1160612668427348</v>
      </c>
    </row>
    <row r="101" spans="1:7" ht="15.75" thickBot="1">
      <c r="A101" s="23">
        <v>-13.396711531697292</v>
      </c>
      <c r="B101" s="23">
        <v>-13.050064996999481</v>
      </c>
      <c r="C101" s="13">
        <f t="shared" si="3"/>
        <v>0.34664653469781115</v>
      </c>
      <c r="E101" s="23">
        <v>-13.396711531697292</v>
      </c>
      <c r="F101" s="13">
        <v>-12.207213280529857</v>
      </c>
      <c r="G101" s="13">
        <f t="shared" si="4"/>
        <v>1.1894982511674357</v>
      </c>
    </row>
    <row r="102" spans="1:7" ht="15.75" thickBot="1">
      <c r="A102" s="23">
        <v>-14.638252573654938</v>
      </c>
      <c r="B102" s="23">
        <v>-14.516782787070269</v>
      </c>
      <c r="C102" s="13">
        <f t="shared" si="3"/>
        <v>0.12146978658466878</v>
      </c>
      <c r="E102" s="23">
        <v>-14.638252573654938</v>
      </c>
      <c r="F102" s="13">
        <v>-13.407104654415718</v>
      </c>
      <c r="G102" s="13">
        <f t="shared" si="4"/>
        <v>1.2311479192392198</v>
      </c>
    </row>
    <row r="103" spans="1:7" ht="15.75" thickBot="1">
      <c r="A103" s="23">
        <v>-15.926578249341048</v>
      </c>
      <c r="B103" s="23">
        <v>-16.050996276978367</v>
      </c>
      <c r="C103" s="13">
        <f t="shared" si="3"/>
        <v>0.12441802763731857</v>
      </c>
      <c r="E103" s="23">
        <v>-15.926578249341048</v>
      </c>
      <c r="F103" s="13">
        <v>-14.689902745199618</v>
      </c>
      <c r="G103" s="13">
        <f t="shared" si="4"/>
        <v>1.2366755041414308</v>
      </c>
    </row>
    <row r="104" spans="1:7" ht="15.75" thickBot="1">
      <c r="A104" s="23">
        <v>-17.267555253210446</v>
      </c>
      <c r="B104" s="23">
        <v>-17.653674127429213</v>
      </c>
      <c r="C104" s="13">
        <f t="shared" si="3"/>
        <v>0.38611887421876645</v>
      </c>
      <c r="E104" s="23">
        <v>-17.267555253210446</v>
      </c>
      <c r="F104" s="13">
        <v>-16.06553203968889</v>
      </c>
      <c r="G104" s="13">
        <f t="shared" si="4"/>
        <v>1.2020232135215565</v>
      </c>
    </row>
    <row r="105" spans="1:7" ht="15.75" thickBot="1">
      <c r="A105" s="23">
        <v>-18.668148092580452</v>
      </c>
      <c r="B105" s="23">
        <v>-19.325317346478641</v>
      </c>
      <c r="C105" s="13">
        <f t="shared" si="3"/>
        <v>0.65716925389818925</v>
      </c>
      <c r="E105" s="23">
        <v>-18.668148092580452</v>
      </c>
      <c r="F105" s="13">
        <v>-17.544530247364548</v>
      </c>
      <c r="G105" s="13">
        <f t="shared" si="4"/>
        <v>1.1236178452159038</v>
      </c>
    </row>
    <row r="106" spans="1:7" ht="15.75" thickBot="1">
      <c r="A106" s="23">
        <v>-20.136719851882333</v>
      </c>
      <c r="B106" s="23">
        <v>-21.065914776118916</v>
      </c>
      <c r="C106" s="13">
        <f t="shared" si="3"/>
        <v>0.92919492423658312</v>
      </c>
      <c r="E106" s="23">
        <v>-20.136719851882333</v>
      </c>
      <c r="F106" s="13">
        <v>-19.138064495227638</v>
      </c>
      <c r="G106" s="13">
        <f t="shared" si="4"/>
        <v>0.99865535665469451</v>
      </c>
    </row>
    <row r="107" spans="1:7" ht="15.75" thickBot="1">
      <c r="A107" s="23">
        <v>-21.683444245320402</v>
      </c>
      <c r="B107" s="23">
        <v>-22.874897183317216</v>
      </c>
      <c r="C107" s="13">
        <f t="shared" si="3"/>
        <v>1.1914529379968144</v>
      </c>
      <c r="E107" s="23">
        <v>-21.683444245320402</v>
      </c>
      <c r="F107" s="13">
        <v>-20.857947522636834</v>
      </c>
      <c r="G107" s="13">
        <f t="shared" si="4"/>
        <v>0.82549672268356744</v>
      </c>
    </row>
    <row r="108" spans="1:7" ht="15.75" thickBot="1">
      <c r="A108" s="23">
        <v>-23.320882699953444</v>
      </c>
      <c r="B108" s="23">
        <v>-24.751089955414955</v>
      </c>
      <c r="C108" s="13">
        <f t="shared" si="3"/>
        <v>1.4302072554615108</v>
      </c>
      <c r="E108" s="23">
        <v>-23.320882699953444</v>
      </c>
      <c r="F108" s="13">
        <v>-22.71665387614263</v>
      </c>
      <c r="G108" s="13">
        <f t="shared" si="4"/>
        <v>0.60422882381081422</v>
      </c>
    </row>
    <row r="109" spans="1:7" ht="15.75" thickBot="1">
      <c r="A109" s="23">
        <v>-25.064813318076318</v>
      </c>
      <c r="B109" s="23">
        <v>-26.692664399963405</v>
      </c>
      <c r="C109" s="13">
        <f t="shared" si="3"/>
        <v>1.627851081887087</v>
      </c>
      <c r="E109" s="23">
        <v>-25.064813318076318</v>
      </c>
      <c r="F109" s="13">
        <v>-24.727336104328344</v>
      </c>
      <c r="G109" s="13">
        <f t="shared" si="4"/>
        <v>0.33747721374797379</v>
      </c>
    </row>
    <row r="110" spans="1:7" ht="15.75" thickBot="1">
      <c r="A110" s="23">
        <v>-26.935457354475659</v>
      </c>
      <c r="B110" s="23">
        <v>-28.697087648960405</v>
      </c>
      <c r="C110" s="13">
        <f t="shared" si="3"/>
        <v>1.7616302944847462</v>
      </c>
      <c r="E110" s="23">
        <v>-26.935457354475659</v>
      </c>
      <c r="F110" s="13">
        <v>-26.903840952660687</v>
      </c>
      <c r="G110" s="13">
        <f t="shared" si="4"/>
        <v>3.161640181497205E-2</v>
      </c>
    </row>
    <row r="111" spans="1:7" ht="15.75" thickBot="1">
      <c r="A111" s="23">
        <v>-28.959358235206111</v>
      </c>
      <c r="B111" s="23">
        <v>-30.761071167480395</v>
      </c>
      <c r="C111" s="13">
        <f t="shared" si="3"/>
        <v>1.8017129322742846</v>
      </c>
      <c r="E111" s="23">
        <v>-28.959358235206111</v>
      </c>
      <c r="F111" s="13">
        <v>-29.260725558305069</v>
      </c>
      <c r="G111" s="13">
        <f t="shared" si="4"/>
        <v>0.3013673230989582</v>
      </c>
    </row>
    <row r="112" spans="1:7" ht="15.75" thickBot="1">
      <c r="A112" s="23">
        <v>-31.172383323782299</v>
      </c>
      <c r="B112" s="23">
        <v>-32.88051786672122</v>
      </c>
      <c r="C112" s="13">
        <f t="shared" si="3"/>
        <v>1.7081345429389216</v>
      </c>
      <c r="E112" s="23">
        <v>-31.172383323782299</v>
      </c>
      <c r="F112" s="13">
        <v>-31.813273644992989</v>
      </c>
      <c r="G112" s="13">
        <f t="shared" si="4"/>
        <v>0.64089032121069067</v>
      </c>
    </row>
    <row r="113" spans="1:7" ht="15.75" thickBot="1">
      <c r="A113" s="23">
        <v>-33.624771252059929</v>
      </c>
      <c r="B113" s="23">
        <v>-35.050467821454959</v>
      </c>
      <c r="C113" s="13">
        <f t="shared" si="3"/>
        <v>1.4256965693950292</v>
      </c>
      <c r="E113" s="23">
        <v>-33.624771252059929</v>
      </c>
      <c r="F113" s="13">
        <v>-34.577511717838718</v>
      </c>
      <c r="G113" s="13">
        <f t="shared" si="4"/>
        <v>0.95274046577878835</v>
      </c>
    </row>
    <row r="114" spans="1:7" ht="15.75" thickBot="1">
      <c r="A114" s="23">
        <v>-36.390181785569183</v>
      </c>
      <c r="B114" s="23">
        <v>-37.265042591887322</v>
      </c>
      <c r="C114" s="13">
        <f t="shared" si="3"/>
        <v>0.87486080631813934</v>
      </c>
      <c r="E114" s="23">
        <v>-36.390181785569183</v>
      </c>
      <c r="F114" s="13">
        <v>-37.570225258190305</v>
      </c>
      <c r="G114" s="13">
        <f t="shared" si="4"/>
        <v>1.1800434726211222</v>
      </c>
    </row>
    <row r="115" spans="1:7" ht="15.75" thickBot="1">
      <c r="A115" s="23">
        <v>-39.583330275829155</v>
      </c>
      <c r="B115" s="23">
        <v>-39.517388149904718</v>
      </c>
      <c r="C115" s="13">
        <f t="shared" si="3"/>
        <v>6.5942125924436823E-2</v>
      </c>
      <c r="E115" s="23">
        <v>-39.583330275829155</v>
      </c>
      <c r="F115" s="13">
        <v>-40.808974918466959</v>
      </c>
      <c r="G115" s="13">
        <f t="shared" si="4"/>
        <v>1.2256446426378034</v>
      </c>
    </row>
    <row r="116" spans="1:7" ht="15.75" thickBot="1">
      <c r="A116" s="23">
        <v>-43.39844920250269</v>
      </c>
      <c r="B116" s="23">
        <v>-41.79961640976444</v>
      </c>
      <c r="C116" s="13">
        <f t="shared" si="3"/>
        <v>1.59883279273825</v>
      </c>
      <c r="E116" s="23">
        <v>-43.39844920250269</v>
      </c>
      <c r="F116" s="13">
        <v>-44.312112716992772</v>
      </c>
      <c r="G116" s="13">
        <f t="shared" si="4"/>
        <v>0.91366351449008221</v>
      </c>
    </row>
    <row r="117" spans="1:7" ht="15.75" thickBot="1">
      <c r="A117" s="23">
        <v>-48.208026534704203</v>
      </c>
      <c r="B117" s="23">
        <v>-44.102745363142503</v>
      </c>
      <c r="C117" s="13">
        <f t="shared" si="3"/>
        <v>4.1052811715616997</v>
      </c>
      <c r="E117" s="23">
        <v>-48.208026534704203</v>
      </c>
      <c r="F117" s="13">
        <v>-48.098798232848878</v>
      </c>
      <c r="G117" s="13">
        <f t="shared" si="4"/>
        <v>0.10922830185532462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5"/>
  <sheetViews>
    <sheetView zoomScale="85" zoomScaleNormal="85" workbookViewId="0">
      <selection activeCell="C24" sqref="C24"/>
    </sheetView>
  </sheetViews>
  <sheetFormatPr defaultRowHeight="15"/>
  <cols>
    <col min="1" max="1" width="15.28515625" customWidth="1"/>
    <col min="2" max="2" width="18.7109375" customWidth="1"/>
    <col min="3" max="3" width="25.5703125" customWidth="1"/>
    <col min="4" max="4" width="15.140625" customWidth="1"/>
    <col min="5" max="5" width="11.5703125" style="24" customWidth="1"/>
    <col min="6" max="6" width="15.7109375" style="18" customWidth="1"/>
    <col min="7" max="8" width="14" customWidth="1"/>
    <col min="11" max="11" width="12.42578125" customWidth="1"/>
    <col min="12" max="12" width="17.28515625" customWidth="1"/>
    <col min="13" max="13" width="12.7109375" customWidth="1"/>
  </cols>
  <sheetData>
    <row r="1" spans="1:12">
      <c r="A1" s="15" t="s">
        <v>40</v>
      </c>
      <c r="B1" s="15" t="s">
        <v>41</v>
      </c>
      <c r="C1" s="1" t="s">
        <v>15</v>
      </c>
      <c r="D1" s="3" t="s">
        <v>4</v>
      </c>
      <c r="E1" s="21"/>
      <c r="F1" s="19"/>
      <c r="G1" s="3"/>
      <c r="H1" s="3"/>
    </row>
    <row r="2" spans="1:12">
      <c r="A2" s="16" t="s">
        <v>42</v>
      </c>
      <c r="B2" s="16" t="s">
        <v>13</v>
      </c>
      <c r="C2" s="11" t="s">
        <v>18</v>
      </c>
      <c r="D2" s="12" t="s">
        <v>17</v>
      </c>
      <c r="E2" s="22" t="s">
        <v>13</v>
      </c>
      <c r="F2" s="20" t="s">
        <v>26</v>
      </c>
      <c r="G2" s="12" t="s">
        <v>17</v>
      </c>
      <c r="H2" s="12" t="s">
        <v>25</v>
      </c>
    </row>
    <row r="3" spans="1:12" ht="15.75" thickBot="1">
      <c r="A3" s="28">
        <v>1.32</v>
      </c>
      <c r="B3" s="17">
        <f>A3/3</f>
        <v>0.44</v>
      </c>
      <c r="C3" s="23">
        <f>3*B3*(5000/(3.3-3*B3))</f>
        <v>3333.3333333333339</v>
      </c>
      <c r="D3" s="13">
        <f>$I$12/(LN(C3/$L$12))-273</f>
        <v>51.768590048380872</v>
      </c>
      <c r="E3" s="23">
        <v>0.01</v>
      </c>
      <c r="F3" s="23">
        <f>3*E3*(5000/(3.3-3*E3))</f>
        <v>45.871559633027516</v>
      </c>
      <c r="G3" s="13">
        <f t="shared" ref="G3:G66" si="0">$I$12/(LN(F3/$L$12))-273</f>
        <v>226.97709082730188</v>
      </c>
      <c r="H3" s="13">
        <f xml:space="preserve">  19546*E3^6 -57685*E3^5 + 67024*E3^4 - 38984*E3^3 + 11974*E3^2 - 1977.9*E3 + 221.06</f>
        <v>202.44008049104599</v>
      </c>
    </row>
    <row r="4" spans="1:12" ht="15.75" thickBot="1">
      <c r="A4" s="17">
        <f>B4*3</f>
        <v>1.1594238282</v>
      </c>
      <c r="B4" s="28">
        <v>0.3864746094</v>
      </c>
      <c r="C4" s="23">
        <f>3*B4*(5000/(3.3-3*B4))</f>
        <v>2708.2050231948679</v>
      </c>
      <c r="D4" s="13">
        <f>$I$12/(LN(C4/$L$12))-273</f>
        <v>57.378886872708506</v>
      </c>
      <c r="E4" s="23">
        <f>0.0042+E3</f>
        <v>1.4200000000000001E-2</v>
      </c>
      <c r="F4" s="23">
        <f>3*E4*(5000/(3.3-3*E4))</f>
        <v>65.389574507275753</v>
      </c>
      <c r="G4" s="13">
        <f t="shared" si="0"/>
        <v>205.61871373895508</v>
      </c>
      <c r="H4" s="13">
        <f t="shared" ref="H4:H67" si="1" xml:space="preserve">  19546*E4^6 -57685*E4^5 + 67024*E4^4 - 38984*E4^3 + 11974*E4^2 - 1977.9*E4 + 221.06</f>
        <v>195.2793269042356</v>
      </c>
    </row>
    <row r="5" spans="1:12" ht="15.75" thickBot="1">
      <c r="E5" s="23">
        <f t="shared" ref="E5:E68" si="2">0.0042+E4</f>
        <v>1.84E-2</v>
      </c>
      <c r="F5" s="23">
        <f>3*E5*(5000/(3.3-3*E5))</f>
        <v>85.059171597633153</v>
      </c>
      <c r="G5" s="13">
        <f t="shared" si="0"/>
        <v>190.91757061046457</v>
      </c>
      <c r="H5" s="13">
        <f t="shared" si="1"/>
        <v>188.48526803688378</v>
      </c>
    </row>
    <row r="6" spans="1:12" ht="15.75" thickBot="1">
      <c r="E6" s="23">
        <f t="shared" si="2"/>
        <v>2.2599999999999999E-2</v>
      </c>
      <c r="F6" s="23">
        <f t="shared" ref="F6:F67" si="3">3*E6*(5000/(3.3-3*E6))</f>
        <v>104.88212363096343</v>
      </c>
      <c r="G6" s="13">
        <f t="shared" si="0"/>
        <v>179.83763439682986</v>
      </c>
      <c r="H6" s="13">
        <f t="shared" si="1"/>
        <v>182.04244851054432</v>
      </c>
    </row>
    <row r="7" spans="1:12" ht="15.75" thickBot="1">
      <c r="E7" s="23">
        <f t="shared" si="2"/>
        <v>2.6799999999999997E-2</v>
      </c>
      <c r="F7" s="23">
        <f t="shared" si="3"/>
        <v>124.86023108460678</v>
      </c>
      <c r="G7" s="13">
        <f t="shared" si="0"/>
        <v>171.01152953618464</v>
      </c>
      <c r="H7" s="13">
        <f t="shared" si="1"/>
        <v>175.93587460769564</v>
      </c>
    </row>
    <row r="8" spans="1:12" ht="15.75" thickBot="1">
      <c r="E8" s="23">
        <f t="shared" si="2"/>
        <v>3.0999999999999996E-2</v>
      </c>
      <c r="F8" s="23">
        <f t="shared" si="3"/>
        <v>144.99532273152477</v>
      </c>
      <c r="G8" s="13">
        <f t="shared" si="0"/>
        <v>163.71290241647961</v>
      </c>
      <c r="H8" s="13">
        <f t="shared" si="1"/>
        <v>170.15100560207551</v>
      </c>
    </row>
    <row r="9" spans="1:12" ht="15.75" thickBot="1">
      <c r="E9" s="23">
        <f t="shared" si="2"/>
        <v>3.5199999999999995E-2</v>
      </c>
      <c r="F9" s="23">
        <f t="shared" si="3"/>
        <v>165.28925619834709</v>
      </c>
      <c r="G9" s="13">
        <f t="shared" si="0"/>
        <v>157.51237161028462</v>
      </c>
      <c r="H9" s="13">
        <f t="shared" si="1"/>
        <v>164.67374516626296</v>
      </c>
    </row>
    <row r="10" spans="1:12" ht="15.75" thickBot="1">
      <c r="E10" s="23">
        <f t="shared" si="2"/>
        <v>3.9399999999999998E-2</v>
      </c>
      <c r="F10" s="23">
        <f t="shared" si="3"/>
        <v>185.74391853667737</v>
      </c>
      <c r="G10" s="13">
        <f t="shared" si="0"/>
        <v>152.13622732999454</v>
      </c>
      <c r="H10" s="13">
        <f t="shared" si="1"/>
        <v>159.49043285650833</v>
      </c>
      <c r="I10" s="1" t="s">
        <v>3</v>
      </c>
      <c r="J10" s="2"/>
      <c r="K10" s="2"/>
      <c r="L10" s="3"/>
    </row>
    <row r="11" spans="1:12" ht="15.75" thickBot="1">
      <c r="E11" s="23">
        <f t="shared" si="2"/>
        <v>4.36E-2</v>
      </c>
      <c r="F11" s="23">
        <f t="shared" si="3"/>
        <v>206.36122680802725</v>
      </c>
      <c r="G11" s="13">
        <f t="shared" si="0"/>
        <v>147.39990097049503</v>
      </c>
      <c r="H11" s="13">
        <f t="shared" si="1"/>
        <v>154.58783567481123</v>
      </c>
      <c r="I11" s="4" t="s">
        <v>0</v>
      </c>
      <c r="J11" s="5" t="s">
        <v>2</v>
      </c>
      <c r="K11" s="5" t="s">
        <v>16</v>
      </c>
      <c r="L11" s="6" t="s">
        <v>1</v>
      </c>
    </row>
    <row r="12" spans="1:12" ht="15.75" thickBot="1">
      <c r="E12" s="23">
        <f t="shared" si="2"/>
        <v>4.7800000000000002E-2</v>
      </c>
      <c r="F12" s="23">
        <f t="shared" si="3"/>
        <v>227.14312868275996</v>
      </c>
      <c r="G12" s="13">
        <f t="shared" si="0"/>
        <v>143.17338498864262</v>
      </c>
      <c r="H12" s="13">
        <f t="shared" si="1"/>
        <v>149.95313970824583</v>
      </c>
      <c r="I12" s="27">
        <v>3972</v>
      </c>
      <c r="J12" s="14">
        <v>10000</v>
      </c>
      <c r="K12" s="9">
        <v>298</v>
      </c>
      <c r="L12" s="10">
        <f>J12*EXP(-I12/K12)</f>
        <v>1.626859546054097E-2</v>
      </c>
    </row>
    <row r="13" spans="1:12" ht="15.75" thickBot="1">
      <c r="E13" s="23">
        <f t="shared" si="2"/>
        <v>5.2000000000000005E-2</v>
      </c>
      <c r="F13" s="23">
        <f t="shared" si="3"/>
        <v>248.09160305343519</v>
      </c>
      <c r="G13" s="13">
        <f t="shared" si="0"/>
        <v>139.36185539539747</v>
      </c>
      <c r="H13" s="13">
        <f t="shared" si="1"/>
        <v>145.57394184553459</v>
      </c>
      <c r="I13" s="27">
        <v>3972</v>
      </c>
      <c r="J13" s="14">
        <v>1000</v>
      </c>
      <c r="K13" s="9">
        <v>298</v>
      </c>
      <c r="L13" s="10">
        <f>J13*EXP(-I13/K13)</f>
        <v>1.6268595460540972E-3</v>
      </c>
    </row>
    <row r="14" spans="1:12" ht="15.75" thickBot="1">
      <c r="E14" s="23">
        <f t="shared" si="2"/>
        <v>5.6200000000000007E-2</v>
      </c>
      <c r="F14" s="23">
        <f t="shared" si="3"/>
        <v>269.2086606629623</v>
      </c>
      <c r="G14" s="13">
        <f t="shared" si="0"/>
        <v>135.89414952096519</v>
      </c>
      <c r="H14" s="13">
        <f t="shared" si="1"/>
        <v>141.43824157086914</v>
      </c>
    </row>
    <row r="15" spans="1:12" ht="15.75" thickBot="1">
      <c r="E15" s="23">
        <f t="shared" si="2"/>
        <v>6.0400000000000009E-2</v>
      </c>
      <c r="F15" s="23">
        <f t="shared" si="3"/>
        <v>290.49634474798006</v>
      </c>
      <c r="G15" s="13">
        <f t="shared" si="0"/>
        <v>132.71557714989837</v>
      </c>
      <c r="H15" s="13">
        <f t="shared" si="1"/>
        <v>137.53443283497958</v>
      </c>
    </row>
    <row r="16" spans="1:12" ht="15.75" thickBot="1">
      <c r="E16" s="23">
        <f t="shared" si="2"/>
        <v>6.4600000000000005E-2</v>
      </c>
      <c r="F16" s="23">
        <f t="shared" si="3"/>
        <v>311.95673169789455</v>
      </c>
      <c r="G16" s="13">
        <f t="shared" si="0"/>
        <v>129.78325312143966</v>
      </c>
      <c r="H16" s="13">
        <f t="shared" si="1"/>
        <v>133.85129600345107</v>
      </c>
    </row>
    <row r="17" spans="1:13" ht="15.75" thickBot="1">
      <c r="E17" s="23">
        <f t="shared" si="2"/>
        <v>6.88E-2</v>
      </c>
      <c r="F17" s="23">
        <f t="shared" si="3"/>
        <v>333.5919317300233</v>
      </c>
      <c r="G17" s="13">
        <f t="shared" si="0"/>
        <v>127.06296365946355</v>
      </c>
      <c r="H17" s="13">
        <f t="shared" si="1"/>
        <v>130.37798988228849</v>
      </c>
      <c r="K17" t="s">
        <v>20</v>
      </c>
      <c r="L17" t="s">
        <v>28</v>
      </c>
      <c r="M17" t="s">
        <v>27</v>
      </c>
    </row>
    <row r="18" spans="1:13" ht="15.75" thickBot="1">
      <c r="E18" s="23">
        <f t="shared" si="2"/>
        <v>7.2999999999999995E-2</v>
      </c>
      <c r="F18" s="23">
        <f t="shared" si="3"/>
        <v>355.40408958130473</v>
      </c>
      <c r="G18" s="13">
        <f t="shared" si="0"/>
        <v>124.52700129622917</v>
      </c>
      <c r="H18" s="13">
        <f t="shared" si="1"/>
        <v>127.10404382072885</v>
      </c>
      <c r="K18">
        <v>0.222</v>
      </c>
      <c r="L18">
        <v>0.23499999999999999</v>
      </c>
      <c r="M18">
        <f>((L18*3)*4.99/(1.5-(L18*3))-1)*1000</f>
        <v>3425.0943396226407</v>
      </c>
    </row>
    <row r="19" spans="1:13" ht="15.75" thickBot="1">
      <c r="E19" s="23">
        <f t="shared" si="2"/>
        <v>7.7199999999999991E-2</v>
      </c>
      <c r="F19" s="23">
        <f t="shared" si="3"/>
        <v>377.39538521705117</v>
      </c>
      <c r="G19" s="13">
        <f t="shared" si="0"/>
        <v>122.15263149275398</v>
      </c>
      <c r="H19" s="13">
        <f t="shared" si="1"/>
        <v>124.01934989130156</v>
      </c>
    </row>
    <row r="20" spans="1:13" ht="15.75" thickBot="1">
      <c r="E20" s="23">
        <f t="shared" si="2"/>
        <v>8.1399999999999986E-2</v>
      </c>
      <c r="F20" s="23">
        <f t="shared" si="3"/>
        <v>399.56803455723542</v>
      </c>
      <c r="G20" s="13">
        <f t="shared" si="0"/>
        <v>119.92098289872229</v>
      </c>
      <c r="H20" s="13">
        <f t="shared" si="1"/>
        <v>121.11415514713637</v>
      </c>
    </row>
    <row r="21" spans="1:13" ht="15.75" thickBot="1">
      <c r="A21" s="15" t="s">
        <v>14</v>
      </c>
      <c r="B21" s="3" t="s">
        <v>4</v>
      </c>
      <c r="E21" s="23">
        <f t="shared" si="2"/>
        <v>8.5599999999999982E-2</v>
      </c>
      <c r="F21" s="23">
        <f t="shared" si="3"/>
        <v>421.92429022082007</v>
      </c>
      <c r="G21" s="13">
        <f t="shared" si="0"/>
        <v>117.81622875278424</v>
      </c>
      <c r="H21" s="13">
        <f t="shared" si="1"/>
        <v>118.3790539565192</v>
      </c>
      <c r="J21" s="15" t="s">
        <v>14</v>
      </c>
      <c r="K21" s="1" t="s">
        <v>15</v>
      </c>
      <c r="L21" s="3" t="s">
        <v>4</v>
      </c>
    </row>
    <row r="22" spans="1:13" ht="15.75" thickBot="1">
      <c r="A22" s="16" t="s">
        <v>13</v>
      </c>
      <c r="B22" s="12" t="s">
        <v>17</v>
      </c>
      <c r="E22" s="23">
        <f t="shared" si="2"/>
        <v>8.9799999999999977E-2</v>
      </c>
      <c r="F22" s="23">
        <f t="shared" si="3"/>
        <v>444.46644228865563</v>
      </c>
      <c r="G22" s="13">
        <f t="shared" si="0"/>
        <v>115.82497273403112</v>
      </c>
      <c r="H22" s="13">
        <f t="shared" si="1"/>
        <v>115.80498041469579</v>
      </c>
      <c r="J22" s="16" t="s">
        <v>13</v>
      </c>
      <c r="K22" s="11" t="s">
        <v>18</v>
      </c>
      <c r="L22" s="12" t="s">
        <v>17</v>
      </c>
    </row>
    <row r="23" spans="1:13" ht="15.75" thickBot="1">
      <c r="A23" s="17">
        <v>0.4</v>
      </c>
      <c r="B23" s="13">
        <f>-2122.2*A23^3+2156.4*A23^2-854.18*A23 +142.81</f>
        <v>10.341200000000015</v>
      </c>
      <c r="E23" s="23">
        <f t="shared" si="2"/>
        <v>9.3999999999999972E-2</v>
      </c>
      <c r="F23" s="23">
        <f t="shared" si="3"/>
        <v>467.19681908548694</v>
      </c>
      <c r="G23" s="13">
        <f t="shared" si="0"/>
        <v>113.93578117511265</v>
      </c>
      <c r="H23" s="13">
        <f t="shared" si="1"/>
        <v>113.38320083292308</v>
      </c>
      <c r="J23" s="17">
        <v>0.23559569999999999</v>
      </c>
      <c r="K23">
        <f>1000*J23*3*4.99/(1.5-J23*3)</f>
        <v>4446.3064443354369</v>
      </c>
      <c r="L23" s="13">
        <f>$I$12/(LN(K23/$L$12))-273</f>
        <v>44.294270230312861</v>
      </c>
    </row>
    <row r="24" spans="1:13" ht="15.75" thickBot="1">
      <c r="E24" s="23">
        <f t="shared" si="2"/>
        <v>9.8199999999999968E-2</v>
      </c>
      <c r="F24" s="23">
        <f t="shared" si="3"/>
        <v>490.11778798163294</v>
      </c>
      <c r="G24" s="13">
        <f t="shared" si="0"/>
        <v>112.13882187290432</v>
      </c>
      <c r="H24" s="13">
        <f t="shared" si="1"/>
        <v>111.10530630476846</v>
      </c>
    </row>
    <row r="25" spans="1:13" ht="15.75" thickBot="1">
      <c r="E25" s="23">
        <f t="shared" si="2"/>
        <v>0.10239999999999996</v>
      </c>
      <c r="F25" s="23">
        <f t="shared" si="3"/>
        <v>513.23175621491566</v>
      </c>
      <c r="G25" s="13">
        <f t="shared" si="0"/>
        <v>110.42558175085048</v>
      </c>
      <c r="H25" s="13">
        <f t="shared" si="1"/>
        <v>108.96320534965676</v>
      </c>
    </row>
    <row r="26" spans="1:13" ht="15.75" thickBot="1">
      <c r="E26" s="23">
        <f t="shared" si="2"/>
        <v>0.10659999999999996</v>
      </c>
      <c r="F26" s="23">
        <f t="shared" si="3"/>
        <v>536.54117173344048</v>
      </c>
      <c r="G26" s="13">
        <f t="shared" si="0"/>
        <v>108.78864367540803</v>
      </c>
      <c r="H26" s="13">
        <f t="shared" si="1"/>
        <v>106.94911663366511</v>
      </c>
    </row>
    <row r="27" spans="1:13" ht="15.75" thickBot="1">
      <c r="E27" s="23">
        <f t="shared" si="2"/>
        <v>0.11079999999999995</v>
      </c>
      <c r="F27" s="23">
        <f t="shared" si="3"/>
        <v>560.04852405984605</v>
      </c>
      <c r="G27" s="13">
        <f t="shared" si="0"/>
        <v>107.22150822161609</v>
      </c>
      <c r="H27" s="13">
        <f t="shared" si="1"/>
        <v>105.05556176756556</v>
      </c>
    </row>
    <row r="28" spans="1:13" ht="15.75" thickBot="1">
      <c r="E28" s="23">
        <f t="shared" si="2"/>
        <v>0.11499999999999995</v>
      </c>
      <c r="F28" s="23">
        <f t="shared" si="3"/>
        <v>583.75634517766468</v>
      </c>
      <c r="G28" s="13">
        <f t="shared" si="0"/>
        <v>105.71844999624238</v>
      </c>
      <c r="H28" s="13">
        <f t="shared" si="1"/>
        <v>103.27535818211557</v>
      </c>
    </row>
    <row r="29" spans="1:13" ht="15.75" thickBot="1">
      <c r="E29" s="23">
        <f t="shared" si="2"/>
        <v>0.11919999999999994</v>
      </c>
      <c r="F29" s="23">
        <f t="shared" si="3"/>
        <v>607.66721044045642</v>
      </c>
      <c r="G29" s="13">
        <f t="shared" si="0"/>
        <v>104.27440081642925</v>
      </c>
      <c r="H29" s="13">
        <f t="shared" si="1"/>
        <v>101.60161208059606</v>
      </c>
    </row>
    <row r="30" spans="1:13" ht="15.75" thickBot="1">
      <c r="E30" s="23">
        <f t="shared" si="2"/>
        <v>0.12339999999999994</v>
      </c>
      <c r="F30" s="23">
        <f t="shared" si="3"/>
        <v>631.78373950440266</v>
      </c>
      <c r="G30" s="13">
        <f t="shared" si="0"/>
        <v>102.88485396603267</v>
      </c>
      <c r="H30" s="13">
        <f t="shared" si="1"/>
        <v>100.02771146859766</v>
      </c>
    </row>
    <row r="31" spans="1:13" ht="15.75" thickBot="1">
      <c r="E31" s="23">
        <f t="shared" si="2"/>
        <v>0.12759999999999994</v>
      </c>
      <c r="F31" s="23">
        <f t="shared" si="3"/>
        <v>656.1085972850675</v>
      </c>
      <c r="G31" s="13">
        <f t="shared" si="0"/>
        <v>101.5457851469755</v>
      </c>
      <c r="H31" s="13">
        <f t="shared" si="1"/>
        <v>98.54731926105444</v>
      </c>
    </row>
    <row r="32" spans="1:13" ht="15.75" thickBot="1">
      <c r="E32" s="23">
        <f t="shared" si="2"/>
        <v>0.13179999999999994</v>
      </c>
      <c r="F32" s="23">
        <f t="shared" si="3"/>
        <v>680.64449493906193</v>
      </c>
      <c r="G32" s="13">
        <f t="shared" si="0"/>
        <v>100.2535867668692</v>
      </c>
      <c r="H32" s="13">
        <f t="shared" si="1"/>
        <v>97.154366466525687</v>
      </c>
    </row>
    <row r="33" spans="5:8" ht="15.75" thickBot="1">
      <c r="E33" s="23">
        <f t="shared" si="2"/>
        <v>0.13599999999999995</v>
      </c>
      <c r="F33" s="23">
        <f t="shared" si="3"/>
        <v>705.39419087136912</v>
      </c>
      <c r="G33" s="13">
        <f t="shared" si="0"/>
        <v>99.005012964211517</v>
      </c>
      <c r="H33" s="13">
        <f t="shared" si="1"/>
        <v>95.843045448725036</v>
      </c>
    </row>
    <row r="34" spans="5:8" ht="15.75" thickBot="1">
      <c r="E34" s="23">
        <f t="shared" si="2"/>
        <v>0.14019999999999996</v>
      </c>
      <c r="F34" s="23">
        <f t="shared" si="3"/>
        <v>730.36049176911831</v>
      </c>
      <c r="G34" s="13">
        <f t="shared" si="0"/>
        <v>97.797133342616519</v>
      </c>
      <c r="H34" s="13">
        <f t="shared" si="1"/>
        <v>94.607803265298031</v>
      </c>
    </row>
    <row r="35" spans="5:8" ht="15.75" thickBot="1">
      <c r="E35" s="23">
        <f t="shared" si="2"/>
        <v>0.14439999999999997</v>
      </c>
      <c r="F35" s="23">
        <f t="shared" si="3"/>
        <v>755.54625366262019</v>
      </c>
      <c r="G35" s="13">
        <f t="shared" si="0"/>
        <v>96.627293817429802</v>
      </c>
      <c r="H35" s="13">
        <f t="shared" si="1"/>
        <v>93.443335083847018</v>
      </c>
    </row>
    <row r="36" spans="5:8" ht="15.75" thickBot="1">
      <c r="E36" s="23">
        <f t="shared" si="2"/>
        <v>0.14859999999999998</v>
      </c>
      <c r="F36" s="23">
        <f t="shared" si="3"/>
        <v>780.95438301450497</v>
      </c>
      <c r="G36" s="13">
        <f t="shared" si="0"/>
        <v>95.493083308265795</v>
      </c>
      <c r="H36" s="13">
        <f t="shared" si="1"/>
        <v>92.344577675204107</v>
      </c>
    </row>
    <row r="37" spans="5:8" ht="15.75" thickBot="1">
      <c r="E37" s="23">
        <f t="shared" si="2"/>
        <v>0.15279999999999999</v>
      </c>
      <c r="F37" s="23">
        <f t="shared" si="3"/>
        <v>806.58783783783781</v>
      </c>
      <c r="G37" s="13">
        <f t="shared" si="0"/>
        <v>94.392305265590551</v>
      </c>
      <c r="H37" s="13">
        <f t="shared" si="1"/>
        <v>91.306702983951709</v>
      </c>
    </row>
    <row r="38" spans="5:8" ht="15.75" thickBot="1">
      <c r="E38" s="23">
        <f t="shared" si="2"/>
        <v>0.157</v>
      </c>
      <c r="F38" s="23">
        <f t="shared" si="3"/>
        <v>832.4496288441145</v>
      </c>
      <c r="G38" s="13">
        <f t="shared" si="0"/>
        <v>93.322953217358247</v>
      </c>
      <c r="H38" s="13">
        <f t="shared" si="1"/>
        <v>90.325111776190965</v>
      </c>
    </row>
    <row r="39" spans="5:8" ht="15.75" thickBot="1">
      <c r="E39" s="23">
        <f t="shared" si="2"/>
        <v>0.16120000000000001</v>
      </c>
      <c r="F39" s="23">
        <f t="shared" si="3"/>
        <v>858.54282062207085</v>
      </c>
      <c r="G39" s="13">
        <f t="shared" si="0"/>
        <v>92.28318967668821</v>
      </c>
      <c r="H39" s="13">
        <f t="shared" si="1"/>
        <v>89.395427364558202</v>
      </c>
    </row>
    <row r="40" spans="5:8" ht="15.75" thickBot="1">
      <c r="E40" s="23">
        <f t="shared" si="2"/>
        <v>0.16540000000000002</v>
      </c>
      <c r="F40" s="23">
        <f t="shared" si="3"/>
        <v>884.87053284827755</v>
      </c>
      <c r="G40" s="13">
        <f t="shared" si="0"/>
        <v>91.271327873804296</v>
      </c>
      <c r="H40" s="13">
        <f t="shared" si="1"/>
        <v>88.51348941048883</v>
      </c>
    </row>
    <row r="41" spans="5:8" ht="15.75" thickBot="1">
      <c r="E41" s="23">
        <f t="shared" si="2"/>
        <v>0.16960000000000003</v>
      </c>
      <c r="F41" s="23">
        <f t="shared" si="3"/>
        <v>911.43594153052481</v>
      </c>
      <c r="G41" s="13">
        <f t="shared" si="0"/>
        <v>90.285815872521596</v>
      </c>
      <c r="H41" s="13">
        <f t="shared" si="1"/>
        <v>87.675347803729323</v>
      </c>
    </row>
    <row r="42" spans="5:8" ht="15.75" thickBot="1">
      <c r="E42" s="23">
        <f t="shared" si="2"/>
        <v>0.17380000000000004</v>
      </c>
      <c r="F42" s="23">
        <f t="shared" si="3"/>
        <v>938.2422802850358</v>
      </c>
      <c r="G42" s="13">
        <f t="shared" si="0"/>
        <v>89.325222709130628</v>
      </c>
      <c r="H42" s="13">
        <f t="shared" si="1"/>
        <v>86.877256619096585</v>
      </c>
    </row>
    <row r="43" spans="5:8" ht="15.75" thickBot="1">
      <c r="E43" s="23">
        <f t="shared" si="2"/>
        <v>0.17800000000000005</v>
      </c>
      <c r="F43" s="23">
        <f t="shared" si="3"/>
        <v>965.29284164859041</v>
      </c>
      <c r="G43" s="13">
        <f t="shared" si="0"/>
        <v>88.388226253877917</v>
      </c>
      <c r="H43" s="13">
        <f t="shared" si="1"/>
        <v>86.115668150485817</v>
      </c>
    </row>
    <row r="44" spans="5:8" ht="15.75" thickBot="1">
      <c r="E44" s="23">
        <f t="shared" si="2"/>
        <v>0.18220000000000006</v>
      </c>
      <c r="F44" s="23">
        <f t="shared" si="3"/>
        <v>992.59097842667302</v>
      </c>
      <c r="G44" s="13">
        <f t="shared" si="0"/>
        <v>87.473602545657855</v>
      </c>
      <c r="H44" s="13">
        <f t="shared" si="1"/>
        <v>85.387227022125643</v>
      </c>
    </row>
    <row r="45" spans="5:8" ht="15.75" thickBot="1">
      <c r="E45" s="23">
        <f t="shared" si="2"/>
        <v>0.18640000000000007</v>
      </c>
      <c r="F45" s="23">
        <f t="shared" si="3"/>
        <v>1020.1401050788095</v>
      </c>
      <c r="G45" s="13">
        <f t="shared" si="0"/>
        <v>86.580216391503768</v>
      </c>
      <c r="H45" s="13">
        <f t="shared" si="1"/>
        <v>84.688764377081043</v>
      </c>
    </row>
    <row r="46" spans="5:8" ht="15.75" thickBot="1">
      <c r="E46" s="23">
        <f t="shared" si="2"/>
        <v>0.19060000000000007</v>
      </c>
      <c r="F46" s="23">
        <f t="shared" si="3"/>
        <v>1047.943699142292</v>
      </c>
      <c r="G46" s="13">
        <f t="shared" si="0"/>
        <v>85.707013055948266</v>
      </c>
      <c r="H46" s="13">
        <f t="shared" si="1"/>
        <v>84.01729214300434</v>
      </c>
    </row>
    <row r="47" spans="5:8" ht="15.75" thickBot="1">
      <c r="E47" s="23">
        <f t="shared" si="2"/>
        <v>0.19480000000000008</v>
      </c>
      <c r="F47" s="23">
        <f t="shared" si="3"/>
        <v>1076.0053026955375</v>
      </c>
      <c r="G47" s="13">
        <f t="shared" si="0"/>
        <v>84.853010892809607</v>
      </c>
      <c r="H47" s="13">
        <f t="shared" si="1"/>
        <v>83.369997375133977</v>
      </c>
    </row>
    <row r="48" spans="5:8" ht="15.75" thickBot="1">
      <c r="E48" s="23">
        <f t="shared" si="2"/>
        <v>0.19900000000000009</v>
      </c>
      <c r="F48" s="23">
        <f t="shared" si="3"/>
        <v>1104.328523862376</v>
      </c>
      <c r="G48" s="13">
        <f t="shared" si="0"/>
        <v>84.017294794634097</v>
      </c>
      <c r="H48" s="13">
        <f t="shared" si="1"/>
        <v>82.744236676540908</v>
      </c>
    </row>
    <row r="49" spans="5:8" ht="15.75" thickBot="1">
      <c r="E49" s="23">
        <f t="shared" si="2"/>
        <v>0.2032000000000001</v>
      </c>
      <c r="F49" s="23">
        <f t="shared" si="3"/>
        <v>1132.9170383586093</v>
      </c>
      <c r="G49" s="13">
        <f t="shared" si="0"/>
        <v>83.19901035380849</v>
      </c>
      <c r="H49" s="13">
        <f t="shared" si="1"/>
        <v>82.137530695622559</v>
      </c>
    </row>
    <row r="50" spans="5:8" ht="15.75" thickBot="1">
      <c r="E50" s="23">
        <f t="shared" si="2"/>
        <v>0.20740000000000011</v>
      </c>
      <c r="F50" s="23">
        <f t="shared" si="3"/>
        <v>1161.7745910822325</v>
      </c>
      <c r="G50" s="13">
        <f t="shared" si="0"/>
        <v>82.397358644988003</v>
      </c>
      <c r="H50" s="13">
        <f t="shared" si="1"/>
        <v>81.547558700845627</v>
      </c>
    </row>
    <row r="51" spans="5:8" ht="15.75" thickBot="1">
      <c r="E51" s="23">
        <f t="shared" si="2"/>
        <v>0.21160000000000012</v>
      </c>
      <c r="F51" s="23">
        <f t="shared" si="3"/>
        <v>1190.9049977487628</v>
      </c>
      <c r="G51" s="13">
        <f t="shared" si="0"/>
        <v>81.611591551541039</v>
      </c>
      <c r="H51" s="13">
        <f t="shared" si="1"/>
        <v>80.972153232735423</v>
      </c>
    </row>
    <row r="52" spans="5:8" ht="15.75" thickBot="1">
      <c r="E52" s="23">
        <f t="shared" si="2"/>
        <v>0.21580000000000013</v>
      </c>
      <c r="F52" s="23">
        <f t="shared" si="3"/>
        <v>1220.3121465731745</v>
      </c>
      <c r="G52" s="13">
        <f t="shared" si="0"/>
        <v>80.841007569661599</v>
      </c>
      <c r="H52" s="13">
        <f t="shared" si="1"/>
        <v>80.409294833113677</v>
      </c>
    </row>
    <row r="53" spans="5:8" ht="15.75" thickBot="1">
      <c r="E53" s="23">
        <f t="shared" si="2"/>
        <v>0.22000000000000014</v>
      </c>
      <c r="F53" s="23">
        <f t="shared" si="3"/>
        <v>1250.0000000000009</v>
      </c>
      <c r="G53" s="13">
        <f t="shared" si="0"/>
        <v>80.084948033019771</v>
      </c>
      <c r="H53" s="13">
        <f t="shared" si="1"/>
        <v>79.857106851583922</v>
      </c>
    </row>
    <row r="54" spans="5:8" ht="15.75" thickBot="1">
      <c r="E54" s="23">
        <f t="shared" si="2"/>
        <v>0.22420000000000015</v>
      </c>
      <c r="F54" s="23">
        <f t="shared" si="3"/>
        <v>1279.9725964832164</v>
      </c>
      <c r="G54" s="13">
        <f t="shared" si="0"/>
        <v>79.34279370860429</v>
      </c>
      <c r="H54" s="13">
        <f t="shared" si="1"/>
        <v>79.313850329265279</v>
      </c>
    </row>
    <row r="55" spans="5:8" ht="15.75" thickBot="1">
      <c r="E55" s="23">
        <f t="shared" si="2"/>
        <v>0.22840000000000016</v>
      </c>
      <c r="F55" s="23">
        <f t="shared" si="3"/>
        <v>1310.2340523175781</v>
      </c>
      <c r="G55" s="13">
        <f t="shared" si="0"/>
        <v>78.613961721013482</v>
      </c>
      <c r="H55" s="13">
        <f t="shared" si="1"/>
        <v>78.777918959772592</v>
      </c>
    </row>
    <row r="56" spans="5:8" ht="15.75" thickBot="1">
      <c r="E56" s="23">
        <f t="shared" si="2"/>
        <v>0.23260000000000017</v>
      </c>
      <c r="F56" s="23">
        <f t="shared" si="3"/>
        <v>1340.7885635231739</v>
      </c>
      <c r="G56" s="13">
        <f t="shared" si="0"/>
        <v>77.897902768063148</v>
      </c>
      <c r="H56" s="13">
        <f t="shared" si="1"/>
        <v>78.247834127446822</v>
      </c>
    </row>
    <row r="57" spans="5:8" ht="15.75" thickBot="1">
      <c r="E57" s="23">
        <f t="shared" si="2"/>
        <v>0.23680000000000018</v>
      </c>
      <c r="F57" s="23">
        <f t="shared" si="3"/>
        <v>1371.6404077849877</v>
      </c>
      <c r="G57" s="13">
        <f t="shared" si="0"/>
        <v>77.194098595367336</v>
      </c>
      <c r="H57" s="13">
        <f t="shared" si="1"/>
        <v>77.722240022829965</v>
      </c>
    </row>
    <row r="58" spans="5:8" ht="15.75" thickBot="1">
      <c r="E58" s="23">
        <f t="shared" si="2"/>
        <v>0.24100000000000019</v>
      </c>
      <c r="F58" s="23">
        <f t="shared" si="3"/>
        <v>1402.7939464493613</v>
      </c>
      <c r="G58" s="13">
        <f t="shared" si="0"/>
        <v>76.502059701647283</v>
      </c>
      <c r="H58" s="13">
        <f t="shared" si="1"/>
        <v>77.199898835391025</v>
      </c>
    </row>
    <row r="59" spans="5:8" ht="15.75" thickBot="1">
      <c r="E59" s="23">
        <f t="shared" si="2"/>
        <v>0.2452000000000002</v>
      </c>
      <c r="F59" s="23">
        <f t="shared" si="3"/>
        <v>1434.2536265793185</v>
      </c>
      <c r="G59" s="13">
        <f t="shared" si="0"/>
        <v>75.821323250037381</v>
      </c>
      <c r="H59" s="13">
        <f t="shared" si="1"/>
        <v>76.679686023497425</v>
      </c>
    </row>
    <row r="60" spans="5:8" ht="15.75" thickBot="1">
      <c r="E60" s="23">
        <f t="shared" si="2"/>
        <v>0.2494000000000002</v>
      </c>
      <c r="F60" s="23">
        <f t="shared" si="3"/>
        <v>1466.0239830707753</v>
      </c>
      <c r="G60" s="13">
        <f t="shared" si="0"/>
        <v>75.151451163686488</v>
      </c>
      <c r="H60" s="13">
        <f t="shared" si="1"/>
        <v>76.160585661635764</v>
      </c>
    </row>
    <row r="61" spans="5:8" ht="15.75" thickBot="1">
      <c r="E61" s="23">
        <f t="shared" si="2"/>
        <v>0.25360000000000021</v>
      </c>
      <c r="F61" s="23">
        <f t="shared" si="3"/>
        <v>1498.1096408317596</v>
      </c>
      <c r="G61" s="13">
        <f t="shared" si="0"/>
        <v>74.49202838656106</v>
      </c>
      <c r="H61" s="13">
        <f t="shared" si="1"/>
        <v>75.641685864879094</v>
      </c>
    </row>
    <row r="62" spans="5:8" ht="15.75" thickBot="1">
      <c r="E62" s="23">
        <f t="shared" si="2"/>
        <v>0.2578000000000002</v>
      </c>
      <c r="F62" s="23">
        <f t="shared" si="3"/>
        <v>1530.5153170268359</v>
      </c>
      <c r="G62" s="13">
        <f t="shared" si="0"/>
        <v>73.842661292618459</v>
      </c>
      <c r="H62" s="13">
        <f t="shared" si="1"/>
        <v>75.122174290603255</v>
      </c>
    </row>
    <row r="63" spans="5:8" ht="15.75" thickBot="1">
      <c r="E63" s="23">
        <f t="shared" si="2"/>
        <v>0.26200000000000018</v>
      </c>
      <c r="F63" s="23">
        <f t="shared" si="3"/>
        <v>1563.2458233890229</v>
      </c>
      <c r="G63" s="13">
        <f t="shared" si="0"/>
        <v>73.202976228476359</v>
      </c>
      <c r="H63" s="13">
        <f t="shared" si="1"/>
        <v>74.60133371744945</v>
      </c>
    </row>
    <row r="64" spans="5:8" ht="15.75" thickBot="1">
      <c r="E64" s="23">
        <f t="shared" si="2"/>
        <v>0.26620000000000016</v>
      </c>
      <c r="F64" s="23">
        <f t="shared" si="3"/>
        <v>1596.3060686015842</v>
      </c>
      <c r="G64" s="13">
        <f t="shared" si="0"/>
        <v>72.572618176409719</v>
      </c>
      <c r="H64" s="13">
        <f t="shared" si="1"/>
        <v>74.078537701537073</v>
      </c>
    </row>
    <row r="65" spans="5:8" ht="15.75" thickBot="1">
      <c r="E65" s="23">
        <f t="shared" si="2"/>
        <v>0.27040000000000014</v>
      </c>
      <c r="F65" s="23">
        <f t="shared" si="3"/>
        <v>1629.7010607521709</v>
      </c>
      <c r="G65" s="13">
        <f t="shared" si="0"/>
        <v>71.951249525991273</v>
      </c>
      <c r="H65" s="13">
        <f t="shared" si="1"/>
        <v>73.553246309921349</v>
      </c>
    </row>
    <row r="66" spans="5:8" ht="15.75" thickBot="1">
      <c r="E66" s="23">
        <f t="shared" si="2"/>
        <v>0.27460000000000012</v>
      </c>
      <c r="F66" s="23">
        <f t="shared" si="3"/>
        <v>1663.4359098618861</v>
      </c>
      <c r="G66" s="13">
        <f t="shared" si="0"/>
        <v>71.338548943987917</v>
      </c>
      <c r="H66" s="13">
        <f t="shared" si="1"/>
        <v>73.025001931301119</v>
      </c>
    </row>
    <row r="67" spans="5:8" ht="15.75" thickBot="1">
      <c r="E67" s="23">
        <f t="shared" si="2"/>
        <v>0.2788000000000001</v>
      </c>
      <c r="F67" s="23">
        <f t="shared" si="3"/>
        <v>1697.5158304919639</v>
      </c>
      <c r="G67" s="13">
        <f t="shared" ref="G67:G117" si="4">$I$12/(LN(F67/$L$12))-273</f>
        <v>70.734210333262126</v>
      </c>
      <c r="H67" s="13">
        <f t="shared" si="1"/>
        <v>72.493425163972972</v>
      </c>
    </row>
    <row r="68" spans="5:8" ht="15.75" thickBot="1">
      <c r="E68" s="23">
        <f t="shared" si="2"/>
        <v>0.28300000000000008</v>
      </c>
      <c r="F68" s="23">
        <f t="shared" ref="F68:F131" si="5">3*E68*(5000/(3.3-3*E68))</f>
        <v>1731.9461444308454</v>
      </c>
      <c r="G68" s="13">
        <f t="shared" si="4"/>
        <v>70.137941872422971</v>
      </c>
      <c r="H68" s="13">
        <f t="shared" ref="H68:H131" si="6" xml:space="preserve">  19546*E68^6 -57685*E68^5 + 67024*E68^4 - 38984*E68^3 + 11974*E68^2 - 1977.9*E68 + 221.06</f>
        <v>71.958210781034666</v>
      </c>
    </row>
    <row r="69" spans="5:8" ht="15.75" thickBot="1">
      <c r="E69" s="23">
        <f t="shared" ref="E69:E132" si="7">0.0042+E68</f>
        <v>0.28720000000000007</v>
      </c>
      <c r="F69" s="23">
        <f t="shared" si="5"/>
        <v>1766.7322834645674</v>
      </c>
      <c r="G69" s="13">
        <f t="shared" si="4"/>
        <v>69.549465128848055</v>
      </c>
      <c r="H69" s="13">
        <f t="shared" si="6"/>
        <v>71.419123772834439</v>
      </c>
    </row>
    <row r="70" spans="5:8" ht="15.75" thickBot="1">
      <c r="E70" s="23">
        <f t="shared" si="7"/>
        <v>0.29140000000000005</v>
      </c>
      <c r="F70" s="23">
        <f t="shared" si="5"/>
        <v>1801.8797922334904</v>
      </c>
      <c r="G70" s="13">
        <f t="shared" si="4"/>
        <v>68.968514238467208</v>
      </c>
      <c r="H70" s="13">
        <f t="shared" si="6"/>
        <v>70.875995466669735</v>
      </c>
    </row>
    <row r="71" spans="5:8" ht="15.75" thickBot="1">
      <c r="E71" s="23">
        <f t="shared" si="7"/>
        <v>0.29560000000000003</v>
      </c>
      <c r="F71" s="23">
        <f t="shared" si="5"/>
        <v>1837.3943311785185</v>
      </c>
      <c r="G71" s="13">
        <f t="shared" si="4"/>
        <v>68.394835146382832</v>
      </c>
      <c r="H71" s="13">
        <f t="shared" si="6"/>
        <v>70.328719723733172</v>
      </c>
    </row>
    <row r="72" spans="5:8" ht="15.75" thickBot="1">
      <c r="E72" s="23">
        <f t="shared" si="7"/>
        <v>0.29980000000000001</v>
      </c>
      <c r="F72" s="23">
        <f t="shared" si="5"/>
        <v>1873.2816795801048</v>
      </c>
      <c r="G72" s="13">
        <f t="shared" si="4"/>
        <v>67.828184903000647</v>
      </c>
      <c r="H72" s="13">
        <f t="shared" si="6"/>
        <v>69.777249213306106</v>
      </c>
    </row>
    <row r="73" spans="5:8" ht="15.75" thickBot="1">
      <c r="E73" s="23">
        <f t="shared" si="7"/>
        <v>0.30399999999999999</v>
      </c>
      <c r="F73" s="23">
        <f t="shared" si="5"/>
        <v>1909.5477386934672</v>
      </c>
      <c r="G73" s="13">
        <f t="shared" si="4"/>
        <v>67.268331010880047</v>
      </c>
      <c r="H73" s="13">
        <f t="shared" si="6"/>
        <v>69.221591764199104</v>
      </c>
    </row>
    <row r="74" spans="5:8" ht="15.75" thickBot="1">
      <c r="E74" s="23">
        <f t="shared" si="7"/>
        <v>0.30819999999999997</v>
      </c>
      <c r="F74" s="23">
        <f t="shared" si="5"/>
        <v>1946.1985349835816</v>
      </c>
      <c r="G74" s="13">
        <f t="shared" si="4"/>
        <v>66.715050817985514</v>
      </c>
      <c r="H74" s="13">
        <f t="shared" si="6"/>
        <v>68.661806793444782</v>
      </c>
    </row>
    <row r="75" spans="5:8" ht="15.75" thickBot="1">
      <c r="E75" s="23">
        <f t="shared" si="7"/>
        <v>0.31239999999999996</v>
      </c>
      <c r="F75" s="23">
        <f t="shared" si="5"/>
        <v>1983.2402234636866</v>
      </c>
      <c r="G75" s="13">
        <f t="shared" si="4"/>
        <v>66.168130953442642</v>
      </c>
      <c r="H75" s="13">
        <f t="shared" si="6"/>
        <v>68.098001812230166</v>
      </c>
    </row>
    <row r="76" spans="5:8" ht="15.75" thickBot="1">
      <c r="E76" s="23">
        <f t="shared" si="7"/>
        <v>0.31659999999999994</v>
      </c>
      <c r="F76" s="23">
        <f t="shared" si="5"/>
        <v>2020.6790911411788</v>
      </c>
      <c r="G76" s="13">
        <f t="shared" si="4"/>
        <v>65.627366802274139</v>
      </c>
      <c r="H76" s="13">
        <f t="shared" si="6"/>
        <v>67.530329009085165</v>
      </c>
    </row>
    <row r="77" spans="5:8" ht="15.75" thickBot="1">
      <c r="E77" s="23">
        <f t="shared" si="7"/>
        <v>0.32079999999999992</v>
      </c>
      <c r="F77" s="23">
        <f t="shared" si="5"/>
        <v>2058.5215605749481</v>
      </c>
      <c r="G77" s="13">
        <f t="shared" si="4"/>
        <v>65.092562015929332</v>
      </c>
      <c r="H77" s="13">
        <f t="shared" si="6"/>
        <v>66.958981910313867</v>
      </c>
    </row>
    <row r="78" spans="5:8" ht="15.75" thickBot="1">
      <c r="E78" s="23">
        <f t="shared" si="7"/>
        <v>0.3249999999999999</v>
      </c>
      <c r="F78" s="23">
        <f t="shared" si="5"/>
        <v>2096.7741935483864</v>
      </c>
      <c r="G78" s="13">
        <f t="shared" si="4"/>
        <v>64.563528055715551</v>
      </c>
      <c r="H78" s="13">
        <f t="shared" si="6"/>
        <v>66.384192117675695</v>
      </c>
    </row>
    <row r="79" spans="5:8" ht="15.75" thickBot="1">
      <c r="E79" s="23">
        <f t="shared" si="7"/>
        <v>0.32919999999999988</v>
      </c>
      <c r="F79" s="23">
        <f t="shared" si="5"/>
        <v>2135.4436948624798</v>
      </c>
      <c r="G79" s="13">
        <f t="shared" si="4"/>
        <v>64.040083766508531</v>
      </c>
      <c r="H79" s="13">
        <f t="shared" si="6"/>
        <v>65.806226123312797</v>
      </c>
    </row>
    <row r="80" spans="5:8" ht="15.75" thickBot="1">
      <c r="E80" s="23">
        <f t="shared" si="7"/>
        <v>0.33339999999999986</v>
      </c>
      <c r="F80" s="23">
        <f t="shared" si="5"/>
        <v>2174.5369162535862</v>
      </c>
      <c r="G80" s="13">
        <f t="shared" si="4"/>
        <v>63.522054978358256</v>
      </c>
      <c r="H80" s="13">
        <f t="shared" si="6"/>
        <v>65.225382201927744</v>
      </c>
    </row>
    <row r="81" spans="5:8" ht="15.75" thickBot="1">
      <c r="E81" s="23">
        <f t="shared" si="7"/>
        <v>0.33759999999999984</v>
      </c>
      <c r="F81" s="23">
        <f t="shared" si="5"/>
        <v>2214.0608604407121</v>
      </c>
      <c r="G81" s="13">
        <f t="shared" si="4"/>
        <v>63.009274133821066</v>
      </c>
      <c r="H81" s="13">
        <f t="shared" si="6"/>
        <v>64.641987380205876</v>
      </c>
    </row>
    <row r="82" spans="5:8" ht="15.75" thickBot="1">
      <c r="E82" s="23">
        <f t="shared" si="7"/>
        <v>0.34179999999999983</v>
      </c>
      <c r="F82" s="23">
        <f t="shared" si="5"/>
        <v>2254.022685307305</v>
      </c>
      <c r="G82" s="13">
        <f t="shared" si="4"/>
        <v>62.50157993904071</v>
      </c>
      <c r="H82" s="13">
        <f t="shared" si="6"/>
        <v>64.056394483488191</v>
      </c>
    </row>
    <row r="83" spans="5:8" ht="15.75" thickBot="1">
      <c r="E83" s="23">
        <f t="shared" si="7"/>
        <v>0.34599999999999981</v>
      </c>
      <c r="F83" s="23">
        <f t="shared" si="5"/>
        <v>2294.4297082228095</v>
      </c>
      <c r="G83" s="13">
        <f t="shared" si="4"/>
        <v>61.998817036777609</v>
      </c>
      <c r="H83" s="13">
        <f t="shared" si="6"/>
        <v>63.468979259690116</v>
      </c>
    </row>
    <row r="84" spans="5:8" ht="15.75" thickBot="1">
      <c r="E84" s="23">
        <f t="shared" si="7"/>
        <v>0.35019999999999979</v>
      </c>
      <c r="F84" s="23">
        <f t="shared" si="5"/>
        <v>2335.2894105094674</v>
      </c>
      <c r="G84" s="13">
        <f t="shared" si="4"/>
        <v>61.500835699737479</v>
      </c>
      <c r="H84" s="13">
        <f t="shared" si="6"/>
        <v>62.880137580470034</v>
      </c>
    </row>
    <row r="85" spans="5:8" ht="15.75" thickBot="1">
      <c r="E85" s="23">
        <f t="shared" si="7"/>
        <v>0.35439999999999977</v>
      </c>
      <c r="F85" s="23">
        <f t="shared" si="5"/>
        <v>2376.6094420600834</v>
      </c>
      <c r="G85" s="13">
        <f t="shared" si="4"/>
        <v>61.007491542695959</v>
      </c>
      <c r="H85" s="13">
        <f t="shared" si="6"/>
        <v>62.290282719642562</v>
      </c>
    </row>
    <row r="86" spans="5:8" ht="15.75" thickBot="1">
      <c r="E86" s="23">
        <f t="shared" si="7"/>
        <v>0.35859999999999975</v>
      </c>
      <c r="F86" s="23">
        <f t="shared" si="5"/>
        <v>2418.3976261127573</v>
      </c>
      <c r="G86" s="13">
        <f t="shared" si="4"/>
        <v>60.518645252040585</v>
      </c>
      <c r="H86" s="13">
        <f t="shared" si="6"/>
        <v>61.699842708844642</v>
      </c>
    </row>
    <row r="87" spans="5:8" ht="15.75" thickBot="1">
      <c r="E87" s="23">
        <f t="shared" si="7"/>
        <v>0.36279999999999973</v>
      </c>
      <c r="F87" s="23">
        <f t="shared" si="5"/>
        <v>2460.6619641888196</v>
      </c>
      <c r="G87" s="13">
        <f t="shared" si="4"/>
        <v>60.034162331467314</v>
      </c>
      <c r="H87" s="13">
        <f t="shared" si="6"/>
        <v>61.109257770441843</v>
      </c>
    </row>
    <row r="88" spans="5:8" ht="15.75" thickBot="1">
      <c r="E88" s="23">
        <f t="shared" si="7"/>
        <v>0.36699999999999972</v>
      </c>
      <c r="F88" s="23">
        <f t="shared" si="5"/>
        <v>2503.4106412005431</v>
      </c>
      <c r="G88" s="13">
        <f t="shared" si="4"/>
        <v>59.553912862674167</v>
      </c>
      <c r="H88" s="13">
        <f t="shared" si="6"/>
        <v>60.518977827690776</v>
      </c>
    </row>
    <row r="89" spans="5:8" ht="15.75" thickBot="1">
      <c r="E89" s="23">
        <f t="shared" si="7"/>
        <v>0.3711999999999997</v>
      </c>
      <c r="F89" s="23">
        <f t="shared" si="5"/>
        <v>2546.6520307354522</v>
      </c>
      <c r="G89" s="13">
        <f t="shared" si="4"/>
        <v>59.077771279987417</v>
      </c>
      <c r="H89" s="13">
        <f t="shared" si="6"/>
        <v>59.929460092144211</v>
      </c>
    </row>
    <row r="90" spans="5:8" ht="15.75" thickBot="1">
      <c r="E90" s="23">
        <f t="shared" si="7"/>
        <v>0.37539999999999968</v>
      </c>
      <c r="F90" s="23">
        <f t="shared" si="5"/>
        <v>2590.394700524424</v>
      </c>
      <c r="G90" s="13">
        <f t="shared" si="4"/>
        <v>58.605616157943359</v>
      </c>
      <c r="H90" s="13">
        <f t="shared" si="6"/>
        <v>59.341166728305382</v>
      </c>
    </row>
    <row r="91" spans="5:8" ht="15.75" thickBot="1">
      <c r="E91" s="23">
        <f t="shared" si="7"/>
        <v>0.37959999999999966</v>
      </c>
      <c r="F91" s="23">
        <f t="shared" si="5"/>
        <v>2634.6474181010512</v>
      </c>
      <c r="G91" s="13">
        <f t="shared" si="4"/>
        <v>58.137330010925325</v>
      </c>
      <c r="H91" s="13">
        <f t="shared" si="6"/>
        <v>58.754562595527716</v>
      </c>
    </row>
    <row r="92" spans="5:8" ht="15.75" thickBot="1">
      <c r="E92" s="23">
        <f t="shared" si="7"/>
        <v>0.38379999999999964</v>
      </c>
      <c r="F92" s="23">
        <f t="shared" si="5"/>
        <v>2679.4191566601467</v>
      </c>
      <c r="G92" s="13">
        <f t="shared" si="4"/>
        <v>57.672799104028286</v>
      </c>
      <c r="H92" s="13">
        <f t="shared" si="6"/>
        <v>58.170113067170121</v>
      </c>
    </row>
    <row r="93" spans="5:8" ht="15.75" thickBot="1">
      <c r="E93" s="23">
        <f t="shared" si="7"/>
        <v>0.38799999999999962</v>
      </c>
      <c r="F93" s="23">
        <f t="shared" si="5"/>
        <v>2724.7191011235914</v>
      </c>
      <c r="G93" s="13">
        <f t="shared" si="4"/>
        <v>57.211913274385211</v>
      </c>
      <c r="H93" s="13">
        <f t="shared" si="6"/>
        <v>57.588281926987918</v>
      </c>
    </row>
    <row r="94" spans="5:8" ht="15.75" thickBot="1">
      <c r="E94" s="23">
        <f t="shared" si="7"/>
        <v>0.3921999999999996</v>
      </c>
      <c r="F94" s="23">
        <f t="shared" si="5"/>
        <v>2770.5566544221488</v>
      </c>
      <c r="G94" s="13">
        <f t="shared" si="4"/>
        <v>56.754565762251787</v>
      </c>
      <c r="H94" s="13">
        <f t="shared" si="6"/>
        <v>57.009529342782855</v>
      </c>
    </row>
    <row r="95" spans="5:8" ht="15.75" thickBot="1">
      <c r="E95" s="23">
        <f t="shared" si="7"/>
        <v>0.39639999999999959</v>
      </c>
      <c r="F95" s="23">
        <f t="shared" si="5"/>
        <v>2816.9414440022692</v>
      </c>
      <c r="G95" s="13">
        <f t="shared" si="4"/>
        <v>56.30065305119723</v>
      </c>
      <c r="H95" s="13">
        <f t="shared" si="6"/>
        <v>56.434309917296162</v>
      </c>
    </row>
    <row r="96" spans="5:8" ht="15.75" thickBot="1">
      <c r="E96" s="23">
        <f t="shared" si="7"/>
        <v>0.40059999999999957</v>
      </c>
      <c r="F96" s="23">
        <f t="shared" si="5"/>
        <v>2863.8833285673386</v>
      </c>
      <c r="G96" s="13">
        <f t="shared" si="4"/>
        <v>55.850074716798702</v>
      </c>
      <c r="H96" s="13">
        <f t="shared" si="6"/>
        <v>55.863070816345896</v>
      </c>
    </row>
    <row r="97" spans="5:8" ht="15.75" thickBot="1">
      <c r="E97" s="23">
        <f t="shared" si="7"/>
        <v>0.40479999999999955</v>
      </c>
      <c r="F97" s="23">
        <f t="shared" si="5"/>
        <v>2911.3924050632863</v>
      </c>
      <c r="G97" s="13">
        <f t="shared" si="4"/>
        <v>55.402733283282259</v>
      </c>
      <c r="H97" s="13">
        <f t="shared" si="6"/>
        <v>55.296249974218597</v>
      </c>
    </row>
    <row r="98" spans="5:8" ht="15.75" thickBot="1">
      <c r="E98" s="23">
        <f t="shared" si="7"/>
        <v>0.40899999999999953</v>
      </c>
      <c r="F98" s="23">
        <f t="shared" si="5"/>
        <v>2959.4790159189524</v>
      </c>
      <c r="G98" s="13">
        <f t="shared" si="4"/>
        <v>54.958534087594046</v>
      </c>
      <c r="H98" s="13">
        <f t="shared" si="6"/>
        <v>54.734274376306814</v>
      </c>
    </row>
    <row r="99" spans="5:8" ht="15.75" thickBot="1">
      <c r="E99" s="23">
        <f t="shared" si="7"/>
        <v>0.41319999999999951</v>
      </c>
      <c r="F99" s="23">
        <f t="shared" si="5"/>
        <v>3008.1537565521203</v>
      </c>
      <c r="G99" s="13">
        <f t="shared" si="4"/>
        <v>54.517385150422172</v>
      </c>
      <c r="H99" s="13">
        <f t="shared" si="6"/>
        <v>54.177558418990486</v>
      </c>
    </row>
    <row r="100" spans="5:8" ht="15.75" thickBot="1">
      <c r="E100" s="23">
        <f t="shared" si="7"/>
        <v>0.41739999999999949</v>
      </c>
      <c r="F100" s="23">
        <f t="shared" si="5"/>
        <v>3057.4274831526459</v>
      </c>
      <c r="G100" s="13">
        <f t="shared" si="4"/>
        <v>54.079197053726489</v>
      </c>
      <c r="H100" s="13">
        <f t="shared" si="6"/>
        <v>53.626502346771929</v>
      </c>
    </row>
    <row r="101" spans="5:8" ht="15.75" thickBot="1">
      <c r="E101" s="23">
        <f t="shared" si="7"/>
        <v>0.42159999999999948</v>
      </c>
      <c r="F101" s="23">
        <f t="shared" si="5"/>
        <v>3107.3113207547108</v>
      </c>
      <c r="G101" s="13">
        <f t="shared" si="4"/>
        <v>53.64388282436181</v>
      </c>
      <c r="H101" s="13">
        <f t="shared" si="6"/>
        <v>53.081490766653985</v>
      </c>
    </row>
    <row r="102" spans="5:8" ht="15.75" thickBot="1">
      <c r="E102" s="23">
        <f t="shared" si="7"/>
        <v>0.42579999999999946</v>
      </c>
      <c r="F102" s="23">
        <f t="shared" si="5"/>
        <v>3157.8166716107917</v>
      </c>
      <c r="G102" s="13">
        <f t="shared" si="4"/>
        <v>53.21135782341247</v>
      </c>
      <c r="H102" s="13">
        <f t="shared" si="6"/>
        <v>52.542891239769517</v>
      </c>
    </row>
    <row r="103" spans="5:8" ht="15.75" thickBot="1">
      <c r="E103" s="23">
        <f t="shared" si="7"/>
        <v>0.42999999999999944</v>
      </c>
      <c r="F103" s="23">
        <f t="shared" si="5"/>
        <v>3208.9552238805904</v>
      </c>
      <c r="G103" s="13">
        <f t="shared" si="4"/>
        <v>52.781539640880339</v>
      </c>
      <c r="H103" s="13">
        <f t="shared" si="6"/>
        <v>52.0110529502536</v>
      </c>
    </row>
    <row r="104" spans="5:8" ht="15.75" thickBot="1">
      <c r="E104" s="23">
        <f t="shared" si="7"/>
        <v>0.43419999999999942</v>
      </c>
      <c r="F104" s="23">
        <f t="shared" si="5"/>
        <v>3260.7389606488359</v>
      </c>
      <c r="G104" s="13">
        <f t="shared" si="4"/>
        <v>52.354347995394107</v>
      </c>
      <c r="H104" s="13">
        <f t="shared" si="6"/>
        <v>51.486305451372743</v>
      </c>
    </row>
    <row r="105" spans="5:8" ht="15.75" thickBot="1">
      <c r="E105" s="23">
        <f t="shared" si="7"/>
        <v>0.4383999999999994</v>
      </c>
      <c r="F105" s="23">
        <f t="shared" si="5"/>
        <v>3313.1801692865702</v>
      </c>
      <c r="G105" s="13">
        <f t="shared" si="4"/>
        <v>51.929704638630881</v>
      </c>
      <c r="H105" s="13">
        <f t="shared" si="6"/>
        <v>50.968957488890453</v>
      </c>
    </row>
    <row r="106" spans="5:8" ht="15.75" thickBot="1">
      <c r="E106" s="23">
        <f t="shared" si="7"/>
        <v>0.44259999999999938</v>
      </c>
      <c r="F106" s="23">
        <f t="shared" si="5"/>
        <v>3366.2914511712729</v>
      </c>
      <c r="G106" s="13">
        <f t="shared" si="4"/>
        <v>51.507533264159292</v>
      </c>
      <c r="H106" s="13">
        <f t="shared" si="6"/>
        <v>50.459295901688563</v>
      </c>
    </row>
    <row r="107" spans="5:8" ht="15.75" thickBot="1">
      <c r="E107" s="23">
        <f t="shared" si="7"/>
        <v>0.44679999999999936</v>
      </c>
      <c r="F107" s="23">
        <f t="shared" si="5"/>
        <v>3420.0857317819887</v>
      </c>
      <c r="G107" s="13">
        <f t="shared" si="4"/>
        <v>51.087759420436157</v>
      </c>
      <c r="H107" s="13">
        <f t="shared" si="6"/>
        <v>49.957584599634458</v>
      </c>
    </row>
    <row r="108" spans="5:8" ht="15.75" thickBot="1">
      <c r="E108" s="23">
        <f t="shared" si="7"/>
        <v>0.45099999999999935</v>
      </c>
      <c r="F108" s="23">
        <f t="shared" si="5"/>
        <v>3474.5762711864327</v>
      </c>
      <c r="G108" s="13">
        <f t="shared" si="4"/>
        <v>50.670310427703271</v>
      </c>
      <c r="H108" s="13">
        <f t="shared" si="6"/>
        <v>49.464063618696457</v>
      </c>
    </row>
    <row r="109" spans="5:8" ht="15.75" thickBot="1">
      <c r="E109" s="23">
        <f t="shared" si="7"/>
        <v>0.45519999999999933</v>
      </c>
      <c r="F109" s="23">
        <f t="shared" si="5"/>
        <v>3529.7766749379562</v>
      </c>
      <c r="G109" s="13">
        <f t="shared" si="4"/>
        <v>50.255115298549015</v>
      </c>
      <c r="H109" s="13">
        <f t="shared" si="6"/>
        <v>48.978948253303031</v>
      </c>
    </row>
    <row r="110" spans="5:8" ht="15.75" thickBot="1">
      <c r="E110" s="23">
        <f t="shared" si="7"/>
        <v>0.45939999999999931</v>
      </c>
      <c r="F110" s="23">
        <f t="shared" si="5"/>
        <v>3585.7009054011774</v>
      </c>
      <c r="G110" s="13">
        <f t="shared" si="4"/>
        <v>49.842104661913424</v>
      </c>
      <c r="H110" s="13">
        <f t="shared" si="6"/>
        <v>48.502428265955757</v>
      </c>
    </row>
    <row r="111" spans="5:8" ht="15.75" thickBot="1">
      <c r="E111" s="23">
        <f t="shared" si="7"/>
        <v>0.46359999999999929</v>
      </c>
      <c r="F111" s="23">
        <f t="shared" si="5"/>
        <v>3642.3632935260748</v>
      </c>
      <c r="G111" s="13">
        <f t="shared" si="4"/>
        <v>49.431210690330886</v>
      </c>
      <c r="H111" s="13">
        <f t="shared" si="6"/>
        <v>48.034667174088156</v>
      </c>
    </row>
    <row r="112" spans="5:8" ht="15.75" thickBot="1">
      <c r="E112" s="23">
        <f t="shared" si="7"/>
        <v>0.46779999999999927</v>
      </c>
      <c r="F112" s="23">
        <f t="shared" si="5"/>
        <v>3699.7785510914168</v>
      </c>
      <c r="G112" s="13">
        <f t="shared" si="4"/>
        <v>49.022367030214696</v>
      </c>
      <c r="H112" s="13">
        <f t="shared" si="6"/>
        <v>47.575801614166551</v>
      </c>
    </row>
    <row r="113" spans="5:8" ht="15.75" thickBot="1">
      <c r="E113" s="23">
        <f t="shared" si="7"/>
        <v>0.47199999999999925</v>
      </c>
      <c r="F113" s="23">
        <f t="shared" si="5"/>
        <v>3757.9617834394803</v>
      </c>
      <c r="G113" s="13">
        <f t="shared" si="4"/>
        <v>48.61550873500272</v>
      </c>
      <c r="H113" s="13">
        <f t="shared" si="6"/>
        <v>47.125940783050908</v>
      </c>
    </row>
    <row r="114" spans="5:8" ht="15.75" thickBot="1">
      <c r="E114" s="23">
        <f t="shared" si="7"/>
        <v>0.47619999999999924</v>
      </c>
      <c r="F114" s="23">
        <f t="shared" si="5"/>
        <v>3816.9285027252222</v>
      </c>
      <c r="G114" s="13">
        <f t="shared" si="4"/>
        <v>48.210572200992431</v>
      </c>
      <c r="H114" s="13">
        <f t="shared" si="6"/>
        <v>46.685165956590424</v>
      </c>
    </row>
    <row r="115" spans="5:8" ht="15.75" thickBot="1">
      <c r="E115" s="23">
        <f t="shared" si="7"/>
        <v>0.48039999999999922</v>
      </c>
      <c r="F115" s="23">
        <f t="shared" si="5"/>
        <v>3876.6946417043146</v>
      </c>
      <c r="G115" s="13">
        <f t="shared" si="4"/>
        <v>47.807495105703765</v>
      </c>
      <c r="H115" s="13">
        <f t="shared" si="6"/>
        <v>46.253530085476825</v>
      </c>
    </row>
    <row r="116" spans="5:8" ht="15.75" thickBot="1">
      <c r="E116" s="23">
        <f t="shared" si="7"/>
        <v>0.4845999999999992</v>
      </c>
      <c r="F116" s="23">
        <f t="shared" si="5"/>
        <v>3937.2765680857865</v>
      </c>
      <c r="G116" s="13">
        <f t="shared" si="4"/>
        <v>47.406216348618898</v>
      </c>
      <c r="H116" s="13">
        <f t="shared" si="6"/>
        <v>45.831057468336041</v>
      </c>
    </row>
    <row r="117" spans="5:8" ht="15.75" thickBot="1">
      <c r="E117" s="23">
        <f t="shared" si="7"/>
        <v>0.48879999999999918</v>
      </c>
      <c r="F117" s="23">
        <f t="shared" si="5"/>
        <v>3998.691099476428</v>
      </c>
      <c r="G117" s="13">
        <f t="shared" si="4"/>
        <v>47.006675994155103</v>
      </c>
      <c r="H117" s="13">
        <f t="shared" si="6"/>
        <v>45.417743502078736</v>
      </c>
    </row>
    <row r="118" spans="5:8" ht="15.75" thickBot="1">
      <c r="E118" s="23">
        <f t="shared" si="7"/>
        <v>0.49299999999999916</v>
      </c>
      <c r="F118" s="23">
        <f t="shared" si="5"/>
        <v>4060.9555189456219</v>
      </c>
      <c r="G118" s="13">
        <f t="shared" ref="G118:G181" si="8">$I$12/(LN(F118/$L$12))-273</f>
        <v>46.608815216736673</v>
      </c>
      <c r="H118" s="13">
        <f t="shared" si="6"/>
        <v>45.013554509491939</v>
      </c>
    </row>
    <row r="119" spans="5:8" ht="15.75" thickBot="1">
      <c r="E119" s="23">
        <f t="shared" si="7"/>
        <v>0.49719999999999914</v>
      </c>
      <c r="F119" s="23">
        <f t="shared" si="5"/>
        <v>4124.0875912408637</v>
      </c>
      <c r="G119" s="13">
        <f t="shared" si="8"/>
        <v>46.212576247837433</v>
      </c>
      <c r="H119" s="13">
        <f t="shared" si="6"/>
        <v>44.61842764407487</v>
      </c>
    </row>
    <row r="120" spans="5:8" ht="15.75" thickBot="1">
      <c r="E120" s="23">
        <f t="shared" si="7"/>
        <v>0.50139999999999918</v>
      </c>
      <c r="F120" s="23">
        <f t="shared" si="5"/>
        <v>4188.1055796859218</v>
      </c>
      <c r="G120" s="13">
        <f t="shared" si="8"/>
        <v>45.817902324874126</v>
      </c>
      <c r="H120" s="13">
        <f t="shared" si="6"/>
        <v>44.23227087213462</v>
      </c>
    </row>
    <row r="121" spans="5:8" ht="15.75" thickBot="1">
      <c r="E121" s="23">
        <f t="shared" si="7"/>
        <v>0.50559999999999916</v>
      </c>
      <c r="F121" s="23">
        <f t="shared" si="5"/>
        <v>4253.0282637954115</v>
      </c>
      <c r="G121" s="13">
        <f t="shared" si="8"/>
        <v>45.424737641835179</v>
      </c>
      <c r="H121" s="13">
        <f t="shared" si="6"/>
        <v>43.854963032111698</v>
      </c>
    </row>
    <row r="122" spans="5:8" ht="15.75" thickBot="1">
      <c r="E122" s="23">
        <f t="shared" si="7"/>
        <v>0.50979999999999914</v>
      </c>
      <c r="F122" s="23">
        <f t="shared" si="5"/>
        <v>4318.8749576414639</v>
      </c>
      <c r="G122" s="13">
        <f t="shared" si="8"/>
        <v>45.033027301538311</v>
      </c>
      <c r="H122" s="13">
        <f t="shared" si="6"/>
        <v>43.48635397118079</v>
      </c>
    </row>
    <row r="123" spans="5:8" ht="15.75" thickBot="1">
      <c r="E123" s="23">
        <f t="shared" si="7"/>
        <v>0.51399999999999912</v>
      </c>
      <c r="F123" s="23">
        <f t="shared" si="5"/>
        <v>4385.6655290102253</v>
      </c>
      <c r="G123" s="13">
        <f t="shared" si="8"/>
        <v>44.642717269412174</v>
      </c>
      <c r="H123" s="13">
        <f t="shared" si="6"/>
        <v>43.126264759062963</v>
      </c>
    </row>
    <row r="124" spans="5:8" ht="15.75" thickBot="1">
      <c r="E124" s="23">
        <f t="shared" si="7"/>
        <v>0.51819999999999911</v>
      </c>
      <c r="F124" s="23">
        <f t="shared" si="5"/>
        <v>4453.4204193880914</v>
      </c>
      <c r="G124" s="13">
        <f t="shared" si="8"/>
        <v>44.25375432870527</v>
      </c>
      <c r="H124" s="13">
        <f t="shared" si="6"/>
        <v>42.774487979115577</v>
      </c>
    </row>
    <row r="125" spans="5:8" ht="15.75" thickBot="1">
      <c r="E125" s="23">
        <f t="shared" si="7"/>
        <v>0.52239999999999909</v>
      </c>
      <c r="F125" s="23">
        <f t="shared" si="5"/>
        <v>4522.1606648199304</v>
      </c>
      <c r="G125" s="13">
        <f t="shared" si="8"/>
        <v>43.866086037028936</v>
      </c>
      <c r="H125" s="13">
        <f t="shared" si="6"/>
        <v>42.430788096661956</v>
      </c>
    </row>
    <row r="126" spans="5:8" ht="15.75" thickBot="1">
      <c r="E126" s="23">
        <f t="shared" si="7"/>
        <v>0.52659999999999907</v>
      </c>
      <c r="F126" s="23">
        <f t="shared" si="5"/>
        <v>4591.907917683975</v>
      </c>
      <c r="G126" s="13">
        <f t="shared" si="8"/>
        <v>43.479660684144505</v>
      </c>
      <c r="H126" s="13">
        <f t="shared" si="6"/>
        <v>42.094901904559777</v>
      </c>
    </row>
    <row r="127" spans="5:8" ht="15.75" thickBot="1">
      <c r="E127" s="23">
        <f t="shared" si="7"/>
        <v>0.53079999999999905</v>
      </c>
      <c r="F127" s="23">
        <f t="shared" si="5"/>
        <v>4662.6844694307647</v>
      </c>
      <c r="G127" s="13">
        <f t="shared" si="8"/>
        <v>43.094427250910655</v>
      </c>
      <c r="H127" s="13">
        <f t="shared" si="6"/>
        <v>41.766539046026821</v>
      </c>
    </row>
    <row r="128" spans="5:8" ht="15.75" thickBot="1">
      <c r="E128" s="23">
        <f t="shared" si="7"/>
        <v>0.53499999999999903</v>
      </c>
      <c r="F128" s="23">
        <f t="shared" si="5"/>
        <v>4734.5132743362665</v>
      </c>
      <c r="G128" s="13">
        <f t="shared" si="8"/>
        <v>42.710335369309121</v>
      </c>
      <c r="H128" s="13">
        <f t="shared" si="6"/>
        <v>41.445382614711946</v>
      </c>
    </row>
    <row r="129" spans="5:8" ht="15.75" thickBot="1">
      <c r="E129" s="23">
        <f t="shared" si="7"/>
        <v>0.53919999999999901</v>
      </c>
      <c r="F129" s="23">
        <f t="shared" si="5"/>
        <v>4807.4179743223795</v>
      </c>
      <c r="G129" s="13">
        <f t="shared" si="8"/>
        <v>42.327335283470404</v>
      </c>
      <c r="H129" s="13">
        <f t="shared" si="6"/>
        <v>41.13108983201397</v>
      </c>
    </row>
    <row r="130" spans="5:8" ht="15.75" thickBot="1">
      <c r="E130" s="23">
        <f t="shared" si="7"/>
        <v>0.54339999999999899</v>
      </c>
      <c r="F130" s="23">
        <f t="shared" si="5"/>
        <v>4881.4229249011687</v>
      </c>
      <c r="G130" s="13">
        <f t="shared" si="8"/>
        <v>41.945377811624667</v>
      </c>
      <c r="H130" s="13">
        <f t="shared" si="6"/>
        <v>40.823292801647597</v>
      </c>
    </row>
    <row r="131" spans="5:8" ht="15.75" thickBot="1">
      <c r="E131" s="23">
        <f t="shared" si="7"/>
        <v>0.54759999999999898</v>
      </c>
      <c r="F131" s="23">
        <f t="shared" si="5"/>
        <v>4956.5532223026612</v>
      </c>
      <c r="G131" s="13">
        <f t="shared" si="8"/>
        <v>41.564414308905896</v>
      </c>
      <c r="H131" s="13">
        <f t="shared" si="6"/>
        <v>40.521599341454078</v>
      </c>
    </row>
    <row r="132" spans="5:8" ht="15.75" thickBot="1">
      <c r="E132" s="23">
        <f t="shared" si="7"/>
        <v>0.55179999999999896</v>
      </c>
      <c r="F132" s="23">
        <f t="shared" ref="F132:F195" si="9">3*E132*(5000/(3.3-3*E132))</f>
        <v>5032.8347318496717</v>
      </c>
      <c r="G132" s="13">
        <f t="shared" si="8"/>
        <v>41.184396630938522</v>
      </c>
      <c r="H132" s="13">
        <f t="shared" ref="H132:H195" si="10" xml:space="preserve">  19546*E132^6 -57685*E132^5 + 67024*E132^4 - 38984*E132^3 + 11974*E132^2 - 1977.9*E132 + 221.06</f>
        <v>40.225593892468908</v>
      </c>
    </row>
    <row r="133" spans="5:8" ht="15.75" thickBot="1">
      <c r="E133" s="23">
        <f t="shared" ref="E133:E196" si="11">0.0042+E132</f>
        <v>0.55599999999999894</v>
      </c>
      <c r="F133" s="23">
        <f t="shared" si="9"/>
        <v>5110.2941176470395</v>
      </c>
      <c r="G133" s="13">
        <f t="shared" si="8"/>
        <v>40.805277098139868</v>
      </c>
      <c r="H133" s="13">
        <f t="shared" si="10"/>
        <v>39.934838505230175</v>
      </c>
    </row>
    <row r="134" spans="5:8" ht="15.75" thickBot="1">
      <c r="E134" s="23">
        <f t="shared" si="11"/>
        <v>0.56019999999999892</v>
      </c>
      <c r="F134" s="23">
        <f t="shared" si="9"/>
        <v>5188.9588736568903</v>
      </c>
      <c r="G134" s="13">
        <f t="shared" si="8"/>
        <v>40.42700846067288</v>
      </c>
      <c r="H134" s="13">
        <f t="shared" si="10"/>
        <v>39.648873903332117</v>
      </c>
    </row>
    <row r="135" spans="5:8" ht="15.75" thickBot="1">
      <c r="E135" s="23">
        <f t="shared" si="11"/>
        <v>0.5643999999999989</v>
      </c>
      <c r="F135" s="23">
        <f t="shared" si="9"/>
        <v>5268.857356235977</v>
      </c>
      <c r="G135" s="13">
        <f t="shared" si="8"/>
        <v>40.049543863984468</v>
      </c>
      <c r="H135" s="13">
        <f t="shared" si="10"/>
        <v>39.367220624230242</v>
      </c>
    </row>
    <row r="136" spans="5:8" ht="15.75" thickBot="1">
      <c r="E136" s="23">
        <f t="shared" si="11"/>
        <v>0.56859999999999888</v>
      </c>
      <c r="F136" s="23">
        <f t="shared" si="9"/>
        <v>5350.0188182160118</v>
      </c>
      <c r="G136" s="13">
        <f t="shared" si="8"/>
        <v>39.672836814868617</v>
      </c>
      <c r="H136" s="13">
        <f t="shared" si="10"/>
        <v>39.089380237303487</v>
      </c>
    </row>
    <row r="137" spans="5:8" ht="15.75" thickBot="1">
      <c r="E137" s="23">
        <f t="shared" si="11"/>
        <v>0.57279999999999887</v>
      </c>
      <c r="F137" s="23">
        <f t="shared" si="9"/>
        <v>5432.4734446130278</v>
      </c>
      <c r="G137" s="13">
        <f t="shared" si="8"/>
        <v>39.296841147992495</v>
      </c>
      <c r="H137" s="13">
        <f t="shared" si="10"/>
        <v>38.814836639141788</v>
      </c>
    </row>
    <row r="138" spans="5:8" ht="15.75" thickBot="1">
      <c r="E138" s="23">
        <f t="shared" si="11"/>
        <v>0.57699999999999885</v>
      </c>
      <c r="F138" s="23">
        <f t="shared" si="9"/>
        <v>5516.2523900573387</v>
      </c>
      <c r="G138" s="13">
        <f t="shared" si="8"/>
        <v>38.921510992826654</v>
      </c>
      <c r="H138" s="13">
        <f t="shared" si="10"/>
        <v>38.543057426110238</v>
      </c>
    </row>
    <row r="139" spans="5:8" ht="15.75" thickBot="1">
      <c r="E139" s="23">
        <f t="shared" si="11"/>
        <v>0.58119999999999883</v>
      </c>
      <c r="F139" s="23">
        <f t="shared" si="9"/>
        <v>5601.3878180416114</v>
      </c>
      <c r="G139" s="13">
        <f t="shared" si="8"/>
        <v>38.546800740920673</v>
      </c>
      <c r="H139" s="13">
        <f t="shared" si="10"/>
        <v>38.273495344131391</v>
      </c>
    </row>
    <row r="140" spans="5:8" ht="15.75" thickBot="1">
      <c r="E140" s="23">
        <f t="shared" si="11"/>
        <v>0.58539999999999881</v>
      </c>
      <c r="F140" s="23">
        <f t="shared" si="9"/>
        <v>5687.9129420909203</v>
      </c>
      <c r="G140" s="13">
        <f t="shared" si="8"/>
        <v>38.172665013465576</v>
      </c>
      <c r="H140" s="13">
        <f t="shared" si="10"/>
        <v>38.005589815732321</v>
      </c>
    </row>
    <row r="141" spans="5:8" ht="15.75" thickBot="1">
      <c r="E141" s="23">
        <f t="shared" si="11"/>
        <v>0.58959999999999879</v>
      </c>
      <c r="F141" s="23">
        <f t="shared" si="9"/>
        <v>5775.8620689654927</v>
      </c>
      <c r="G141" s="13">
        <f t="shared" si="8"/>
        <v>37.79905862908754</v>
      </c>
      <c r="H141" s="13">
        <f t="shared" si="10"/>
        <v>37.738768544344168</v>
      </c>
    </row>
    <row r="142" spans="5:8" ht="15.75" thickBot="1">
      <c r="E142" s="23">
        <f t="shared" si="11"/>
        <v>0.59379999999999877</v>
      </c>
      <c r="F142" s="23">
        <f t="shared" si="9"/>
        <v>5865.2706440141983</v>
      </c>
      <c r="G142" s="13">
        <f t="shared" si="8"/>
        <v>37.425936571814475</v>
      </c>
      <c r="H142" s="13">
        <f t="shared" si="10"/>
        <v>37.472449195840966</v>
      </c>
    </row>
    <row r="143" spans="5:8" ht="15.75" thickBot="1">
      <c r="E143" s="23">
        <f t="shared" si="11"/>
        <v>0.59799999999999875</v>
      </c>
      <c r="F143" s="23">
        <f t="shared" si="9"/>
        <v>5956.1752988047538</v>
      </c>
      <c r="G143" s="13">
        <f t="shared" si="8"/>
        <v>37.053253959159633</v>
      </c>
      <c r="H143" s="13">
        <f t="shared" si="10"/>
        <v>37.206041157314132</v>
      </c>
    </row>
    <row r="144" spans="5:8" ht="15.75" thickBot="1">
      <c r="E144" s="23">
        <f t="shared" si="11"/>
        <v>0.60219999999999874</v>
      </c>
      <c r="F144" s="23">
        <f t="shared" si="9"/>
        <v>6048.6139011650994</v>
      </c>
      <c r="G144" s="13">
        <f t="shared" si="8"/>
        <v>36.680966010266104</v>
      </c>
      <c r="H144" s="13">
        <f t="shared" si="10"/>
        <v>36.938947373126268</v>
      </c>
    </row>
    <row r="145" spans="5:8" ht="15.75" thickBot="1">
      <c r="E145" s="23">
        <f t="shared" si="11"/>
        <v>0.60639999999999872</v>
      </c>
      <c r="F145" s="23">
        <f t="shared" si="9"/>
        <v>6142.6256077795497</v>
      </c>
      <c r="G145" s="13">
        <f t="shared" si="8"/>
        <v>36.309028014054718</v>
      </c>
      <c r="H145" s="13">
        <f t="shared" si="10"/>
        <v>36.670566258182419</v>
      </c>
    </row>
    <row r="146" spans="5:8" ht="15.75" thickBot="1">
      <c r="E146" s="23">
        <f t="shared" si="11"/>
        <v>0.6105999999999987</v>
      </c>
      <c r="F146" s="23">
        <f t="shared" si="9"/>
        <v>6238.2509194932281</v>
      </c>
      <c r="G146" s="13">
        <f t="shared" si="8"/>
        <v>35.937395297319085</v>
      </c>
      <c r="H146" s="13">
        <f t="shared" si="10"/>
        <v>36.400293688463364</v>
      </c>
    </row>
    <row r="147" spans="5:8" ht="15.75" thickBot="1">
      <c r="E147" s="23">
        <f t="shared" si="11"/>
        <v>0.61479999999999868</v>
      </c>
      <c r="F147" s="23">
        <f t="shared" si="9"/>
        <v>6335.5317394888407</v>
      </c>
      <c r="G147" s="13">
        <f t="shared" si="8"/>
        <v>35.566023192709963</v>
      </c>
      <c r="H147" s="13">
        <f t="shared" si="10"/>
        <v>36.127525068811849</v>
      </c>
    </row>
    <row r="148" spans="5:8" ht="15.75" thickBot="1">
      <c r="E148" s="23">
        <f t="shared" si="11"/>
        <v>0.61899999999999866</v>
      </c>
      <c r="F148" s="23">
        <f t="shared" si="9"/>
        <v>6434.5114345114034</v>
      </c>
      <c r="G148" s="13">
        <f t="shared" si="8"/>
        <v>35.194867006550226</v>
      </c>
      <c r="H148" s="13">
        <f t="shared" si="10"/>
        <v>35.851657477946276</v>
      </c>
    </row>
    <row r="149" spans="5:8" ht="15.75" thickBot="1">
      <c r="E149" s="23">
        <f t="shared" si="11"/>
        <v>0.62319999999999864</v>
      </c>
      <c r="F149" s="23">
        <f t="shared" si="9"/>
        <v>6535.2348993288269</v>
      </c>
      <c r="G149" s="13">
        <f t="shared" si="8"/>
        <v>34.823881986422577</v>
      </c>
      <c r="H149" s="13">
        <f t="shared" si="10"/>
        <v>35.572091890743707</v>
      </c>
    </row>
    <row r="150" spans="5:8" ht="15.75" thickBot="1">
      <c r="E150" s="23">
        <f t="shared" si="11"/>
        <v>0.62739999999999863</v>
      </c>
      <c r="F150" s="23">
        <f t="shared" si="9"/>
        <v>6637.7486246296749</v>
      </c>
      <c r="G150" s="13">
        <f t="shared" si="8"/>
        <v>34.453023288468103</v>
      </c>
      <c r="H150" s="13">
        <f t="shared" si="10"/>
        <v>35.288235477765568</v>
      </c>
    </row>
    <row r="151" spans="5:8" ht="15.75" thickBot="1">
      <c r="E151" s="23">
        <f t="shared" si="11"/>
        <v>0.63159999999999861</v>
      </c>
      <c r="F151" s="23">
        <f t="shared" si="9"/>
        <v>6742.1007685738341</v>
      </c>
      <c r="G151" s="13">
        <f t="shared" si="8"/>
        <v>34.082245944335227</v>
      </c>
      <c r="H151" s="13">
        <f t="shared" si="10"/>
        <v>34.999503982020371</v>
      </c>
    </row>
    <row r="152" spans="5:8" ht="15.75" thickBot="1">
      <c r="E152" s="23">
        <f t="shared" si="11"/>
        <v>0.63579999999999859</v>
      </c>
      <c r="F152" s="23">
        <f t="shared" si="9"/>
        <v>6848.3412322274526</v>
      </c>
      <c r="G152" s="13">
        <f t="shared" si="8"/>
        <v>33.711504827715032</v>
      </c>
      <c r="H152" s="13">
        <f t="shared" si="10"/>
        <v>34.705324172977782</v>
      </c>
    </row>
    <row r="153" spans="5:8" ht="15.75" thickBot="1">
      <c r="E153" s="23">
        <f t="shared" si="11"/>
        <v>0.63999999999999857</v>
      </c>
      <c r="F153" s="23">
        <f t="shared" si="9"/>
        <v>6956.5217391303986</v>
      </c>
      <c r="G153" s="13">
        <f t="shared" si="8"/>
        <v>33.340754620398229</v>
      </c>
      <c r="H153" s="13">
        <f t="shared" si="10"/>
        <v>34.405136377856536</v>
      </c>
    </row>
    <row r="154" spans="5:8" ht="15.75" thickBot="1">
      <c r="E154" s="23">
        <f t="shared" si="11"/>
        <v>0.64419999999999855</v>
      </c>
      <c r="F154" s="23">
        <f t="shared" si="9"/>
        <v>7066.6959192627974</v>
      </c>
      <c r="G154" s="13">
        <f t="shared" si="8"/>
        <v>32.969949777786894</v>
      </c>
      <c r="H154" s="13">
        <f t="shared" si="10"/>
        <v>34.098397090102537</v>
      </c>
    </row>
    <row r="155" spans="5:8" ht="15.75" thickBot="1">
      <c r="E155" s="23">
        <f t="shared" si="11"/>
        <v>0.64839999999999853</v>
      </c>
      <c r="F155" s="23">
        <f t="shared" si="9"/>
        <v>7178.9193976970382</v>
      </c>
      <c r="G155" s="13">
        <f t="shared" si="8"/>
        <v>32.599044493790757</v>
      </c>
      <c r="H155" s="13">
        <f t="shared" si="10"/>
        <v>33.784581655187196</v>
      </c>
    </row>
    <row r="156" spans="5:8" ht="15.75" thickBot="1">
      <c r="E156" s="23">
        <f t="shared" si="11"/>
        <v>0.65259999999999851</v>
      </c>
      <c r="F156" s="23">
        <f t="shared" si="9"/>
        <v>7293.2498882431437</v>
      </c>
      <c r="G156" s="13">
        <f t="shared" si="8"/>
        <v>32.227992665036652</v>
      </c>
      <c r="H156" s="13">
        <f t="shared" si="10"/>
        <v>33.463187033590486</v>
      </c>
    </row>
    <row r="157" spans="5:8" ht="15.75" thickBot="1">
      <c r="E157" s="23">
        <f t="shared" si="11"/>
        <v>0.6567999999999985</v>
      </c>
      <c r="F157" s="23">
        <f t="shared" si="9"/>
        <v>7409.7472924187314</v>
      </c>
      <c r="G157" s="13">
        <f t="shared" si="8"/>
        <v>31.856747854316325</v>
      </c>
      <c r="H157" s="13">
        <f t="shared" si="10"/>
        <v>33.133734641061494</v>
      </c>
    </row>
    <row r="158" spans="5:8" ht="15.75" thickBot="1">
      <c r="E158" s="23">
        <f t="shared" si="11"/>
        <v>0.66099999999999848</v>
      </c>
      <c r="F158" s="23">
        <f t="shared" si="9"/>
        <v>7528.4738041001856</v>
      </c>
      <c r="G158" s="13">
        <f t="shared" si="8"/>
        <v>31.485263253193409</v>
      </c>
      <c r="H158" s="13">
        <f t="shared" si="10"/>
        <v>32.795773266146455</v>
      </c>
    </row>
    <row r="159" spans="5:8" ht="15.75" thickBot="1">
      <c r="E159" s="23">
        <f t="shared" si="11"/>
        <v>0.66519999999999846</v>
      </c>
      <c r="F159" s="23">
        <f t="shared" si="9"/>
        <v>7649.4940202391472</v>
      </c>
      <c r="G159" s="13">
        <f t="shared" si="8"/>
        <v>31.113491643688974</v>
      </c>
      <c r="H159" s="13">
        <f t="shared" si="10"/>
        <v>32.448882064901511</v>
      </c>
    </row>
    <row r="160" spans="5:8" ht="15.75" thickBot="1">
      <c r="E160" s="23">
        <f t="shared" si="11"/>
        <v>0.66939999999999844</v>
      </c>
      <c r="F160" s="23">
        <f t="shared" si="9"/>
        <v>7772.8750580584756</v>
      </c>
      <c r="G160" s="13">
        <f t="shared" si="8"/>
        <v>30.741385358959747</v>
      </c>
      <c r="H160" s="13">
        <f t="shared" si="10"/>
        <v>32.092673632932986</v>
      </c>
    </row>
    <row r="161" spans="5:8" ht="15.75" thickBot="1">
      <c r="E161" s="23">
        <f t="shared" si="11"/>
        <v>0.67359999999999842</v>
      </c>
      <c r="F161" s="23">
        <f t="shared" si="9"/>
        <v>7898.6866791744351</v>
      </c>
      <c r="G161" s="13">
        <f t="shared" si="8"/>
        <v>30.368896242878918</v>
      </c>
      <c r="H161" s="13">
        <f t="shared" si="10"/>
        <v>31.726797154616918</v>
      </c>
    </row>
    <row r="162" spans="5:8" ht="15.75" thickBot="1">
      <c r="E162" s="23">
        <f t="shared" si="11"/>
        <v>0.6777999999999984</v>
      </c>
      <c r="F162" s="23">
        <f t="shared" si="9"/>
        <v>8027.0014211273774</v>
      </c>
      <c r="G162" s="13">
        <f t="shared" si="8"/>
        <v>29.995975608425056</v>
      </c>
      <c r="H162" s="13">
        <f t="shared" si="10"/>
        <v>31.350941629607007</v>
      </c>
    </row>
    <row r="163" spans="5:8" ht="15.75" thickBot="1">
      <c r="E163" s="23">
        <f t="shared" si="11"/>
        <v>0.68199999999999839</v>
      </c>
      <c r="F163" s="23">
        <f t="shared" si="9"/>
        <v>8157.894736842054</v>
      </c>
      <c r="G163" s="13">
        <f t="shared" si="8"/>
        <v>29.622574194779702</v>
      </c>
      <c r="H163" s="13">
        <f t="shared" si="10"/>
        <v>30.964839176577982</v>
      </c>
    </row>
    <row r="164" spans="5:8" ht="15.75" thickBot="1">
      <c r="E164" s="23">
        <f t="shared" si="11"/>
        <v>0.68619999999999837</v>
      </c>
      <c r="F164" s="23">
        <f t="shared" si="9"/>
        <v>8291.4451425809038</v>
      </c>
      <c r="G164" s="13">
        <f t="shared" si="8"/>
        <v>29.248642123028162</v>
      </c>
      <c r="H164" s="13">
        <f t="shared" si="10"/>
        <v>30.568268414218721</v>
      </c>
    </row>
    <row r="165" spans="5:8" ht="15.75" thickBot="1">
      <c r="E165" s="23">
        <f t="shared" si="11"/>
        <v>0.69039999999999835</v>
      </c>
      <c r="F165" s="23">
        <f t="shared" si="9"/>
        <v>8427.7343749999454</v>
      </c>
      <c r="G165" s="13">
        <f t="shared" si="8"/>
        <v>28.874128850352008</v>
      </c>
      <c r="H165" s="13">
        <f t="shared" si="10"/>
        <v>30.161057919463076</v>
      </c>
    </row>
    <row r="166" spans="5:8" ht="15.75" thickBot="1">
      <c r="E166" s="23">
        <f t="shared" si="11"/>
        <v>0.69459999999999833</v>
      </c>
      <c r="F166" s="23">
        <f t="shared" si="9"/>
        <v>8566.8475579673832</v>
      </c>
      <c r="G166" s="13">
        <f t="shared" si="8"/>
        <v>28.498983122595632</v>
      </c>
      <c r="H166" s="13">
        <f t="shared" si="10"/>
        <v>29.743089762989996</v>
      </c>
    </row>
    <row r="167" spans="5:8" ht="15.75" thickBot="1">
      <c r="E167" s="23">
        <f t="shared" si="11"/>
        <v>0.69879999999999831</v>
      </c>
      <c r="F167" s="23">
        <f t="shared" si="9"/>
        <v>8708.8733798603589</v>
      </c>
      <c r="G167" s="13">
        <f t="shared" si="8"/>
        <v>28.123152925080944</v>
      </c>
      <c r="H167" s="13">
        <f t="shared" si="10"/>
        <v>29.314303121942032</v>
      </c>
    </row>
    <row r="168" spans="5:8" ht="15.75" thickBot="1">
      <c r="E168" s="23">
        <f t="shared" si="11"/>
        <v>0.70299999999999829</v>
      </c>
      <c r="F168" s="23">
        <f t="shared" si="9"/>
        <v>8853.9042821158073</v>
      </c>
      <c r="G168" s="13">
        <f t="shared" si="8"/>
        <v>27.746585431537255</v>
      </c>
      <c r="H168" s="13">
        <f t="shared" si="10"/>
        <v>28.874697969924057</v>
      </c>
    </row>
    <row r="169" spans="5:8" ht="15.75" thickBot="1">
      <c r="E169" s="23">
        <f t="shared" si="11"/>
        <v>0.70719999999999827</v>
      </c>
      <c r="F169" s="23">
        <f t="shared" si="9"/>
        <v>9002.0366598777382</v>
      </c>
      <c r="G169" s="13">
        <f t="shared" si="8"/>
        <v>27.369226951004066</v>
      </c>
      <c r="H169" s="13">
        <f t="shared" si="10"/>
        <v>28.424338844227634</v>
      </c>
    </row>
    <row r="170" spans="5:8" ht="15.75" thickBot="1">
      <c r="E170" s="23">
        <f t="shared" si="11"/>
        <v>0.71139999999999826</v>
      </c>
      <c r="F170" s="23">
        <f t="shared" si="9"/>
        <v>9153.3710756561359</v>
      </c>
      <c r="G170" s="13">
        <f t="shared" si="8"/>
        <v>26.991022872555504</v>
      </c>
      <c r="H170" s="13">
        <f t="shared" si="10"/>
        <v>27.963358690305597</v>
      </c>
    </row>
    <row r="171" spans="5:8" ht="15.75" thickBot="1">
      <c r="E171" s="23">
        <f t="shared" si="11"/>
        <v>0.71559999999999824</v>
      </c>
      <c r="F171" s="23">
        <f t="shared" si="9"/>
        <v>9308.0124869926494</v>
      </c>
      <c r="G171" s="13">
        <f t="shared" si="8"/>
        <v>26.611917607684575</v>
      </c>
      <c r="H171" s="13">
        <f t="shared" si="10"/>
        <v>27.491962783501378</v>
      </c>
    </row>
    <row r="172" spans="5:8" ht="15.75" thickBot="1">
      <c r="E172" s="23">
        <f t="shared" si="11"/>
        <v>0.71979999999999822</v>
      </c>
      <c r="F172" s="23">
        <f t="shared" si="9"/>
        <v>9466.0704892161339</v>
      </c>
      <c r="G172" s="13">
        <f t="shared" si="8"/>
        <v>26.231854530173621</v>
      </c>
      <c r="H172" s="13">
        <f t="shared" si="10"/>
        <v>27.010432728032185</v>
      </c>
    </row>
    <row r="173" spans="5:8" ht="15.75" thickBot="1">
      <c r="E173" s="23">
        <f t="shared" si="11"/>
        <v>0.7239999999999982</v>
      </c>
      <c r="F173" s="23">
        <f t="shared" si="9"/>
        <v>9627.6595744680144</v>
      </c>
      <c r="G173" s="13">
        <f t="shared" si="8"/>
        <v>25.850775913266602</v>
      </c>
      <c r="H173" s="13">
        <f t="shared" si="10"/>
        <v>26.519130533186001</v>
      </c>
    </row>
    <row r="174" spans="5:8" ht="15.75" thickBot="1">
      <c r="E174" s="23">
        <f t="shared" si="11"/>
        <v>0.72819999999999818</v>
      </c>
      <c r="F174" s="23">
        <f t="shared" si="9"/>
        <v>9792.8994082839508</v>
      </c>
      <c r="G174" s="13">
        <f t="shared" si="8"/>
        <v>25.468622863943438</v>
      </c>
      <c r="H174" s="13">
        <f t="shared" si="10"/>
        <v>26.018502766820632</v>
      </c>
    </row>
    <row r="175" spans="5:8" ht="15.75" thickBot="1">
      <c r="E175" s="23">
        <f t="shared" si="11"/>
        <v>0.73239999999999816</v>
      </c>
      <c r="F175" s="23">
        <f t="shared" si="9"/>
        <v>9961.9151251359417</v>
      </c>
      <c r="G175" s="13">
        <f t="shared" si="8"/>
        <v>25.085335254082963</v>
      </c>
      <c r="H175" s="13">
        <f t="shared" si="10"/>
        <v>25.509084786060214</v>
      </c>
    </row>
    <row r="176" spans="5:8" ht="15.75" thickBot="1">
      <c r="E176" s="23">
        <f t="shared" si="11"/>
        <v>0.73659999999999815</v>
      </c>
      <c r="F176" s="23">
        <f t="shared" si="9"/>
        <v>10134.837644468826</v>
      </c>
      <c r="G176" s="13">
        <f t="shared" si="8"/>
        <v>24.700851648285663</v>
      </c>
      <c r="H176" s="13">
        <f t="shared" si="10"/>
        <v>24.991505045274664</v>
      </c>
    </row>
    <row r="177" spans="5:8" ht="15.75" thickBot="1">
      <c r="E177" s="23">
        <f t="shared" si="11"/>
        <v>0.74079999999999813</v>
      </c>
      <c r="F177" s="23">
        <f t="shared" si="9"/>
        <v>10311.804008908604</v>
      </c>
      <c r="G177" s="13">
        <f t="shared" si="8"/>
        <v>24.315109228108213</v>
      </c>
      <c r="H177" s="13">
        <f t="shared" si="10"/>
        <v>24.466489481275687</v>
      </c>
    </row>
    <row r="178" spans="5:8" ht="15.75" thickBot="1">
      <c r="E178" s="23">
        <f t="shared" si="11"/>
        <v>0.74499999999999811</v>
      </c>
      <c r="F178" s="23">
        <f t="shared" si="9"/>
        <v>10492.957746478789</v>
      </c>
      <c r="G178" s="13">
        <f t="shared" si="8"/>
        <v>23.928043712443468</v>
      </c>
      <c r="H178" s="13">
        <f t="shared" si="10"/>
        <v>23.934865975785726</v>
      </c>
    </row>
    <row r="179" spans="5:8" ht="15.75" thickBot="1">
      <c r="E179" s="23">
        <f t="shared" si="11"/>
        <v>0.74919999999999809</v>
      </c>
      <c r="F179" s="23">
        <f t="shared" si="9"/>
        <v>10678.449258836858</v>
      </c>
      <c r="G179" s="13">
        <f t="shared" si="8"/>
        <v>23.539589273759077</v>
      </c>
      <c r="H179" s="13">
        <f t="shared" si="10"/>
        <v>23.39756889515985</v>
      </c>
    </row>
    <row r="180" spans="5:8" ht="15.75" thickBot="1">
      <c r="E180" s="23">
        <f t="shared" si="11"/>
        <v>0.75339999999999807</v>
      </c>
      <c r="F180" s="23">
        <f t="shared" si="9"/>
        <v>10868.436237737938</v>
      </c>
      <c r="G180" s="13">
        <f t="shared" si="8"/>
        <v>23.149678449883766</v>
      </c>
      <c r="H180" s="13">
        <f t="shared" si="10"/>
        <v>22.855643707337606</v>
      </c>
    </row>
    <row r="181" spans="5:8" ht="15.75" thickBot="1">
      <c r="E181" s="23">
        <f t="shared" si="11"/>
        <v>0.75759999999999805</v>
      </c>
      <c r="F181" s="23">
        <f t="shared" si="9"/>
        <v>11063.08411214944</v>
      </c>
      <c r="G181" s="13">
        <f t="shared" si="8"/>
        <v>22.758242051004459</v>
      </c>
      <c r="H181" s="13">
        <f t="shared" si="10"/>
        <v>22.310251676017344</v>
      </c>
    </row>
    <row r="182" spans="5:8" ht="15.75" thickBot="1">
      <c r="E182" s="23">
        <f t="shared" si="11"/>
        <v>0.76179999999999803</v>
      </c>
      <c r="F182" s="23">
        <f t="shared" si="9"/>
        <v>11262.566528681158</v>
      </c>
      <c r="G182" s="13">
        <f t="shared" ref="G182:G211" si="12">$I$12/(LN(F182/$L$12))-273</f>
        <v>22.365209061512246</v>
      </c>
      <c r="H182" s="13">
        <f t="shared" si="10"/>
        <v>21.762674632147366</v>
      </c>
    </row>
    <row r="183" spans="5:8" ht="15.75" thickBot="1">
      <c r="E183" s="23">
        <f t="shared" si="11"/>
        <v>0.76599999999999802</v>
      </c>
      <c r="F183" s="23">
        <f t="shared" si="9"/>
        <v>11467.065868263373</v>
      </c>
      <c r="G183" s="13">
        <f t="shared" si="12"/>
        <v>21.970506536301059</v>
      </c>
      <c r="H183" s="13">
        <f t="shared" si="10"/>
        <v>21.21431982259179</v>
      </c>
    </row>
    <row r="184" spans="5:8" ht="15.75" thickBot="1">
      <c r="E184" s="23">
        <f t="shared" si="11"/>
        <v>0.770199999999998</v>
      </c>
      <c r="F184" s="23">
        <f t="shared" si="9"/>
        <v>11676.773802304324</v>
      </c>
      <c r="G184" s="13">
        <f t="shared" si="12"/>
        <v>21.574059491091759</v>
      </c>
      <c r="H184" s="13">
        <f t="shared" si="10"/>
        <v>20.66672483612939</v>
      </c>
    </row>
    <row r="185" spans="5:8" ht="15.75" thickBot="1">
      <c r="E185" s="23">
        <f t="shared" si="11"/>
        <v>0.77439999999999798</v>
      </c>
      <c r="F185" s="23">
        <f t="shared" si="9"/>
        <v>11891.891891891786</v>
      </c>
      <c r="G185" s="13">
        <f t="shared" si="12"/>
        <v>21.175790786315531</v>
      </c>
      <c r="H185" s="13">
        <f t="shared" si="10"/>
        <v>20.12156260657531</v>
      </c>
    </row>
    <row r="186" spans="5:8" ht="15.75" thickBot="1">
      <c r="E186" s="23">
        <f t="shared" si="11"/>
        <v>0.77859999999999796</v>
      </c>
      <c r="F186" s="23">
        <f t="shared" si="9"/>
        <v>12112.632233976243</v>
      </c>
      <c r="G186" s="13">
        <f t="shared" si="12"/>
        <v>20.775621004051686</v>
      </c>
      <c r="H186" s="13">
        <f t="shared" si="10"/>
        <v>19.580646493298502</v>
      </c>
    </row>
    <row r="187" spans="5:8" ht="15.75" thickBot="1">
      <c r="E187" s="23">
        <f t="shared" si="11"/>
        <v>0.78279999999999794</v>
      </c>
      <c r="F187" s="23">
        <f t="shared" si="9"/>
        <v>12339.218158890177</v>
      </c>
      <c r="G187" s="13">
        <f t="shared" si="12"/>
        <v>20.373468317465949</v>
      </c>
      <c r="H187" s="13">
        <f t="shared" si="10"/>
        <v>19.045935438851131</v>
      </c>
    </row>
    <row r="188" spans="5:8" ht="15.75" thickBot="1">
      <c r="E188" s="23">
        <f t="shared" si="11"/>
        <v>0.78699999999999792</v>
      </c>
      <c r="F188" s="23">
        <f t="shared" si="9"/>
        <v>12571.884984025441</v>
      </c>
      <c r="G188" s="13">
        <f t="shared" si="12"/>
        <v>19.969248352149805</v>
      </c>
      <c r="H188" s="13">
        <f t="shared" si="10"/>
        <v>18.519539203956413</v>
      </c>
    </row>
    <row r="189" spans="5:8" ht="15.75" thickBot="1">
      <c r="E189" s="23">
        <f t="shared" si="11"/>
        <v>0.7911999999999979</v>
      </c>
      <c r="F189" s="23">
        <f t="shared" si="9"/>
        <v>12810.880829015421</v>
      </c>
      <c r="G189" s="13">
        <f t="shared" si="12"/>
        <v>19.56287403870266</v>
      </c>
      <c r="H189" s="13">
        <f t="shared" si="10"/>
        <v>18.003723679662983</v>
      </c>
    </row>
    <row r="190" spans="5:8" ht="15.75" thickBot="1">
      <c r="E190" s="23">
        <f t="shared" si="11"/>
        <v>0.79539999999999789</v>
      </c>
      <c r="F190" s="23">
        <f t="shared" si="9"/>
        <v>13056.467498358375</v>
      </c>
      <c r="G190" s="13">
        <f t="shared" si="12"/>
        <v>19.154255455837983</v>
      </c>
      <c r="H190" s="13">
        <f t="shared" si="10"/>
        <v>17.500916276790406</v>
      </c>
    </row>
    <row r="191" spans="5:8" ht="15.75" thickBot="1">
      <c r="E191" s="23">
        <f t="shared" si="11"/>
        <v>0.79959999999999787</v>
      </c>
      <c r="F191" s="23">
        <f t="shared" si="9"/>
        <v>13308.921438082425</v>
      </c>
      <c r="G191" s="13">
        <f t="shared" si="12"/>
        <v>18.743299663228015</v>
      </c>
      <c r="H191" s="13">
        <f t="shared" si="10"/>
        <v>17.013711392624884</v>
      </c>
    </row>
    <row r="192" spans="5:8" ht="15.75" thickBot="1">
      <c r="E192" s="23">
        <f t="shared" si="11"/>
        <v>0.80379999999999785</v>
      </c>
      <c r="F192" s="23">
        <f t="shared" si="9"/>
        <v>13568.534773801348</v>
      </c>
      <c r="G192" s="13">
        <f t="shared" si="12"/>
        <v>18.329910523223305</v>
      </c>
      <c r="H192" s="13">
        <f t="shared" si="10"/>
        <v>16.544875954806059</v>
      </c>
    </row>
    <row r="193" spans="5:8" ht="15.75" thickBot="1">
      <c r="E193" s="23">
        <f t="shared" si="11"/>
        <v>0.80799999999999783</v>
      </c>
      <c r="F193" s="23">
        <f t="shared" si="9"/>
        <v>13835.616438356023</v>
      </c>
      <c r="G193" s="13">
        <f t="shared" si="12"/>
        <v>17.913988510501554</v>
      </c>
      <c r="H193" s="13">
        <f t="shared" si="10"/>
        <v>16.09735504255292</v>
      </c>
    </row>
    <row r="194" spans="5:8" ht="15.75" thickBot="1">
      <c r="E194" s="23">
        <f t="shared" si="11"/>
        <v>0.81219999999999781</v>
      </c>
      <c r="F194" s="23">
        <f t="shared" si="9"/>
        <v>14110.493398193043</v>
      </c>
      <c r="G194" s="13">
        <f t="shared" si="12"/>
        <v>17.495430508603988</v>
      </c>
      <c r="H194" s="13">
        <f t="shared" si="10"/>
        <v>15.674277585089442</v>
      </c>
    </row>
    <row r="195" spans="5:8" ht="15.75" thickBot="1">
      <c r="E195" s="23">
        <f t="shared" si="11"/>
        <v>0.81639999999999779</v>
      </c>
      <c r="F195" s="23">
        <f t="shared" si="9"/>
        <v>14393.511988716349</v>
      </c>
      <c r="G195" s="13">
        <f t="shared" si="12"/>
        <v>17.074129592215115</v>
      </c>
      <c r="H195" s="13">
        <f t="shared" si="10"/>
        <v>15.278962137262454</v>
      </c>
    </row>
    <row r="196" spans="5:8" ht="15.75" thickBot="1">
      <c r="E196" s="23">
        <f t="shared" si="11"/>
        <v>0.82059999999999778</v>
      </c>
      <c r="F196" s="23">
        <f t="shared" ref="F196:F235" si="13">3*E196*(5000/(3.3-3*E196))</f>
        <v>14685.039370078581</v>
      </c>
      <c r="G196" s="13">
        <f t="shared" si="12"/>
        <v>16.649974793922183</v>
      </c>
      <c r="H196" s="13">
        <f t="shared" ref="H196:H235" si="14" xml:space="preserve">  19546*E196^6 -57685*E196^5 + 67024*E196^4 - 38984*E196^3 + 11974*E196^2 - 1977.9*E196 + 221.06</f>
        <v>14.914922732525213</v>
      </c>
    </row>
    <row r="197" spans="5:8" ht="15.75" thickBot="1">
      <c r="E197" s="23">
        <f t="shared" ref="E197:E235" si="15">0.0042+E196</f>
        <v>0.82479999999999776</v>
      </c>
      <c r="F197" s="23">
        <f t="shared" si="13"/>
        <v>14985.465116278905</v>
      </c>
      <c r="G197" s="13">
        <f t="shared" si="12"/>
        <v>16.222850854060937</v>
      </c>
      <c r="H197" s="13">
        <f t="shared" si="14"/>
        <v>14.585874813062958</v>
      </c>
    </row>
    <row r="198" spans="5:8" ht="15.75" thickBot="1">
      <c r="E198" s="23">
        <f t="shared" si="15"/>
        <v>0.82899999999999774</v>
      </c>
      <c r="F198" s="23">
        <f t="shared" si="13"/>
        <v>15295.202952029349</v>
      </c>
      <c r="G198" s="13">
        <f t="shared" si="12"/>
        <v>15.792637952106872</v>
      </c>
      <c r="H198" s="13">
        <f t="shared" si="14"/>
        <v>14.295741237249615</v>
      </c>
    </row>
    <row r="199" spans="5:8" ht="15.75" thickBot="1">
      <c r="E199" s="23">
        <f t="shared" si="15"/>
        <v>0.83319999999999772</v>
      </c>
      <c r="F199" s="23">
        <f t="shared" si="13"/>
        <v>15614.692653672984</v>
      </c>
      <c r="G199" s="13">
        <f t="shared" si="12"/>
        <v>15.359211417905783</v>
      </c>
      <c r="H199" s="13">
        <f t="shared" si="14"/>
        <v>14.048658364271034</v>
      </c>
    </row>
    <row r="200" spans="5:8" ht="15.75" thickBot="1">
      <c r="E200" s="23">
        <f t="shared" si="15"/>
        <v>0.8373999999999977</v>
      </c>
      <c r="F200" s="23">
        <f t="shared" si="13"/>
        <v>15944.40213252076</v>
      </c>
      <c r="G200" s="13">
        <f t="shared" si="12"/>
        <v>14.922441420851442</v>
      </c>
      <c r="H200" s="13">
        <f t="shared" si="14"/>
        <v>13.848982216070283</v>
      </c>
    </row>
    <row r="201" spans="5:8" ht="15.75" thickBot="1">
      <c r="E201" s="23">
        <f t="shared" si="15"/>
        <v>0.84159999999999768</v>
      </c>
      <c r="F201" s="23">
        <f t="shared" si="13"/>
        <v>16284.829721362037</v>
      </c>
      <c r="G201" s="13">
        <f t="shared" si="12"/>
        <v>14.48219263490904</v>
      </c>
      <c r="H201" s="13">
        <f t="shared" si="14"/>
        <v>13.701294716484028</v>
      </c>
    </row>
    <row r="202" spans="5:8" ht="15.75" thickBot="1">
      <c r="E202" s="23">
        <f t="shared" si="15"/>
        <v>0.84579999999999766</v>
      </c>
      <c r="F202" s="23">
        <f t="shared" si="13"/>
        <v>16636.506687647321</v>
      </c>
      <c r="G202" s="13">
        <f t="shared" si="12"/>
        <v>14.038323877145615</v>
      </c>
      <c r="H202" s="13">
        <f t="shared" si="14"/>
        <v>13.610410007666417</v>
      </c>
    </row>
    <row r="203" spans="5:8" ht="15.75" thickBot="1">
      <c r="E203" s="23">
        <f t="shared" si="15"/>
        <v>0.84999999999999765</v>
      </c>
      <c r="F203" s="23">
        <f t="shared" si="13"/>
        <v>16999.999999999789</v>
      </c>
      <c r="G203" s="13">
        <f t="shared" si="12"/>
        <v>13.590687717162723</v>
      </c>
      <c r="H203" s="13">
        <f t="shared" si="14"/>
        <v>13.581380843755881</v>
      </c>
    </row>
    <row r="204" spans="5:8" ht="15.75" thickBot="1">
      <c r="E204" s="23">
        <f t="shared" si="15"/>
        <v>0.85419999999999763</v>
      </c>
      <c r="F204" s="23">
        <f t="shared" si="13"/>
        <v>17375.915378356171</v>
      </c>
      <c r="G204" s="13">
        <f t="shared" si="12"/>
        <v>13.139130054520308</v>
      </c>
      <c r="H204" s="13">
        <f t="shared" si="14"/>
        <v>13.619505061714847</v>
      </c>
    </row>
    <row r="205" spans="5:8" ht="15.75" thickBot="1">
      <c r="E205" s="23">
        <f t="shared" si="15"/>
        <v>0.85839999999999761</v>
      </c>
      <c r="F205" s="23">
        <f t="shared" si="13"/>
        <v>17764.900662251428</v>
      </c>
      <c r="G205" s="13">
        <f t="shared" si="12"/>
        <v>12.683489660899227</v>
      </c>
      <c r="H205" s="13">
        <f t="shared" si="14"/>
        <v>13.730332129590636</v>
      </c>
    </row>
    <row r="206" spans="5:8" ht="15.75" thickBot="1">
      <c r="E206" s="23">
        <f t="shared" si="15"/>
        <v>0.86259999999999759</v>
      </c>
      <c r="F206" s="23">
        <f t="shared" si="13"/>
        <v>18167.649536646772</v>
      </c>
      <c r="G206" s="13">
        <f t="shared" si="12"/>
        <v>12.22359768335491</v>
      </c>
      <c r="H206" s="13">
        <f t="shared" si="14"/>
        <v>13.919669771817155</v>
      </c>
    </row>
    <row r="207" spans="5:8" ht="15.75" thickBot="1">
      <c r="E207" s="23">
        <f t="shared" si="15"/>
        <v>0.86679999999999757</v>
      </c>
      <c r="F207" s="23">
        <f t="shared" si="13"/>
        <v>18584.90566037711</v>
      </c>
      <c r="G207" s="13">
        <f t="shared" si="12"/>
        <v>11.759277104568696</v>
      </c>
      <c r="H207" s="13">
        <f t="shared" si="14"/>
        <v>14.193590671896402</v>
      </c>
    </row>
    <row r="208" spans="5:8" ht="15.75" thickBot="1">
      <c r="E208" s="23">
        <f t="shared" si="15"/>
        <v>0.87099999999999755</v>
      </c>
      <c r="F208" s="23">
        <f t="shared" si="13"/>
        <v>19017.467248908037</v>
      </c>
      <c r="G208" s="13">
        <f t="shared" si="12"/>
        <v>11.290342155490407</v>
      </c>
      <c r="H208" s="13">
        <f t="shared" si="14"/>
        <v>14.558439252307664</v>
      </c>
    </row>
    <row r="209" spans="5:8" ht="15.75" thickBot="1">
      <c r="E209" s="23">
        <f t="shared" si="15"/>
        <v>0.87519999999999754</v>
      </c>
      <c r="F209" s="23">
        <f t="shared" si="13"/>
        <v>19466.192170818234</v>
      </c>
      <c r="G209" s="13">
        <f t="shared" si="12"/>
        <v>10.816597675181129</v>
      </c>
      <c r="H209" s="13">
        <f t="shared" si="14"/>
        <v>15.020838531627817</v>
      </c>
    </row>
    <row r="210" spans="5:8" ht="15.75" thickBot="1">
      <c r="E210" s="23">
        <f t="shared" si="15"/>
        <v>0.87939999999999752</v>
      </c>
      <c r="F210" s="23">
        <f t="shared" si="13"/>
        <v>19932.003626472972</v>
      </c>
      <c r="G210" s="13">
        <f t="shared" si="12"/>
        <v>10.337838411989821</v>
      </c>
      <c r="H210" s="13">
        <f t="shared" si="14"/>
        <v>15.587697058943661</v>
      </c>
    </row>
    <row r="211" spans="5:8" ht="15.75" thickBot="1">
      <c r="E211" s="23">
        <f t="shared" si="15"/>
        <v>0.8835999999999975</v>
      </c>
      <c r="F211" s="23">
        <f t="shared" si="13"/>
        <v>20415.896487984915</v>
      </c>
      <c r="G211" s="13">
        <f t="shared" si="12"/>
        <v>9.8538482594223638</v>
      </c>
      <c r="H211" s="13">
        <f t="shared" si="14"/>
        <v>16.266215925452627</v>
      </c>
    </row>
    <row r="212" spans="5:8" ht="15.75" thickBot="1">
      <c r="E212" s="23">
        <f t="shared" si="15"/>
        <v>0.88779999999999748</v>
      </c>
      <c r="F212" s="23">
        <f t="shared" si="13"/>
        <v>20918.944392082631</v>
      </c>
      <c r="G212" s="13">
        <f t="shared" ref="G212:G235" si="16">$I$12/(LN(F212/$L$12))-273</f>
        <v>9.3643994191675688</v>
      </c>
      <c r="H212" s="13">
        <f t="shared" si="14"/>
        <v>17.063895853410997</v>
      </c>
    </row>
    <row r="213" spans="5:8" ht="15.75" thickBot="1">
      <c r="E213" s="23">
        <f t="shared" si="15"/>
        <v>0.89199999999999746</v>
      </c>
      <c r="F213" s="23">
        <f t="shared" si="13"/>
        <v>21442.307692307368</v>
      </c>
      <c r="G213" s="13">
        <f t="shared" si="16"/>
        <v>8.8692514827063746</v>
      </c>
      <c r="H213" s="13">
        <f t="shared" si="14"/>
        <v>17.988544362216828</v>
      </c>
    </row>
    <row r="214" spans="5:8" ht="15.75" thickBot="1">
      <c r="E214" s="23">
        <f t="shared" si="15"/>
        <v>0.89619999999999744</v>
      </c>
      <c r="F214" s="23">
        <f t="shared" si="13"/>
        <v>21987.242394504075</v>
      </c>
      <c r="G214" s="13">
        <f t="shared" si="16"/>
        <v>8.3681504217279894</v>
      </c>
      <c r="H214" s="13">
        <f t="shared" si="14"/>
        <v>19.048283011768547</v>
      </c>
    </row>
    <row r="215" spans="5:8" ht="15.75" thickBot="1">
      <c r="E215" s="23">
        <f t="shared" si="15"/>
        <v>0.90039999999999742</v>
      </c>
      <c r="F215" s="23">
        <f t="shared" si="13"/>
        <v>22555.110220440522</v>
      </c>
      <c r="G215" s="13">
        <f t="shared" si="16"/>
        <v>7.8608274761776897</v>
      </c>
      <c r="H215" s="13">
        <f t="shared" si="14"/>
        <v>20.251554723195625</v>
      </c>
    </row>
    <row r="216" spans="5:8" ht="15.75" thickBot="1">
      <c r="E216" s="23">
        <f t="shared" si="15"/>
        <v>0.90459999999999741</v>
      </c>
      <c r="F216" s="23">
        <f t="shared" si="13"/>
        <v>23147.389969293377</v>
      </c>
      <c r="G216" s="13">
        <f t="shared" si="16"/>
        <v>7.3469979271237094</v>
      </c>
      <c r="H216" s="13">
        <f t="shared" si="14"/>
        <v>21.60713117664028</v>
      </c>
    </row>
    <row r="217" spans="5:8" ht="15.75" thickBot="1">
      <c r="E217" s="23">
        <f t="shared" si="15"/>
        <v>0.90879999999999739</v>
      </c>
      <c r="F217" s="23">
        <f t="shared" si="13"/>
        <v>23765.69037656864</v>
      </c>
      <c r="G217" s="13">
        <f t="shared" si="16"/>
        <v>6.8263597397157696</v>
      </c>
      <c r="H217" s="13">
        <f t="shared" si="14"/>
        <v>23.124120286377604</v>
      </c>
    </row>
    <row r="218" spans="5:8" ht="15.75" thickBot="1">
      <c r="E218" s="23">
        <f t="shared" si="15"/>
        <v>0.91299999999999737</v>
      </c>
      <c r="F218" s="23">
        <f t="shared" si="13"/>
        <v>24411.764705881935</v>
      </c>
      <c r="G218" s="13">
        <f t="shared" si="16"/>
        <v>6.2985920592597608</v>
      </c>
      <c r="H218" s="13">
        <f t="shared" si="14"/>
        <v>24.811973753300492</v>
      </c>
    </row>
    <row r="219" spans="5:8" ht="15.75" thickBot="1">
      <c r="E219" s="23">
        <f t="shared" si="15"/>
        <v>0.91719999999999735</v>
      </c>
      <c r="F219" s="23">
        <f t="shared" si="13"/>
        <v>25087.527352297155</v>
      </c>
      <c r="G219" s="13">
        <f t="shared" si="16"/>
        <v>5.7633535407757677</v>
      </c>
      <c r="H219" s="13">
        <f t="shared" si="14"/>
        <v>26.680494694401716</v>
      </c>
    </row>
    <row r="220" spans="5:8" ht="15.75" thickBot="1">
      <c r="E220" s="23">
        <f t="shared" si="15"/>
        <v>0.92139999999999733</v>
      </c>
      <c r="F220" s="23">
        <f t="shared" si="13"/>
        <v>25795.072788353402</v>
      </c>
      <c r="G220" s="13">
        <f t="shared" si="16"/>
        <v>5.2202804892709764</v>
      </c>
      <c r="H220" s="13">
        <f t="shared" si="14"/>
        <v>28.739845349734026</v>
      </c>
    </row>
    <row r="221" spans="5:8" ht="15.75" thickBot="1">
      <c r="E221" s="23">
        <f t="shared" si="15"/>
        <v>0.92559999999999731</v>
      </c>
      <c r="F221" s="23">
        <f t="shared" si="13"/>
        <v>26536.697247705932</v>
      </c>
      <c r="G221" s="13">
        <f t="shared" si="16"/>
        <v>4.6689847842285417</v>
      </c>
      <c r="H221" s="13">
        <f t="shared" si="14"/>
        <v>31.000554866503364</v>
      </c>
    </row>
    <row r="222" spans="5:8" ht="15.75" thickBot="1">
      <c r="E222" s="23">
        <f t="shared" si="15"/>
        <v>0.9297999999999973</v>
      </c>
      <c r="F222" s="23">
        <f t="shared" si="13"/>
        <v>27314.923619270929</v>
      </c>
      <c r="G222" s="13">
        <f t="shared" si="16"/>
        <v>4.1090515573701509</v>
      </c>
      <c r="H222" s="13">
        <f t="shared" si="14"/>
        <v>33.473527160395008</v>
      </c>
    </row>
    <row r="223" spans="5:8" ht="15.75" thickBot="1">
      <c r="E223" s="23">
        <f t="shared" si="15"/>
        <v>0.93399999999999728</v>
      </c>
      <c r="F223" s="23">
        <f t="shared" si="13"/>
        <v>28132.53012048138</v>
      </c>
      <c r="G223" s="13">
        <f t="shared" si="16"/>
        <v>3.5400365874310182</v>
      </c>
      <c r="H223" s="13">
        <f t="shared" si="14"/>
        <v>36.170048854269965</v>
      </c>
    </row>
    <row r="224" spans="5:8" ht="15.75" thickBot="1">
      <c r="E224" s="23">
        <f t="shared" si="15"/>
        <v>0.93819999999999726</v>
      </c>
      <c r="F224" s="23">
        <f t="shared" si="13"/>
        <v>28992.583436340585</v>
      </c>
      <c r="G224" s="13">
        <f t="shared" si="16"/>
        <v>2.9614633692916073</v>
      </c>
      <c r="H224" s="13">
        <f t="shared" si="14"/>
        <v>39.101797293918764</v>
      </c>
    </row>
    <row r="225" spans="5:8" ht="15.75" thickBot="1">
      <c r="E225" s="23">
        <f t="shared" si="15"/>
        <v>0.94239999999999724</v>
      </c>
      <c r="F225" s="23">
        <f t="shared" si="13"/>
        <v>29898.47715735979</v>
      </c>
      <c r="G225" s="13">
        <f t="shared" si="16"/>
        <v>2.3728198070925828</v>
      </c>
      <c r="H225" s="13">
        <f t="shared" si="14"/>
        <v>42.280848641268278</v>
      </c>
    </row>
    <row r="226" spans="5:8" ht="15.75" thickBot="1">
      <c r="E226" s="23">
        <f t="shared" si="15"/>
        <v>0.94659999999999722</v>
      </c>
      <c r="F226" s="23">
        <f t="shared" si="13"/>
        <v>30853.976531941978</v>
      </c>
      <c r="G226" s="13">
        <f t="shared" si="16"/>
        <v>1.7735544715969809</v>
      </c>
      <c r="H226" s="13">
        <f t="shared" si="14"/>
        <v>45.719686044645016</v>
      </c>
    </row>
    <row r="227" spans="5:8" ht="15.75" thickBot="1">
      <c r="E227" s="23">
        <f t="shared" si="15"/>
        <v>0.9507999999999972</v>
      </c>
      <c r="F227" s="23">
        <f t="shared" si="13"/>
        <v>31863.270777479196</v>
      </c>
      <c r="G227" s="13">
        <f t="shared" si="16"/>
        <v>1.1630723506557388</v>
      </c>
      <c r="H227" s="13">
        <f t="shared" si="14"/>
        <v>49.431207886461436</v>
      </c>
    </row>
    <row r="228" spans="5:8" ht="15.75" thickBot="1">
      <c r="E228" s="23">
        <f t="shared" si="15"/>
        <v>0.95499999999999718</v>
      </c>
      <c r="F228" s="23">
        <f t="shared" si="13"/>
        <v>32931.034482757881</v>
      </c>
      <c r="G228" s="13">
        <f t="shared" si="16"/>
        <v>0.54073000765316692</v>
      </c>
      <c r="H228" s="13">
        <f t="shared" si="14"/>
        <v>53.428736108030591</v>
      </c>
    </row>
    <row r="229" spans="5:8" ht="15.75" thickBot="1">
      <c r="E229" s="23">
        <f t="shared" si="15"/>
        <v>0.95919999999999717</v>
      </c>
      <c r="F229" s="23">
        <f t="shared" si="13"/>
        <v>34062.499999999207</v>
      </c>
      <c r="G229" s="13">
        <f t="shared" si="16"/>
        <v>-9.4169954401422729E-2</v>
      </c>
      <c r="H229" s="13">
        <f t="shared" si="14"/>
        <v>57.726024611635523</v>
      </c>
    </row>
    <row r="230" spans="5:8" ht="15.75" thickBot="1">
      <c r="E230" s="23">
        <f t="shared" si="15"/>
        <v>0.96339999999999715</v>
      </c>
      <c r="F230" s="23">
        <f t="shared" si="13"/>
        <v>35263.543191800032</v>
      </c>
      <c r="G230" s="13">
        <f t="shared" si="16"/>
        <v>-0.74238524679537932</v>
      </c>
      <c r="H230" s="13">
        <f t="shared" si="14"/>
        <v>62.337267739924357</v>
      </c>
    </row>
    <row r="231" spans="5:8" ht="15.75" thickBot="1">
      <c r="E231" s="23">
        <f t="shared" si="15"/>
        <v>0.96759999999999713</v>
      </c>
      <c r="F231" s="23">
        <f t="shared" si="13"/>
        <v>36540.78549848852</v>
      </c>
      <c r="G231" s="13">
        <f t="shared" si="16"/>
        <v>-1.4047412172734539</v>
      </c>
      <c r="H231" s="13">
        <f t="shared" si="14"/>
        <v>67.277108832513761</v>
      </c>
    </row>
    <row r="232" spans="5:8" ht="15.75" thickBot="1">
      <c r="E232" s="23">
        <f t="shared" si="15"/>
        <v>0.97179999999999711</v>
      </c>
      <c r="F232" s="23">
        <f t="shared" si="13"/>
        <v>37901.71606864177</v>
      </c>
      <c r="G232" s="13">
        <f t="shared" si="16"/>
        <v>-2.0821393239823465</v>
      </c>
      <c r="H232" s="13">
        <f t="shared" si="14"/>
        <v>72.560648859720743</v>
      </c>
    </row>
    <row r="233" spans="5:8" ht="15.75" thickBot="1">
      <c r="E233" s="23">
        <f t="shared" si="15"/>
        <v>0.97599999999999709</v>
      </c>
      <c r="F233" s="23">
        <f t="shared" si="13"/>
        <v>39354.838709676369</v>
      </c>
      <c r="G233" s="13">
        <f t="shared" si="16"/>
        <v>-2.7755669868071209</v>
      </c>
      <c r="H233" s="13">
        <f t="shared" si="14"/>
        <v>78.20345513383478</v>
      </c>
    </row>
    <row r="234" spans="5:8" ht="15.75" thickBot="1">
      <c r="E234" s="23">
        <f t="shared" si="15"/>
        <v>0.98019999999999707</v>
      </c>
      <c r="F234" s="23">
        <f t="shared" si="13"/>
        <v>40909.84974958151</v>
      </c>
      <c r="G234" s="13">
        <f t="shared" si="16"/>
        <v>-3.4861090951920914</v>
      </c>
      <c r="H234" s="13">
        <f t="shared" si="14"/>
        <v>84.221570097273627</v>
      </c>
    </row>
    <row r="235" spans="5:8" ht="15.75" thickBot="1">
      <c r="E235" s="23">
        <f t="shared" si="15"/>
        <v>0.98439999999999706</v>
      </c>
      <c r="F235" s="23">
        <f t="shared" si="13"/>
        <v>42577.854671279056</v>
      </c>
      <c r="G235" s="13">
        <f t="shared" si="16"/>
        <v>-4.2149615200641506</v>
      </c>
      <c r="H235" s="13">
        <f t="shared" si="14"/>
        <v>90.631520188287652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C7" zoomScaleNormal="100" workbookViewId="0">
      <selection activeCell="J34" sqref="J34"/>
    </sheetView>
  </sheetViews>
  <sheetFormatPr defaultRowHeight="15"/>
  <cols>
    <col min="6" max="6" width="14.7109375" customWidth="1"/>
    <col min="7" max="7" width="9.140625" customWidth="1"/>
    <col min="8" max="8" width="13" customWidth="1"/>
    <col min="9" max="9" width="10.7109375" customWidth="1"/>
    <col min="10" max="10" width="13.42578125" customWidth="1"/>
    <col min="11" max="11" width="5" bestFit="1" customWidth="1"/>
    <col min="12" max="12" width="6" bestFit="1" customWidth="1"/>
  </cols>
  <sheetData>
    <row r="1" spans="1:17">
      <c r="F1" t="s">
        <v>55</v>
      </c>
      <c r="G1" t="s">
        <v>27</v>
      </c>
      <c r="H1" t="s">
        <v>20</v>
      </c>
    </row>
    <row r="2" spans="1:17">
      <c r="F2">
        <f>214.12*H2^6 - 1171.17*H2^5 + 2339.6*H2^4 - 2445*H2^3 + 1478.2*H2^2- 609.51*H2+221</f>
        <v>88.014739533019736</v>
      </c>
      <c r="G2" s="59">
        <v>985</v>
      </c>
      <c r="H2" s="59">
        <f>3.3/3*G2/(1010+G2)</f>
        <v>0.54310776942355876</v>
      </c>
    </row>
    <row r="4" spans="1:17">
      <c r="A4" s="54"/>
      <c r="B4" s="54"/>
      <c r="C4" s="54"/>
      <c r="D4" s="54"/>
      <c r="E4" t="s">
        <v>53</v>
      </c>
      <c r="F4" t="s">
        <v>52</v>
      </c>
      <c r="G4" t="s">
        <v>45</v>
      </c>
      <c r="H4" t="s">
        <v>54</v>
      </c>
      <c r="K4" t="s">
        <v>44</v>
      </c>
    </row>
    <row r="5" spans="1:17">
      <c r="A5" s="54"/>
      <c r="B5" s="54"/>
      <c r="C5" s="54"/>
      <c r="D5" s="54"/>
      <c r="F5" t="s">
        <v>46</v>
      </c>
      <c r="G5" t="s">
        <v>46</v>
      </c>
      <c r="H5" t="s">
        <v>51</v>
      </c>
      <c r="I5" t="s">
        <v>27</v>
      </c>
      <c r="J5" t="s">
        <v>47</v>
      </c>
      <c r="K5" t="s">
        <v>48</v>
      </c>
      <c r="L5" t="s">
        <v>49</v>
      </c>
      <c r="P5" s="25" t="s">
        <v>50</v>
      </c>
      <c r="Q5" s="25">
        <v>10000</v>
      </c>
    </row>
    <row r="6" spans="1:17">
      <c r="A6" s="54"/>
      <c r="B6" s="54"/>
      <c r="C6" s="54"/>
      <c r="D6" s="54"/>
      <c r="E6" s="56">
        <f>ABS(F6-G6)</f>
        <v>57.890847110153459</v>
      </c>
      <c r="F6" s="57">
        <f>214.12*H6^6 - 1171.7*H6^5+2339.6*H6^4 - 2445*H6^3 +1478.2*H6^2- 609.51*H6 +221</f>
        <v>2.8908471101534587</v>
      </c>
      <c r="G6" s="53">
        <v>-55</v>
      </c>
      <c r="H6" s="58">
        <f>3.3/3*I6/(1000+I6)</f>
        <v>1.0988601036269428</v>
      </c>
      <c r="I6" s="52">
        <f t="shared" ref="I6:I47" si="0">$Q$5*J6</f>
        <v>964000</v>
      </c>
      <c r="J6" s="55">
        <v>96.4</v>
      </c>
      <c r="K6" s="52">
        <v>3.8</v>
      </c>
      <c r="L6" s="52">
        <v>7.4</v>
      </c>
      <c r="M6">
        <f>H6*4096</f>
        <v>4500.9309844559575</v>
      </c>
    </row>
    <row r="7" spans="1:17">
      <c r="A7" s="54"/>
      <c r="B7" s="54"/>
      <c r="C7" s="54"/>
      <c r="D7" s="54"/>
      <c r="E7" s="56">
        <f t="shared" ref="E7:E47" si="1">ABS(F7-G7)</f>
        <v>53.032167864033909</v>
      </c>
      <c r="F7" s="57">
        <f t="shared" ref="F7:F47" si="2">214.12*H7^6 - 1171.7*H7^5+2339.6*H7^4 - 2445*H7^3 +1478.2*H7^2- 609.51*H7 +221</f>
        <v>3.0321678640339087</v>
      </c>
      <c r="G7" s="53">
        <v>-50</v>
      </c>
      <c r="H7" s="58">
        <f t="shared" ref="H7:H47" si="3">3.3/3*I7/(1000+I7)</f>
        <v>1.098362120309708</v>
      </c>
      <c r="I7" s="52">
        <f t="shared" si="0"/>
        <v>670600</v>
      </c>
      <c r="J7" s="55">
        <v>67.06</v>
      </c>
      <c r="K7" s="52">
        <v>3.5</v>
      </c>
      <c r="L7" s="52">
        <v>7.2</v>
      </c>
      <c r="M7">
        <f t="shared" ref="M7:M47" si="4">H7*4096</f>
        <v>4498.8912447885641</v>
      </c>
    </row>
    <row r="8" spans="1:17">
      <c r="A8" s="54"/>
      <c r="B8" s="54"/>
      <c r="C8" s="54"/>
      <c r="D8" s="54"/>
      <c r="E8" s="56">
        <f t="shared" si="1"/>
        <v>48.228539083351848</v>
      </c>
      <c r="F8" s="57">
        <f t="shared" si="2"/>
        <v>3.2285390833518477</v>
      </c>
      <c r="G8" s="53">
        <v>-45</v>
      </c>
      <c r="H8" s="58">
        <f t="shared" si="3"/>
        <v>1.0976687116304373</v>
      </c>
      <c r="I8" s="52">
        <f t="shared" si="0"/>
        <v>470842.1</v>
      </c>
      <c r="J8" s="55">
        <v>47.084209999999999</v>
      </c>
      <c r="K8" s="52">
        <v>3.25</v>
      </c>
      <c r="L8" s="52">
        <v>6.9610000000000003</v>
      </c>
      <c r="M8">
        <f t="shared" si="4"/>
        <v>4496.0510428382713</v>
      </c>
    </row>
    <row r="9" spans="1:17">
      <c r="A9" s="54"/>
      <c r="B9" s="54"/>
      <c r="C9" s="54"/>
      <c r="D9" s="54"/>
      <c r="E9" s="56">
        <f t="shared" si="1"/>
        <v>43.490323347579306</v>
      </c>
      <c r="F9" s="57">
        <f t="shared" si="2"/>
        <v>3.4903233475793058</v>
      </c>
      <c r="G9" s="53">
        <v>-40</v>
      </c>
      <c r="H9" s="58">
        <f t="shared" si="3"/>
        <v>1.0967417061611373</v>
      </c>
      <c r="I9" s="52">
        <f t="shared" si="0"/>
        <v>336599.99999999994</v>
      </c>
      <c r="J9" s="55">
        <v>33.659999999999997</v>
      </c>
      <c r="K9" s="52">
        <v>3</v>
      </c>
      <c r="L9" s="52">
        <v>6.7</v>
      </c>
      <c r="M9">
        <f t="shared" si="4"/>
        <v>4492.2540284360184</v>
      </c>
    </row>
    <row r="10" spans="1:17">
      <c r="A10" s="54"/>
      <c r="B10" s="54"/>
      <c r="C10" s="54"/>
      <c r="D10" s="54"/>
      <c r="E10" s="56">
        <f t="shared" si="1"/>
        <v>38.842721520957184</v>
      </c>
      <c r="F10" s="57">
        <f t="shared" si="2"/>
        <v>3.8427215209571841</v>
      </c>
      <c r="G10" s="53">
        <v>-35</v>
      </c>
      <c r="H10" s="58">
        <f t="shared" si="3"/>
        <v>1.0954890763883902</v>
      </c>
      <c r="I10" s="52">
        <f t="shared" si="0"/>
        <v>242852.5</v>
      </c>
      <c r="J10" s="55">
        <v>24.285250000000001</v>
      </c>
      <c r="K10" s="52">
        <v>2.7</v>
      </c>
      <c r="L10" s="52">
        <v>6.4420000000000002</v>
      </c>
      <c r="M10">
        <f t="shared" si="4"/>
        <v>4487.1232568868463</v>
      </c>
    </row>
    <row r="11" spans="1:17">
      <c r="A11" s="54"/>
      <c r="B11" s="54"/>
      <c r="C11" s="54"/>
      <c r="D11" s="54"/>
      <c r="E11" s="56">
        <f t="shared" si="1"/>
        <v>34.309829902009369</v>
      </c>
      <c r="F11" s="57">
        <f t="shared" si="2"/>
        <v>4.3098299020093691</v>
      </c>
      <c r="G11" s="53">
        <v>-30</v>
      </c>
      <c r="H11" s="58">
        <f t="shared" si="3"/>
        <v>1.0938202247191009</v>
      </c>
      <c r="I11" s="52">
        <f t="shared" si="0"/>
        <v>177000</v>
      </c>
      <c r="J11" s="55">
        <v>17.7</v>
      </c>
      <c r="K11" s="52">
        <v>2.4</v>
      </c>
      <c r="L11" s="52">
        <v>6.2</v>
      </c>
      <c r="M11">
        <f t="shared" si="4"/>
        <v>4480.2876404494373</v>
      </c>
    </row>
    <row r="12" spans="1:17">
      <c r="A12" s="54"/>
      <c r="B12" s="54"/>
      <c r="C12" s="54"/>
      <c r="D12" s="54"/>
      <c r="E12" s="56">
        <f t="shared" si="1"/>
        <v>29.920686690407365</v>
      </c>
      <c r="F12" s="57">
        <f t="shared" si="2"/>
        <v>4.9206866904073649</v>
      </c>
      <c r="G12" s="53">
        <v>-25</v>
      </c>
      <c r="H12" s="58">
        <f t="shared" si="3"/>
        <v>1.0916230557874023</v>
      </c>
      <c r="I12" s="52">
        <f t="shared" si="0"/>
        <v>130312.8</v>
      </c>
      <c r="J12" s="55">
        <v>13.031280000000001</v>
      </c>
      <c r="K12" s="52">
        <v>2.16</v>
      </c>
      <c r="L12" s="52">
        <v>5.984</v>
      </c>
      <c r="M12">
        <f t="shared" si="4"/>
        <v>4471.2880365051997</v>
      </c>
    </row>
    <row r="13" spans="1:17">
      <c r="A13" s="54"/>
      <c r="B13" s="54"/>
      <c r="C13" s="54"/>
      <c r="D13" s="54"/>
      <c r="E13" s="56">
        <f t="shared" si="1"/>
        <v>25.70167794914903</v>
      </c>
      <c r="F13" s="57">
        <f t="shared" si="2"/>
        <v>5.7016779491490297</v>
      </c>
      <c r="G13" s="53">
        <v>-20</v>
      </c>
      <c r="H13" s="58">
        <f t="shared" si="3"/>
        <v>1.0887892376681614</v>
      </c>
      <c r="I13" s="52">
        <f t="shared" si="0"/>
        <v>97120</v>
      </c>
      <c r="J13" s="55">
        <v>9.7119999999999997</v>
      </c>
      <c r="K13" s="52">
        <v>1.9</v>
      </c>
      <c r="L13" s="52">
        <v>5.8</v>
      </c>
      <c r="M13">
        <f t="shared" si="4"/>
        <v>4459.680717488789</v>
      </c>
    </row>
    <row r="14" spans="1:17">
      <c r="A14" s="54"/>
      <c r="B14" s="54"/>
      <c r="C14" s="54"/>
      <c r="D14" s="54"/>
      <c r="E14" s="56">
        <f t="shared" si="1"/>
        <v>21.698534155258358</v>
      </c>
      <c r="F14" s="57">
        <f t="shared" si="2"/>
        <v>6.6985341552583577</v>
      </c>
      <c r="G14" s="53">
        <v>-15</v>
      </c>
      <c r="H14" s="58">
        <f t="shared" si="3"/>
        <v>1.0851311165179776</v>
      </c>
      <c r="I14" s="52">
        <f t="shared" si="0"/>
        <v>72980</v>
      </c>
      <c r="J14" s="55">
        <v>7.298</v>
      </c>
      <c r="K14" s="52">
        <v>1.6</v>
      </c>
      <c r="L14" s="52">
        <v>5.65</v>
      </c>
      <c r="M14">
        <f t="shared" si="4"/>
        <v>4444.6970532576361</v>
      </c>
    </row>
    <row r="15" spans="1:17">
      <c r="A15" s="54"/>
      <c r="B15" s="54"/>
      <c r="C15" s="54"/>
      <c r="D15" s="54"/>
      <c r="E15" s="56">
        <f t="shared" si="1"/>
        <v>17.948995957288503</v>
      </c>
      <c r="F15" s="57">
        <f t="shared" si="2"/>
        <v>7.9489959572885027</v>
      </c>
      <c r="G15" s="53">
        <v>-10</v>
      </c>
      <c r="H15" s="58">
        <f t="shared" si="3"/>
        <v>1.0804756833510827</v>
      </c>
      <c r="I15" s="52">
        <f t="shared" si="0"/>
        <v>55340</v>
      </c>
      <c r="J15" s="55">
        <v>5.5339999999999998</v>
      </c>
      <c r="K15" s="52">
        <v>1.4</v>
      </c>
      <c r="L15" s="52">
        <v>5.5</v>
      </c>
      <c r="M15">
        <f t="shared" si="4"/>
        <v>4425.6283990060347</v>
      </c>
    </row>
    <row r="16" spans="1:17">
      <c r="A16" s="54"/>
      <c r="B16" s="54"/>
      <c r="C16" s="54"/>
      <c r="D16" s="54"/>
      <c r="E16" s="56">
        <f t="shared" si="1"/>
        <v>14.493676790295126</v>
      </c>
      <c r="F16" s="57">
        <f t="shared" si="2"/>
        <v>9.493676790295126</v>
      </c>
      <c r="G16" s="53">
        <v>-5</v>
      </c>
      <c r="H16" s="58">
        <f t="shared" si="3"/>
        <v>1.0746192893401014</v>
      </c>
      <c r="I16" s="52">
        <f t="shared" si="0"/>
        <v>42340</v>
      </c>
      <c r="J16" s="55">
        <v>4.234</v>
      </c>
      <c r="K16" s="52">
        <v>1.2</v>
      </c>
      <c r="L16" s="52">
        <v>5.3</v>
      </c>
      <c r="M16">
        <f t="shared" si="4"/>
        <v>4401.6406091370554</v>
      </c>
    </row>
    <row r="17" spans="1:13">
      <c r="A17" s="54"/>
      <c r="B17" s="54"/>
      <c r="C17" s="54"/>
      <c r="D17" s="54"/>
      <c r="E17" s="56">
        <f t="shared" si="1"/>
        <v>11.37566575856215</v>
      </c>
      <c r="F17" s="57">
        <f t="shared" si="2"/>
        <v>11.37566575856215</v>
      </c>
      <c r="G17" s="53">
        <v>0</v>
      </c>
      <c r="H17" s="58">
        <f t="shared" si="3"/>
        <v>1.0673202614379083</v>
      </c>
      <c r="I17" s="52">
        <f t="shared" si="0"/>
        <v>32660</v>
      </c>
      <c r="J17" s="55">
        <v>3.266</v>
      </c>
      <c r="K17" s="52">
        <v>1</v>
      </c>
      <c r="L17" s="52">
        <v>5.0999999999999996</v>
      </c>
      <c r="M17">
        <f t="shared" si="4"/>
        <v>4371.7437908496722</v>
      </c>
    </row>
    <row r="18" spans="1:13">
      <c r="A18" s="54"/>
      <c r="B18" s="54"/>
      <c r="C18" s="54"/>
      <c r="D18" s="54"/>
      <c r="E18" s="56">
        <f t="shared" si="1"/>
        <v>8.6289619968557645</v>
      </c>
      <c r="F18" s="57">
        <f t="shared" si="2"/>
        <v>13.628961996855764</v>
      </c>
      <c r="G18" s="53">
        <v>5</v>
      </c>
      <c r="H18" s="58">
        <f t="shared" si="3"/>
        <v>1.0583333333333331</v>
      </c>
      <c r="I18" s="52">
        <f t="shared" si="0"/>
        <v>25400</v>
      </c>
      <c r="J18" s="55">
        <v>2.54</v>
      </c>
      <c r="K18" s="52">
        <v>0.75</v>
      </c>
      <c r="L18" s="52">
        <v>4.95</v>
      </c>
      <c r="M18">
        <f t="shared" si="4"/>
        <v>4334.9333333333325</v>
      </c>
    </row>
    <row r="19" spans="1:13">
      <c r="A19" s="54"/>
      <c r="B19" s="54"/>
      <c r="C19" s="54"/>
      <c r="D19" s="54"/>
      <c r="E19" s="56">
        <f t="shared" si="1"/>
        <v>6.2862100903678311</v>
      </c>
      <c r="F19" s="57">
        <f t="shared" si="2"/>
        <v>16.286210090367831</v>
      </c>
      <c r="G19" s="53">
        <v>10</v>
      </c>
      <c r="H19" s="58">
        <f t="shared" si="3"/>
        <v>1.0473684210526315</v>
      </c>
      <c r="I19" s="52">
        <f t="shared" si="0"/>
        <v>19900</v>
      </c>
      <c r="J19" s="55">
        <v>1.99</v>
      </c>
      <c r="K19" s="52">
        <v>0.5</v>
      </c>
      <c r="L19" s="52">
        <v>4.8</v>
      </c>
      <c r="M19">
        <f t="shared" si="4"/>
        <v>4290.0210526315786</v>
      </c>
    </row>
    <row r="20" spans="1:13">
      <c r="A20" s="54"/>
      <c r="B20" s="54"/>
      <c r="C20" s="54"/>
      <c r="D20" s="54"/>
      <c r="E20" s="56">
        <f t="shared" si="1"/>
        <v>4.3565109448828707</v>
      </c>
      <c r="F20" s="57">
        <f t="shared" si="2"/>
        <v>19.356510944882871</v>
      </c>
      <c r="G20" s="53">
        <v>15</v>
      </c>
      <c r="H20" s="58">
        <f t="shared" si="3"/>
        <v>1.0341711549970076</v>
      </c>
      <c r="I20" s="52">
        <f t="shared" si="0"/>
        <v>15710</v>
      </c>
      <c r="J20" s="55">
        <v>1.571</v>
      </c>
      <c r="K20" s="52">
        <v>0.3</v>
      </c>
      <c r="L20" s="52">
        <v>4.6500000000000004</v>
      </c>
      <c r="M20">
        <f t="shared" si="4"/>
        <v>4235.9650508677432</v>
      </c>
    </row>
    <row r="21" spans="1:13">
      <c r="A21" s="54"/>
      <c r="B21" s="54"/>
      <c r="C21" s="54"/>
      <c r="D21" s="54"/>
      <c r="E21" s="56">
        <f t="shared" si="1"/>
        <v>2.8401209119427904</v>
      </c>
      <c r="F21" s="57">
        <f t="shared" si="2"/>
        <v>22.84012091194279</v>
      </c>
      <c r="G21" s="53">
        <v>20</v>
      </c>
      <c r="H21" s="58">
        <f t="shared" si="3"/>
        <v>1.0184581171237952</v>
      </c>
      <c r="I21" s="52">
        <f t="shared" si="0"/>
        <v>12490.000000000002</v>
      </c>
      <c r="J21" s="55">
        <v>1.2490000000000001</v>
      </c>
      <c r="K21" s="52">
        <v>0.1</v>
      </c>
      <c r="L21" s="52">
        <v>4.5</v>
      </c>
      <c r="M21">
        <f t="shared" si="4"/>
        <v>4171.6044477390651</v>
      </c>
    </row>
    <row r="22" spans="1:13">
      <c r="A22" s="54"/>
      <c r="B22" s="54"/>
      <c r="C22" s="54"/>
      <c r="D22" s="54"/>
      <c r="E22" s="56">
        <f t="shared" si="1"/>
        <v>1.7100000000003774</v>
      </c>
      <c r="F22" s="57">
        <f t="shared" si="2"/>
        <v>26.710000000000377</v>
      </c>
      <c r="G22" s="53">
        <v>25</v>
      </c>
      <c r="H22" s="58">
        <f t="shared" si="3"/>
        <v>0.99999999999999989</v>
      </c>
      <c r="I22" s="52">
        <f t="shared" si="0"/>
        <v>10000</v>
      </c>
      <c r="J22" s="55">
        <v>1</v>
      </c>
      <c r="K22" s="52">
        <v>0</v>
      </c>
      <c r="L22" s="52">
        <v>4.4000000000000004</v>
      </c>
      <c r="M22">
        <f t="shared" si="4"/>
        <v>4095.9999999999995</v>
      </c>
    </row>
    <row r="23" spans="1:13">
      <c r="A23" s="54"/>
      <c r="B23" s="54"/>
      <c r="C23" s="54"/>
      <c r="D23" s="54"/>
      <c r="E23" s="56">
        <f t="shared" si="1"/>
        <v>0.9287047917180189</v>
      </c>
      <c r="F23" s="57">
        <f t="shared" si="2"/>
        <v>30.928704791718019</v>
      </c>
      <c r="G23" s="53">
        <v>30</v>
      </c>
      <c r="H23" s="58">
        <f t="shared" si="3"/>
        <v>0.97856038860675643</v>
      </c>
      <c r="I23" s="52">
        <f t="shared" si="0"/>
        <v>8058</v>
      </c>
      <c r="J23" s="55">
        <v>0.80579999999999996</v>
      </c>
      <c r="K23" s="52">
        <v>0.2</v>
      </c>
      <c r="L23" s="52">
        <v>4.3</v>
      </c>
      <c r="M23">
        <f t="shared" si="4"/>
        <v>4008.1833517332743</v>
      </c>
    </row>
    <row r="24" spans="1:13">
      <c r="A24" s="54"/>
      <c r="B24" s="54"/>
      <c r="C24" s="54"/>
      <c r="D24" s="54"/>
      <c r="E24" s="56">
        <f t="shared" si="1"/>
        <v>0.44114495533779063</v>
      </c>
      <c r="F24" s="57">
        <f t="shared" si="2"/>
        <v>35.441144955337791</v>
      </c>
      <c r="G24" s="53">
        <v>35</v>
      </c>
      <c r="H24" s="58">
        <f t="shared" si="3"/>
        <v>0.95395645246946348</v>
      </c>
      <c r="I24" s="52">
        <f t="shared" si="0"/>
        <v>6532</v>
      </c>
      <c r="J24" s="55">
        <v>0.6532</v>
      </c>
      <c r="K24" s="52">
        <v>0.4</v>
      </c>
      <c r="L24" s="52">
        <v>4.1500000000000004</v>
      </c>
      <c r="M24">
        <f t="shared" si="4"/>
        <v>3907.4056293149224</v>
      </c>
    </row>
    <row r="25" spans="1:13">
      <c r="A25" s="54"/>
      <c r="B25" s="54"/>
      <c r="C25" s="54"/>
      <c r="D25" s="54"/>
      <c r="E25" s="56">
        <f t="shared" si="1"/>
        <v>0.1749053274296557</v>
      </c>
      <c r="F25" s="57">
        <f t="shared" si="2"/>
        <v>40.174905327429656</v>
      </c>
      <c r="G25" s="53">
        <v>40</v>
      </c>
      <c r="H25" s="58">
        <f t="shared" si="3"/>
        <v>0.92611444830856771</v>
      </c>
      <c r="I25" s="52">
        <f t="shared" si="0"/>
        <v>5326</v>
      </c>
      <c r="J25" s="55">
        <v>0.53259999999999996</v>
      </c>
      <c r="K25" s="52">
        <v>0.6</v>
      </c>
      <c r="L25" s="52">
        <v>4</v>
      </c>
      <c r="M25">
        <f t="shared" si="4"/>
        <v>3793.3647802718933</v>
      </c>
    </row>
    <row r="26" spans="1:13">
      <c r="A26" s="54"/>
      <c r="B26" s="54"/>
      <c r="C26" s="54"/>
      <c r="D26" s="54"/>
      <c r="E26" s="56">
        <f t="shared" si="1"/>
        <v>5.2421486185380672E-2</v>
      </c>
      <c r="F26" s="57">
        <f t="shared" si="2"/>
        <v>45.052421486185381</v>
      </c>
      <c r="G26" s="53">
        <v>45</v>
      </c>
      <c r="H26" s="58">
        <f t="shared" si="3"/>
        <v>0.89508196721311462</v>
      </c>
      <c r="I26" s="52">
        <f t="shared" si="0"/>
        <v>4368</v>
      </c>
      <c r="J26" s="55">
        <v>0.43680000000000002</v>
      </c>
      <c r="K26" s="52">
        <v>0.8</v>
      </c>
      <c r="L26" s="52">
        <v>3.9</v>
      </c>
      <c r="M26">
        <f t="shared" si="4"/>
        <v>3666.2557377049175</v>
      </c>
    </row>
    <row r="27" spans="1:13">
      <c r="A27" s="54"/>
      <c r="B27" s="54"/>
      <c r="C27" s="54"/>
      <c r="D27" s="54"/>
      <c r="E27" s="56">
        <f t="shared" si="1"/>
        <v>1.1874631986756867E-2</v>
      </c>
      <c r="F27" s="57">
        <f t="shared" si="2"/>
        <v>50.011874631986757</v>
      </c>
      <c r="G27" s="53">
        <v>50</v>
      </c>
      <c r="H27" s="64">
        <f t="shared" si="3"/>
        <v>0.86097348978704902</v>
      </c>
      <c r="I27" s="65">
        <f t="shared" si="0"/>
        <v>3602</v>
      </c>
      <c r="J27" s="66">
        <v>0.36020000000000002</v>
      </c>
      <c r="K27" s="52">
        <v>1</v>
      </c>
      <c r="L27" s="52">
        <v>3.8</v>
      </c>
      <c r="M27">
        <f t="shared" si="4"/>
        <v>3526.5474141677528</v>
      </c>
    </row>
    <row r="28" spans="1:13">
      <c r="A28" s="54"/>
      <c r="B28" s="54"/>
      <c r="C28" s="54"/>
      <c r="D28" s="54"/>
      <c r="E28" s="56">
        <f t="shared" si="1"/>
        <v>5.2428400861685986E-3</v>
      </c>
      <c r="F28" s="57">
        <f t="shared" si="2"/>
        <v>55.005242840086169</v>
      </c>
      <c r="G28" s="53">
        <v>55</v>
      </c>
      <c r="H28" s="64">
        <f t="shared" si="3"/>
        <v>0.82403411941796267</v>
      </c>
      <c r="I28" s="65">
        <f t="shared" si="0"/>
        <v>2985.9999999999995</v>
      </c>
      <c r="J28" s="66">
        <v>0.29859999999999998</v>
      </c>
      <c r="K28" s="52">
        <v>1.1000000000000001</v>
      </c>
      <c r="L28" s="52">
        <v>3.7</v>
      </c>
      <c r="M28">
        <f t="shared" si="4"/>
        <v>3375.2437531359751</v>
      </c>
    </row>
    <row r="29" spans="1:13">
      <c r="A29" s="54"/>
      <c r="B29" s="54"/>
      <c r="C29" s="54"/>
      <c r="D29" s="54"/>
      <c r="E29" s="56">
        <f t="shared" si="1"/>
        <v>3.1645294846498473E-3</v>
      </c>
      <c r="F29" s="57">
        <f t="shared" si="2"/>
        <v>60.00316452948465</v>
      </c>
      <c r="G29" s="53">
        <v>60</v>
      </c>
      <c r="H29" s="64">
        <f t="shared" si="3"/>
        <v>0.78463302752293573</v>
      </c>
      <c r="I29" s="65">
        <f t="shared" si="0"/>
        <v>2488</v>
      </c>
      <c r="J29" s="66">
        <v>0.24879999999999999</v>
      </c>
      <c r="K29" s="52">
        <v>1.2</v>
      </c>
      <c r="L29" s="52">
        <v>3.6</v>
      </c>
      <c r="M29">
        <f t="shared" si="4"/>
        <v>3213.8568807339448</v>
      </c>
    </row>
    <row r="30" spans="1:13">
      <c r="A30" s="54"/>
      <c r="B30" s="54"/>
      <c r="C30" s="54"/>
      <c r="D30" s="54"/>
      <c r="E30" s="56">
        <f t="shared" si="1"/>
        <v>1.2556562808129001E-2</v>
      </c>
      <c r="F30" s="57">
        <f t="shared" si="2"/>
        <v>65.012556562808129</v>
      </c>
      <c r="G30" s="53">
        <v>65</v>
      </c>
      <c r="H30" s="64">
        <f t="shared" si="3"/>
        <v>0.74308890330953925</v>
      </c>
      <c r="I30" s="65">
        <f t="shared" si="0"/>
        <v>2082</v>
      </c>
      <c r="J30" s="66">
        <v>0.2082</v>
      </c>
      <c r="K30" s="52">
        <v>1.4</v>
      </c>
      <c r="L30" s="52">
        <v>3.5</v>
      </c>
      <c r="M30">
        <f t="shared" si="4"/>
        <v>3043.6921479558728</v>
      </c>
    </row>
    <row r="31" spans="1:13">
      <c r="A31" s="54"/>
      <c r="B31" s="54"/>
      <c r="C31" s="54"/>
      <c r="D31" s="54"/>
      <c r="E31" s="56">
        <f t="shared" si="1"/>
        <v>1.0630159064987765E-2</v>
      </c>
      <c r="F31" s="57">
        <f t="shared" si="2"/>
        <v>70.010630159064988</v>
      </c>
      <c r="G31" s="53">
        <v>70</v>
      </c>
      <c r="H31" s="64">
        <f t="shared" si="3"/>
        <v>0.70014540167211914</v>
      </c>
      <c r="I31" s="65">
        <f t="shared" si="0"/>
        <v>1751</v>
      </c>
      <c r="J31" s="66">
        <v>0.17510000000000001</v>
      </c>
      <c r="K31" s="52">
        <v>1.6</v>
      </c>
      <c r="L31" s="52">
        <v>3.4</v>
      </c>
      <c r="M31">
        <f t="shared" si="4"/>
        <v>2867.795565249</v>
      </c>
    </row>
    <row r="32" spans="1:13">
      <c r="A32" s="54"/>
      <c r="B32" s="54"/>
      <c r="C32" s="54"/>
      <c r="D32" s="54"/>
      <c r="E32" s="56">
        <f t="shared" si="1"/>
        <v>2.2153197703573824E-3</v>
      </c>
      <c r="F32" s="57">
        <f t="shared" si="2"/>
        <v>74.997784680229643</v>
      </c>
      <c r="G32" s="53">
        <v>75</v>
      </c>
      <c r="H32" s="64">
        <f t="shared" si="3"/>
        <v>0.65645161290322573</v>
      </c>
      <c r="I32" s="65">
        <f t="shared" si="0"/>
        <v>1480</v>
      </c>
      <c r="J32" s="66">
        <v>0.14799999999999999</v>
      </c>
      <c r="K32" s="52">
        <v>1.75</v>
      </c>
      <c r="L32" s="52">
        <v>3.35</v>
      </c>
      <c r="M32">
        <f t="shared" si="4"/>
        <v>2688.8258064516126</v>
      </c>
    </row>
    <row r="33" spans="1:13">
      <c r="A33" s="54"/>
      <c r="B33" s="54"/>
      <c r="C33" s="54"/>
      <c r="D33" s="54"/>
      <c r="E33" s="56">
        <f t="shared" si="1"/>
        <v>1.4054389180842008E-3</v>
      </c>
      <c r="F33" s="57">
        <f t="shared" si="2"/>
        <v>80.001405438918084</v>
      </c>
      <c r="G33" s="53">
        <v>80</v>
      </c>
      <c r="H33" s="64">
        <f t="shared" si="3"/>
        <v>0.61241134751773041</v>
      </c>
      <c r="I33" s="65">
        <f t="shared" si="0"/>
        <v>1256</v>
      </c>
      <c r="J33" s="66">
        <v>0.12559999999999999</v>
      </c>
      <c r="K33" s="52">
        <v>1.9</v>
      </c>
      <c r="L33" s="52">
        <v>3.3</v>
      </c>
      <c r="M33">
        <f t="shared" si="4"/>
        <v>2508.4368794326238</v>
      </c>
    </row>
    <row r="34" spans="1:13">
      <c r="A34" s="54"/>
      <c r="B34" s="54"/>
      <c r="C34" s="54"/>
      <c r="D34" s="54"/>
      <c r="E34" s="56">
        <f t="shared" si="1"/>
        <v>6.6791708909477165E-3</v>
      </c>
      <c r="F34" s="57">
        <f t="shared" si="2"/>
        <v>84.993320829109052</v>
      </c>
      <c r="G34" s="53">
        <v>85</v>
      </c>
      <c r="H34" s="64">
        <f t="shared" si="3"/>
        <v>0.56885562530178657</v>
      </c>
      <c r="I34" s="65">
        <f t="shared" si="0"/>
        <v>1071</v>
      </c>
      <c r="J34" s="66">
        <v>0.1071</v>
      </c>
      <c r="K34" s="52">
        <v>2</v>
      </c>
      <c r="L34" s="52">
        <v>3.2</v>
      </c>
      <c r="M34">
        <f t="shared" si="4"/>
        <v>2330.0326412361178</v>
      </c>
    </row>
    <row r="35" spans="1:13">
      <c r="A35" s="54"/>
      <c r="B35" s="54"/>
      <c r="C35" s="54"/>
      <c r="D35" s="54"/>
      <c r="E35" s="56">
        <f t="shared" si="1"/>
        <v>6.453578133175597E-3</v>
      </c>
      <c r="F35" s="57">
        <f t="shared" si="2"/>
        <v>90.006453578133176</v>
      </c>
      <c r="G35" s="53">
        <v>90</v>
      </c>
      <c r="H35" s="64">
        <f t="shared" si="3"/>
        <v>0.52600709663953238</v>
      </c>
      <c r="I35" s="65">
        <f t="shared" si="0"/>
        <v>916.4</v>
      </c>
      <c r="J35" s="66">
        <v>9.1639999999999999E-2</v>
      </c>
      <c r="K35" s="52">
        <v>2.1</v>
      </c>
      <c r="L35" s="52">
        <v>3.1</v>
      </c>
      <c r="M35">
        <f t="shared" si="4"/>
        <v>2154.5250678355246</v>
      </c>
    </row>
    <row r="36" spans="1:13">
      <c r="A36" s="54"/>
      <c r="B36" s="54"/>
      <c r="C36" s="54"/>
      <c r="D36" s="54"/>
      <c r="E36" s="56">
        <f t="shared" si="1"/>
        <v>8.810729734477718E-3</v>
      </c>
      <c r="F36" s="57">
        <f t="shared" si="2"/>
        <v>95.008810729734478</v>
      </c>
      <c r="G36" s="53">
        <v>95</v>
      </c>
      <c r="H36" s="64">
        <f t="shared" si="3"/>
        <v>0.4845809555779344</v>
      </c>
      <c r="I36" s="65">
        <f t="shared" si="0"/>
        <v>787.40000000000009</v>
      </c>
      <c r="J36" s="66">
        <v>7.8740000000000004E-2</v>
      </c>
      <c r="K36" s="52">
        <v>2.25</v>
      </c>
      <c r="L36" s="52">
        <v>3</v>
      </c>
      <c r="M36">
        <f t="shared" si="4"/>
        <v>1984.8435940472193</v>
      </c>
    </row>
    <row r="37" spans="1:13">
      <c r="A37" s="54"/>
      <c r="B37" s="54"/>
      <c r="C37" s="54"/>
      <c r="D37" s="54"/>
      <c r="E37" s="56">
        <f t="shared" si="1"/>
        <v>3.1581448968722725E-3</v>
      </c>
      <c r="F37" s="57">
        <f t="shared" si="2"/>
        <v>100.00315814489687</v>
      </c>
      <c r="G37" s="53">
        <v>100</v>
      </c>
      <c r="H37" s="64">
        <f t="shared" si="3"/>
        <v>0.44492615531205332</v>
      </c>
      <c r="I37" s="65">
        <f t="shared" si="0"/>
        <v>679.19999999999993</v>
      </c>
      <c r="J37" s="66">
        <v>6.7919999999999994E-2</v>
      </c>
      <c r="K37" s="52">
        <v>2.4</v>
      </c>
      <c r="L37" s="52">
        <v>2.9</v>
      </c>
      <c r="M37">
        <f t="shared" si="4"/>
        <v>1822.4175321581704</v>
      </c>
    </row>
    <row r="38" spans="1:13">
      <c r="A38" s="54"/>
      <c r="B38" s="54"/>
      <c r="C38" s="54"/>
      <c r="D38" s="54"/>
      <c r="E38" s="56">
        <f t="shared" si="1"/>
        <v>4.2237509055667033E-3</v>
      </c>
      <c r="F38" s="57">
        <f t="shared" si="2"/>
        <v>104.99577624909443</v>
      </c>
      <c r="G38" s="53">
        <v>105</v>
      </c>
      <c r="H38" s="64">
        <f t="shared" si="3"/>
        <v>0.40730478589420654</v>
      </c>
      <c r="I38" s="65">
        <f t="shared" si="0"/>
        <v>588</v>
      </c>
      <c r="J38" s="66">
        <v>5.8799999999999998E-2</v>
      </c>
      <c r="K38" s="52">
        <v>2.5</v>
      </c>
      <c r="L38" s="52">
        <v>2.85</v>
      </c>
      <c r="M38">
        <f t="shared" si="4"/>
        <v>1668.32040302267</v>
      </c>
    </row>
    <row r="39" spans="1:13">
      <c r="A39" s="54"/>
      <c r="B39" s="54"/>
      <c r="C39" s="54"/>
      <c r="D39" s="54"/>
      <c r="E39" s="56">
        <f t="shared" si="1"/>
        <v>6.9038002840215995E-3</v>
      </c>
      <c r="F39" s="57">
        <f t="shared" si="2"/>
        <v>109.99309619971598</v>
      </c>
      <c r="G39" s="53">
        <v>110</v>
      </c>
      <c r="H39" s="64">
        <f t="shared" si="3"/>
        <v>0.37190892242520518</v>
      </c>
      <c r="I39" s="65">
        <f t="shared" si="0"/>
        <v>510.8</v>
      </c>
      <c r="J39" s="66">
        <v>5.108E-2</v>
      </c>
      <c r="K39" s="52">
        <v>2.6</v>
      </c>
      <c r="L39" s="52">
        <v>2.8</v>
      </c>
      <c r="M39">
        <f t="shared" si="4"/>
        <v>1523.3389462536404</v>
      </c>
    </row>
    <row r="40" spans="1:13">
      <c r="A40" s="54"/>
      <c r="B40" s="54"/>
      <c r="C40" s="54"/>
      <c r="D40" s="54"/>
      <c r="E40" s="56">
        <f t="shared" si="1"/>
        <v>5.8576251319664152E-4</v>
      </c>
      <c r="F40" s="57">
        <f t="shared" si="2"/>
        <v>114.9994142374868</v>
      </c>
      <c r="G40" s="53">
        <v>115</v>
      </c>
      <c r="H40" s="64">
        <f t="shared" si="3"/>
        <v>0.33885967340160522</v>
      </c>
      <c r="I40" s="65">
        <f t="shared" si="0"/>
        <v>445.2</v>
      </c>
      <c r="J40" s="66">
        <v>4.4519999999999997E-2</v>
      </c>
      <c r="K40" s="52">
        <v>2.75</v>
      </c>
      <c r="L40" s="52">
        <v>2.75</v>
      </c>
      <c r="M40">
        <f t="shared" si="4"/>
        <v>1387.969222252975</v>
      </c>
    </row>
    <row r="41" spans="1:13">
      <c r="A41" s="54"/>
      <c r="B41" s="54"/>
      <c r="C41" s="54"/>
      <c r="D41" s="54"/>
      <c r="E41" s="56">
        <f t="shared" si="1"/>
        <v>5.6428764474958371E-4</v>
      </c>
      <c r="F41" s="57">
        <f t="shared" si="2"/>
        <v>120.00056428764475</v>
      </c>
      <c r="G41" s="53">
        <v>120</v>
      </c>
      <c r="H41" s="64">
        <f t="shared" si="3"/>
        <v>0.30829134878364756</v>
      </c>
      <c r="I41" s="65">
        <f t="shared" si="0"/>
        <v>389.40000000000003</v>
      </c>
      <c r="J41" s="66">
        <v>3.8940000000000002E-2</v>
      </c>
      <c r="K41" s="52">
        <v>2.9</v>
      </c>
      <c r="L41" s="52">
        <v>2.7</v>
      </c>
      <c r="M41">
        <f t="shared" si="4"/>
        <v>1262.7613646178204</v>
      </c>
    </row>
    <row r="42" spans="1:13">
      <c r="A42" s="54"/>
      <c r="B42" s="54"/>
      <c r="C42" s="54"/>
      <c r="D42" s="54"/>
      <c r="E42" s="56">
        <f t="shared" si="1"/>
        <v>7.1209639747706888E-3</v>
      </c>
      <c r="F42" s="57">
        <f t="shared" si="2"/>
        <v>125.00712096397477</v>
      </c>
      <c r="G42" s="53">
        <v>125</v>
      </c>
      <c r="H42" s="64">
        <f t="shared" si="3"/>
        <v>0.28008348240906383</v>
      </c>
      <c r="I42" s="65">
        <f t="shared" si="0"/>
        <v>341.6</v>
      </c>
      <c r="J42" s="66">
        <v>3.4160000000000003E-2</v>
      </c>
      <c r="K42" s="52">
        <v>3</v>
      </c>
      <c r="L42" s="52">
        <v>2.6</v>
      </c>
      <c r="M42">
        <f t="shared" si="4"/>
        <v>1147.2219439475255</v>
      </c>
    </row>
    <row r="43" spans="1:13">
      <c r="A43" s="54"/>
      <c r="B43" s="54"/>
      <c r="C43" s="54"/>
      <c r="D43" s="54"/>
      <c r="E43" s="56">
        <f t="shared" si="1"/>
        <v>5.0967524185807633E-3</v>
      </c>
      <c r="F43" s="57">
        <f t="shared" si="2"/>
        <v>129.99490324758142</v>
      </c>
      <c r="G43" s="53">
        <v>130</v>
      </c>
      <c r="H43" s="64">
        <f t="shared" si="3"/>
        <v>0.25423650622789479</v>
      </c>
      <c r="I43" s="65">
        <f t="shared" si="0"/>
        <v>300.60000000000002</v>
      </c>
      <c r="J43" s="66">
        <v>3.006E-2</v>
      </c>
      <c r="K43" s="52">
        <v>3.1</v>
      </c>
      <c r="L43" s="52">
        <v>2.5</v>
      </c>
      <c r="M43">
        <f t="shared" si="4"/>
        <v>1041.352729509457</v>
      </c>
    </row>
    <row r="44" spans="1:13">
      <c r="A44" s="54"/>
      <c r="B44" s="54"/>
      <c r="C44" s="54"/>
      <c r="D44" s="54"/>
      <c r="E44" s="56">
        <f t="shared" si="1"/>
        <v>5.4497594654179693E-2</v>
      </c>
      <c r="F44" s="57">
        <f t="shared" si="2"/>
        <v>134.94550240534582</v>
      </c>
      <c r="G44" s="53">
        <v>135</v>
      </c>
      <c r="H44" s="58">
        <f t="shared" si="3"/>
        <v>0.23064095471429699</v>
      </c>
      <c r="I44" s="52">
        <f t="shared" si="0"/>
        <v>265.3</v>
      </c>
      <c r="J44" s="55">
        <v>2.6530000000000001E-2</v>
      </c>
      <c r="K44" s="52">
        <v>3.25</v>
      </c>
      <c r="L44" s="52">
        <v>2.44</v>
      </c>
      <c r="M44">
        <f t="shared" si="4"/>
        <v>944.70535050976048</v>
      </c>
    </row>
    <row r="45" spans="1:13">
      <c r="A45" s="54"/>
      <c r="B45" s="54"/>
      <c r="C45" s="54"/>
      <c r="D45" s="54"/>
      <c r="E45" s="56">
        <f t="shared" si="1"/>
        <v>0.16464285350136265</v>
      </c>
      <c r="F45" s="57">
        <f t="shared" si="2"/>
        <v>139.83535714649864</v>
      </c>
      <c r="G45" s="53">
        <v>140</v>
      </c>
      <c r="H45" s="58">
        <f t="shared" si="3"/>
        <v>0.20916747651441528</v>
      </c>
      <c r="I45" s="52">
        <f t="shared" si="0"/>
        <v>234.8</v>
      </c>
      <c r="J45" s="55">
        <v>2.3480000000000001E-2</v>
      </c>
      <c r="K45" s="52">
        <v>3.4</v>
      </c>
      <c r="L45" s="52">
        <v>2.4</v>
      </c>
      <c r="M45">
        <f t="shared" si="4"/>
        <v>856.74998380304498</v>
      </c>
    </row>
    <row r="46" spans="1:13">
      <c r="A46" s="54"/>
      <c r="B46" s="54"/>
      <c r="C46" s="54"/>
      <c r="D46" s="54"/>
      <c r="E46" s="56">
        <f t="shared" si="1"/>
        <v>0.36981643635942874</v>
      </c>
      <c r="F46" s="57">
        <f t="shared" si="2"/>
        <v>144.63018356364057</v>
      </c>
      <c r="G46" s="53">
        <v>145</v>
      </c>
      <c r="H46" s="58">
        <f t="shared" si="3"/>
        <v>0.18970539556438262</v>
      </c>
      <c r="I46" s="52">
        <f t="shared" si="0"/>
        <v>208.4</v>
      </c>
      <c r="J46" s="55">
        <v>2.0840000000000001E-2</v>
      </c>
      <c r="K46" s="52">
        <v>3.47</v>
      </c>
      <c r="L46" s="52">
        <v>2.3530000000000002</v>
      </c>
      <c r="M46">
        <f t="shared" si="4"/>
        <v>777.03330023171122</v>
      </c>
    </row>
    <row r="47" spans="1:13">
      <c r="A47" s="54"/>
      <c r="B47" s="54"/>
      <c r="C47" s="54"/>
      <c r="D47" s="54"/>
      <c r="E47" s="56">
        <f t="shared" si="1"/>
        <v>0.68098851057317233</v>
      </c>
      <c r="F47" s="57">
        <f t="shared" si="2"/>
        <v>149.31901148942683</v>
      </c>
      <c r="G47" s="53">
        <v>150</v>
      </c>
      <c r="H47" s="58">
        <f t="shared" si="3"/>
        <v>0.17204319217141889</v>
      </c>
      <c r="I47" s="52">
        <f t="shared" si="0"/>
        <v>185.4</v>
      </c>
      <c r="J47" s="55">
        <v>1.8540000000000001E-2</v>
      </c>
      <c r="K47" s="52">
        <v>3.5</v>
      </c>
      <c r="L47" s="52">
        <v>2.2999999999999998</v>
      </c>
      <c r="M47">
        <f t="shared" si="4"/>
        <v>704.68891513413178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zoomScale="85" zoomScaleNormal="85" workbookViewId="0">
      <selection activeCell="D3" sqref="D3"/>
    </sheetView>
  </sheetViews>
  <sheetFormatPr defaultRowHeight="15"/>
  <cols>
    <col min="1" max="1" width="9.7109375" customWidth="1"/>
    <col min="4" max="4" width="12.42578125" customWidth="1"/>
    <col min="6" max="6" width="10.85546875" customWidth="1"/>
    <col min="7" max="7" width="18" customWidth="1"/>
    <col min="10" max="10" width="13.85546875" customWidth="1"/>
    <col min="12" max="12" width="10.42578125" bestFit="1" customWidth="1"/>
  </cols>
  <sheetData>
    <row r="1" spans="1:16">
      <c r="C1" t="s">
        <v>55</v>
      </c>
      <c r="D1" t="s">
        <v>27</v>
      </c>
      <c r="E1" t="s">
        <v>20</v>
      </c>
    </row>
    <row r="2" spans="1:16">
      <c r="C2">
        <f>8706.2*E2^6 - 26339*E2^5 +33334*E2^4 - 21805*E2^3 + 7708.5*E2^2- 975.27*E2 -106.98</f>
        <v>27.724550291217398</v>
      </c>
      <c r="D2" s="59">
        <v>1021</v>
      </c>
      <c r="E2" s="59">
        <f>3.3/3*D2/(1010+D2)</f>
        <v>0.55297882816346622</v>
      </c>
    </row>
    <row r="4" spans="1:16">
      <c r="A4" t="s">
        <v>34</v>
      </c>
      <c r="B4" t="s">
        <v>56</v>
      </c>
      <c r="C4" t="s">
        <v>45</v>
      </c>
      <c r="D4" t="s">
        <v>54</v>
      </c>
    </row>
    <row r="5" spans="1:16">
      <c r="A5" t="s">
        <v>46</v>
      </c>
      <c r="B5" t="s">
        <v>46</v>
      </c>
      <c r="C5" t="s">
        <v>46</v>
      </c>
      <c r="D5" t="s">
        <v>51</v>
      </c>
      <c r="E5" t="s">
        <v>27</v>
      </c>
      <c r="F5" t="s">
        <v>57</v>
      </c>
      <c r="G5" t="s">
        <v>59</v>
      </c>
      <c r="H5" t="s">
        <v>58</v>
      </c>
      <c r="I5" t="s">
        <v>20</v>
      </c>
      <c r="J5" t="s">
        <v>60</v>
      </c>
      <c r="K5" t="s">
        <v>61</v>
      </c>
      <c r="L5" t="s">
        <v>66</v>
      </c>
      <c r="M5" t="s">
        <v>65</v>
      </c>
      <c r="O5" s="25" t="s">
        <v>50</v>
      </c>
      <c r="P5" s="25">
        <v>1000</v>
      </c>
    </row>
    <row r="6" spans="1:16">
      <c r="A6" s="56">
        <f>C6-B6</f>
        <v>2.9012937709168796E-2</v>
      </c>
      <c r="B6" s="57">
        <f>8706.2*D6^6 - 26339*D6^5 + 33334*D6^4 - 21805*D6^3 +7708.5*D6^2- 975.27*D6 -106.98</f>
        <v>-55.029012937709169</v>
      </c>
      <c r="C6" s="60">
        <v>-55</v>
      </c>
      <c r="D6" s="58">
        <f>3.3/3*E6/(1010+E6)</f>
        <v>0.36423841059602641</v>
      </c>
      <c r="E6" s="60">
        <v>500</v>
      </c>
      <c r="F6" s="60">
        <v>3.08</v>
      </c>
      <c r="G6" s="60">
        <v>0.97</v>
      </c>
      <c r="H6" s="52">
        <f>E6/100*F6*G6+E6</f>
        <v>514.93799999999999</v>
      </c>
      <c r="I6" s="58">
        <f>3.3/3*H6/(1010+H6)</f>
        <v>0.37144578992719701</v>
      </c>
      <c r="J6" s="63">
        <f>7441.1*I6^6 - 22089*I6^5 + 27459*I6^4 - 17529*I6^3 + 5981*I6^2- 608*I6 -139.07</f>
        <v>-51.973646407983381</v>
      </c>
      <c r="K6" s="61">
        <f>J6-C6</f>
        <v>3.0263535920166191</v>
      </c>
      <c r="L6" s="70">
        <v>0.3786621</v>
      </c>
      <c r="M6" s="71">
        <f>L6-D6</f>
        <v>1.4423689403973594E-2</v>
      </c>
    </row>
    <row r="7" spans="1:16">
      <c r="A7" s="56">
        <f t="shared" ref="A7:A35" si="0">C7-B7</f>
        <v>-2.3520227302199714E-2</v>
      </c>
      <c r="B7" s="57">
        <f t="shared" ref="B7:B35" si="1">8706.2*D7^6 - 26339*D7^5 + 33334*D7^4 - 21805*D7^3 +7708.5*D7^2- 975.27*D7 -106.98</f>
        <v>-49.9764797726978</v>
      </c>
      <c r="C7" s="60">
        <v>-50</v>
      </c>
      <c r="D7" s="58">
        <f t="shared" ref="D7:D35" si="2">3.3/3*E7/(1010+E7)</f>
        <v>0.37622149837133545</v>
      </c>
      <c r="E7" s="60">
        <v>525</v>
      </c>
      <c r="F7" s="60">
        <v>2.99</v>
      </c>
      <c r="G7" s="60">
        <v>0.96</v>
      </c>
      <c r="H7" s="52">
        <f t="shared" ref="H7:H32" si="3">E7/100*F7*G7+E7</f>
        <v>540.06960000000004</v>
      </c>
      <c r="I7" s="58">
        <f t="shared" ref="I7:I32" si="4">3.3/3*H7/(1010+H7)</f>
        <v>0.38325799047991133</v>
      </c>
      <c r="J7" s="63">
        <f t="shared" ref="J7:J32" si="5">7441.1*I7^6 - 22089*I7^5 + 27459*I7^4 - 17529*I7^3 + 5981*I7^2- 608*I7 -139.07</f>
        <v>-46.991262557973386</v>
      </c>
      <c r="K7" s="61">
        <f t="shared" ref="K7:K32" si="6">J7-C7</f>
        <v>3.0087374420266144</v>
      </c>
      <c r="L7" s="70"/>
      <c r="M7" s="71"/>
    </row>
    <row r="8" spans="1:16">
      <c r="A8" s="56">
        <f t="shared" si="0"/>
        <v>-2.5034753873413251E-2</v>
      </c>
      <c r="B8" s="57">
        <f t="shared" si="1"/>
        <v>-39.974965246126587</v>
      </c>
      <c r="C8" s="60">
        <v>-40</v>
      </c>
      <c r="D8" s="58">
        <f t="shared" si="2"/>
        <v>0.3999369880277252</v>
      </c>
      <c r="E8" s="60">
        <v>577</v>
      </c>
      <c r="F8" s="60">
        <v>2.81</v>
      </c>
      <c r="G8" s="60">
        <v>0.93</v>
      </c>
      <c r="H8" s="52">
        <f t="shared" si="3"/>
        <v>592.07874100000004</v>
      </c>
      <c r="I8" s="58">
        <f t="shared" si="4"/>
        <v>0.4065259705608939</v>
      </c>
      <c r="J8" s="63">
        <f t="shared" si="5"/>
        <v>-37.171798239178401</v>
      </c>
      <c r="K8" s="61">
        <f t="shared" si="6"/>
        <v>2.8282017608215995</v>
      </c>
      <c r="L8" s="70"/>
      <c r="M8" s="71"/>
    </row>
    <row r="9" spans="1:16">
      <c r="A9" s="56">
        <f t="shared" si="0"/>
        <v>5.261918202562299E-2</v>
      </c>
      <c r="B9" s="57">
        <f t="shared" si="1"/>
        <v>-30.052619182025623</v>
      </c>
      <c r="C9" s="60">
        <v>-30</v>
      </c>
      <c r="D9" s="58">
        <f t="shared" si="2"/>
        <v>0.42338611449451885</v>
      </c>
      <c r="E9" s="60">
        <v>632</v>
      </c>
      <c r="F9" s="60">
        <v>2.62</v>
      </c>
      <c r="G9" s="60">
        <v>0.91</v>
      </c>
      <c r="H9" s="52">
        <f t="shared" si="3"/>
        <v>647.06814399999996</v>
      </c>
      <c r="I9" s="58">
        <f t="shared" si="4"/>
        <v>0.42953873742442777</v>
      </c>
      <c r="J9" s="63">
        <f t="shared" si="5"/>
        <v>-27.418041878872032</v>
      </c>
      <c r="K9" s="61">
        <f t="shared" si="6"/>
        <v>2.5819581211279683</v>
      </c>
      <c r="L9">
        <v>0.43896479999999999</v>
      </c>
      <c r="M9" s="71">
        <f>L9-D9</f>
        <v>1.5578685505481138E-2</v>
      </c>
    </row>
    <row r="10" spans="1:16">
      <c r="A10" s="56">
        <f t="shared" si="0"/>
        <v>4.3161867810439958E-2</v>
      </c>
      <c r="B10" s="57">
        <f t="shared" si="1"/>
        <v>-20.04316186781044</v>
      </c>
      <c r="C10" s="60">
        <v>-20</v>
      </c>
      <c r="D10" s="58">
        <f t="shared" si="2"/>
        <v>0.44685479129923567</v>
      </c>
      <c r="E10" s="60">
        <v>691</v>
      </c>
      <c r="F10" s="60">
        <v>2.42</v>
      </c>
      <c r="G10" s="60">
        <v>0.88</v>
      </c>
      <c r="H10" s="52">
        <f t="shared" si="3"/>
        <v>705.71553600000004</v>
      </c>
      <c r="I10" s="58">
        <f t="shared" si="4"/>
        <v>0.45245675830961285</v>
      </c>
      <c r="J10" s="63">
        <f t="shared" si="5"/>
        <v>-17.615436669886549</v>
      </c>
      <c r="K10" s="61">
        <f t="shared" si="6"/>
        <v>2.3845633301134512</v>
      </c>
      <c r="L10" s="70"/>
      <c r="M10" s="71"/>
    </row>
    <row r="11" spans="1:16">
      <c r="A11" s="56">
        <f t="shared" si="0"/>
        <v>-3.6321259229978864E-2</v>
      </c>
      <c r="B11" s="57">
        <f t="shared" si="1"/>
        <v>-9.9636787407700211</v>
      </c>
      <c r="C11" s="60">
        <v>-10</v>
      </c>
      <c r="D11" s="58">
        <f t="shared" si="2"/>
        <v>0.47018140589569152</v>
      </c>
      <c r="E11" s="60">
        <v>754</v>
      </c>
      <c r="F11" s="60">
        <v>2.2000000000000002</v>
      </c>
      <c r="G11" s="60">
        <v>0.85</v>
      </c>
      <c r="H11" s="52">
        <f t="shared" si="3"/>
        <v>768.09979999999996</v>
      </c>
      <c r="I11" s="58">
        <f t="shared" si="4"/>
        <v>0.47517567911542413</v>
      </c>
      <c r="J11" s="63">
        <f t="shared" si="5"/>
        <v>-7.7597610333828584</v>
      </c>
      <c r="K11" s="61">
        <f t="shared" si="6"/>
        <v>2.2402389666171416</v>
      </c>
      <c r="L11" s="70"/>
      <c r="M11" s="71"/>
    </row>
    <row r="12" spans="1:16">
      <c r="A12" s="56">
        <f t="shared" si="0"/>
        <v>-3.0278588352771862E-2</v>
      </c>
      <c r="B12" s="57">
        <f t="shared" si="1"/>
        <v>3.0278588352771862E-2</v>
      </c>
      <c r="C12" s="60">
        <v>0</v>
      </c>
      <c r="D12" s="58">
        <f t="shared" si="2"/>
        <v>0.49289617486338794</v>
      </c>
      <c r="E12" s="60">
        <v>820</v>
      </c>
      <c r="F12" s="60">
        <v>1.97</v>
      </c>
      <c r="G12" s="60">
        <v>0.83</v>
      </c>
      <c r="H12" s="52">
        <f t="shared" si="3"/>
        <v>833.40782000000002</v>
      </c>
      <c r="I12" s="58">
        <f t="shared" si="4"/>
        <v>0.4973118764354596</v>
      </c>
      <c r="J12" s="63">
        <f t="shared" si="5"/>
        <v>2.0254966777245613</v>
      </c>
      <c r="K12" s="61">
        <f t="shared" si="6"/>
        <v>2.0254966777245613</v>
      </c>
      <c r="L12">
        <v>0.50854489999999997</v>
      </c>
      <c r="M12" s="71">
        <f t="shared" ref="M12:M32" si="7">L12-D12</f>
        <v>1.5648725136612029E-2</v>
      </c>
    </row>
    <row r="13" spans="1:16">
      <c r="A13" s="56">
        <f t="shared" si="0"/>
        <v>4.373352366341976E-2</v>
      </c>
      <c r="B13" s="57">
        <f t="shared" si="1"/>
        <v>9.9562664763365802</v>
      </c>
      <c r="C13" s="60">
        <v>10</v>
      </c>
      <c r="D13" s="58">
        <f t="shared" si="2"/>
        <v>0.51495523959978928</v>
      </c>
      <c r="E13" s="60">
        <v>889</v>
      </c>
      <c r="F13" s="60">
        <v>1.72</v>
      </c>
      <c r="G13" s="60">
        <v>0.8</v>
      </c>
      <c r="H13" s="52">
        <f t="shared" si="3"/>
        <v>901.23263999999995</v>
      </c>
      <c r="I13" s="58">
        <f t="shared" si="4"/>
        <v>0.51869975598574947</v>
      </c>
      <c r="J13" s="63">
        <f t="shared" si="5"/>
        <v>11.6978610035207</v>
      </c>
      <c r="K13" s="61">
        <f t="shared" si="6"/>
        <v>1.6978610035206998</v>
      </c>
      <c r="L13" s="70"/>
      <c r="M13" s="71"/>
    </row>
    <row r="14" spans="1:16">
      <c r="A14" s="56">
        <f t="shared" si="0"/>
        <v>3.7875341431785614E-2</v>
      </c>
      <c r="B14" s="57">
        <f t="shared" si="1"/>
        <v>19.962124658568214</v>
      </c>
      <c r="C14" s="60">
        <v>20</v>
      </c>
      <c r="D14" s="58">
        <f t="shared" si="2"/>
        <v>0.53661257606490864</v>
      </c>
      <c r="E14" s="60">
        <v>962</v>
      </c>
      <c r="F14" s="60">
        <v>1.45</v>
      </c>
      <c r="G14" s="60">
        <v>0.78</v>
      </c>
      <c r="H14" s="52">
        <f t="shared" si="3"/>
        <v>972.88022000000001</v>
      </c>
      <c r="I14" s="58">
        <f t="shared" si="4"/>
        <v>0.53970392724982652</v>
      </c>
      <c r="J14" s="63">
        <f t="shared" si="5"/>
        <v>21.449620932127345</v>
      </c>
      <c r="K14" s="61">
        <f t="shared" si="6"/>
        <v>1.4496209321273454</v>
      </c>
      <c r="L14" s="70"/>
      <c r="M14" s="71"/>
    </row>
    <row r="15" spans="1:16">
      <c r="A15" s="56">
        <f t="shared" si="0"/>
        <v>7.3734364225259696E-3</v>
      </c>
      <c r="B15" s="57">
        <f t="shared" si="1"/>
        <v>24.992626563577474</v>
      </c>
      <c r="C15" s="60">
        <v>25</v>
      </c>
      <c r="D15" s="58">
        <f t="shared" si="2"/>
        <v>0.54726368159203964</v>
      </c>
      <c r="E15" s="60">
        <v>1000</v>
      </c>
      <c r="F15" s="60">
        <v>1.31</v>
      </c>
      <c r="G15" s="60">
        <v>0.76</v>
      </c>
      <c r="H15" s="52">
        <f t="shared" si="3"/>
        <v>1009.956</v>
      </c>
      <c r="I15" s="58">
        <f t="shared" si="4"/>
        <v>0.54998801954101961</v>
      </c>
      <c r="J15" s="63">
        <f t="shared" si="5"/>
        <v>26.329075166940981</v>
      </c>
      <c r="K15" s="61">
        <f t="shared" si="6"/>
        <v>1.3290751669409815</v>
      </c>
      <c r="L15">
        <v>0.56152340000000001</v>
      </c>
      <c r="M15" s="71">
        <f t="shared" si="7"/>
        <v>1.4259718407960364E-2</v>
      </c>
    </row>
    <row r="16" spans="1:16">
      <c r="A16" s="56">
        <f t="shared" si="0"/>
        <v>-4.0166510151735224E-2</v>
      </c>
      <c r="B16" s="57">
        <f t="shared" si="1"/>
        <v>30.040166510151735</v>
      </c>
      <c r="C16" s="60">
        <v>30</v>
      </c>
      <c r="D16" s="58">
        <f t="shared" si="2"/>
        <v>0.55778428501708144</v>
      </c>
      <c r="E16" s="60">
        <v>1039</v>
      </c>
      <c r="F16" s="60">
        <v>1.44</v>
      </c>
      <c r="G16" s="60">
        <v>0.75</v>
      </c>
      <c r="H16" s="52">
        <f t="shared" si="3"/>
        <v>1050.2212</v>
      </c>
      <c r="I16" s="58">
        <f t="shared" si="4"/>
        <v>0.56073751692294005</v>
      </c>
      <c r="J16" s="63">
        <f t="shared" si="5"/>
        <v>31.510671056647936</v>
      </c>
      <c r="K16" s="61">
        <f t="shared" si="6"/>
        <v>1.5106710566479364</v>
      </c>
      <c r="L16" s="61"/>
      <c r="M16" s="71"/>
    </row>
    <row r="17" spans="1:13">
      <c r="A17" s="56">
        <f t="shared" si="0"/>
        <v>6.3121980917443921E-2</v>
      </c>
      <c r="B17" s="57">
        <f t="shared" si="1"/>
        <v>39.936878019082556</v>
      </c>
      <c r="C17" s="60">
        <v>40</v>
      </c>
      <c r="D17" s="58">
        <f t="shared" si="2"/>
        <v>0.57791353383458643</v>
      </c>
      <c r="E17" s="60">
        <v>1118</v>
      </c>
      <c r="F17" s="60">
        <v>1.7</v>
      </c>
      <c r="G17" s="60">
        <v>0.73</v>
      </c>
      <c r="H17" s="52">
        <f t="shared" si="3"/>
        <v>1131.87438</v>
      </c>
      <c r="I17" s="58">
        <f t="shared" si="4"/>
        <v>0.58129544366649544</v>
      </c>
      <c r="J17" s="63">
        <f t="shared" si="5"/>
        <v>41.67421641471168</v>
      </c>
      <c r="K17" s="61">
        <f t="shared" si="6"/>
        <v>1.6742164147116796</v>
      </c>
      <c r="L17" s="61"/>
      <c r="M17" s="71"/>
    </row>
    <row r="18" spans="1:13">
      <c r="A18" s="56">
        <f t="shared" si="0"/>
        <v>-2.6429564419359508E-2</v>
      </c>
      <c r="B18" s="57">
        <f t="shared" si="1"/>
        <v>50.02642956441936</v>
      </c>
      <c r="C18" s="60">
        <v>50</v>
      </c>
      <c r="D18" s="58">
        <f t="shared" si="2"/>
        <v>0.59773960216998179</v>
      </c>
      <c r="E18" s="60">
        <v>1202</v>
      </c>
      <c r="F18" s="60">
        <v>1.98</v>
      </c>
      <c r="G18" s="60">
        <v>0.71</v>
      </c>
      <c r="H18" s="52">
        <f t="shared" si="3"/>
        <v>1218.8977159999999</v>
      </c>
      <c r="I18" s="58">
        <f t="shared" si="4"/>
        <v>0.60154733793984461</v>
      </c>
      <c r="J18" s="63">
        <f t="shared" si="5"/>
        <v>52.050301858037869</v>
      </c>
      <c r="K18" s="61">
        <f t="shared" si="6"/>
        <v>2.0503018580378694</v>
      </c>
      <c r="L18">
        <v>0.61206050000000001</v>
      </c>
      <c r="M18" s="71">
        <f t="shared" si="7"/>
        <v>1.432089783001822E-2</v>
      </c>
    </row>
    <row r="19" spans="1:13">
      <c r="A19" s="56">
        <f t="shared" si="0"/>
        <v>5.4871420447724972E-2</v>
      </c>
      <c r="B19" s="57">
        <f t="shared" si="1"/>
        <v>59.945128579552275</v>
      </c>
      <c r="C19" s="60">
        <v>60</v>
      </c>
      <c r="D19" s="58">
        <f t="shared" si="2"/>
        <v>0.61653611836379452</v>
      </c>
      <c r="E19" s="60">
        <v>1288</v>
      </c>
      <c r="F19" s="60">
        <v>2.27</v>
      </c>
      <c r="G19" s="60">
        <v>0.69</v>
      </c>
      <c r="H19" s="52">
        <f t="shared" si="3"/>
        <v>1308.1739439999999</v>
      </c>
      <c r="I19" s="58">
        <f t="shared" si="4"/>
        <v>0.62074347014574138</v>
      </c>
      <c r="J19" s="63">
        <f t="shared" si="5"/>
        <v>62.262299713559401</v>
      </c>
      <c r="K19" s="61">
        <f t="shared" si="6"/>
        <v>2.2622997135594005</v>
      </c>
      <c r="L19" s="61"/>
      <c r="M19" s="71"/>
    </row>
    <row r="20" spans="1:13">
      <c r="A20" s="56">
        <f t="shared" si="0"/>
        <v>-3.6475399686324295E-2</v>
      </c>
      <c r="B20" s="57">
        <f t="shared" si="1"/>
        <v>70.036475399686324</v>
      </c>
      <c r="C20" s="60">
        <v>70</v>
      </c>
      <c r="D20" s="58">
        <f t="shared" si="2"/>
        <v>0.63495186270406023</v>
      </c>
      <c r="E20" s="60">
        <v>1379</v>
      </c>
      <c r="F20" s="60">
        <v>2.58</v>
      </c>
      <c r="G20" s="60">
        <v>0.67</v>
      </c>
      <c r="H20" s="52">
        <f t="shared" si="3"/>
        <v>1402.8373939999999</v>
      </c>
      <c r="I20" s="58">
        <f t="shared" si="4"/>
        <v>0.63954626086170463</v>
      </c>
      <c r="J20" s="63">
        <f t="shared" si="5"/>
        <v>72.665029834103734</v>
      </c>
      <c r="K20" s="61">
        <f t="shared" si="6"/>
        <v>2.6650298341037342</v>
      </c>
      <c r="L20" s="61"/>
      <c r="M20" s="71"/>
    </row>
    <row r="21" spans="1:13">
      <c r="A21" s="56">
        <f t="shared" si="0"/>
        <v>3.4813095904141278E-2</v>
      </c>
      <c r="B21" s="57">
        <f t="shared" si="1"/>
        <v>79.965186904095859</v>
      </c>
      <c r="C21" s="60">
        <v>80</v>
      </c>
      <c r="D21" s="58">
        <f t="shared" si="2"/>
        <v>0.65237711522965347</v>
      </c>
      <c r="E21" s="60">
        <v>1472</v>
      </c>
      <c r="F21" s="60">
        <v>2.9</v>
      </c>
      <c r="G21" s="60">
        <v>0.65</v>
      </c>
      <c r="H21" s="52">
        <f t="shared" si="3"/>
        <v>1499.7472</v>
      </c>
      <c r="I21" s="58">
        <f t="shared" si="4"/>
        <v>0.65732593306608722</v>
      </c>
      <c r="J21" s="63">
        <f t="shared" si="5"/>
        <v>82.909818032974499</v>
      </c>
      <c r="K21" s="61">
        <f t="shared" si="6"/>
        <v>2.9098180329744991</v>
      </c>
      <c r="L21">
        <v>0.66528319999999996</v>
      </c>
      <c r="M21" s="71">
        <f t="shared" si="7"/>
        <v>1.2906084770346493E-2</v>
      </c>
    </row>
    <row r="22" spans="1:13">
      <c r="A22" s="56">
        <f t="shared" si="0"/>
        <v>5.0480175278821093E-2</v>
      </c>
      <c r="B22" s="57">
        <f t="shared" si="1"/>
        <v>89.949519824721179</v>
      </c>
      <c r="C22" s="60">
        <v>90</v>
      </c>
      <c r="D22" s="58">
        <f t="shared" si="2"/>
        <v>0.66921287320666922</v>
      </c>
      <c r="E22" s="60">
        <v>1569</v>
      </c>
      <c r="F22" s="60">
        <v>3.24</v>
      </c>
      <c r="G22" s="60">
        <v>0.63</v>
      </c>
      <c r="H22" s="52">
        <f t="shared" si="3"/>
        <v>1601.0264279999999</v>
      </c>
      <c r="I22" s="58">
        <f t="shared" si="4"/>
        <v>0.67449683845176289</v>
      </c>
      <c r="J22" s="63">
        <f t="shared" si="5"/>
        <v>93.225285132074248</v>
      </c>
      <c r="K22" s="61">
        <f t="shared" si="6"/>
        <v>3.2252851320742479</v>
      </c>
      <c r="L22" s="61"/>
      <c r="M22" s="71"/>
    </row>
    <row r="23" spans="1:13">
      <c r="A23" s="56">
        <f t="shared" si="0"/>
        <v>1.6416943901035097E-2</v>
      </c>
      <c r="B23" s="57">
        <f t="shared" si="1"/>
        <v>99.983583056098965</v>
      </c>
      <c r="C23" s="60">
        <v>100</v>
      </c>
      <c r="D23" s="58">
        <f t="shared" si="2"/>
        <v>0.68544776119402973</v>
      </c>
      <c r="E23" s="60">
        <v>1670</v>
      </c>
      <c r="F23" s="60">
        <v>3.59</v>
      </c>
      <c r="G23" s="60">
        <v>0.61</v>
      </c>
      <c r="H23" s="52">
        <f t="shared" si="3"/>
        <v>1706.57133</v>
      </c>
      <c r="I23" s="58">
        <f t="shared" si="4"/>
        <v>0.69102859264880778</v>
      </c>
      <c r="J23" s="63">
        <f t="shared" si="5"/>
        <v>103.59418692400993</v>
      </c>
      <c r="K23" s="61">
        <f t="shared" si="6"/>
        <v>3.5941869240099322</v>
      </c>
      <c r="L23" s="61"/>
      <c r="M23" s="71"/>
    </row>
    <row r="24" spans="1:13">
      <c r="A24" s="56">
        <f t="shared" si="0"/>
        <v>3.1153023246005773E-2</v>
      </c>
      <c r="B24" s="57">
        <f t="shared" si="1"/>
        <v>109.96884697675399</v>
      </c>
      <c r="C24" s="60">
        <v>110</v>
      </c>
      <c r="D24" s="58">
        <f t="shared" si="2"/>
        <v>0.70093390804597699</v>
      </c>
      <c r="E24" s="60">
        <v>1774</v>
      </c>
      <c r="F24" s="60">
        <v>3.95</v>
      </c>
      <c r="G24" s="60">
        <v>0.6</v>
      </c>
      <c r="H24" s="52">
        <f t="shared" si="3"/>
        <v>1816.0437999999999</v>
      </c>
      <c r="I24" s="58">
        <f t="shared" si="4"/>
        <v>0.70687091969345972</v>
      </c>
      <c r="J24" s="63">
        <f t="shared" si="5"/>
        <v>113.98055534900038</v>
      </c>
      <c r="K24" s="61">
        <f t="shared" si="6"/>
        <v>3.9805553490003831</v>
      </c>
      <c r="L24">
        <v>0.71289060000000004</v>
      </c>
      <c r="M24" s="71">
        <f t="shared" si="7"/>
        <v>1.1956691954023047E-2</v>
      </c>
    </row>
    <row r="25" spans="1:13">
      <c r="A25" s="56">
        <f t="shared" si="0"/>
        <v>-3.1288314123827377E-3</v>
      </c>
      <c r="B25" s="57">
        <f t="shared" si="1"/>
        <v>120.00312883141238</v>
      </c>
      <c r="C25" s="60">
        <v>120</v>
      </c>
      <c r="D25" s="58">
        <f t="shared" si="2"/>
        <v>0.71583679114799437</v>
      </c>
      <c r="E25" s="60">
        <v>1882</v>
      </c>
      <c r="F25" s="60">
        <v>4.34</v>
      </c>
      <c r="G25" s="60">
        <v>0.57999999999999996</v>
      </c>
      <c r="H25" s="52">
        <f t="shared" si="3"/>
        <v>1929.3737040000001</v>
      </c>
      <c r="I25" s="58">
        <f t="shared" si="4"/>
        <v>0.722028325800114</v>
      </c>
      <c r="J25" s="63">
        <f t="shared" si="5"/>
        <v>124.37794894981721</v>
      </c>
      <c r="K25" s="61">
        <f t="shared" si="6"/>
        <v>4.3779489498172097</v>
      </c>
      <c r="L25" s="61"/>
      <c r="M25" s="71"/>
    </row>
    <row r="26" spans="1:13">
      <c r="A26" s="56">
        <f t="shared" si="0"/>
        <v>7.0569495279499961E-3</v>
      </c>
      <c r="B26" s="57">
        <f t="shared" si="1"/>
        <v>124.99294305047205</v>
      </c>
      <c r="C26" s="60">
        <v>125</v>
      </c>
      <c r="D26" s="58">
        <f t="shared" si="2"/>
        <v>0.72300644723447571</v>
      </c>
      <c r="E26" s="60">
        <v>1937</v>
      </c>
      <c r="F26" s="60">
        <v>4.53</v>
      </c>
      <c r="G26" s="60">
        <v>0.56999999999999995</v>
      </c>
      <c r="H26" s="52">
        <f t="shared" si="3"/>
        <v>1987.015277</v>
      </c>
      <c r="I26" s="58">
        <f t="shared" si="4"/>
        <v>0.72929785225782806</v>
      </c>
      <c r="J26" s="63">
        <f t="shared" si="5"/>
        <v>129.53930705863706</v>
      </c>
      <c r="K26" s="61">
        <f t="shared" si="6"/>
        <v>4.5393070586370641</v>
      </c>
      <c r="L26" s="61"/>
      <c r="M26" s="71"/>
    </row>
    <row r="27" spans="1:13">
      <c r="A27" s="56">
        <f t="shared" si="0"/>
        <v>4.3496382327248284E-3</v>
      </c>
      <c r="B27" s="57">
        <f t="shared" si="1"/>
        <v>129.99565036176728</v>
      </c>
      <c r="C27" s="60">
        <v>130</v>
      </c>
      <c r="D27" s="58">
        <f t="shared" si="2"/>
        <v>0.73003663003663</v>
      </c>
      <c r="E27" s="60">
        <v>1993</v>
      </c>
      <c r="F27" s="60">
        <v>4.7300000000000004</v>
      </c>
      <c r="G27" s="60">
        <v>0.56999999999999995</v>
      </c>
      <c r="H27" s="52">
        <f t="shared" si="3"/>
        <v>2046.7332730000001</v>
      </c>
      <c r="I27" s="58">
        <f t="shared" si="4"/>
        <v>0.73654009009768118</v>
      </c>
      <c r="J27" s="63">
        <f t="shared" si="5"/>
        <v>134.80229531906764</v>
      </c>
      <c r="K27" s="61">
        <f t="shared" si="6"/>
        <v>4.802295319067639</v>
      </c>
      <c r="L27">
        <v>0.74072260000000001</v>
      </c>
      <c r="M27" s="71">
        <f t="shared" si="7"/>
        <v>1.0685969963370012E-2</v>
      </c>
    </row>
    <row r="28" spans="1:13">
      <c r="A28" s="56">
        <f t="shared" si="0"/>
        <v>4.7197170058211668E-2</v>
      </c>
      <c r="B28" s="57">
        <f t="shared" si="1"/>
        <v>139.95280282994179</v>
      </c>
      <c r="C28" s="60">
        <v>140</v>
      </c>
      <c r="D28" s="58">
        <f t="shared" si="2"/>
        <v>0.74356753288418342</v>
      </c>
      <c r="E28" s="60">
        <v>2107</v>
      </c>
      <c r="F28" s="60">
        <v>5.14</v>
      </c>
      <c r="G28" s="60">
        <v>0.55000000000000004</v>
      </c>
      <c r="H28" s="52">
        <f t="shared" si="3"/>
        <v>2166.5648900000001</v>
      </c>
      <c r="I28" s="58">
        <f t="shared" si="4"/>
        <v>0.75025112394288274</v>
      </c>
      <c r="J28" s="63">
        <f t="shared" si="5"/>
        <v>145.12091761343436</v>
      </c>
      <c r="K28" s="61">
        <f t="shared" si="6"/>
        <v>5.1209176134343579</v>
      </c>
      <c r="L28" s="61"/>
      <c r="M28" s="71"/>
    </row>
    <row r="29" spans="1:13">
      <c r="A29" s="56">
        <f t="shared" si="0"/>
        <v>3.6092417884674433E-2</v>
      </c>
      <c r="B29" s="57">
        <f t="shared" si="1"/>
        <v>149.96390758211533</v>
      </c>
      <c r="C29" s="60">
        <v>150</v>
      </c>
      <c r="D29" s="58">
        <f t="shared" si="2"/>
        <v>0.75656877897990715</v>
      </c>
      <c r="E29" s="60">
        <v>2225</v>
      </c>
      <c r="F29" s="60">
        <v>5.57</v>
      </c>
      <c r="G29" s="60">
        <v>0.54</v>
      </c>
      <c r="H29" s="52">
        <f t="shared" si="3"/>
        <v>2291.92355</v>
      </c>
      <c r="I29" s="58">
        <f t="shared" si="4"/>
        <v>0.76352945997190025</v>
      </c>
      <c r="J29" s="63">
        <f t="shared" si="5"/>
        <v>155.59609311984019</v>
      </c>
      <c r="K29" s="61">
        <f t="shared" si="6"/>
        <v>5.5960931198401909</v>
      </c>
      <c r="L29" s="61"/>
      <c r="M29" s="71"/>
    </row>
    <row r="30" spans="1:13">
      <c r="A30" s="56">
        <f t="shared" si="0"/>
        <v>5.4467284024099172E-2</v>
      </c>
      <c r="B30" s="57">
        <f t="shared" si="1"/>
        <v>159.9455327159759</v>
      </c>
      <c r="C30" s="60">
        <v>160</v>
      </c>
      <c r="D30" s="58">
        <f t="shared" si="2"/>
        <v>0.7689511323003575</v>
      </c>
      <c r="E30" s="60">
        <v>2346</v>
      </c>
      <c r="F30" s="60">
        <v>6.02</v>
      </c>
      <c r="G30" s="60">
        <v>0.52</v>
      </c>
      <c r="H30" s="52">
        <f t="shared" si="3"/>
        <v>2419.4391839999998</v>
      </c>
      <c r="I30" s="58">
        <f t="shared" si="4"/>
        <v>0.77604032601500705</v>
      </c>
      <c r="J30" s="63">
        <f t="shared" si="5"/>
        <v>165.9456520424348</v>
      </c>
      <c r="K30" s="61">
        <f t="shared" si="6"/>
        <v>5.9456520424348014</v>
      </c>
      <c r="L30">
        <v>0.77929680000000001</v>
      </c>
      <c r="M30" s="71">
        <f t="shared" si="7"/>
        <v>1.0345667699642513E-2</v>
      </c>
    </row>
    <row r="31" spans="1:13">
      <c r="A31" s="56">
        <f t="shared" si="0"/>
        <v>1.8995007093849381E-2</v>
      </c>
      <c r="B31" s="57">
        <f t="shared" si="1"/>
        <v>169.98100499290615</v>
      </c>
      <c r="C31" s="60">
        <v>170</v>
      </c>
      <c r="D31" s="58">
        <f t="shared" si="2"/>
        <v>0.78083883941396137</v>
      </c>
      <c r="E31" s="60">
        <v>2471</v>
      </c>
      <c r="F31" s="60">
        <v>6.47</v>
      </c>
      <c r="G31" s="60">
        <v>0.51</v>
      </c>
      <c r="H31" s="52">
        <f t="shared" si="3"/>
        <v>2552.5355869999999</v>
      </c>
      <c r="I31" s="58">
        <f t="shared" si="4"/>
        <v>0.78814346611606201</v>
      </c>
      <c r="J31" s="63">
        <f t="shared" si="5"/>
        <v>176.44621594280653</v>
      </c>
      <c r="K31" s="61">
        <f t="shared" si="6"/>
        <v>6.446215942806532</v>
      </c>
      <c r="L31" s="61"/>
      <c r="M31" s="71"/>
    </row>
    <row r="32" spans="1:13">
      <c r="A32" s="56">
        <f t="shared" si="0"/>
        <v>-1.7952866976997939E-2</v>
      </c>
      <c r="B32" s="57">
        <f t="shared" si="1"/>
        <v>175.017952866977</v>
      </c>
      <c r="C32" s="60">
        <v>175</v>
      </c>
      <c r="D32" s="58">
        <f t="shared" si="2"/>
        <v>0.78660084626234117</v>
      </c>
      <c r="E32" s="60">
        <v>2535</v>
      </c>
      <c r="F32" s="60">
        <v>6.71</v>
      </c>
      <c r="G32" s="60">
        <v>0.51</v>
      </c>
      <c r="H32" s="52">
        <f t="shared" si="3"/>
        <v>2621.750235</v>
      </c>
      <c r="I32" s="58">
        <f t="shared" si="4"/>
        <v>0.79408689251451225</v>
      </c>
      <c r="J32" s="63">
        <f t="shared" si="5"/>
        <v>181.79289225650137</v>
      </c>
      <c r="K32" s="61">
        <f t="shared" si="6"/>
        <v>6.792892256501375</v>
      </c>
      <c r="L32">
        <v>0.79614249999999998</v>
      </c>
      <c r="M32" s="71">
        <f t="shared" si="7"/>
        <v>9.5416537376588062E-3</v>
      </c>
    </row>
    <row r="33" spans="1:13">
      <c r="A33" s="56">
        <f t="shared" si="0"/>
        <v>8.7277173967891031E-2</v>
      </c>
      <c r="B33" s="57">
        <f t="shared" si="1"/>
        <v>179.91272282603211</v>
      </c>
      <c r="C33" s="67">
        <v>180</v>
      </c>
      <c r="D33" s="68">
        <f t="shared" si="2"/>
        <v>0.79207317073170724</v>
      </c>
      <c r="E33" s="67">
        <v>2598</v>
      </c>
      <c r="M33" s="75">
        <f>AVERAGE(M6:M32)</f>
        <v>1.2966778440908622E-2</v>
      </c>
    </row>
    <row r="34" spans="1:13">
      <c r="A34" s="56">
        <f t="shared" si="0"/>
        <v>2.4445581444638265E-2</v>
      </c>
      <c r="B34" s="57">
        <f t="shared" si="1"/>
        <v>184.97555441855536</v>
      </c>
      <c r="C34" s="67">
        <v>185</v>
      </c>
      <c r="D34" s="68">
        <f t="shared" si="2"/>
        <v>0.79760479041916155</v>
      </c>
      <c r="E34" s="67">
        <v>2664</v>
      </c>
    </row>
    <row r="35" spans="1:13">
      <c r="A35" s="56">
        <f t="shared" si="0"/>
        <v>2.5770049982270393E-2</v>
      </c>
      <c r="B35" s="57">
        <f t="shared" si="1"/>
        <v>189.97422995001773</v>
      </c>
      <c r="C35" s="67">
        <v>190</v>
      </c>
      <c r="D35" s="68">
        <f t="shared" si="2"/>
        <v>0.80294117647058816</v>
      </c>
      <c r="E35" s="67">
        <v>2730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selection activeCell="E15" sqref="E15"/>
    </sheetView>
  </sheetViews>
  <sheetFormatPr defaultRowHeight="15"/>
  <cols>
    <col min="5" max="5" width="12.5703125" style="60" bestFit="1" customWidth="1"/>
    <col min="6" max="6" width="7.5703125" style="60" bestFit="1" customWidth="1"/>
    <col min="7" max="7" width="13" style="60" customWidth="1"/>
    <col min="8" max="8" width="12.7109375" style="60" customWidth="1"/>
    <col min="9" max="9" width="14.7109375" style="60" customWidth="1"/>
    <col min="10" max="10" width="5.7109375" style="61" bestFit="1" customWidth="1"/>
    <col min="14" max="14" width="5.7109375" bestFit="1" customWidth="1"/>
  </cols>
  <sheetData>
    <row r="1" spans="2:14">
      <c r="C1" t="s">
        <v>55</v>
      </c>
      <c r="D1" t="s">
        <v>27</v>
      </c>
      <c r="E1" t="s">
        <v>20</v>
      </c>
      <c r="F1" s="60" t="s">
        <v>62</v>
      </c>
    </row>
    <row r="2" spans="2:14">
      <c r="C2">
        <f>4689.6*E2^6 - 12847*E2^5 + 14679*E2^4 - 8222.1*E2^3 + 2216.1*E2^2+ 192.96*E2 -209.98</f>
        <v>87.968109736582363</v>
      </c>
      <c r="D2" s="59">
        <v>1549</v>
      </c>
      <c r="E2" s="59">
        <f>3.3/3*D2/(1000+D2)</f>
        <v>0.66845821890937618</v>
      </c>
      <c r="F2" s="60">
        <f>E2*4096</f>
        <v>2738.0048646528048</v>
      </c>
    </row>
    <row r="4" spans="2:14">
      <c r="B4" t="s">
        <v>34</v>
      </c>
      <c r="C4" t="s">
        <v>56</v>
      </c>
      <c r="D4" t="s">
        <v>45</v>
      </c>
      <c r="E4" t="s">
        <v>54</v>
      </c>
      <c r="G4" t="s">
        <v>66</v>
      </c>
      <c r="H4" t="s">
        <v>65</v>
      </c>
    </row>
    <row r="5" spans="2:14">
      <c r="B5" t="s">
        <v>46</v>
      </c>
      <c r="C5" t="s">
        <v>46</v>
      </c>
      <c r="D5" t="s">
        <v>46</v>
      </c>
      <c r="E5" t="s">
        <v>51</v>
      </c>
      <c r="F5" t="s">
        <v>27</v>
      </c>
      <c r="G5"/>
      <c r="H5"/>
    </row>
    <row r="6" spans="2:14">
      <c r="B6" s="56">
        <f>D6-C6</f>
        <v>2.592187160499293E-2</v>
      </c>
      <c r="C6" s="69">
        <f>4689.6*E6^6 -12847*E6^5 + 14679*E6^4 - 8222.1*E6^3 + 2216.1*E6^2+192.96*E6 -209.98</f>
        <v>-55.025921871604993</v>
      </c>
      <c r="D6" s="60">
        <v>-55</v>
      </c>
      <c r="E6" s="58">
        <f>3.3/3*F6/(1000+F6)</f>
        <v>0.36666666666666659</v>
      </c>
      <c r="F6" s="60">
        <v>500</v>
      </c>
      <c r="G6" s="70">
        <v>0.3791503</v>
      </c>
      <c r="H6" s="72">
        <f>G6-E6</f>
        <v>1.248363333333341E-2</v>
      </c>
      <c r="I6" s="72">
        <f>H6-H32</f>
        <v>5.167158793022153E-3</v>
      </c>
      <c r="N6" s="62"/>
    </row>
    <row r="7" spans="2:14">
      <c r="B7" s="56">
        <f t="shared" ref="B7:B35" si="0">D7-C7</f>
        <v>-3.8430360492469617E-2</v>
      </c>
      <c r="C7" s="69">
        <f t="shared" ref="C7:C35" si="1">4689.6*E7^6 -12847*E7^5 + 14679*E7^4 - 8222.1*E7^3 + 2216.1*E7^2+192.96*E7 -209.98</f>
        <v>-49.96156963950753</v>
      </c>
      <c r="D7" s="60">
        <v>-50</v>
      </c>
      <c r="E7" s="58">
        <f>3.3/3*F7/(1000+F7)</f>
        <v>0.37868852459016383</v>
      </c>
      <c r="F7" s="60">
        <v>525</v>
      </c>
      <c r="H7" s="72"/>
      <c r="N7" s="62"/>
    </row>
    <row r="8" spans="2:14">
      <c r="B8" s="56">
        <f t="shared" si="0"/>
        <v>-4.4038464449300818E-2</v>
      </c>
      <c r="C8" s="69">
        <f t="shared" si="1"/>
        <v>-39.955961535550699</v>
      </c>
      <c r="D8" s="60">
        <v>-40</v>
      </c>
      <c r="E8" s="58">
        <f t="shared" ref="E8:E35" si="2">3.3/3*F8/(1000+F8)</f>
        <v>0.40247305009511725</v>
      </c>
      <c r="F8" s="60">
        <v>577</v>
      </c>
      <c r="H8" s="72"/>
      <c r="N8" s="62"/>
    </row>
    <row r="9" spans="2:14">
      <c r="B9" s="56">
        <f t="shared" si="0"/>
        <v>3.8761652430025606E-2</v>
      </c>
      <c r="C9" s="69">
        <f t="shared" si="1"/>
        <v>-30.038761652430026</v>
      </c>
      <c r="D9" s="60">
        <v>-30</v>
      </c>
      <c r="E9" s="58">
        <f t="shared" si="2"/>
        <v>0.42598039215686273</v>
      </c>
      <c r="F9" s="60">
        <v>632</v>
      </c>
      <c r="G9" s="70">
        <v>0.43896479999999999</v>
      </c>
      <c r="H9" s="72">
        <f t="shared" ref="H9:H32" si="3">G9-E9</f>
        <v>1.2984407843137258E-2</v>
      </c>
      <c r="N9" s="62"/>
    </row>
    <row r="10" spans="2:14">
      <c r="B10" s="56">
        <f t="shared" si="0"/>
        <v>3.3019245505983008E-2</v>
      </c>
      <c r="C10" s="69">
        <f t="shared" si="1"/>
        <v>-20.033019245505983</v>
      </c>
      <c r="D10" s="60">
        <v>-20</v>
      </c>
      <c r="E10" s="58">
        <f t="shared" si="2"/>
        <v>0.44949733885274978</v>
      </c>
      <c r="F10" s="60">
        <v>691</v>
      </c>
      <c r="H10" s="72"/>
      <c r="N10" s="62"/>
    </row>
    <row r="11" spans="2:14">
      <c r="B11" s="56">
        <f t="shared" si="0"/>
        <v>-4.7889846753122356E-2</v>
      </c>
      <c r="C11" s="69">
        <f t="shared" si="1"/>
        <v>-9.9521101532468776</v>
      </c>
      <c r="D11" s="60">
        <v>-10</v>
      </c>
      <c r="E11" s="58">
        <f t="shared" si="2"/>
        <v>0.47286202964652213</v>
      </c>
      <c r="F11" s="60">
        <v>754</v>
      </c>
      <c r="H11" s="72"/>
      <c r="N11" s="62"/>
    </row>
    <row r="12" spans="2:14">
      <c r="B12" s="56">
        <f t="shared" si="0"/>
        <v>-4.7742731818601669E-2</v>
      </c>
      <c r="C12" s="69">
        <f t="shared" si="1"/>
        <v>4.7742731818601669E-2</v>
      </c>
      <c r="D12" s="60">
        <v>0</v>
      </c>
      <c r="E12" s="58">
        <f t="shared" si="2"/>
        <v>0.49560439560439556</v>
      </c>
      <c r="F12" s="60">
        <v>820</v>
      </c>
      <c r="G12" s="70">
        <v>0.50878900000000005</v>
      </c>
      <c r="H12" s="72">
        <f t="shared" si="3"/>
        <v>1.3184604395604482E-2</v>
      </c>
      <c r="N12" s="62"/>
    </row>
    <row r="13" spans="2:14">
      <c r="B13" s="56">
        <f t="shared" si="0"/>
        <v>1.8418636907625796E-2</v>
      </c>
      <c r="C13" s="69">
        <f t="shared" si="1"/>
        <v>9.9815813630923742</v>
      </c>
      <c r="D13" s="60">
        <v>10</v>
      </c>
      <c r="E13" s="58">
        <f t="shared" si="2"/>
        <v>0.51768131286394914</v>
      </c>
      <c r="F13" s="60">
        <v>889</v>
      </c>
      <c r="H13" s="72"/>
      <c r="N13" s="62"/>
    </row>
    <row r="14" spans="2:14">
      <c r="B14" s="56">
        <f t="shared" si="0"/>
        <v>5.1579487164872262E-3</v>
      </c>
      <c r="C14" s="69">
        <f t="shared" si="1"/>
        <v>19.994842051283513</v>
      </c>
      <c r="D14" s="60">
        <v>20</v>
      </c>
      <c r="E14" s="58">
        <f t="shared" si="2"/>
        <v>0.53934760448521912</v>
      </c>
      <c r="F14" s="60">
        <v>962</v>
      </c>
      <c r="H14" s="72"/>
      <c r="N14" s="62"/>
    </row>
    <row r="15" spans="2:14">
      <c r="B15" s="56">
        <f t="shared" si="0"/>
        <v>-2.8301962499853062E-2</v>
      </c>
      <c r="C15" s="69">
        <f t="shared" si="1"/>
        <v>25.028301962499853</v>
      </c>
      <c r="D15" s="60">
        <v>25</v>
      </c>
      <c r="E15" s="58">
        <f t="shared" si="2"/>
        <v>0.54999999999999993</v>
      </c>
      <c r="F15" s="60">
        <v>1000</v>
      </c>
      <c r="G15" s="70">
        <v>0.5625</v>
      </c>
      <c r="H15" s="72">
        <f t="shared" si="3"/>
        <v>1.2500000000000067E-2</v>
      </c>
      <c r="N15" s="62"/>
    </row>
    <row r="16" spans="2:14">
      <c r="B16" s="56">
        <f t="shared" si="0"/>
        <v>-7.8140081802501982E-2</v>
      </c>
      <c r="C16" s="69">
        <f t="shared" si="1"/>
        <v>30.078140081802502</v>
      </c>
      <c r="D16" s="60">
        <v>30</v>
      </c>
      <c r="E16" s="58">
        <f t="shared" si="2"/>
        <v>0.5605198626777832</v>
      </c>
      <c r="F16" s="60">
        <v>1039</v>
      </c>
      <c r="H16" s="72"/>
      <c r="N16" s="62"/>
    </row>
    <row r="17" spans="2:14">
      <c r="B17" s="56">
        <f t="shared" si="0"/>
        <v>2.2599534953030798E-2</v>
      </c>
      <c r="C17" s="69">
        <f t="shared" si="1"/>
        <v>39.977400465046969</v>
      </c>
      <c r="D17" s="60">
        <v>40</v>
      </c>
      <c r="E17" s="58">
        <f t="shared" si="2"/>
        <v>0.58064211520302167</v>
      </c>
      <c r="F17" s="60">
        <v>1118</v>
      </c>
      <c r="H17" s="72"/>
      <c r="N17" s="62"/>
    </row>
    <row r="18" spans="2:14">
      <c r="B18" s="56">
        <f t="shared" si="0"/>
        <v>-6.7486537831626947E-2</v>
      </c>
      <c r="C18" s="69">
        <f t="shared" si="1"/>
        <v>50.067486537831627</v>
      </c>
      <c r="D18" s="60">
        <v>50</v>
      </c>
      <c r="E18" s="58">
        <f t="shared" si="2"/>
        <v>0.60045413260672109</v>
      </c>
      <c r="F18" s="60">
        <v>1202</v>
      </c>
      <c r="G18" s="70">
        <v>0.61230459999999998</v>
      </c>
      <c r="H18" s="72">
        <f t="shared" si="3"/>
        <v>1.1850467393278885E-2</v>
      </c>
      <c r="N18" s="62"/>
    </row>
    <row r="19" spans="2:14">
      <c r="B19" s="56">
        <f t="shared" si="0"/>
        <v>1.4048331349528098E-2</v>
      </c>
      <c r="C19" s="69">
        <f t="shared" si="1"/>
        <v>59.985951668650472</v>
      </c>
      <c r="D19" s="60">
        <v>60</v>
      </c>
      <c r="E19" s="58">
        <f t="shared" si="2"/>
        <v>0.61923076923076914</v>
      </c>
      <c r="F19" s="60">
        <v>1288</v>
      </c>
      <c r="H19" s="72"/>
      <c r="N19" s="62"/>
    </row>
    <row r="20" spans="2:14">
      <c r="B20" s="56">
        <f t="shared" si="0"/>
        <v>-7.7831318216141199E-2</v>
      </c>
      <c r="C20" s="69">
        <f t="shared" si="1"/>
        <v>70.077831318216141</v>
      </c>
      <c r="D20" s="60">
        <v>70</v>
      </c>
      <c r="E20" s="58">
        <f t="shared" si="2"/>
        <v>0.63762084909625882</v>
      </c>
      <c r="F20" s="60">
        <v>1379</v>
      </c>
      <c r="H20" s="72"/>
      <c r="N20" s="62"/>
    </row>
    <row r="21" spans="2:14">
      <c r="B21" s="56">
        <f t="shared" si="0"/>
        <v>-9.1516255280055248E-3</v>
      </c>
      <c r="C21" s="69">
        <f t="shared" si="1"/>
        <v>80.009151625528006</v>
      </c>
      <c r="D21" s="60">
        <v>80</v>
      </c>
      <c r="E21" s="58">
        <f t="shared" si="2"/>
        <v>0.65501618122977334</v>
      </c>
      <c r="F21" s="60">
        <v>1472</v>
      </c>
      <c r="G21" s="70">
        <v>0.66629970000000005</v>
      </c>
      <c r="H21" s="72">
        <f t="shared" si="3"/>
        <v>1.1283518770226708E-2</v>
      </c>
      <c r="N21" s="62"/>
    </row>
    <row r="22" spans="2:14">
      <c r="B22" s="56">
        <f t="shared" si="0"/>
        <v>9.97003250375883E-4</v>
      </c>
      <c r="C22" s="69">
        <f t="shared" si="1"/>
        <v>89.999002996749624</v>
      </c>
      <c r="D22" s="60">
        <v>90</v>
      </c>
      <c r="E22" s="58">
        <f t="shared" si="2"/>
        <v>0.67181782794861811</v>
      </c>
      <c r="F22" s="60">
        <v>1569</v>
      </c>
      <c r="H22" s="72"/>
      <c r="N22" s="62"/>
    </row>
    <row r="23" spans="2:14">
      <c r="B23" s="56">
        <f t="shared" si="0"/>
        <v>-4.1608110088560579E-2</v>
      </c>
      <c r="C23" s="69">
        <f t="shared" si="1"/>
        <v>100.04160811008856</v>
      </c>
      <c r="D23" s="60">
        <v>100</v>
      </c>
      <c r="E23" s="58">
        <f t="shared" si="2"/>
        <v>0.6880149812734081</v>
      </c>
      <c r="F23" s="60">
        <v>1670</v>
      </c>
      <c r="H23" s="72"/>
      <c r="N23" s="62"/>
    </row>
    <row r="24" spans="2:14">
      <c r="B24" s="56">
        <f t="shared" si="0"/>
        <v>-3.7582066339297171E-2</v>
      </c>
      <c r="C24" s="69">
        <f t="shared" si="1"/>
        <v>110.0375820663393</v>
      </c>
      <c r="D24" s="60">
        <v>110</v>
      </c>
      <c r="E24" s="58">
        <f t="shared" si="2"/>
        <v>0.70346070656092285</v>
      </c>
      <c r="F24" s="60">
        <v>1774</v>
      </c>
      <c r="G24" s="70">
        <v>0.71313470000000001</v>
      </c>
      <c r="H24" s="72">
        <f t="shared" si="3"/>
        <v>9.6739934390771554E-3</v>
      </c>
      <c r="N24" s="62"/>
    </row>
    <row r="25" spans="2:14">
      <c r="B25" s="56">
        <f t="shared" si="0"/>
        <v>-8.3225010206575689E-2</v>
      </c>
      <c r="C25" s="69">
        <f t="shared" si="1"/>
        <v>120.08322501020658</v>
      </c>
      <c r="D25" s="60">
        <v>120</v>
      </c>
      <c r="E25" s="58">
        <f t="shared" si="2"/>
        <v>0.7183206106870228</v>
      </c>
      <c r="F25" s="60">
        <v>1882</v>
      </c>
      <c r="H25" s="72"/>
      <c r="N25" s="62"/>
    </row>
    <row r="26" spans="2:14">
      <c r="B26" s="56">
        <f t="shared" si="0"/>
        <v>-7.8199542167254776E-2</v>
      </c>
      <c r="C26" s="69">
        <f t="shared" si="1"/>
        <v>125.07819954216725</v>
      </c>
      <c r="D26" s="60">
        <v>125</v>
      </c>
      <c r="E26" s="58">
        <f t="shared" si="2"/>
        <v>0.72546816479400744</v>
      </c>
      <c r="F26" s="60">
        <v>1937</v>
      </c>
      <c r="H26" s="72"/>
      <c r="N26" s="62"/>
    </row>
    <row r="27" spans="2:14">
      <c r="B27" s="56">
        <f t="shared" si="0"/>
        <v>-8.5292014944997163E-2</v>
      </c>
      <c r="C27" s="69">
        <f t="shared" si="1"/>
        <v>130.085292014945</v>
      </c>
      <c r="D27" s="60">
        <v>130</v>
      </c>
      <c r="E27" s="58">
        <f t="shared" si="2"/>
        <v>0.7324757768125626</v>
      </c>
      <c r="F27" s="60">
        <v>1993</v>
      </c>
      <c r="G27" s="70">
        <v>0.74145499999999998</v>
      </c>
      <c r="H27" s="72">
        <f t="shared" si="3"/>
        <v>8.9792231874373796E-3</v>
      </c>
      <c r="N27" s="62"/>
    </row>
    <row r="28" spans="2:14">
      <c r="B28" s="56">
        <f t="shared" si="0"/>
        <v>-4.7259753686802242E-2</v>
      </c>
      <c r="C28" s="69">
        <f t="shared" si="1"/>
        <v>140.0472597536868</v>
      </c>
      <c r="D28" s="60">
        <v>140</v>
      </c>
      <c r="E28" s="58">
        <f t="shared" si="2"/>
        <v>0.74596073382684258</v>
      </c>
      <c r="F28" s="60">
        <v>2107</v>
      </c>
      <c r="H28" s="72"/>
      <c r="N28" s="62"/>
    </row>
    <row r="29" spans="2:14">
      <c r="B29" s="56">
        <f t="shared" si="0"/>
        <v>-5.5101197211826047E-2</v>
      </c>
      <c r="C29" s="69">
        <f t="shared" si="1"/>
        <v>150.05510119721183</v>
      </c>
      <c r="D29" s="60">
        <v>150</v>
      </c>
      <c r="E29" s="58">
        <f t="shared" si="2"/>
        <v>0.75891472868217036</v>
      </c>
      <c r="F29" s="60">
        <v>2225</v>
      </c>
      <c r="H29" s="72"/>
      <c r="N29" s="62"/>
    </row>
    <row r="30" spans="2:14">
      <c r="B30" s="56">
        <f t="shared" si="0"/>
        <v>-2.1776794705345992E-2</v>
      </c>
      <c r="C30" s="69">
        <f t="shared" si="1"/>
        <v>160.02177679470535</v>
      </c>
      <c r="D30" s="60">
        <v>160</v>
      </c>
      <c r="E30" s="58">
        <f t="shared" si="2"/>
        <v>0.77124925283921097</v>
      </c>
      <c r="F30" s="60">
        <v>2346</v>
      </c>
      <c r="G30" s="70">
        <v>0.77929680000000001</v>
      </c>
      <c r="H30" s="72">
        <f t="shared" si="3"/>
        <v>8.047547160789037E-3</v>
      </c>
      <c r="N30" s="62"/>
    </row>
    <row r="31" spans="2:14">
      <c r="B31" s="56">
        <f t="shared" si="0"/>
        <v>-2.6746756494873125E-2</v>
      </c>
      <c r="C31" s="69">
        <f t="shared" si="1"/>
        <v>170.02674675649487</v>
      </c>
      <c r="D31" s="60">
        <v>170</v>
      </c>
      <c r="E31" s="58">
        <f t="shared" si="2"/>
        <v>0.78308844713339076</v>
      </c>
      <c r="F31" s="60">
        <v>2471</v>
      </c>
      <c r="H31" s="72"/>
      <c r="N31" s="62"/>
    </row>
    <row r="32" spans="2:14">
      <c r="B32" s="56">
        <f t="shared" si="0"/>
        <v>-4.139291228105435E-2</v>
      </c>
      <c r="C32" s="69">
        <f t="shared" si="1"/>
        <v>175.04139291228105</v>
      </c>
      <c r="D32" s="60">
        <v>175</v>
      </c>
      <c r="E32" s="58">
        <f t="shared" si="2"/>
        <v>0.78882602545968872</v>
      </c>
      <c r="F32" s="60">
        <v>2535</v>
      </c>
      <c r="G32" s="70">
        <v>0.79614249999999998</v>
      </c>
      <c r="H32" s="72">
        <f t="shared" si="3"/>
        <v>7.3164745403112574E-3</v>
      </c>
      <c r="N32" s="62"/>
    </row>
    <row r="33" spans="2:9">
      <c r="B33" s="56">
        <f t="shared" si="0"/>
        <v>-0.13961125679284692</v>
      </c>
      <c r="C33" s="69">
        <f t="shared" si="1"/>
        <v>180.13961125679285</v>
      </c>
      <c r="D33" s="67">
        <v>180</v>
      </c>
      <c r="E33" s="68">
        <f t="shared" si="2"/>
        <v>0.79452929741738387</v>
      </c>
      <c r="F33" s="67">
        <v>2601</v>
      </c>
      <c r="H33" s="73">
        <f>AVERAGE(H6:H32)</f>
        <v>1.0830387006319563E-2</v>
      </c>
      <c r="I33" s="74" t="s">
        <v>63</v>
      </c>
    </row>
    <row r="34" spans="2:9">
      <c r="B34" s="56">
        <f t="shared" si="0"/>
        <v>-9.0319603879521537E-2</v>
      </c>
      <c r="C34" s="69">
        <f t="shared" si="1"/>
        <v>185.09031960387952</v>
      </c>
      <c r="D34" s="67">
        <v>185</v>
      </c>
      <c r="E34" s="68">
        <f t="shared" si="2"/>
        <v>0.79994544462629558</v>
      </c>
      <c r="F34" s="67">
        <v>2666</v>
      </c>
      <c r="H34" s="73">
        <f>'KTY83-110-Motor Therm'!M33</f>
        <v>1.2966778440908622E-2</v>
      </c>
      <c r="I34" s="74" t="s">
        <v>64</v>
      </c>
    </row>
    <row r="35" spans="2:9">
      <c r="B35" s="56">
        <f t="shared" si="0"/>
        <v>-4.8032730448397842E-2</v>
      </c>
      <c r="C35" s="69">
        <f t="shared" si="1"/>
        <v>190.0480327304484</v>
      </c>
      <c r="D35" s="67">
        <v>190</v>
      </c>
      <c r="E35" s="68">
        <f t="shared" si="2"/>
        <v>0.8052518756698821</v>
      </c>
      <c r="F35" s="67">
        <v>2732</v>
      </c>
      <c r="H35" s="73">
        <f>AVERAGE(H33:H34)</f>
        <v>1.1898582723614094E-2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2" sqref="D2"/>
    </sheetView>
  </sheetViews>
  <sheetFormatPr defaultRowHeight="15"/>
  <sheetData>
    <row r="1" spans="1:5">
      <c r="C1" t="s">
        <v>55</v>
      </c>
      <c r="D1" t="s">
        <v>27</v>
      </c>
      <c r="E1" t="s">
        <v>20</v>
      </c>
    </row>
    <row r="2" spans="1:5">
      <c r="C2">
        <f xml:space="preserve">  -149376*E2^6 + 251098*E2^5 -175193*E2^4 + 66520*E2^3 - 14908*E2^2+ 2700.2*E2 -227.53</f>
        <v>49.808297482537256</v>
      </c>
      <c r="D2" s="59">
        <v>1200</v>
      </c>
      <c r="E2" s="59">
        <f>3.3/3*D2/(4990+D2)</f>
        <v>0.21324717285945069</v>
      </c>
    </row>
    <row r="4" spans="1:5">
      <c r="A4" t="s">
        <v>34</v>
      </c>
      <c r="B4" t="s">
        <v>56</v>
      </c>
      <c r="C4" t="s">
        <v>45</v>
      </c>
      <c r="D4" t="s">
        <v>54</v>
      </c>
    </row>
    <row r="5" spans="1:5">
      <c r="A5" t="s">
        <v>46</v>
      </c>
      <c r="B5" t="s">
        <v>46</v>
      </c>
      <c r="C5" t="s">
        <v>46</v>
      </c>
      <c r="D5" t="s">
        <v>51</v>
      </c>
      <c r="E5" t="s">
        <v>27</v>
      </c>
    </row>
    <row r="6" spans="1:5">
      <c r="A6" s="56">
        <f>C6-B6</f>
        <v>2.2060697308148747E-2</v>
      </c>
      <c r="B6" s="57">
        <f>-149376*D6^6 + 251089*D6^5 - 175193*D6^4 + 66520*D6^3 -14908*D6^2+ 2700.2*D6 -227.53</f>
        <v>-55.022060697308149</v>
      </c>
      <c r="C6" s="60">
        <v>-55</v>
      </c>
      <c r="D6" s="58">
        <f>3.3/3*E6/(4990+E6)</f>
        <v>0.10018214936247721</v>
      </c>
      <c r="E6" s="60">
        <v>500</v>
      </c>
    </row>
    <row r="7" spans="1:5">
      <c r="A7" s="56">
        <f t="shared" ref="A7:A35" si="0">C7-B7</f>
        <v>-3.085441445853121E-2</v>
      </c>
      <c r="B7" s="57">
        <f t="shared" ref="B7:B35" si="1">-149376*D7^6 + 251089*D7^5 - 175193*D7^4 + 66520*D7^3 -14908*D7^2+ 2700.2*D7 -227.53</f>
        <v>-49.969145585541469</v>
      </c>
      <c r="C7" s="60">
        <v>-50</v>
      </c>
      <c r="D7" s="58">
        <f t="shared" ref="D7:D35" si="2">3.3/3*E7/(4990+E7)</f>
        <v>0.10471441523118764</v>
      </c>
      <c r="E7" s="60">
        <v>525</v>
      </c>
    </row>
    <row r="8" spans="1:5">
      <c r="A8" s="56">
        <f t="shared" si="0"/>
        <v>-2.9674287464757754E-2</v>
      </c>
      <c r="B8" s="57">
        <f t="shared" si="1"/>
        <v>-39.970325712535242</v>
      </c>
      <c r="C8" s="60">
        <v>-40</v>
      </c>
      <c r="D8" s="58">
        <f t="shared" si="2"/>
        <v>0.11401113705766121</v>
      </c>
      <c r="E8" s="60">
        <v>577</v>
      </c>
    </row>
    <row r="9" spans="1:5">
      <c r="A9" s="56">
        <f t="shared" si="0"/>
        <v>4.8574429826771848E-2</v>
      </c>
      <c r="B9" s="57">
        <f t="shared" si="1"/>
        <v>-30.048574429826772</v>
      </c>
      <c r="C9" s="60">
        <v>-30</v>
      </c>
      <c r="D9" s="58">
        <f t="shared" si="2"/>
        <v>0.12365706154393453</v>
      </c>
      <c r="E9" s="60">
        <v>632</v>
      </c>
    </row>
    <row r="10" spans="1:5">
      <c r="A10" s="56">
        <f t="shared" si="0"/>
        <v>3.6033932001117819E-2</v>
      </c>
      <c r="B10" s="57">
        <f t="shared" si="1"/>
        <v>-20.036033932001118</v>
      </c>
      <c r="C10" s="60">
        <v>-20</v>
      </c>
      <c r="D10" s="58">
        <f t="shared" si="2"/>
        <v>0.1337968667488118</v>
      </c>
      <c r="E10" s="60">
        <v>691</v>
      </c>
    </row>
    <row r="11" spans="1:5">
      <c r="A11" s="56">
        <f t="shared" si="0"/>
        <v>-4.8242156213717635E-2</v>
      </c>
      <c r="B11" s="57">
        <f t="shared" si="1"/>
        <v>-9.9517578437862824</v>
      </c>
      <c r="C11" s="60">
        <v>-10</v>
      </c>
      <c r="D11" s="58">
        <f t="shared" si="2"/>
        <v>0.14439415041782727</v>
      </c>
      <c r="E11" s="60">
        <v>754</v>
      </c>
    </row>
    <row r="12" spans="1:5">
      <c r="A12" s="56">
        <f t="shared" si="0"/>
        <v>-4.6016621167211724E-2</v>
      </c>
      <c r="B12" s="57">
        <f t="shared" si="1"/>
        <v>4.6016621167211724E-2</v>
      </c>
      <c r="C12" s="60">
        <v>0</v>
      </c>
      <c r="D12" s="58">
        <f t="shared" si="2"/>
        <v>0.155249569707401</v>
      </c>
      <c r="E12" s="60">
        <v>820</v>
      </c>
    </row>
    <row r="13" spans="1:5">
      <c r="A13" s="56">
        <f t="shared" si="0"/>
        <v>2.6583721255036608E-2</v>
      </c>
      <c r="B13" s="57">
        <f t="shared" si="1"/>
        <v>9.9734162787449634</v>
      </c>
      <c r="C13" s="60">
        <v>10</v>
      </c>
      <c r="D13" s="58">
        <f t="shared" si="2"/>
        <v>0.16633781255315527</v>
      </c>
      <c r="E13" s="60">
        <v>889</v>
      </c>
    </row>
    <row r="14" spans="1:5">
      <c r="A14" s="56">
        <f t="shared" si="0"/>
        <v>2.1608836274310761E-2</v>
      </c>
      <c r="B14" s="57">
        <f t="shared" si="1"/>
        <v>19.978391163725689</v>
      </c>
      <c r="C14" s="60">
        <v>20</v>
      </c>
      <c r="D14" s="58">
        <f t="shared" si="2"/>
        <v>0.17778897849462363</v>
      </c>
      <c r="E14" s="60">
        <v>962</v>
      </c>
    </row>
    <row r="15" spans="1:5">
      <c r="A15" s="56">
        <f t="shared" si="0"/>
        <v>-7.944097311991527E-3</v>
      </c>
      <c r="B15" s="57">
        <f t="shared" si="1"/>
        <v>25.007944097311992</v>
      </c>
      <c r="C15" s="60">
        <v>25</v>
      </c>
      <c r="D15" s="58">
        <f t="shared" si="2"/>
        <v>0.18363939899833051</v>
      </c>
      <c r="E15" s="60">
        <v>1000</v>
      </c>
    </row>
    <row r="16" spans="1:5">
      <c r="A16" s="56">
        <f t="shared" si="0"/>
        <v>-5.4472232339406901E-2</v>
      </c>
      <c r="B16" s="57">
        <f t="shared" si="1"/>
        <v>30.054472232339407</v>
      </c>
      <c r="C16" s="60">
        <v>30</v>
      </c>
      <c r="D16" s="58">
        <f t="shared" si="2"/>
        <v>0.18956709238679711</v>
      </c>
      <c r="E16" s="60">
        <v>1039</v>
      </c>
    </row>
    <row r="17" spans="1:5">
      <c r="A17" s="56">
        <f t="shared" si="0"/>
        <v>5.018180670222705E-2</v>
      </c>
      <c r="B17" s="57">
        <f t="shared" si="1"/>
        <v>39.949818193297773</v>
      </c>
      <c r="C17" s="60">
        <v>40</v>
      </c>
      <c r="D17" s="58">
        <f t="shared" si="2"/>
        <v>0.20134250163719711</v>
      </c>
      <c r="E17" s="60">
        <v>1118</v>
      </c>
    </row>
    <row r="18" spans="1:5">
      <c r="A18" s="56">
        <f t="shared" si="0"/>
        <v>-3.9795447529371586E-2</v>
      </c>
      <c r="B18" s="57">
        <f t="shared" si="1"/>
        <v>50.039795447529372</v>
      </c>
      <c r="C18" s="60">
        <v>50</v>
      </c>
      <c r="D18" s="58">
        <f t="shared" si="2"/>
        <v>0.21353359173126613</v>
      </c>
      <c r="E18" s="60">
        <v>1202</v>
      </c>
    </row>
    <row r="19" spans="1:5">
      <c r="A19" s="56">
        <f t="shared" si="0"/>
        <v>3.8944265737399064E-2</v>
      </c>
      <c r="B19" s="57">
        <f t="shared" si="1"/>
        <v>59.961055734262601</v>
      </c>
      <c r="C19" s="60">
        <v>60</v>
      </c>
      <c r="D19" s="58">
        <f t="shared" si="2"/>
        <v>0.2256769671870022</v>
      </c>
      <c r="E19" s="60">
        <v>1288</v>
      </c>
    </row>
    <row r="20" spans="1:5">
      <c r="A20" s="56">
        <f t="shared" si="0"/>
        <v>-5.6554451983828358E-2</v>
      </c>
      <c r="B20" s="57">
        <f t="shared" si="1"/>
        <v>70.056554451983828</v>
      </c>
      <c r="C20" s="60">
        <v>70</v>
      </c>
      <c r="D20" s="58">
        <f t="shared" si="2"/>
        <v>0.23816925734024177</v>
      </c>
      <c r="E20" s="60">
        <v>1379</v>
      </c>
    </row>
    <row r="21" spans="1:5">
      <c r="A21" s="56">
        <f t="shared" si="0"/>
        <v>1.0481589657871382E-2</v>
      </c>
      <c r="B21" s="57">
        <f t="shared" si="1"/>
        <v>79.989518410342129</v>
      </c>
      <c r="C21" s="60">
        <v>80</v>
      </c>
      <c r="D21" s="58">
        <f t="shared" si="2"/>
        <v>0.25057257814917977</v>
      </c>
      <c r="E21" s="60">
        <v>1472</v>
      </c>
    </row>
    <row r="22" spans="1:5">
      <c r="A22" s="56">
        <f t="shared" si="0"/>
        <v>2.3310526391270514E-2</v>
      </c>
      <c r="B22" s="57">
        <f t="shared" si="1"/>
        <v>89.976689473608729</v>
      </c>
      <c r="C22" s="60">
        <v>90</v>
      </c>
      <c r="D22" s="58">
        <f t="shared" si="2"/>
        <v>0.26313462418051531</v>
      </c>
      <c r="E22" s="60">
        <v>1569</v>
      </c>
    </row>
    <row r="23" spans="1:5">
      <c r="A23" s="56">
        <f t="shared" si="0"/>
        <v>-1.0863558575437082E-2</v>
      </c>
      <c r="B23" s="57">
        <f t="shared" si="1"/>
        <v>100.01086355857544</v>
      </c>
      <c r="C23" s="60">
        <v>100</v>
      </c>
      <c r="D23" s="58">
        <f t="shared" si="2"/>
        <v>0.27582582582582577</v>
      </c>
      <c r="E23" s="60">
        <v>1670</v>
      </c>
    </row>
    <row r="24" spans="1:5">
      <c r="A24" s="56">
        <f t="shared" si="0"/>
        <v>6.9437749391738635E-3</v>
      </c>
      <c r="B24" s="57">
        <f t="shared" si="1"/>
        <v>109.99305622506083</v>
      </c>
      <c r="C24" s="60">
        <v>110</v>
      </c>
      <c r="D24" s="58">
        <f t="shared" si="2"/>
        <v>0.28849793021880543</v>
      </c>
      <c r="E24" s="60">
        <v>1774</v>
      </c>
    </row>
    <row r="25" spans="1:5">
      <c r="A25" s="56">
        <f t="shared" si="0"/>
        <v>-2.1712153801189515E-2</v>
      </c>
      <c r="B25" s="57">
        <f t="shared" si="1"/>
        <v>120.02171215380119</v>
      </c>
      <c r="C25" s="60">
        <v>120</v>
      </c>
      <c r="D25" s="58">
        <f t="shared" si="2"/>
        <v>0.30125145518044233</v>
      </c>
      <c r="E25" s="60">
        <v>1882</v>
      </c>
    </row>
    <row r="26" spans="1:5">
      <c r="A26" s="56">
        <f t="shared" si="0"/>
        <v>-8.2779988013896855E-3</v>
      </c>
      <c r="B26" s="57">
        <f t="shared" si="1"/>
        <v>125.00827799880139</v>
      </c>
      <c r="C26" s="60">
        <v>125</v>
      </c>
      <c r="D26" s="58">
        <f t="shared" si="2"/>
        <v>0.30759347480871946</v>
      </c>
      <c r="E26" s="60">
        <v>1937</v>
      </c>
    </row>
    <row r="27" spans="1:5">
      <c r="A27" s="56">
        <f t="shared" si="0"/>
        <v>-7.7889898464889029E-3</v>
      </c>
      <c r="B27" s="57">
        <f t="shared" si="1"/>
        <v>130.00778898984649</v>
      </c>
      <c r="C27" s="60">
        <v>130</v>
      </c>
      <c r="D27" s="58">
        <f t="shared" si="2"/>
        <v>0.31394815981669766</v>
      </c>
      <c r="E27" s="60">
        <v>1993</v>
      </c>
    </row>
    <row r="28" spans="1:5">
      <c r="A28" s="56">
        <f t="shared" si="0"/>
        <v>4.0105866428717718E-2</v>
      </c>
      <c r="B28" s="57">
        <f t="shared" si="1"/>
        <v>139.95989413357128</v>
      </c>
      <c r="C28" s="60">
        <v>140</v>
      </c>
      <c r="D28" s="58">
        <f t="shared" si="2"/>
        <v>0.32657460898971391</v>
      </c>
      <c r="E28" s="60">
        <v>2107</v>
      </c>
    </row>
    <row r="29" spans="1:5">
      <c r="A29" s="56">
        <f t="shared" si="0"/>
        <v>3.0845263254633437E-2</v>
      </c>
      <c r="B29" s="57">
        <f t="shared" si="1"/>
        <v>149.96915473674537</v>
      </c>
      <c r="C29" s="60">
        <v>150</v>
      </c>
      <c r="D29" s="58">
        <f t="shared" si="2"/>
        <v>0.33922383922383914</v>
      </c>
      <c r="E29" s="60">
        <v>2225</v>
      </c>
    </row>
    <row r="30" spans="1:5">
      <c r="A30" s="56">
        <f t="shared" si="0"/>
        <v>4.7664206930249975E-2</v>
      </c>
      <c r="B30" s="57">
        <f t="shared" si="1"/>
        <v>159.95233579306975</v>
      </c>
      <c r="C30" s="60">
        <v>160</v>
      </c>
      <c r="D30" s="58">
        <f t="shared" si="2"/>
        <v>0.35177208287895312</v>
      </c>
      <c r="E30" s="60">
        <v>2346</v>
      </c>
    </row>
    <row r="31" spans="1:5">
      <c r="A31" s="56">
        <f t="shared" si="0"/>
        <v>1.0357899414799476E-2</v>
      </c>
      <c r="B31" s="57">
        <f t="shared" si="1"/>
        <v>169.9896421005852</v>
      </c>
      <c r="C31" s="60">
        <v>170</v>
      </c>
      <c r="D31" s="58">
        <f t="shared" si="2"/>
        <v>0.36430773354778173</v>
      </c>
      <c r="E31" s="60">
        <v>2471</v>
      </c>
    </row>
    <row r="32" spans="1:5">
      <c r="A32" s="56">
        <f t="shared" si="0"/>
        <v>-2.5245387613239245E-2</v>
      </c>
      <c r="B32" s="57">
        <f t="shared" si="1"/>
        <v>175.02524538761324</v>
      </c>
      <c r="C32" s="60">
        <v>175</v>
      </c>
      <c r="D32" s="58">
        <f t="shared" si="2"/>
        <v>0.37056478405315607</v>
      </c>
      <c r="E32" s="60">
        <v>2535</v>
      </c>
    </row>
    <row r="33" spans="1:5">
      <c r="A33" s="56">
        <f t="shared" si="0"/>
        <v>8.4736639717931439E-2</v>
      </c>
      <c r="B33" s="57">
        <f t="shared" si="1"/>
        <v>179.91526336028207</v>
      </c>
      <c r="C33" s="67">
        <v>180</v>
      </c>
      <c r="D33" s="68">
        <f t="shared" si="2"/>
        <v>0.37662098049551923</v>
      </c>
      <c r="E33" s="67">
        <v>2598</v>
      </c>
    </row>
    <row r="34" spans="1:5">
      <c r="A34" s="56">
        <f t="shared" si="0"/>
        <v>3.2568615463134165E-2</v>
      </c>
      <c r="B34" s="57">
        <f t="shared" si="1"/>
        <v>184.96743138453687</v>
      </c>
      <c r="C34" s="67">
        <v>185</v>
      </c>
      <c r="D34" s="68">
        <f t="shared" si="2"/>
        <v>0.3828586360073164</v>
      </c>
      <c r="E34" s="67">
        <v>2664</v>
      </c>
    </row>
    <row r="35" spans="1:5">
      <c r="A35" s="56">
        <f t="shared" si="0"/>
        <v>5.2890260962868751E-2</v>
      </c>
      <c r="B35" s="57">
        <f t="shared" si="1"/>
        <v>189.94710973903713</v>
      </c>
      <c r="C35" s="67">
        <v>190</v>
      </c>
      <c r="D35" s="68">
        <f t="shared" si="2"/>
        <v>0.38898963730569941</v>
      </c>
      <c r="E35" s="67">
        <v>2730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tempVsADC</vt:lpstr>
      <vt:lpstr>ADCvsTemp</vt:lpstr>
      <vt:lpstr>mesurement</vt:lpstr>
      <vt:lpstr>Sheet1</vt:lpstr>
      <vt:lpstr>Sheet2</vt:lpstr>
      <vt:lpstr>Air Therm-Curve-Z</vt:lpstr>
      <vt:lpstr>KTY83-110-Motor Therm</vt:lpstr>
      <vt:lpstr>KTY83-110-Amb Therm</vt:lpstr>
      <vt:lpstr>AHU-Motor Therm</vt:lpstr>
      <vt:lpstr>'Air Therm-Curve-Z'!Z_Curve_Termistor_1</vt:lpstr>
      <vt:lpstr>'KTY83-110-Motor Therm'!Z_Curve_Termistor_1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2015-04-06T14:34:29Z</dcterms:modified>
</cp:coreProperties>
</file>