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ocuments\"/>
    </mc:Choice>
  </mc:AlternateContent>
  <xr:revisionPtr revIDLastSave="0" documentId="13_ncr:1_{E97C1784-81C5-4B35-B965-37124CEF99BA}" xr6:coauthVersionLast="47" xr6:coauthVersionMax="47" xr10:uidLastSave="{00000000-0000-0000-0000-000000000000}"/>
  <bookViews>
    <workbookView xWindow="-120" yWindow="-120" windowWidth="20730" windowHeight="11160" xr2:uid="{AC88744C-D9DF-4ECD-8B9A-C97C8CD0E4BD}"/>
  </bookViews>
  <sheets>
    <sheet name="Planilha1" sheetId="1" r:id="rId1"/>
  </sheets>
  <definedNames>
    <definedName name="_xlnm._FilterDatabase" localSheetId="0" hidden="1">Planilha1!$A$1:$M$200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47" i="1" l="1"/>
  <c r="A200" i="1"/>
  <c r="N201" i="1"/>
  <c r="M201" i="1"/>
  <c r="K201" i="1"/>
  <c r="A201" i="1"/>
  <c r="N200" i="1"/>
  <c r="M200" i="1"/>
  <c r="K200" i="1"/>
  <c r="N198" i="1"/>
  <c r="M198" i="1"/>
  <c r="K198" i="1"/>
  <c r="A198" i="1"/>
  <c r="N199" i="1"/>
  <c r="M199" i="1"/>
  <c r="K199" i="1"/>
  <c r="A199" i="1"/>
  <c r="N197" i="1"/>
  <c r="M197" i="1"/>
  <c r="K197" i="1"/>
  <c r="A197" i="1"/>
  <c r="N196" i="1"/>
  <c r="M196" i="1"/>
  <c r="K196" i="1"/>
  <c r="A196" i="1"/>
  <c r="N195" i="1"/>
  <c r="M195" i="1"/>
  <c r="K195" i="1"/>
  <c r="A195" i="1"/>
  <c r="N194" i="1"/>
  <c r="M194" i="1"/>
  <c r="K194" i="1"/>
  <c r="A194" i="1"/>
  <c r="N193" i="1"/>
  <c r="M193" i="1"/>
  <c r="K193" i="1"/>
  <c r="A193" i="1"/>
  <c r="N192" i="1"/>
  <c r="M192" i="1"/>
  <c r="K192" i="1"/>
  <c r="A192" i="1"/>
  <c r="N191" i="1"/>
  <c r="M191" i="1"/>
  <c r="K191" i="1"/>
  <c r="A191" i="1"/>
  <c r="N190" i="1"/>
  <c r="M190" i="1"/>
  <c r="K190" i="1"/>
  <c r="A190" i="1"/>
  <c r="Q19" i="1"/>
  <c r="Q18" i="1"/>
  <c r="Q17" i="1"/>
  <c r="Q16" i="1"/>
  <c r="N189" i="1"/>
  <c r="M189" i="1"/>
  <c r="K189" i="1"/>
  <c r="A189" i="1"/>
  <c r="N188" i="1"/>
  <c r="M188" i="1"/>
  <c r="K188" i="1"/>
  <c r="A188" i="1"/>
  <c r="N187" i="1"/>
  <c r="Q21" i="1" s="1"/>
  <c r="M187" i="1"/>
  <c r="K187" i="1"/>
  <c r="A187" i="1"/>
  <c r="N186" i="1"/>
  <c r="M186" i="1"/>
  <c r="K186" i="1"/>
  <c r="A186" i="1"/>
  <c r="N185" i="1"/>
  <c r="M185" i="1"/>
  <c r="K185" i="1"/>
  <c r="A185" i="1"/>
  <c r="N184" i="1"/>
  <c r="M184" i="1"/>
  <c r="K184" i="1"/>
  <c r="A184" i="1"/>
  <c r="N183" i="1"/>
  <c r="M183" i="1"/>
  <c r="K183" i="1"/>
  <c r="A183" i="1"/>
  <c r="N182" i="1"/>
  <c r="M182" i="1"/>
  <c r="K182" i="1"/>
  <c r="A182" i="1"/>
  <c r="N181" i="1"/>
  <c r="M181" i="1"/>
  <c r="K181" i="1"/>
  <c r="A181" i="1"/>
  <c r="N180" i="1"/>
  <c r="M180" i="1"/>
  <c r="Q20" i="1" s="1"/>
  <c r="K180" i="1"/>
  <c r="A180" i="1"/>
  <c r="N179" i="1"/>
  <c r="M179" i="1"/>
  <c r="K179" i="1"/>
  <c r="A179" i="1"/>
  <c r="N178" i="1"/>
  <c r="M178" i="1"/>
  <c r="K178" i="1"/>
  <c r="A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M177" i="1"/>
  <c r="A177" i="1"/>
  <c r="M176" i="1"/>
  <c r="A176" i="1"/>
  <c r="M175" i="1"/>
  <c r="A175" i="1"/>
  <c r="M174" i="1"/>
  <c r="A174" i="1"/>
  <c r="M173" i="1"/>
  <c r="A173" i="1"/>
  <c r="M172" i="1"/>
  <c r="A172" i="1"/>
  <c r="M171" i="1"/>
  <c r="A171" i="1"/>
  <c r="M170" i="1"/>
  <c r="A170" i="1"/>
  <c r="M169" i="1"/>
  <c r="A169" i="1"/>
  <c r="M168" i="1"/>
  <c r="A168" i="1"/>
  <c r="M167" i="1"/>
  <c r="A167" i="1"/>
  <c r="M166" i="1"/>
  <c r="A166" i="1"/>
  <c r="M165" i="1"/>
  <c r="A165" i="1"/>
  <c r="M164" i="1"/>
  <c r="A164" i="1"/>
  <c r="M163" i="1"/>
  <c r="A163" i="1"/>
  <c r="M162" i="1"/>
  <c r="A162" i="1"/>
  <c r="M161" i="1"/>
  <c r="A161" i="1"/>
  <c r="M160" i="1"/>
  <c r="A160" i="1"/>
  <c r="M159" i="1"/>
  <c r="A159" i="1"/>
  <c r="M158" i="1"/>
  <c r="A158" i="1"/>
  <c r="M157" i="1"/>
  <c r="A157" i="1"/>
  <c r="M156" i="1"/>
  <c r="L156" i="1" s="1"/>
  <c r="A156" i="1"/>
  <c r="M155" i="1"/>
  <c r="L155" i="1" s="1"/>
  <c r="A155" i="1"/>
  <c r="M154" i="1"/>
  <c r="L154" i="1" s="1"/>
  <c r="A154" i="1"/>
  <c r="M153" i="1"/>
  <c r="L153" i="1" s="1"/>
  <c r="A153" i="1"/>
  <c r="M152" i="1"/>
  <c r="L152" i="1" s="1"/>
  <c r="A152" i="1"/>
  <c r="A151" i="1"/>
  <c r="A150" i="1"/>
  <c r="M151" i="1"/>
  <c r="L151" i="1" s="1"/>
  <c r="M150" i="1"/>
  <c r="L150" i="1" s="1"/>
  <c r="Q25" i="1"/>
  <c r="A149" i="1" l="1"/>
  <c r="A148" i="1"/>
  <c r="A147" i="1"/>
  <c r="A146" i="1"/>
  <c r="A145" i="1"/>
  <c r="A144" i="1"/>
  <c r="A143" i="1"/>
  <c r="A142" i="1"/>
  <c r="M149" i="1"/>
  <c r="L149" i="1" s="1"/>
  <c r="M148" i="1"/>
  <c r="L148" i="1" s="1"/>
  <c r="M147" i="1"/>
  <c r="L147" i="1" s="1"/>
  <c r="M146" i="1"/>
  <c r="L146" i="1" s="1"/>
  <c r="M145" i="1"/>
  <c r="L145" i="1" s="1"/>
  <c r="M144" i="1"/>
  <c r="L144" i="1" s="1"/>
  <c r="M143" i="1"/>
  <c r="L143" i="1" s="1"/>
  <c r="M142" i="1"/>
  <c r="L142" i="1" s="1"/>
  <c r="M141" i="1"/>
  <c r="L141" i="1" s="1"/>
  <c r="M140" i="1"/>
  <c r="L140" i="1" s="1"/>
  <c r="M139" i="1"/>
  <c r="L139" i="1" s="1"/>
  <c r="M138" i="1"/>
  <c r="L138" i="1" s="1"/>
  <c r="M137" i="1"/>
  <c r="L137" i="1" s="1"/>
  <c r="M136" i="1"/>
  <c r="L136" i="1" s="1"/>
  <c r="M135" i="1"/>
  <c r="L135" i="1" s="1"/>
  <c r="M134" i="1"/>
  <c r="L134" i="1" s="1"/>
  <c r="M133" i="1"/>
  <c r="L133" i="1" s="1"/>
  <c r="M132" i="1"/>
  <c r="L132" i="1" s="1"/>
  <c r="M131" i="1"/>
  <c r="L131" i="1" s="1"/>
  <c r="M130" i="1"/>
  <c r="M129" i="1"/>
  <c r="L129" i="1" s="1"/>
  <c r="M128" i="1"/>
  <c r="L128" i="1" s="1"/>
  <c r="M127" i="1"/>
  <c r="L127" i="1" s="1"/>
  <c r="M126" i="1"/>
  <c r="L126" i="1" s="1"/>
  <c r="M125" i="1"/>
  <c r="L125" i="1" s="1"/>
  <c r="M124" i="1"/>
  <c r="L124" i="1" s="1"/>
  <c r="M123" i="1"/>
  <c r="L123" i="1" s="1"/>
  <c r="M122" i="1"/>
  <c r="L122" i="1" s="1"/>
  <c r="M121" i="1"/>
  <c r="L121" i="1" s="1"/>
  <c r="M120" i="1"/>
  <c r="L120" i="1" s="1"/>
  <c r="M119" i="1"/>
  <c r="L119" i="1" s="1"/>
  <c r="M118" i="1"/>
  <c r="M117" i="1"/>
  <c r="L117" i="1" s="1"/>
  <c r="M116" i="1"/>
  <c r="L116" i="1" s="1"/>
  <c r="M115" i="1"/>
  <c r="L115" i="1" s="1"/>
  <c r="M114" i="1"/>
  <c r="L114" i="1" s="1"/>
  <c r="M113" i="1"/>
  <c r="L113" i="1" s="1"/>
  <c r="M112" i="1"/>
  <c r="M111" i="1"/>
  <c r="L111" i="1" s="1"/>
  <c r="M110" i="1"/>
  <c r="L110" i="1" s="1"/>
  <c r="M109" i="1"/>
  <c r="L109" i="1" s="1"/>
  <c r="M108" i="1"/>
  <c r="L108" i="1" s="1"/>
  <c r="M107" i="1"/>
  <c r="L107" i="1" s="1"/>
  <c r="M106" i="1"/>
  <c r="L106" i="1" s="1"/>
  <c r="M105" i="1"/>
  <c r="L105" i="1" s="1"/>
  <c r="M104" i="1"/>
  <c r="L104" i="1" s="1"/>
  <c r="M103" i="1"/>
  <c r="L103" i="1" s="1"/>
  <c r="M102" i="1"/>
  <c r="L102" i="1" s="1"/>
  <c r="M101" i="1"/>
  <c r="L101" i="1" s="1"/>
  <c r="M100" i="1"/>
  <c r="L100" i="1" s="1"/>
  <c r="M99" i="1"/>
  <c r="L99" i="1" s="1"/>
  <c r="M98" i="1"/>
  <c r="L98" i="1" s="1"/>
  <c r="M97" i="1"/>
  <c r="L97" i="1" s="1"/>
  <c r="M96" i="1"/>
  <c r="L96" i="1" s="1"/>
  <c r="M95" i="1"/>
  <c r="L95" i="1" s="1"/>
  <c r="M94" i="1"/>
  <c r="L94" i="1" s="1"/>
  <c r="M93" i="1"/>
  <c r="L93" i="1" s="1"/>
  <c r="M92" i="1"/>
  <c r="L92" i="1" s="1"/>
  <c r="M91" i="1"/>
  <c r="L91" i="1" s="1"/>
  <c r="M90" i="1"/>
  <c r="L90" i="1" s="1"/>
  <c r="M89" i="1"/>
  <c r="L89" i="1" s="1"/>
  <c r="M88" i="1"/>
  <c r="L88" i="1" s="1"/>
  <c r="M87" i="1"/>
  <c r="L87" i="1" s="1"/>
  <c r="M86" i="1"/>
  <c r="L86" i="1" s="1"/>
  <c r="M85" i="1"/>
  <c r="L85" i="1" s="1"/>
  <c r="M84" i="1"/>
  <c r="L84" i="1" s="1"/>
  <c r="M83" i="1"/>
  <c r="L83" i="1" s="1"/>
  <c r="M82" i="1"/>
  <c r="L82" i="1" s="1"/>
  <c r="M81" i="1"/>
  <c r="L81" i="1" s="1"/>
  <c r="M80" i="1"/>
  <c r="L80" i="1" s="1"/>
  <c r="M79" i="1"/>
  <c r="L79" i="1" s="1"/>
  <c r="M78" i="1"/>
  <c r="L78" i="1" s="1"/>
  <c r="M77" i="1"/>
  <c r="L77" i="1" s="1"/>
  <c r="M76" i="1"/>
  <c r="L76" i="1" s="1"/>
  <c r="M75" i="1"/>
  <c r="L75" i="1" s="1"/>
  <c r="M74" i="1"/>
  <c r="L74" i="1" s="1"/>
  <c r="M73" i="1"/>
  <c r="L73" i="1" s="1"/>
  <c r="M72" i="1"/>
  <c r="L72" i="1" s="1"/>
  <c r="M71" i="1"/>
  <c r="L71" i="1" s="1"/>
  <c r="M70" i="1"/>
  <c r="L70" i="1" s="1"/>
  <c r="M69" i="1"/>
  <c r="L69" i="1" s="1"/>
  <c r="M68" i="1"/>
  <c r="L68" i="1" s="1"/>
  <c r="M67" i="1"/>
  <c r="L67" i="1" s="1"/>
  <c r="M66" i="1"/>
  <c r="L66" i="1" s="1"/>
  <c r="M65" i="1"/>
  <c r="L65" i="1" s="1"/>
  <c r="M64" i="1"/>
  <c r="L64" i="1" s="1"/>
  <c r="M63" i="1"/>
  <c r="L63" i="1" s="1"/>
  <c r="M62" i="1"/>
  <c r="L62" i="1" s="1"/>
  <c r="M61" i="1"/>
  <c r="L61" i="1" s="1"/>
  <c r="M60" i="1"/>
  <c r="L60" i="1" s="1"/>
  <c r="M59" i="1"/>
  <c r="L59" i="1" s="1"/>
  <c r="M58" i="1"/>
  <c r="L58" i="1" s="1"/>
  <c r="M57" i="1"/>
  <c r="L57" i="1" s="1"/>
  <c r="M56" i="1"/>
  <c r="L56" i="1" s="1"/>
  <c r="M55" i="1"/>
  <c r="L55" i="1" s="1"/>
  <c r="M54" i="1"/>
  <c r="L54" i="1" s="1"/>
  <c r="M53" i="1"/>
  <c r="L53" i="1" s="1"/>
  <c r="M52" i="1"/>
  <c r="L52" i="1" s="1"/>
  <c r="M51" i="1"/>
  <c r="L51" i="1" s="1"/>
  <c r="M50" i="1"/>
  <c r="L50" i="1" s="1"/>
  <c r="M49" i="1"/>
  <c r="L49" i="1" s="1"/>
  <c r="M48" i="1"/>
  <c r="L48" i="1" s="1"/>
  <c r="M47" i="1"/>
  <c r="L47" i="1" s="1"/>
  <c r="M46" i="1"/>
  <c r="L46" i="1" s="1"/>
  <c r="M45" i="1"/>
  <c r="L45" i="1" s="1"/>
  <c r="M44" i="1"/>
  <c r="L44" i="1" s="1"/>
  <c r="M43" i="1"/>
  <c r="L43" i="1" s="1"/>
  <c r="M42" i="1"/>
  <c r="L42" i="1" s="1"/>
  <c r="M41" i="1"/>
  <c r="L41" i="1" s="1"/>
  <c r="M40" i="1"/>
  <c r="L40" i="1" s="1"/>
  <c r="M39" i="1"/>
  <c r="L39" i="1" s="1"/>
  <c r="M38" i="1"/>
  <c r="L38" i="1" s="1"/>
  <c r="M37" i="1"/>
  <c r="L37" i="1" s="1"/>
  <c r="M36" i="1"/>
  <c r="L36" i="1" s="1"/>
  <c r="M35" i="1"/>
  <c r="L35" i="1" s="1"/>
  <c r="M34" i="1"/>
  <c r="L34" i="1" s="1"/>
  <c r="M33" i="1"/>
  <c r="L33" i="1" s="1"/>
  <c r="M32" i="1"/>
  <c r="L32" i="1" s="1"/>
  <c r="M31" i="1"/>
  <c r="L31" i="1" s="1"/>
  <c r="M30" i="1"/>
  <c r="L30" i="1" s="1"/>
  <c r="M29" i="1"/>
  <c r="L29" i="1" s="1"/>
  <c r="M28" i="1"/>
  <c r="L28" i="1" s="1"/>
  <c r="M27" i="1"/>
  <c r="L27" i="1" s="1"/>
  <c r="M26" i="1"/>
  <c r="L26" i="1" s="1"/>
  <c r="M25" i="1"/>
  <c r="L25" i="1" s="1"/>
  <c r="M24" i="1"/>
  <c r="L24" i="1" s="1"/>
  <c r="M23" i="1"/>
  <c r="L23" i="1" s="1"/>
  <c r="M22" i="1"/>
  <c r="L22" i="1" s="1"/>
  <c r="M21" i="1"/>
  <c r="L21" i="1" s="1"/>
  <c r="M20" i="1"/>
  <c r="L20" i="1" s="1"/>
  <c r="M19" i="1"/>
  <c r="L19" i="1" s="1"/>
  <c r="M18" i="1"/>
  <c r="L18" i="1" s="1"/>
  <c r="M17" i="1"/>
  <c r="L17" i="1" s="1"/>
  <c r="M16" i="1"/>
  <c r="L16" i="1" s="1"/>
  <c r="M15" i="1"/>
  <c r="L15" i="1" s="1"/>
  <c r="M14" i="1"/>
  <c r="L14" i="1" s="1"/>
  <c r="M13" i="1"/>
  <c r="L13" i="1" s="1"/>
  <c r="M12" i="1"/>
  <c r="L12" i="1" s="1"/>
  <c r="M11" i="1"/>
  <c r="L11" i="1" s="1"/>
  <c r="M10" i="1"/>
  <c r="L10" i="1" s="1"/>
  <c r="M9" i="1"/>
  <c r="L9" i="1" s="1"/>
  <c r="M8" i="1"/>
  <c r="L8" i="1" s="1"/>
  <c r="M7" i="1"/>
  <c r="L7" i="1" s="1"/>
  <c r="M6" i="1"/>
  <c r="L6" i="1" s="1"/>
  <c r="M5" i="1"/>
  <c r="L5" i="1" s="1"/>
  <c r="M4" i="1"/>
  <c r="L4" i="1" s="1"/>
  <c r="M3" i="1"/>
  <c r="L3" i="1" s="1"/>
  <c r="M2" i="1"/>
  <c r="L2" i="1" l="1"/>
  <c r="L130" i="1"/>
  <c r="L118" i="1"/>
  <c r="Q31" i="1"/>
  <c r="L112" i="1"/>
  <c r="Q26" i="1"/>
  <c r="Q27" i="1" s="1"/>
  <c r="Q30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C6" i="1" s="1" a="1"/>
  <c r="AC6" i="1" s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X6" i="1" s="1" a="1"/>
  <c r="X6" i="1" s="1"/>
  <c r="A3" i="1"/>
  <c r="A2" i="1"/>
  <c r="S6" i="1" s="1" a="1"/>
  <c r="S6" i="1" s="1"/>
  <c r="Q12" i="1" l="1"/>
  <c r="Q7" i="1"/>
  <c r="Q8" i="1"/>
  <c r="AA76" i="1"/>
  <c r="Q32" i="1"/>
  <c r="Q11" i="1"/>
  <c r="Q9" i="1"/>
  <c r="Q10" i="1"/>
  <c r="V3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<sst xmlns="http://schemas.openxmlformats.org/spreadsheetml/2006/main" count="782" uniqueCount="256">
  <si>
    <t>Nome do Filme</t>
  </si>
  <si>
    <t>Estilo</t>
  </si>
  <si>
    <t>Up: Altas Aventuras</t>
  </si>
  <si>
    <t>Nota</t>
  </si>
  <si>
    <t>Duração</t>
  </si>
  <si>
    <t>Produtor</t>
  </si>
  <si>
    <t>3D</t>
  </si>
  <si>
    <t>Pixar</t>
  </si>
  <si>
    <t>Bambi</t>
  </si>
  <si>
    <t>2D</t>
  </si>
  <si>
    <t>Disney</t>
  </si>
  <si>
    <t>101 Dálmatas</t>
  </si>
  <si>
    <t>Wi Fi Ralph: Quebrando a Internet</t>
  </si>
  <si>
    <t>Detona Ralph</t>
  </si>
  <si>
    <t>Coraline e o Mundo Secreto</t>
  </si>
  <si>
    <t>Stop-Motion</t>
  </si>
  <si>
    <t>Laika</t>
  </si>
  <si>
    <t>Lilo &amp; Stitch</t>
  </si>
  <si>
    <t>A Pequena Sereia</t>
  </si>
  <si>
    <t>Frozen II</t>
  </si>
  <si>
    <t>Encanto</t>
  </si>
  <si>
    <t>Enrolados</t>
  </si>
  <si>
    <t>Moana: um Mar de Aventuras</t>
  </si>
  <si>
    <t>Os Incríveis</t>
  </si>
  <si>
    <t>Zootopia: Essa cidade é o bicho</t>
  </si>
  <si>
    <t>Irmão Urso</t>
  </si>
  <si>
    <t>Os Incríveis 2</t>
  </si>
  <si>
    <t>Divertidamente</t>
  </si>
  <si>
    <t>Viva: A Vida é uma festa</t>
  </si>
  <si>
    <t>Toy Story:  Um Mundo de Aventuras</t>
  </si>
  <si>
    <t>Monstros S.A</t>
  </si>
  <si>
    <t>Frozen: Febre Congelante</t>
  </si>
  <si>
    <t>Como Treinar o Seu Dragão</t>
  </si>
  <si>
    <t>Dreamworks</t>
  </si>
  <si>
    <t>Desconhecido</t>
  </si>
  <si>
    <t>Como Treinar o Seu Dragão 2</t>
  </si>
  <si>
    <t>Como Treinar o Seu Dragão 3</t>
  </si>
  <si>
    <t>Shrek 1</t>
  </si>
  <si>
    <t>Shrek 2</t>
  </si>
  <si>
    <t>Shrek 3</t>
  </si>
  <si>
    <t>Spirit: O Corcéu Indomável</t>
  </si>
  <si>
    <t>O Caminho Para El Dorado</t>
  </si>
  <si>
    <t>A Fuga Das Galinhas</t>
  </si>
  <si>
    <t>Aardman</t>
  </si>
  <si>
    <t>O Planeta do Tesouro</t>
  </si>
  <si>
    <t>Nem que a Vaca Tussa</t>
  </si>
  <si>
    <t>Kung Fu Panda</t>
  </si>
  <si>
    <t>Kung Fu Panda 2</t>
  </si>
  <si>
    <t>Kung Fu Panda 3</t>
  </si>
  <si>
    <t>A Origem dos Guardiões</t>
  </si>
  <si>
    <t>O Gato De Botas</t>
  </si>
  <si>
    <t>A Bela Adormecida</t>
  </si>
  <si>
    <t>Operação Big Hero</t>
  </si>
  <si>
    <t>Mulan</t>
  </si>
  <si>
    <t>O Rei Leão</t>
  </si>
  <si>
    <t>O Rei Leão 2: O Reino de Simba</t>
  </si>
  <si>
    <t>Aladdin</t>
  </si>
  <si>
    <t>Hércules</t>
  </si>
  <si>
    <t>A Bela e a Fera</t>
  </si>
  <si>
    <t>O Corcunda de Notre Dame</t>
  </si>
  <si>
    <t>Mogli: O Menino Lobo</t>
  </si>
  <si>
    <t>O Cão e a Raposa</t>
  </si>
  <si>
    <t>A Princesa e o Sapo</t>
  </si>
  <si>
    <t>Tarzan</t>
  </si>
  <si>
    <t>Pocahontas</t>
  </si>
  <si>
    <t>Vida de Inseto</t>
  </si>
  <si>
    <t>Procurando Nemo</t>
  </si>
  <si>
    <t>Aristogatas</t>
  </si>
  <si>
    <t>As Peripécias de um Ratinho Detetive</t>
  </si>
  <si>
    <t>Madagascar</t>
  </si>
  <si>
    <t>Ano</t>
  </si>
  <si>
    <t>8.5</t>
  </si>
  <si>
    <t>9.5</t>
  </si>
  <si>
    <t>7.5</t>
  </si>
  <si>
    <t>Visto em</t>
  </si>
  <si>
    <t>Piratas do Caribe: A Maldição do Pérola Negra</t>
  </si>
  <si>
    <t>Piratas do Caribe: O Baú da Morte</t>
  </si>
  <si>
    <t>Piratas do Caribe: No Fim do Mundo</t>
  </si>
  <si>
    <t>Piratas do Caribe: Navegando em Águas Misteriosas</t>
  </si>
  <si>
    <t>Piratas do Caribe: A Vingança de Salazar</t>
  </si>
  <si>
    <t>Normal</t>
  </si>
  <si>
    <t>8.8</t>
  </si>
  <si>
    <t>Status</t>
  </si>
  <si>
    <t>Hotel Transilvânia</t>
  </si>
  <si>
    <t>Sony Pictures</t>
  </si>
  <si>
    <t>A Casa Monstro</t>
  </si>
  <si>
    <t>Hotel Transilvânia 2</t>
  </si>
  <si>
    <t>Hotel Translivânia 3</t>
  </si>
  <si>
    <t>Columbia Pictures</t>
  </si>
  <si>
    <t>Cinderela</t>
  </si>
  <si>
    <t>Toy Story 2</t>
  </si>
  <si>
    <t>Tá Chovendo Hambúrguer</t>
  </si>
  <si>
    <t>Operação Presente</t>
  </si>
  <si>
    <t>Toy Story 3</t>
  </si>
  <si>
    <t>Procurando Dory</t>
  </si>
  <si>
    <t>Universidade Monstro</t>
  </si>
  <si>
    <t>Wall-E</t>
  </si>
  <si>
    <t>Ratatouile</t>
  </si>
  <si>
    <t>Soul</t>
  </si>
  <si>
    <t>Angry Birds</t>
  </si>
  <si>
    <t>Angry Birds 2</t>
  </si>
  <si>
    <t>Scooby Doo: Na Ilha dos Zumbis</t>
  </si>
  <si>
    <t>Scooby Doo e os Invasores Alienígenas</t>
  </si>
  <si>
    <t>Scooby Doo e o Fantasma da Bruxa</t>
  </si>
  <si>
    <t>Scooby Doo e a Caçada Virtual</t>
  </si>
  <si>
    <t>Scooby Doo e a Lenda do Vampiro</t>
  </si>
  <si>
    <t>Scooby Doo e o Monstro do México</t>
  </si>
  <si>
    <t>Scooby Doo e o Monstro do Lago Ness</t>
  </si>
  <si>
    <t>Aloha: Scooby Doo</t>
  </si>
  <si>
    <t>Scooby Doo em Cadê a Minha Múmia?</t>
  </si>
  <si>
    <t>Scooby Doo! Piratas a Bordo</t>
  </si>
  <si>
    <t>Scooby Doo e o Abominável Homem das Neves</t>
  </si>
  <si>
    <t>Scooby Doo e o Rei dos Duendes</t>
  </si>
  <si>
    <t>Scooby Doo e a Espada do Samurai</t>
  </si>
  <si>
    <t>Scooby Doo: Estrela de Circo</t>
  </si>
  <si>
    <t>Scooby Doo: Música de Vampiro</t>
  </si>
  <si>
    <t>Scooby Doo: A Lenda do Fantasmossauro</t>
  </si>
  <si>
    <t>Scooby Doo:  Acampamento Assustador</t>
  </si>
  <si>
    <t>Scooby Doo: Abracadabra-doo</t>
  </si>
  <si>
    <t>Scooby Doo: A Máscara do Falcão Azul</t>
  </si>
  <si>
    <t>As Aventuras de Scooby: O Mapa Misterioso</t>
  </si>
  <si>
    <t>Scooby Doo e o Fantasma da Ópera</t>
  </si>
  <si>
    <t>Scooby Doo: Mistério na Luta-Mania</t>
  </si>
  <si>
    <t>Scooby Doo</t>
  </si>
  <si>
    <t>Scooby Doo e a Maldição do Frankenstein</t>
  </si>
  <si>
    <t>Scooby Doo: Loucura do Monstro da Lua</t>
  </si>
  <si>
    <t>Scooby Doo e Kiss: O Mistério do Rock n' Roll</t>
  </si>
  <si>
    <t>Lego Scooby Doo: Hollywood Assombrada</t>
  </si>
  <si>
    <t>Scooby Doo e WWE: A Maldição do Demônio Veloz</t>
  </si>
  <si>
    <t>Scooby Doo e o Combate do Salsicha</t>
  </si>
  <si>
    <t>Lego Scooby Doo e o Golpe da Praia</t>
  </si>
  <si>
    <t>Scooby Doo e Batman: Os Bravos e Destemidos</t>
  </si>
  <si>
    <t>Scooby Doo e o Fantasma Gourmet</t>
  </si>
  <si>
    <t>Scooby Doo e a Maldição do 13º Fantasma</t>
  </si>
  <si>
    <t>Scooby Doo: Retorno A ilha dos Zumbis</t>
  </si>
  <si>
    <t>Scooby Doo: Monstros a Solta</t>
  </si>
  <si>
    <t>Scoob</t>
  </si>
  <si>
    <t>Scooby Doo: Halloween</t>
  </si>
  <si>
    <t>Scooby E a Espada</t>
  </si>
  <si>
    <t>Fantoches</t>
  </si>
  <si>
    <t>Lego Style</t>
  </si>
  <si>
    <t>Live-Action</t>
  </si>
  <si>
    <t>Warner Bros</t>
  </si>
  <si>
    <t>Hanna Barbera Cartoons</t>
  </si>
  <si>
    <t>O Estranho Mundo de Jack</t>
  </si>
  <si>
    <t>Gato de Botas 2: O Último Pedido</t>
  </si>
  <si>
    <t>Red: Crescer é uma Fera</t>
  </si>
  <si>
    <t>A Dama e o Vagabundo</t>
  </si>
  <si>
    <t>Bernardo e Bianca</t>
  </si>
  <si>
    <t>A Nova Onda do Imperador</t>
  </si>
  <si>
    <t>Sinbad: A Lenda dos sete mares</t>
  </si>
  <si>
    <t>Pateta - O Filme</t>
  </si>
  <si>
    <t>Atlantis - O Reino Perdido</t>
  </si>
  <si>
    <t>Dumbo</t>
  </si>
  <si>
    <t>A Espada era a Lei</t>
  </si>
  <si>
    <t>Caldeirão Mágico</t>
  </si>
  <si>
    <t>Peter Pan</t>
  </si>
  <si>
    <t>Valente</t>
  </si>
  <si>
    <t>Carros 1</t>
  </si>
  <si>
    <t>Carros 2</t>
  </si>
  <si>
    <t>Carros 3</t>
  </si>
  <si>
    <t>O Bom Dinossauro</t>
  </si>
  <si>
    <t>Luca</t>
  </si>
  <si>
    <t>Dois Irmãos: Uma Jornada Fantástica</t>
  </si>
  <si>
    <t>O Príncipe do Egito</t>
  </si>
  <si>
    <t>A Branca de Neve e os Sete Anões</t>
  </si>
  <si>
    <t>Pinóquio</t>
  </si>
  <si>
    <t>A Família Mitchell e a Revolta das Máquinas</t>
  </si>
  <si>
    <t>8.4</t>
  </si>
  <si>
    <t>Anastasia</t>
  </si>
  <si>
    <t>Fox</t>
  </si>
  <si>
    <t>ID</t>
  </si>
  <si>
    <t>ID do Filme</t>
  </si>
  <si>
    <t>Nome</t>
  </si>
  <si>
    <t>Pesquisar Filme Por ID</t>
  </si>
  <si>
    <t>Pesquisar Filme por Nome</t>
  </si>
  <si>
    <t>Tá Dando Onda</t>
  </si>
  <si>
    <t>O Bicho Vai Pegar</t>
  </si>
  <si>
    <t>Sing: Quem Canta Seus Males Espanta</t>
  </si>
  <si>
    <t>Illumination</t>
  </si>
  <si>
    <t>Sing 2</t>
  </si>
  <si>
    <t>Meu Malvado Favorito</t>
  </si>
  <si>
    <t>Meu Malvado Favorito 2</t>
  </si>
  <si>
    <t>Família do Futuro</t>
  </si>
  <si>
    <t>Super Mario Bros: O Filme</t>
  </si>
  <si>
    <t>Filmes Assistidos</t>
  </si>
  <si>
    <t>ID Do Filme:</t>
  </si>
  <si>
    <t>Filmes Já Vistos</t>
  </si>
  <si>
    <t>Bin</t>
  </si>
  <si>
    <t>Filmes A Assistir</t>
  </si>
  <si>
    <t>Total de Filmes</t>
  </si>
  <si>
    <t>Filtrar Filmes Por Produtora</t>
  </si>
  <si>
    <t>Dados Gerais da Planilha</t>
  </si>
  <si>
    <t>Black Clover: A Espada do Rei Mago</t>
  </si>
  <si>
    <t>Anime</t>
  </si>
  <si>
    <t>Pierrot</t>
  </si>
  <si>
    <t>Demon Slayer: Mugen Train</t>
  </si>
  <si>
    <t>Shueisha</t>
  </si>
  <si>
    <t>Homem Aranha 1</t>
  </si>
  <si>
    <t>Homem Aranha 2</t>
  </si>
  <si>
    <t>Homem Aranha 3</t>
  </si>
  <si>
    <t>Batman Begins</t>
  </si>
  <si>
    <t>Batman: O Cavaleiro das Trevas</t>
  </si>
  <si>
    <t>Filmes da Pixar</t>
  </si>
  <si>
    <t>Toy Story 4</t>
  </si>
  <si>
    <t>Lightyear</t>
  </si>
  <si>
    <t>Total de Horas Assistidas:</t>
  </si>
  <si>
    <t>Filmes da Disney</t>
  </si>
  <si>
    <t>Fantasia</t>
  </si>
  <si>
    <t>Alô, Amigos</t>
  </si>
  <si>
    <t>Você Já Foi à Bahia?</t>
  </si>
  <si>
    <t>Música Maestro!</t>
  </si>
  <si>
    <t>Como É Bom se Divertir</t>
  </si>
  <si>
    <t>Tempo de Melodia</t>
  </si>
  <si>
    <t>As Aventuras de Ichabod E Sr.Sapo</t>
  </si>
  <si>
    <t>Alice No País Das Maravlihas</t>
  </si>
  <si>
    <t>Robin Hood</t>
  </si>
  <si>
    <t>As Muitas Aventuras Do Ursinho Pooh</t>
  </si>
  <si>
    <t>O Caldeirão Mágico</t>
  </si>
  <si>
    <t>Oliver e Sua Turma</t>
  </si>
  <si>
    <t>Bernardo e Bianca Na Terra dos Cangurus</t>
  </si>
  <si>
    <t>Fantasia 2000</t>
  </si>
  <si>
    <t>Dinossauro</t>
  </si>
  <si>
    <t>O Galinho Chicken Little</t>
  </si>
  <si>
    <t>Bolt: O Supercão</t>
  </si>
  <si>
    <t>O Ursinho Pooh</t>
  </si>
  <si>
    <t>Raya e O Último Dragão</t>
  </si>
  <si>
    <t>Orçamento</t>
  </si>
  <si>
    <t>Balança</t>
  </si>
  <si>
    <t>Receita</t>
  </si>
  <si>
    <t>Filmes da Dreamworks</t>
  </si>
  <si>
    <t>FormiguinhaZ</t>
  </si>
  <si>
    <t>O Espanta Tubarões</t>
  </si>
  <si>
    <t>Wallace &amp; Gromit: A Batalha dos vegetais</t>
  </si>
  <si>
    <t>Os Sem Floresta</t>
  </si>
  <si>
    <t>Por Água Abaixo</t>
  </si>
  <si>
    <t>Bee Movie: A História de uma Abelha</t>
  </si>
  <si>
    <t>Madagascar 2: A Grande Escapada</t>
  </si>
  <si>
    <t>Monstros Vs Aliens</t>
  </si>
  <si>
    <t>Shrek Para Sempre</t>
  </si>
  <si>
    <t>Megamente</t>
  </si>
  <si>
    <t>Madagascar 3: Os Procurados</t>
  </si>
  <si>
    <t>Os Croods</t>
  </si>
  <si>
    <t>Turbo</t>
  </si>
  <si>
    <t>As Aventuras de Peabody &amp; Sherman</t>
  </si>
  <si>
    <t>Os Pinguins de Madagascar</t>
  </si>
  <si>
    <t>Cada um na sua casa</t>
  </si>
  <si>
    <t>Trolls</t>
  </si>
  <si>
    <t>O Poderoso Chefinho</t>
  </si>
  <si>
    <t>As Aventuras do Capitão Cueca</t>
  </si>
  <si>
    <t>Abominável</t>
  </si>
  <si>
    <t>Trolls 2</t>
  </si>
  <si>
    <t>Os Croods 2: Uma Nova Era</t>
  </si>
  <si>
    <t>Spirit: O Indomável</t>
  </si>
  <si>
    <t>O Poderoso Chefinho 2: Negócios de Família</t>
  </si>
  <si>
    <t>Total de Horas Assistidas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</si>
</sst>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"/>
    <numFmt numFmtId="165" formatCode="h:mm;@"/>
    <numFmt numFmtId="166" formatCode="[h]:mm:ss;@"/>
    <numFmt numFmtId="167" formatCode="_-[$$-409]* #,##0.00_ ;_-[$$-409]* \-#,##0.00\ ;_-[$$-409]* &quot;-&quot;??_ ;_-@_ "/>
    <numFmt numFmtId="168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b/>
      <sz val="15"/>
      <color theme="9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5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8888"/>
        <bgColor indexed="64"/>
      </patternFill>
    </fill>
    <fill>
      <patternFill patternType="solid">
        <fgColor theme="1" tint="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/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indexed="64"/>
      </bottom>
      <diagonal/>
    </border>
    <border>
      <left/>
      <right/>
      <top style="thin">
        <color theme="0" tint="-0.499984740745262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4" xfId="0" applyBorder="1"/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6" xfId="0" applyBorder="1"/>
    <xf numFmtId="14" fontId="2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4" xfId="0" applyFill="1" applyBorder="1"/>
    <xf numFmtId="0" fontId="3" fillId="2" borderId="8" xfId="0" applyFont="1" applyFill="1" applyBorder="1" applyAlignment="1">
      <alignment horizontal="center"/>
    </xf>
    <xf numFmtId="0" fontId="0" fillId="0" borderId="9" xfId="0" applyBorder="1"/>
    <xf numFmtId="0" fontId="3" fillId="2" borderId="4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5" xfId="0" applyFill="1" applyBorder="1"/>
    <xf numFmtId="0" fontId="0" fillId="3" borderId="5" xfId="0" applyFill="1" applyBorder="1" applyAlignment="1">
      <alignment horizontal="center"/>
    </xf>
    <xf numFmtId="0" fontId="0" fillId="0" borderId="11" xfId="0" applyBorder="1"/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20" fontId="0" fillId="0" borderId="16" xfId="0" applyNumberFormat="1" applyBorder="1" applyAlignment="1">
      <alignment horizontal="center"/>
    </xf>
    <xf numFmtId="166" fontId="3" fillId="2" borderId="20" xfId="0" applyNumberFormat="1" applyFont="1" applyFill="1" applyBorder="1" applyAlignment="1">
      <alignment horizontal="center"/>
    </xf>
    <xf numFmtId="165" fontId="3" fillId="2" borderId="14" xfId="0" applyNumberFormat="1" applyFont="1" applyFill="1" applyBorder="1" applyAlignment="1">
      <alignment horizontal="center"/>
    </xf>
    <xf numFmtId="0" fontId="0" fillId="0" borderId="10" xfId="0" applyBorder="1"/>
    <xf numFmtId="0" fontId="0" fillId="0" borderId="3" xfId="0" applyBorder="1"/>
    <xf numFmtId="0" fontId="0" fillId="0" borderId="11" xfId="0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7" fontId="3" fillId="2" borderId="1" xfId="0" applyNumberFormat="1" applyFont="1" applyFill="1" applyBorder="1" applyAlignment="1">
      <alignment horizontal="center"/>
    </xf>
    <xf numFmtId="167" fontId="1" fillId="4" borderId="1" xfId="0" applyNumberFormat="1" applyFont="1" applyFill="1" applyBorder="1" applyAlignment="1">
      <alignment horizontal="center"/>
    </xf>
    <xf numFmtId="167" fontId="9" fillId="4" borderId="1" xfId="0" applyNumberFormat="1" applyFont="1" applyFill="1" applyBorder="1" applyAlignment="1">
      <alignment horizontal="center"/>
    </xf>
    <xf numFmtId="167" fontId="1" fillId="5" borderId="1" xfId="0" applyNumberFormat="1" applyFont="1" applyFill="1" applyBorder="1" applyAlignment="1">
      <alignment horizontal="center"/>
    </xf>
    <xf numFmtId="167" fontId="9" fillId="5" borderId="1" xfId="0" applyNumberFormat="1" applyFont="1" applyFill="1" applyBorder="1" applyAlignment="1">
      <alignment horizontal="center"/>
    </xf>
    <xf numFmtId="168" fontId="6" fillId="0" borderId="2" xfId="0" applyNumberFormat="1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168" fontId="0" fillId="0" borderId="1" xfId="0" applyNumberFormat="1" applyBorder="1"/>
    <xf numFmtId="168" fontId="3" fillId="2" borderId="14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68" fontId="3" fillId="6" borderId="1" xfId="0" applyNumberFormat="1" applyFont="1" applyFill="1" applyBorder="1"/>
    <xf numFmtId="0" fontId="3" fillId="2" borderId="17" xfId="0" applyFont="1" applyFill="1" applyBorder="1" applyAlignment="1">
      <alignment horizontal="left"/>
    </xf>
    <xf numFmtId="0" fontId="3" fillId="2" borderId="18" xfId="0" applyFont="1" applyFill="1" applyBorder="1" applyAlignment="1">
      <alignment horizontal="left"/>
    </xf>
    <xf numFmtId="0" fontId="3" fillId="2" borderId="19" xfId="0" applyFont="1" applyFill="1" applyBorder="1" applyAlignment="1">
      <alignment horizontal="left"/>
    </xf>
    <xf numFmtId="0" fontId="3" fillId="6" borderId="3" xfId="0" applyFont="1" applyFill="1" applyBorder="1" applyAlignment="1">
      <alignment horizontal="left" vertical="center"/>
    </xf>
    <xf numFmtId="0" fontId="10" fillId="6" borderId="10" xfId="0" applyFont="1" applyFill="1" applyBorder="1" applyAlignment="1">
      <alignment horizontal="left" vertical="center"/>
    </xf>
    <xf numFmtId="0" fontId="10" fillId="6" borderId="4" xfId="0" applyFont="1" applyFill="1" applyBorder="1" applyAlignment="1">
      <alignment horizontal="left" vertical="center"/>
    </xf>
  </cellXfs>
  <cellStyles count="1">
    <cellStyle name="Normal" xfId="0" builtinId="0"/>
  </cellStyles>
  <dxfs count="17"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rgb="FFC00000"/>
      </font>
      <fill>
        <patternFill>
          <bgColor theme="5" tint="0.39994506668294322"/>
        </patternFill>
      </fill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rgb="FFC00000"/>
      </font>
      <fill>
        <patternFill>
          <bgColor theme="5" tint="0.39994506668294322"/>
        </patternFill>
      </fill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rgb="FFC00000"/>
      </font>
      <fill>
        <patternFill>
          <bgColor theme="5" tint="0.39994506668294322"/>
        </patternFill>
      </fill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rgb="FFC00000"/>
      </font>
      <fill>
        <patternFill>
          <bgColor theme="5" tint="0.39994506668294322"/>
        </patternFill>
      </fill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rgb="FFC0000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2"/>
      </font>
      <fill>
        <patternFill>
          <bgColor theme="4" tint="-0.24994659260841701"/>
        </patternFill>
      </fill>
    </dxf>
    <dxf>
      <font>
        <color theme="0"/>
      </font>
      <fill>
        <patternFill>
          <bgColor rgb="FFFF444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FFFF4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F8888"/>
      <color rgb="FFFF4444"/>
      <color rgb="FFFFFF44"/>
      <color rgb="FFBBBB44"/>
      <color rgb="FFBBBB99"/>
      <color rgb="FF999944"/>
      <color rgb="FF44FF44"/>
      <color rgb="FFFF0000"/>
      <color rgb="FFC09576"/>
      <color rgb="FFFFAA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731FE-9613-428C-993D-C03F78E1A52D}">
  <dimension ref="A1:AF201"/>
  <sheetViews>
    <sheetView showGridLines="0" tabSelected="1" topLeftCell="V3" zoomScale="96" zoomScaleNormal="96" workbookViewId="0">
      <selection activeCell="AB12" sqref="AB12"/>
    </sheetView>
  </sheetViews>
  <sheetFormatPr defaultRowHeight="15" x14ac:dyDescent="0.25"/>
  <cols>
    <col min="1" max="1" width="9.140625" style="6"/>
    <col min="2" max="2" width="47.85546875" style="4" customWidth="1"/>
    <col min="3" max="3" width="6.140625" style="5" bestFit="1" customWidth="1"/>
    <col min="4" max="4" width="12.140625" style="6" bestFit="1" customWidth="1"/>
    <col min="5" max="5" width="15.42578125" style="6" bestFit="1" customWidth="1"/>
    <col min="6" max="6" width="7.140625" style="9" bestFit="1" customWidth="1"/>
    <col min="7" max="7" width="15.85546875" style="35" bestFit="1" customWidth="1"/>
    <col min="8" max="8" width="22.5703125" style="6" bestFit="1" customWidth="1"/>
    <col min="9" max="9" width="22.5703125" style="57" customWidth="1"/>
    <col min="10" max="10" width="22.5703125" style="55" customWidth="1"/>
    <col min="11" max="11" width="22.5703125" style="53" customWidth="1"/>
    <col min="12" max="12" width="9.140625" style="23"/>
    <col min="13" max="13" width="14.85546875" style="26" customWidth="1"/>
    <col min="14" max="14" width="9.140625" style="6"/>
    <col min="15" max="15" width="9.140625" style="62"/>
    <col min="16" max="16" width="21.85546875" style="14" bestFit="1" customWidth="1"/>
    <col min="17" max="17" width="45.28515625" style="11" bestFit="1" customWidth="1"/>
    <col min="18" max="18" width="14.85546875" style="6" customWidth="1"/>
    <col min="19" max="19" width="8.5703125" style="11" bestFit="1" customWidth="1"/>
    <col min="20" max="20" width="33.5703125" style="11" bestFit="1" customWidth="1"/>
    <col min="21" max="21" width="14.85546875" style="11" customWidth="1"/>
    <col min="22" max="22" width="11.5703125" style="11" bestFit="1" customWidth="1"/>
    <col min="23" max="23" width="9.140625" style="11"/>
    <col min="24" max="24" width="8.5703125" style="68" customWidth="1"/>
    <col min="25" max="25" width="47.7109375" style="11" bestFit="1" customWidth="1"/>
    <col min="26" max="26" width="14.85546875" style="6" customWidth="1"/>
    <col min="27" max="27" width="11.5703125" style="35" bestFit="1" customWidth="1"/>
    <col min="28" max="28" width="9.140625" style="11"/>
    <col min="29" max="29" width="9.140625" style="9"/>
    <col min="30" max="30" width="40.85546875" style="11" bestFit="1" customWidth="1"/>
    <col min="31" max="31" width="14.85546875" style="9" bestFit="1" customWidth="1"/>
    <col min="32" max="32" width="12.42578125" style="66" bestFit="1" customWidth="1"/>
    <col min="33" max="16384" width="9.140625" style="11"/>
  </cols>
  <sheetData>
    <row r="1" spans="1:32" ht="19.5" x14ac:dyDescent="0.3">
      <c r="A1" s="3" t="s">
        <v>171</v>
      </c>
      <c r="B1" s="1" t="s">
        <v>0</v>
      </c>
      <c r="C1" s="2" t="s">
        <v>70</v>
      </c>
      <c r="D1" s="1" t="s">
        <v>1</v>
      </c>
      <c r="E1" s="1" t="s">
        <v>74</v>
      </c>
      <c r="F1" s="3" t="s">
        <v>3</v>
      </c>
      <c r="G1" s="34" t="s">
        <v>4</v>
      </c>
      <c r="H1" s="1" t="s">
        <v>5</v>
      </c>
      <c r="I1" s="54" t="s">
        <v>227</v>
      </c>
      <c r="J1" s="54" t="s">
        <v>229</v>
      </c>
      <c r="K1" s="54" t="s">
        <v>228</v>
      </c>
      <c r="L1" s="1" t="s">
        <v>188</v>
      </c>
      <c r="M1" s="24" t="s">
        <v>82</v>
      </c>
      <c r="N1" s="3" t="s">
        <v>171</v>
      </c>
      <c r="O1" s="61"/>
    </row>
    <row r="2" spans="1:32" x14ac:dyDescent="0.25">
      <c r="A2" s="6">
        <f>ROW()-1</f>
        <v>1</v>
      </c>
      <c r="B2" s="4" t="s">
        <v>2</v>
      </c>
      <c r="C2" s="5">
        <v>2009</v>
      </c>
      <c r="D2" s="6" t="s">
        <v>6</v>
      </c>
      <c r="E2" s="7">
        <v>44982</v>
      </c>
      <c r="F2" s="8" t="s">
        <v>71</v>
      </c>
      <c r="G2" s="35">
        <v>6.6666666666666666E-2</v>
      </c>
      <c r="H2" s="6" t="s">
        <v>7</v>
      </c>
      <c r="I2" s="57">
        <v>175000000</v>
      </c>
      <c r="J2" s="55">
        <v>735000000</v>
      </c>
      <c r="K2" s="53">
        <f>J2-I2</f>
        <v>560000000</v>
      </c>
      <c r="L2" s="23">
        <f t="shared" ref="L2:L33" si="0">IF(M2="ASSISTIDO",1,0)</f>
        <v>1</v>
      </c>
      <c r="M2" s="25" t="str">
        <f t="shared" ref="M2:M33" si="1">IF(ISBLANK(F2),"NÃO ASSISTIDO","ASSISTIDO")</f>
        <v>ASSISTIDO</v>
      </c>
      <c r="N2" s="6">
        <f>ROW()-1</f>
        <v>1</v>
      </c>
    </row>
    <row r="3" spans="1:32" x14ac:dyDescent="0.25">
      <c r="A3" s="6">
        <f t="shared" ref="A3:A66" si="2">ROW()-1</f>
        <v>2</v>
      </c>
      <c r="B3" s="4" t="s">
        <v>29</v>
      </c>
      <c r="C3" s="5">
        <v>1995</v>
      </c>
      <c r="D3" s="6" t="s">
        <v>6</v>
      </c>
      <c r="E3" s="7">
        <v>44982</v>
      </c>
      <c r="F3" s="9">
        <v>8</v>
      </c>
      <c r="G3" s="35">
        <v>5.6250000000000001E-2</v>
      </c>
      <c r="H3" s="6" t="s">
        <v>7</v>
      </c>
      <c r="I3" s="57">
        <v>30000000</v>
      </c>
      <c r="J3" s="55">
        <v>406594102</v>
      </c>
      <c r="K3" s="53">
        <f t="shared" ref="K3:K66" si="3">J3-I3</f>
        <v>376594102</v>
      </c>
      <c r="L3" s="23">
        <f t="shared" si="0"/>
        <v>1</v>
      </c>
      <c r="M3" s="25" t="str">
        <f t="shared" si="1"/>
        <v>ASSISTIDO</v>
      </c>
      <c r="N3" s="6">
        <f t="shared" ref="N3:N66" si="4">ROW()-1</f>
        <v>2</v>
      </c>
    </row>
    <row r="4" spans="1:32" x14ac:dyDescent="0.25">
      <c r="A4" s="6">
        <f t="shared" si="2"/>
        <v>3</v>
      </c>
      <c r="B4" s="4" t="s">
        <v>8</v>
      </c>
      <c r="C4" s="5">
        <v>1942</v>
      </c>
      <c r="D4" s="6" t="s">
        <v>9</v>
      </c>
      <c r="E4" s="7">
        <v>44982</v>
      </c>
      <c r="F4" s="9">
        <v>7</v>
      </c>
      <c r="G4" s="35">
        <v>4.8611111111111112E-2</v>
      </c>
      <c r="H4" s="6" t="s">
        <v>10</v>
      </c>
      <c r="I4" s="57">
        <v>858000</v>
      </c>
      <c r="J4" s="55">
        <v>267400000</v>
      </c>
      <c r="K4" s="53">
        <f t="shared" si="3"/>
        <v>266542000</v>
      </c>
      <c r="L4" s="23">
        <f t="shared" si="0"/>
        <v>1</v>
      </c>
      <c r="M4" s="25" t="str">
        <f t="shared" si="1"/>
        <v>ASSISTIDO</v>
      </c>
      <c r="N4" s="6">
        <f t="shared" si="4"/>
        <v>3</v>
      </c>
      <c r="P4" s="27"/>
      <c r="Q4" s="12"/>
      <c r="R4" s="13"/>
      <c r="S4" s="38"/>
      <c r="T4" s="38"/>
      <c r="U4" s="38"/>
      <c r="V4" s="39"/>
    </row>
    <row r="5" spans="1:32" ht="19.5" x14ac:dyDescent="0.3">
      <c r="A5" s="6">
        <f t="shared" si="2"/>
        <v>4</v>
      </c>
      <c r="B5" s="4" t="s">
        <v>11</v>
      </c>
      <c r="C5" s="5">
        <v>1961</v>
      </c>
      <c r="D5" s="6" t="s">
        <v>9</v>
      </c>
      <c r="E5" s="7">
        <v>44982</v>
      </c>
      <c r="F5" s="9">
        <v>8</v>
      </c>
      <c r="G5" s="35">
        <v>5.486111111111111E-2</v>
      </c>
      <c r="H5" s="6" t="s">
        <v>10</v>
      </c>
      <c r="I5" s="57">
        <v>75000000</v>
      </c>
      <c r="J5" s="55">
        <v>320000000</v>
      </c>
      <c r="K5" s="53">
        <f t="shared" si="3"/>
        <v>245000000</v>
      </c>
      <c r="L5" s="23">
        <f t="shared" si="0"/>
        <v>1</v>
      </c>
      <c r="M5" s="25" t="str">
        <f t="shared" si="1"/>
        <v>ASSISTIDO</v>
      </c>
      <c r="N5" s="6">
        <f t="shared" si="4"/>
        <v>4</v>
      </c>
      <c r="O5" s="63"/>
      <c r="P5" s="32"/>
      <c r="Q5" s="16" t="s">
        <v>174</v>
      </c>
      <c r="R5" s="36"/>
      <c r="S5" s="41" t="s">
        <v>171</v>
      </c>
      <c r="T5" s="42" t="s">
        <v>203</v>
      </c>
      <c r="U5" s="42" t="s">
        <v>82</v>
      </c>
      <c r="V5" s="43" t="s">
        <v>4</v>
      </c>
      <c r="W5" s="49"/>
      <c r="X5" s="70" t="s">
        <v>171</v>
      </c>
      <c r="Y5" s="42" t="s">
        <v>207</v>
      </c>
      <c r="Z5" s="42" t="s">
        <v>82</v>
      </c>
      <c r="AA5" s="48" t="s">
        <v>4</v>
      </c>
      <c r="AB5" s="14"/>
      <c r="AC5" s="70" t="s">
        <v>171</v>
      </c>
      <c r="AD5" s="42" t="s">
        <v>230</v>
      </c>
      <c r="AE5" s="69" t="s">
        <v>82</v>
      </c>
      <c r="AF5" s="67" t="s">
        <v>4</v>
      </c>
    </row>
    <row r="6" spans="1:32" ht="19.5" x14ac:dyDescent="0.3">
      <c r="A6" s="6">
        <f t="shared" si="2"/>
        <v>5</v>
      </c>
      <c r="B6" s="4" t="s">
        <v>12</v>
      </c>
      <c r="C6" s="5">
        <v>2018</v>
      </c>
      <c r="D6" s="6" t="s">
        <v>6</v>
      </c>
      <c r="E6" s="7">
        <v>44982</v>
      </c>
      <c r="F6" s="9">
        <v>9</v>
      </c>
      <c r="G6" s="35">
        <v>7.7777777777777779E-2</v>
      </c>
      <c r="H6" s="6" t="s">
        <v>10</v>
      </c>
      <c r="I6" s="57">
        <v>175000000</v>
      </c>
      <c r="J6" s="55">
        <v>505000000</v>
      </c>
      <c r="K6" s="53">
        <f t="shared" si="3"/>
        <v>330000000</v>
      </c>
      <c r="L6" s="23">
        <f t="shared" si="0"/>
        <v>1</v>
      </c>
      <c r="M6" s="25" t="str">
        <f t="shared" si="1"/>
        <v>ASSISTIDO</v>
      </c>
      <c r="N6" s="6">
        <f t="shared" si="4"/>
        <v>5</v>
      </c>
      <c r="O6" s="64"/>
      <c r="P6" s="28" t="s">
        <v>172</v>
      </c>
      <c r="Q6" s="31">
        <v>105</v>
      </c>
      <c r="R6" s="37"/>
      <c r="S6" s="6" cm="1">
        <f t="array" ref="S6:V30">_xlfn.CHOOSECOLS(_xlfn._xlws.FILTER($A:$M,($H:$H="Pixar")),1,2,13,7)</f>
        <v>1</v>
      </c>
      <c r="T6" s="11" t="str">
        <v>Up: Altas Aventuras</v>
      </c>
      <c r="U6" s="6" t="str">
        <v>ASSISTIDO</v>
      </c>
      <c r="V6" s="45">
        <v>6.6666666666666666E-2</v>
      </c>
      <c r="W6" s="49"/>
      <c r="X6" s="9" cm="1">
        <f t="array" ref="X6:AA75">_xlfn.CHOOSECOLS(_xlfn._xlws.FILTER($A:$M,($H:$H="Disney")),1,2,13,7)</f>
        <v>3</v>
      </c>
      <c r="Y6" s="11" t="str">
        <v>Bambi</v>
      </c>
      <c r="Z6" s="6" t="str">
        <v>ASSISTIDO</v>
      </c>
      <c r="AA6" s="45">
        <v>4.8611111111111112E-2</v>
      </c>
      <c r="AB6" s="14"/>
      <c r="AC6" s="9" cm="1">
        <f t="array" ref="AC6:AF46">_xlfn.CHOOSECOLS(_xlfn._xlws.FILTER($A:$M,($H:$H="Dreamworks")),1,2,13,7)</f>
        <v>22</v>
      </c>
      <c r="AD6" s="11" t="str">
        <v>Como Treinar o Seu Dragão</v>
      </c>
      <c r="AE6" s="9" t="str">
        <v>ASSISTIDO</v>
      </c>
      <c r="AF6" s="66">
        <v>6.805555555555555E-2</v>
      </c>
    </row>
    <row r="7" spans="1:32" ht="19.5" x14ac:dyDescent="0.3">
      <c r="A7" s="6">
        <f t="shared" si="2"/>
        <v>6</v>
      </c>
      <c r="B7" s="4" t="s">
        <v>13</v>
      </c>
      <c r="C7" s="5">
        <v>2012</v>
      </c>
      <c r="D7" s="6" t="s">
        <v>6</v>
      </c>
      <c r="E7" s="7">
        <v>44976</v>
      </c>
      <c r="F7" s="9" t="s">
        <v>72</v>
      </c>
      <c r="G7" s="35">
        <v>7.4999999999999997E-2</v>
      </c>
      <c r="H7" s="6" t="s">
        <v>10</v>
      </c>
      <c r="I7" s="57">
        <v>165000000</v>
      </c>
      <c r="J7" s="55">
        <v>471200000</v>
      </c>
      <c r="K7" s="53">
        <f t="shared" si="3"/>
        <v>306200000</v>
      </c>
      <c r="L7" s="23">
        <f t="shared" si="0"/>
        <v>1</v>
      </c>
      <c r="M7" s="25" t="str">
        <f t="shared" si="1"/>
        <v>ASSISTIDO</v>
      </c>
      <c r="N7" s="6">
        <f t="shared" si="4"/>
        <v>6</v>
      </c>
      <c r="O7" s="64"/>
      <c r="P7" s="28" t="s">
        <v>173</v>
      </c>
      <c r="Q7" s="31" t="str">
        <f>VLOOKUP($Q$6,$A$2:$B$141,2,1)</f>
        <v>Cinderela</v>
      </c>
      <c r="R7" s="37"/>
      <c r="S7" s="44">
        <v>2</v>
      </c>
      <c r="T7" s="11" t="str">
        <v>Toy Story:  Um Mundo de Aventuras</v>
      </c>
      <c r="U7" s="6" t="str">
        <v>ASSISTIDO</v>
      </c>
      <c r="V7" s="45">
        <v>5.6250000000000001E-2</v>
      </c>
      <c r="W7" s="49"/>
      <c r="X7" s="71">
        <v>4</v>
      </c>
      <c r="Y7" s="11" t="str">
        <v>101 Dálmatas</v>
      </c>
      <c r="Z7" s="6" t="str">
        <v>ASSISTIDO</v>
      </c>
      <c r="AA7" s="45">
        <v>5.486111111111111E-2</v>
      </c>
      <c r="AB7" s="14"/>
      <c r="AC7" s="71">
        <v>23</v>
      </c>
      <c r="AD7" s="11" t="str">
        <v>Como Treinar o Seu Dragão 2</v>
      </c>
      <c r="AE7" s="9" t="str">
        <v>ASSISTIDO</v>
      </c>
      <c r="AF7" s="66">
        <v>7.2916666666666671E-2</v>
      </c>
    </row>
    <row r="8" spans="1:32" ht="19.5" x14ac:dyDescent="0.3">
      <c r="A8" s="6">
        <f t="shared" si="2"/>
        <v>7</v>
      </c>
      <c r="B8" s="4" t="s">
        <v>14</v>
      </c>
      <c r="C8" s="5">
        <v>2009</v>
      </c>
      <c r="D8" s="6" t="s">
        <v>15</v>
      </c>
      <c r="E8" s="7">
        <v>44976</v>
      </c>
      <c r="F8" s="9">
        <v>9</v>
      </c>
      <c r="G8" s="35">
        <v>6.9444444444444434E-2</v>
      </c>
      <c r="H8" s="6" t="s">
        <v>16</v>
      </c>
      <c r="I8" s="57">
        <v>60000000</v>
      </c>
      <c r="J8" s="55">
        <v>124000000</v>
      </c>
      <c r="K8" s="53">
        <f t="shared" si="3"/>
        <v>64000000</v>
      </c>
      <c r="L8" s="23">
        <f t="shared" si="0"/>
        <v>1</v>
      </c>
      <c r="M8" s="25" t="str">
        <f t="shared" si="1"/>
        <v>ASSISTIDO</v>
      </c>
      <c r="N8" s="6">
        <f t="shared" si="4"/>
        <v>7</v>
      </c>
      <c r="O8" s="64"/>
      <c r="P8" s="28" t="s">
        <v>70</v>
      </c>
      <c r="Q8" s="31">
        <f>VLOOKUP($Q$6,$A$2:$C$141,3,1)</f>
        <v>1950</v>
      </c>
      <c r="R8" s="37"/>
      <c r="S8" s="44">
        <v>18</v>
      </c>
      <c r="T8" s="11" t="str">
        <v>Os Incríveis 2</v>
      </c>
      <c r="U8" s="6" t="str">
        <v>ASSISTIDO</v>
      </c>
      <c r="V8" s="45">
        <v>8.7500000000000008E-2</v>
      </c>
      <c r="W8" s="49"/>
      <c r="X8" s="71">
        <v>5</v>
      </c>
      <c r="Y8" s="11" t="str">
        <v>Wi Fi Ralph: Quebrando a Internet</v>
      </c>
      <c r="Z8" s="6" t="str">
        <v>ASSISTIDO</v>
      </c>
      <c r="AA8" s="45">
        <v>7.7777777777777779E-2</v>
      </c>
      <c r="AB8" s="14"/>
      <c r="AC8" s="71">
        <v>24</v>
      </c>
      <c r="AD8" s="11" t="str">
        <v>Como Treinar o Seu Dragão 3</v>
      </c>
      <c r="AE8" s="9" t="str">
        <v>ASSISTIDO</v>
      </c>
      <c r="AF8" s="66">
        <v>7.2222222222222229E-2</v>
      </c>
    </row>
    <row r="9" spans="1:32" ht="19.5" x14ac:dyDescent="0.3">
      <c r="A9" s="6">
        <f t="shared" si="2"/>
        <v>8</v>
      </c>
      <c r="B9" s="4" t="s">
        <v>17</v>
      </c>
      <c r="C9" s="5">
        <v>2002</v>
      </c>
      <c r="D9" s="6" t="s">
        <v>9</v>
      </c>
      <c r="E9" s="7">
        <v>44976</v>
      </c>
      <c r="F9" s="9" t="s">
        <v>71</v>
      </c>
      <c r="G9" s="35">
        <v>5.9027777777777783E-2</v>
      </c>
      <c r="H9" s="6" t="s">
        <v>10</v>
      </c>
      <c r="I9" s="57">
        <v>80000000</v>
      </c>
      <c r="J9" s="55">
        <v>273000000</v>
      </c>
      <c r="K9" s="53">
        <f t="shared" si="3"/>
        <v>193000000</v>
      </c>
      <c r="L9" s="23">
        <f t="shared" si="0"/>
        <v>1</v>
      </c>
      <c r="M9" s="25" t="str">
        <f t="shared" si="1"/>
        <v>ASSISTIDO</v>
      </c>
      <c r="N9" s="6">
        <f t="shared" si="4"/>
        <v>8</v>
      </c>
      <c r="O9" s="64"/>
      <c r="P9" s="28" t="s">
        <v>5</v>
      </c>
      <c r="Q9" s="31" t="str">
        <f>VLOOKUP($Q$6,$A$2:$H$141,8,1)</f>
        <v>Disney</v>
      </c>
      <c r="R9" s="37"/>
      <c r="S9" s="44">
        <v>19</v>
      </c>
      <c r="T9" s="11" t="str">
        <v>Divertidamente</v>
      </c>
      <c r="U9" s="6" t="str">
        <v>ASSISTIDO</v>
      </c>
      <c r="V9" s="45">
        <v>6.5972222222222224E-2</v>
      </c>
      <c r="W9" s="49"/>
      <c r="X9" s="71">
        <v>6</v>
      </c>
      <c r="Y9" s="11" t="str">
        <v>Detona Ralph</v>
      </c>
      <c r="Z9" s="6" t="str">
        <v>ASSISTIDO</v>
      </c>
      <c r="AA9" s="45">
        <v>7.4999999999999997E-2</v>
      </c>
      <c r="AB9" s="14"/>
      <c r="AC9" s="71">
        <v>25</v>
      </c>
      <c r="AD9" s="11" t="str">
        <v>Shrek 1</v>
      </c>
      <c r="AE9" s="9" t="str">
        <v>ASSISTIDO</v>
      </c>
      <c r="AF9" s="66">
        <v>6.1805555555555558E-2</v>
      </c>
    </row>
    <row r="10" spans="1:32" ht="19.5" x14ac:dyDescent="0.3">
      <c r="A10" s="6">
        <f t="shared" si="2"/>
        <v>9</v>
      </c>
      <c r="B10" s="4" t="s">
        <v>18</v>
      </c>
      <c r="C10" s="5">
        <v>1989</v>
      </c>
      <c r="D10" s="6" t="s">
        <v>9</v>
      </c>
      <c r="E10" s="7">
        <v>44976</v>
      </c>
      <c r="F10" s="9">
        <v>8</v>
      </c>
      <c r="G10" s="35">
        <v>5.7638888888888885E-2</v>
      </c>
      <c r="H10" s="6" t="s">
        <v>10</v>
      </c>
      <c r="I10" s="57">
        <v>40000000</v>
      </c>
      <c r="J10" s="55">
        <v>517000000</v>
      </c>
      <c r="K10" s="53">
        <f t="shared" si="3"/>
        <v>477000000</v>
      </c>
      <c r="L10" s="23">
        <f t="shared" si="0"/>
        <v>1</v>
      </c>
      <c r="M10" s="25" t="str">
        <f t="shared" si="1"/>
        <v>ASSISTIDO</v>
      </c>
      <c r="N10" s="6">
        <f t="shared" si="4"/>
        <v>9</v>
      </c>
      <c r="O10" s="64"/>
      <c r="P10" s="28" t="s">
        <v>4</v>
      </c>
      <c r="Q10" s="60">
        <f>VLOOKUP($Q$6,$A$2:$G$141,7,1)</f>
        <v>5.1388888888888894E-2</v>
      </c>
      <c r="R10" s="37"/>
      <c r="S10" s="44">
        <v>20</v>
      </c>
      <c r="T10" s="11" t="str">
        <v>Viva: A Vida é uma festa</v>
      </c>
      <c r="U10" s="6" t="str">
        <v>ASSISTIDO</v>
      </c>
      <c r="V10" s="45">
        <v>7.2916666666666671E-2</v>
      </c>
      <c r="W10" s="49"/>
      <c r="X10" s="71">
        <v>8</v>
      </c>
      <c r="Y10" s="11" t="str">
        <v>Lilo &amp; Stitch</v>
      </c>
      <c r="Z10" s="6" t="str">
        <v>ASSISTIDO</v>
      </c>
      <c r="AA10" s="45">
        <v>5.9027777777777783E-2</v>
      </c>
      <c r="AB10" s="14"/>
      <c r="AC10" s="71">
        <v>26</v>
      </c>
      <c r="AD10" s="11" t="str">
        <v>Shrek 2</v>
      </c>
      <c r="AE10" s="9" t="str">
        <v>ASSISTIDO</v>
      </c>
      <c r="AF10" s="66">
        <v>7.2916666666666671E-2</v>
      </c>
    </row>
    <row r="11" spans="1:32" ht="19.5" x14ac:dyDescent="0.3">
      <c r="A11" s="6">
        <f t="shared" si="2"/>
        <v>10</v>
      </c>
      <c r="B11" s="4" t="s">
        <v>19</v>
      </c>
      <c r="C11" s="5">
        <v>2019</v>
      </c>
      <c r="D11" s="6" t="s">
        <v>6</v>
      </c>
      <c r="E11" s="7">
        <v>44976</v>
      </c>
      <c r="F11" s="9">
        <v>8</v>
      </c>
      <c r="G11" s="35">
        <v>7.2222222222222229E-2</v>
      </c>
      <c r="H11" s="6" t="s">
        <v>10</v>
      </c>
      <c r="I11" s="57">
        <v>150000000</v>
      </c>
      <c r="J11" s="55">
        <v>599000000</v>
      </c>
      <c r="K11" s="53">
        <f t="shared" si="3"/>
        <v>449000000</v>
      </c>
      <c r="L11" s="23">
        <f t="shared" si="0"/>
        <v>1</v>
      </c>
      <c r="M11" s="25" t="str">
        <f t="shared" si="1"/>
        <v>ASSISTIDO</v>
      </c>
      <c r="N11" s="6">
        <f t="shared" si="4"/>
        <v>10</v>
      </c>
      <c r="O11" s="64"/>
      <c r="P11" s="28" t="s">
        <v>3</v>
      </c>
      <c r="Q11" s="31">
        <f>VLOOKUP($Q$6,$A$2:$F$141,6,1)</f>
        <v>0</v>
      </c>
      <c r="R11" s="37"/>
      <c r="S11" s="44">
        <v>21</v>
      </c>
      <c r="T11" s="11" t="str">
        <v>Monstros S.A</v>
      </c>
      <c r="U11" s="6" t="str">
        <v>ASSISTIDO</v>
      </c>
      <c r="V11" s="45">
        <v>6.3888888888888884E-2</v>
      </c>
      <c r="W11" s="49"/>
      <c r="X11" s="71">
        <v>9</v>
      </c>
      <c r="Y11" s="11" t="str">
        <v>A Pequena Sereia</v>
      </c>
      <c r="Z11" s="6" t="str">
        <v>ASSISTIDO</v>
      </c>
      <c r="AA11" s="45">
        <v>5.7638888888888885E-2</v>
      </c>
      <c r="AB11" s="14"/>
      <c r="AC11" s="71">
        <v>27</v>
      </c>
      <c r="AD11" s="11" t="str">
        <v>Shrek 3</v>
      </c>
      <c r="AE11" s="9" t="str">
        <v>ASSISTIDO</v>
      </c>
      <c r="AF11" s="66">
        <v>6.458333333333334E-2</v>
      </c>
    </row>
    <row r="12" spans="1:32" ht="19.5" x14ac:dyDescent="0.3">
      <c r="A12" s="6">
        <f t="shared" si="2"/>
        <v>11</v>
      </c>
      <c r="B12" s="4" t="s">
        <v>20</v>
      </c>
      <c r="C12" s="5">
        <v>2021</v>
      </c>
      <c r="D12" s="6" t="s">
        <v>6</v>
      </c>
      <c r="E12" s="7">
        <v>44969</v>
      </c>
      <c r="F12" s="9">
        <v>10</v>
      </c>
      <c r="G12" s="35">
        <v>7.5694444444444439E-2</v>
      </c>
      <c r="H12" s="6" t="s">
        <v>10</v>
      </c>
      <c r="I12" s="57">
        <v>150000000</v>
      </c>
      <c r="J12" s="55">
        <v>256800000</v>
      </c>
      <c r="K12" s="53">
        <f t="shared" si="3"/>
        <v>106800000</v>
      </c>
      <c r="L12" s="23">
        <f t="shared" si="0"/>
        <v>1</v>
      </c>
      <c r="M12" s="25" t="str">
        <f t="shared" si="1"/>
        <v>ASSISTIDO</v>
      </c>
      <c r="N12" s="6">
        <f t="shared" si="4"/>
        <v>11</v>
      </c>
      <c r="O12" s="64"/>
      <c r="P12" s="28" t="s">
        <v>82</v>
      </c>
      <c r="Q12" s="33" t="str">
        <f>VLOOKUP($Q$6,$A$2:$M$141,13,1)</f>
        <v>NÃO ASSISTIDO</v>
      </c>
      <c r="R12" s="37"/>
      <c r="S12" s="44">
        <v>98</v>
      </c>
      <c r="T12" s="11" t="str">
        <v>Vida de Inseto</v>
      </c>
      <c r="U12" s="6" t="str">
        <v>ASSISTIDO</v>
      </c>
      <c r="V12" s="45">
        <v>6.5972222222222224E-2</v>
      </c>
      <c r="W12" s="49"/>
      <c r="X12" s="71">
        <v>10</v>
      </c>
      <c r="Y12" s="11" t="str">
        <v>Frozen II</v>
      </c>
      <c r="Z12" s="6" t="str">
        <v>ASSISTIDO</v>
      </c>
      <c r="AA12" s="45">
        <v>7.2222222222222229E-2</v>
      </c>
      <c r="AB12" s="14"/>
      <c r="AC12" s="71">
        <v>28</v>
      </c>
      <c r="AD12" s="11" t="str">
        <v>Spirit: O Corcéu Indomável</v>
      </c>
      <c r="AE12" s="9" t="str">
        <v>ASSISTIDO</v>
      </c>
      <c r="AF12" s="66">
        <v>5.8333333333333327E-2</v>
      </c>
    </row>
    <row r="13" spans="1:32" x14ac:dyDescent="0.25">
      <c r="A13" s="6">
        <f t="shared" si="2"/>
        <v>12</v>
      </c>
      <c r="B13" s="4" t="s">
        <v>21</v>
      </c>
      <c r="C13" s="5">
        <v>2010</v>
      </c>
      <c r="D13" s="6" t="s">
        <v>6</v>
      </c>
      <c r="E13" s="7">
        <v>44969</v>
      </c>
      <c r="F13" s="9">
        <v>9</v>
      </c>
      <c r="G13" s="35">
        <v>6.9444444444444434E-2</v>
      </c>
      <c r="H13" s="6" t="s">
        <v>10</v>
      </c>
      <c r="I13" s="57">
        <v>260000000</v>
      </c>
      <c r="J13" s="55">
        <v>591794936</v>
      </c>
      <c r="K13" s="53">
        <f t="shared" si="3"/>
        <v>331794936</v>
      </c>
      <c r="L13" s="23">
        <f t="shared" si="0"/>
        <v>1</v>
      </c>
      <c r="M13" s="25" t="str">
        <f t="shared" si="1"/>
        <v>ASSISTIDO</v>
      </c>
      <c r="N13" s="6">
        <f t="shared" si="4"/>
        <v>12</v>
      </c>
      <c r="O13" s="65"/>
      <c r="P13" s="29"/>
      <c r="Q13" s="17"/>
      <c r="R13" s="26"/>
      <c r="S13" s="44">
        <v>99</v>
      </c>
      <c r="T13" s="11" t="str">
        <v>Procurando Nemo</v>
      </c>
      <c r="U13" s="6" t="str">
        <v>ASSISTIDO</v>
      </c>
      <c r="V13" s="45">
        <v>6.9444444444444434E-2</v>
      </c>
      <c r="W13" s="49"/>
      <c r="X13" s="71">
        <v>11</v>
      </c>
      <c r="Y13" s="11" t="str">
        <v>Encanto</v>
      </c>
      <c r="Z13" s="6" t="str">
        <v>ASSISTIDO</v>
      </c>
      <c r="AA13" s="45">
        <v>7.5694444444444439E-2</v>
      </c>
      <c r="AB13" s="14"/>
      <c r="AC13" s="71">
        <v>29</v>
      </c>
      <c r="AD13" s="11" t="str">
        <v>O Caminho Para El Dorado</v>
      </c>
      <c r="AE13" s="9" t="str">
        <v>ASSISTIDO</v>
      </c>
      <c r="AF13" s="66">
        <v>6.1805555555555558E-2</v>
      </c>
    </row>
    <row r="14" spans="1:32" ht="19.5" x14ac:dyDescent="0.3">
      <c r="A14" s="6">
        <f t="shared" si="2"/>
        <v>13</v>
      </c>
      <c r="B14" s="4" t="s">
        <v>22</v>
      </c>
      <c r="C14" s="5">
        <v>2016</v>
      </c>
      <c r="D14" s="6" t="s">
        <v>6</v>
      </c>
      <c r="E14" s="7">
        <v>44948</v>
      </c>
      <c r="F14" s="9">
        <v>9</v>
      </c>
      <c r="G14" s="35">
        <v>7.4305555555555555E-2</v>
      </c>
      <c r="H14" s="6" t="s">
        <v>10</v>
      </c>
      <c r="I14" s="57">
        <v>150000000</v>
      </c>
      <c r="J14" s="55">
        <v>700000000</v>
      </c>
      <c r="K14" s="53">
        <f t="shared" si="3"/>
        <v>550000000</v>
      </c>
      <c r="L14" s="23">
        <f t="shared" si="0"/>
        <v>1</v>
      </c>
      <c r="M14" s="25" t="str">
        <f t="shared" si="1"/>
        <v>ASSISTIDO</v>
      </c>
      <c r="N14" s="6">
        <f t="shared" si="4"/>
        <v>13</v>
      </c>
      <c r="O14" s="64"/>
      <c r="P14" s="28"/>
      <c r="Q14" s="15" t="s">
        <v>175</v>
      </c>
      <c r="R14" s="37"/>
      <c r="S14" s="44">
        <v>106</v>
      </c>
      <c r="T14" s="11" t="str">
        <v>Toy Story 2</v>
      </c>
      <c r="U14" s="6" t="str">
        <v>ASSISTIDO</v>
      </c>
      <c r="V14" s="45">
        <v>6.5972222222222224E-2</v>
      </c>
      <c r="W14" s="49"/>
      <c r="X14" s="71">
        <v>12</v>
      </c>
      <c r="Y14" s="11" t="str">
        <v>Enrolados</v>
      </c>
      <c r="Z14" s="6" t="str">
        <v>ASSISTIDO</v>
      </c>
      <c r="AA14" s="45">
        <v>6.9444444444444434E-2</v>
      </c>
      <c r="AB14" s="14"/>
      <c r="AC14" s="71">
        <v>33</v>
      </c>
      <c r="AD14" s="11" t="str">
        <v>Kung Fu Panda</v>
      </c>
      <c r="AE14" s="9" t="str">
        <v>ASSISTIDO</v>
      </c>
      <c r="AF14" s="66">
        <v>6.3888888888888884E-2</v>
      </c>
    </row>
    <row r="15" spans="1:32" ht="19.5" x14ac:dyDescent="0.3">
      <c r="A15" s="6">
        <f t="shared" si="2"/>
        <v>14</v>
      </c>
      <c r="B15" s="4" t="s">
        <v>31</v>
      </c>
      <c r="C15" s="5">
        <v>2013</v>
      </c>
      <c r="D15" s="6" t="s">
        <v>6</v>
      </c>
      <c r="E15" s="7">
        <v>44942</v>
      </c>
      <c r="F15" s="9">
        <v>9</v>
      </c>
      <c r="G15" s="35">
        <v>7.4999999999999997E-2</v>
      </c>
      <c r="H15" s="6" t="s">
        <v>10</v>
      </c>
      <c r="I15" s="57">
        <v>150000000</v>
      </c>
      <c r="J15" s="55">
        <v>1285000000</v>
      </c>
      <c r="K15" s="53">
        <f t="shared" si="3"/>
        <v>1135000000</v>
      </c>
      <c r="L15" s="23">
        <f t="shared" si="0"/>
        <v>1</v>
      </c>
      <c r="M15" s="25" t="str">
        <f t="shared" si="1"/>
        <v>ASSISTIDO</v>
      </c>
      <c r="N15" s="6">
        <f t="shared" si="4"/>
        <v>14</v>
      </c>
      <c r="O15" s="64"/>
      <c r="P15" s="28" t="s">
        <v>173</v>
      </c>
      <c r="Q15" s="31" t="s">
        <v>240</v>
      </c>
      <c r="R15" s="37"/>
      <c r="S15" s="44">
        <v>108</v>
      </c>
      <c r="T15" s="11" t="str">
        <v>Toy Story 3</v>
      </c>
      <c r="U15" s="6" t="str">
        <v>ASSISTIDO</v>
      </c>
      <c r="V15" s="45">
        <v>7.1527777777777787E-2</v>
      </c>
      <c r="W15" s="49"/>
      <c r="X15" s="71">
        <v>13</v>
      </c>
      <c r="Y15" s="11" t="str">
        <v>Moana: um Mar de Aventuras</v>
      </c>
      <c r="Z15" s="6" t="str">
        <v>ASSISTIDO</v>
      </c>
      <c r="AA15" s="45">
        <v>7.4305555555555555E-2</v>
      </c>
      <c r="AB15" s="14"/>
      <c r="AC15" s="71">
        <v>34</v>
      </c>
      <c r="AD15" s="11" t="str">
        <v>Kung Fu Panda 2</v>
      </c>
      <c r="AE15" s="9" t="str">
        <v>ASSISTIDO</v>
      </c>
      <c r="AF15" s="66">
        <v>6.3888888888888884E-2</v>
      </c>
    </row>
    <row r="16" spans="1:32" ht="19.5" x14ac:dyDescent="0.3">
      <c r="A16" s="6">
        <f t="shared" si="2"/>
        <v>15</v>
      </c>
      <c r="B16" s="4" t="s">
        <v>23</v>
      </c>
      <c r="C16" s="5">
        <v>2004</v>
      </c>
      <c r="D16" s="6" t="s">
        <v>6</v>
      </c>
      <c r="E16" s="7">
        <v>44948</v>
      </c>
      <c r="F16" s="9">
        <v>9</v>
      </c>
      <c r="G16" s="35">
        <v>7.9861111111111105E-2</v>
      </c>
      <c r="H16" s="6" t="s">
        <v>10</v>
      </c>
      <c r="I16" s="57">
        <v>91000000</v>
      </c>
      <c r="J16" s="55">
        <v>631442092</v>
      </c>
      <c r="K16" s="53">
        <f t="shared" si="3"/>
        <v>540442092</v>
      </c>
      <c r="L16" s="23">
        <f t="shared" si="0"/>
        <v>1</v>
      </c>
      <c r="M16" s="25" t="str">
        <f t="shared" si="1"/>
        <v>ASSISTIDO</v>
      </c>
      <c r="N16" s="6">
        <f t="shared" si="4"/>
        <v>15</v>
      </c>
      <c r="O16" s="64"/>
      <c r="P16" s="28" t="s">
        <v>70</v>
      </c>
      <c r="Q16" s="31">
        <f>VLOOKUP($Q$15,$B:$N,2,0)</f>
        <v>2010</v>
      </c>
      <c r="R16" s="37"/>
      <c r="S16" s="44">
        <v>109</v>
      </c>
      <c r="T16" s="11" t="str">
        <v>Procurando Dory</v>
      </c>
      <c r="U16" s="6" t="str">
        <v>ASSISTIDO</v>
      </c>
      <c r="V16" s="45">
        <v>6.6666666666666666E-2</v>
      </c>
      <c r="W16" s="49"/>
      <c r="X16" s="71">
        <v>14</v>
      </c>
      <c r="Y16" s="11" t="str">
        <v>Frozen: Febre Congelante</v>
      </c>
      <c r="Z16" s="6" t="str">
        <v>ASSISTIDO</v>
      </c>
      <c r="AA16" s="45">
        <v>7.4999999999999997E-2</v>
      </c>
      <c r="AB16" s="14"/>
      <c r="AC16" s="71">
        <v>35</v>
      </c>
      <c r="AD16" s="11" t="str">
        <v>Kung Fu Panda 3</v>
      </c>
      <c r="AE16" s="9" t="str">
        <v>ASSISTIDO</v>
      </c>
      <c r="AF16" s="66">
        <v>6.5972222222222224E-2</v>
      </c>
    </row>
    <row r="17" spans="1:32" ht="19.5" x14ac:dyDescent="0.3">
      <c r="A17" s="6">
        <f t="shared" si="2"/>
        <v>16</v>
      </c>
      <c r="B17" s="4" t="s">
        <v>24</v>
      </c>
      <c r="C17" s="5">
        <v>2016</v>
      </c>
      <c r="D17" s="6" t="s">
        <v>6</v>
      </c>
      <c r="E17" s="7">
        <v>44948</v>
      </c>
      <c r="F17" s="9">
        <v>9</v>
      </c>
      <c r="G17" s="35">
        <v>7.4999999999999997E-2</v>
      </c>
      <c r="H17" s="6" t="s">
        <v>10</v>
      </c>
      <c r="I17" s="57">
        <v>150000000</v>
      </c>
      <c r="J17" s="55">
        <v>1025000000</v>
      </c>
      <c r="K17" s="53">
        <f t="shared" si="3"/>
        <v>875000000</v>
      </c>
      <c r="L17" s="23">
        <f t="shared" si="0"/>
        <v>1</v>
      </c>
      <c r="M17" s="25" t="str">
        <f t="shared" si="1"/>
        <v>ASSISTIDO</v>
      </c>
      <c r="N17" s="6">
        <f t="shared" si="4"/>
        <v>16</v>
      </c>
      <c r="O17" s="64"/>
      <c r="P17" s="28" t="s">
        <v>5</v>
      </c>
      <c r="Q17" s="31" t="str">
        <f>VLOOKUP($Q$15,$B:$N,7,0)</f>
        <v>Dreamworks</v>
      </c>
      <c r="R17" s="37"/>
      <c r="S17" s="44">
        <v>110</v>
      </c>
      <c r="T17" s="11" t="str">
        <v>Universidade Monstro</v>
      </c>
      <c r="U17" s="6" t="str">
        <v>ASSISTIDO</v>
      </c>
      <c r="V17" s="45">
        <v>7.2222222222222229E-2</v>
      </c>
      <c r="W17" s="49"/>
      <c r="X17" s="71">
        <v>15</v>
      </c>
      <c r="Y17" s="11" t="str">
        <v>Os Incríveis</v>
      </c>
      <c r="Z17" s="6" t="str">
        <v>ASSISTIDO</v>
      </c>
      <c r="AA17" s="45">
        <v>7.9861111111111105E-2</v>
      </c>
      <c r="AB17" s="14"/>
      <c r="AC17" s="71">
        <v>36</v>
      </c>
      <c r="AD17" s="11" t="str">
        <v>A Origem dos Guardiões</v>
      </c>
      <c r="AE17" s="9" t="str">
        <v>ASSISTIDO</v>
      </c>
      <c r="AF17" s="66">
        <v>6.7361111111111108E-2</v>
      </c>
    </row>
    <row r="18" spans="1:32" ht="19.5" x14ac:dyDescent="0.3">
      <c r="A18" s="6">
        <f t="shared" si="2"/>
        <v>17</v>
      </c>
      <c r="B18" s="4" t="s">
        <v>25</v>
      </c>
      <c r="C18" s="5">
        <v>2003</v>
      </c>
      <c r="D18" s="6" t="s">
        <v>9</v>
      </c>
      <c r="E18" s="7">
        <v>44942</v>
      </c>
      <c r="F18" s="9" t="s">
        <v>71</v>
      </c>
      <c r="G18" s="35">
        <v>5.9027777777777783E-2</v>
      </c>
      <c r="H18" s="6" t="s">
        <v>10</v>
      </c>
      <c r="I18" s="57">
        <v>46000000</v>
      </c>
      <c r="J18" s="55">
        <v>250400000</v>
      </c>
      <c r="K18" s="53">
        <f t="shared" si="3"/>
        <v>204400000</v>
      </c>
      <c r="L18" s="23">
        <f t="shared" si="0"/>
        <v>1</v>
      </c>
      <c r="M18" s="25" t="str">
        <f t="shared" si="1"/>
        <v>ASSISTIDO</v>
      </c>
      <c r="N18" s="6">
        <f t="shared" si="4"/>
        <v>17</v>
      </c>
      <c r="O18" s="64"/>
      <c r="P18" s="28" t="s">
        <v>4</v>
      </c>
      <c r="Q18" s="59">
        <f>VLOOKUP($Q$15,$B:$N,6,0)</f>
        <v>6.6666666666666666E-2</v>
      </c>
      <c r="R18" s="37"/>
      <c r="S18" s="44">
        <v>111</v>
      </c>
      <c r="T18" s="11" t="str">
        <v>Wall-E</v>
      </c>
      <c r="U18" s="6" t="str">
        <v>ASSISTIDO</v>
      </c>
      <c r="V18" s="45">
        <v>6.805555555555555E-2</v>
      </c>
      <c r="W18" s="49"/>
      <c r="X18" s="71">
        <v>16</v>
      </c>
      <c r="Y18" s="11" t="str">
        <v>Zootopia: Essa cidade é o bicho</v>
      </c>
      <c r="Z18" s="6" t="str">
        <v>ASSISTIDO</v>
      </c>
      <c r="AA18" s="45">
        <v>7.4999999999999997E-2</v>
      </c>
      <c r="AB18" s="14"/>
      <c r="AC18" s="71">
        <v>37</v>
      </c>
      <c r="AD18" s="11" t="str">
        <v>O Gato De Botas</v>
      </c>
      <c r="AE18" s="9" t="str">
        <v>ASSISTIDO</v>
      </c>
      <c r="AF18" s="66">
        <v>6.25E-2</v>
      </c>
    </row>
    <row r="19" spans="1:32" ht="19.5" x14ac:dyDescent="0.3">
      <c r="A19" s="6">
        <f t="shared" si="2"/>
        <v>18</v>
      </c>
      <c r="B19" s="4" t="s">
        <v>26</v>
      </c>
      <c r="C19" s="5">
        <v>2018</v>
      </c>
      <c r="D19" s="6" t="s">
        <v>6</v>
      </c>
      <c r="E19" s="7">
        <v>44955</v>
      </c>
      <c r="F19" s="9" t="s">
        <v>71</v>
      </c>
      <c r="G19" s="35">
        <v>8.7500000000000008E-2</v>
      </c>
      <c r="H19" s="6" t="s">
        <v>7</v>
      </c>
      <c r="I19" s="57">
        <v>200000000</v>
      </c>
      <c r="J19" s="55">
        <v>1243000000</v>
      </c>
      <c r="K19" s="53">
        <f t="shared" si="3"/>
        <v>1043000000</v>
      </c>
      <c r="L19" s="23">
        <f t="shared" si="0"/>
        <v>1</v>
      </c>
      <c r="M19" s="25" t="str">
        <f t="shared" si="1"/>
        <v>ASSISTIDO</v>
      </c>
      <c r="N19" s="6">
        <f t="shared" si="4"/>
        <v>18</v>
      </c>
      <c r="O19" s="64"/>
      <c r="P19" s="28" t="s">
        <v>3</v>
      </c>
      <c r="Q19" s="31">
        <f>VLOOKUP($Q$15,$B:$N,5,0)</f>
        <v>0</v>
      </c>
      <c r="R19" s="37"/>
      <c r="S19" s="44">
        <v>112</v>
      </c>
      <c r="T19" s="11" t="str">
        <v>Ratatouile</v>
      </c>
      <c r="U19" s="6" t="str">
        <v>ASSISTIDO</v>
      </c>
      <c r="V19" s="45">
        <v>7.7083333333333337E-2</v>
      </c>
      <c r="W19" s="49"/>
      <c r="X19" s="71">
        <v>17</v>
      </c>
      <c r="Y19" s="11" t="str">
        <v>Irmão Urso</v>
      </c>
      <c r="Z19" s="6" t="str">
        <v>ASSISTIDO</v>
      </c>
      <c r="AA19" s="45">
        <v>5.9027777777777783E-2</v>
      </c>
      <c r="AB19" s="14"/>
      <c r="AC19" s="71">
        <v>101</v>
      </c>
      <c r="AD19" s="11" t="str">
        <v>Madagascar</v>
      </c>
      <c r="AE19" s="9" t="str">
        <v>ASSISTIDO</v>
      </c>
      <c r="AF19" s="66">
        <v>5.9722222222222225E-2</v>
      </c>
    </row>
    <row r="20" spans="1:32" ht="19.5" x14ac:dyDescent="0.3">
      <c r="A20" s="6">
        <f t="shared" si="2"/>
        <v>19</v>
      </c>
      <c r="B20" s="4" t="s">
        <v>27</v>
      </c>
      <c r="C20" s="5">
        <v>2015</v>
      </c>
      <c r="D20" s="6" t="s">
        <v>6</v>
      </c>
      <c r="E20" s="7">
        <v>44955</v>
      </c>
      <c r="F20" s="9">
        <v>10</v>
      </c>
      <c r="G20" s="35">
        <v>6.5972222222222224E-2</v>
      </c>
      <c r="H20" s="6" t="s">
        <v>7</v>
      </c>
      <c r="I20" s="57">
        <v>175000000</v>
      </c>
      <c r="J20" s="55">
        <v>858800000</v>
      </c>
      <c r="K20" s="53">
        <f t="shared" si="3"/>
        <v>683800000</v>
      </c>
      <c r="L20" s="23">
        <f t="shared" si="0"/>
        <v>1</v>
      </c>
      <c r="M20" s="25" t="str">
        <f t="shared" si="1"/>
        <v>ASSISTIDO</v>
      </c>
      <c r="N20" s="6">
        <f t="shared" si="4"/>
        <v>19</v>
      </c>
      <c r="O20" s="64"/>
      <c r="P20" s="28" t="s">
        <v>82</v>
      </c>
      <c r="Q20" s="31" t="str">
        <f>VLOOKUP($Q$15,$B:$N,12,0)</f>
        <v>NÃO ASSISTIDO</v>
      </c>
      <c r="R20" s="37"/>
      <c r="S20" s="44">
        <v>113</v>
      </c>
      <c r="T20" s="11" t="str">
        <v>Soul</v>
      </c>
      <c r="U20" s="6" t="str">
        <v>ASSISTIDO</v>
      </c>
      <c r="V20" s="45">
        <v>6.9444444444444434E-2</v>
      </c>
      <c r="W20" s="49"/>
      <c r="X20" s="71">
        <v>31</v>
      </c>
      <c r="Y20" s="11" t="str">
        <v>O Planeta do Tesouro</v>
      </c>
      <c r="Z20" s="6" t="str">
        <v>ASSISTIDO</v>
      </c>
      <c r="AA20" s="45">
        <v>6.5972222222222224E-2</v>
      </c>
      <c r="AB20" s="14"/>
      <c r="AC20" s="71">
        <v>118</v>
      </c>
      <c r="AD20" s="11" t="str">
        <v>Gato de Botas 2: O Último Pedido</v>
      </c>
      <c r="AE20" s="9" t="str">
        <v>ASSISTIDO</v>
      </c>
      <c r="AF20" s="66">
        <v>7.0833333333333331E-2</v>
      </c>
    </row>
    <row r="21" spans="1:32" ht="19.5" x14ac:dyDescent="0.3">
      <c r="A21" s="6">
        <f t="shared" si="2"/>
        <v>20</v>
      </c>
      <c r="B21" s="4" t="s">
        <v>28</v>
      </c>
      <c r="C21" s="5">
        <v>2017</v>
      </c>
      <c r="D21" s="6" t="s">
        <v>6</v>
      </c>
      <c r="E21" s="7">
        <v>44955</v>
      </c>
      <c r="F21" s="9">
        <v>9</v>
      </c>
      <c r="G21" s="35">
        <v>7.2916666666666671E-2</v>
      </c>
      <c r="H21" s="6" t="s">
        <v>7</v>
      </c>
      <c r="I21" s="57">
        <v>200000000</v>
      </c>
      <c r="J21" s="55">
        <v>814300000</v>
      </c>
      <c r="K21" s="53">
        <f t="shared" si="3"/>
        <v>614300000</v>
      </c>
      <c r="L21" s="23">
        <f t="shared" si="0"/>
        <v>1</v>
      </c>
      <c r="M21" s="25" t="str">
        <f t="shared" si="1"/>
        <v>ASSISTIDO</v>
      </c>
      <c r="N21" s="6">
        <f t="shared" si="4"/>
        <v>20</v>
      </c>
      <c r="P21" s="30" t="s">
        <v>186</v>
      </c>
      <c r="Q21" s="31">
        <f>VLOOKUP($Q$15,$B:$N,13,0)</f>
        <v>186</v>
      </c>
      <c r="R21" s="26"/>
      <c r="S21" s="44">
        <v>114</v>
      </c>
      <c r="T21" s="11" t="str">
        <v>Red: Crescer é uma Fera</v>
      </c>
      <c r="U21" s="6" t="str">
        <v>ASSISTIDO</v>
      </c>
      <c r="V21" s="45">
        <v>6.9444444444444434E-2</v>
      </c>
      <c r="W21" s="49"/>
      <c r="X21" s="71">
        <v>32</v>
      </c>
      <c r="Y21" s="11" t="str">
        <v>Nem que a Vaca Tussa</v>
      </c>
      <c r="Z21" s="6" t="str">
        <v>ASSISTIDO</v>
      </c>
      <c r="AA21" s="45">
        <v>5.2777777777777778E-2</v>
      </c>
      <c r="AB21" s="14"/>
      <c r="AC21" s="71">
        <v>122</v>
      </c>
      <c r="AD21" s="11" t="str">
        <v>Sinbad: A Lenda dos sete mares</v>
      </c>
      <c r="AE21" s="9" t="str">
        <v>NÃO ASSISTIDO</v>
      </c>
      <c r="AF21" s="66">
        <v>5.9722222222222225E-2</v>
      </c>
    </row>
    <row r="22" spans="1:32" x14ac:dyDescent="0.25">
      <c r="A22" s="6">
        <f t="shared" si="2"/>
        <v>21</v>
      </c>
      <c r="B22" s="4" t="s">
        <v>30</v>
      </c>
      <c r="C22" s="5">
        <v>2001</v>
      </c>
      <c r="D22" s="6" t="s">
        <v>6</v>
      </c>
      <c r="E22" s="7">
        <v>44945</v>
      </c>
      <c r="F22" s="9">
        <v>9</v>
      </c>
      <c r="G22" s="35">
        <v>6.3888888888888884E-2</v>
      </c>
      <c r="H22" s="6" t="s">
        <v>7</v>
      </c>
      <c r="I22" s="57">
        <v>115000000</v>
      </c>
      <c r="J22" s="55">
        <v>577400000</v>
      </c>
      <c r="K22" s="53">
        <f t="shared" si="3"/>
        <v>462400000</v>
      </c>
      <c r="L22" s="23">
        <f t="shared" si="0"/>
        <v>1</v>
      </c>
      <c r="M22" s="25" t="str">
        <f t="shared" si="1"/>
        <v>ASSISTIDO</v>
      </c>
      <c r="N22" s="6">
        <f t="shared" si="4"/>
        <v>21</v>
      </c>
      <c r="R22" s="26"/>
      <c r="S22" s="44">
        <v>129</v>
      </c>
      <c r="T22" s="11" t="str">
        <v>Valente</v>
      </c>
      <c r="U22" s="6" t="str">
        <v>ASSISTIDO</v>
      </c>
      <c r="V22" s="45">
        <v>6.458333333333334E-2</v>
      </c>
      <c r="W22" s="49"/>
      <c r="X22" s="71">
        <v>38</v>
      </c>
      <c r="Y22" s="11" t="str">
        <v>A Bela Adormecida</v>
      </c>
      <c r="Z22" s="6" t="str">
        <v>ASSISTIDO</v>
      </c>
      <c r="AA22" s="45">
        <v>5.2083333333333336E-2</v>
      </c>
      <c r="AB22" s="14"/>
      <c r="AC22" s="71">
        <v>136</v>
      </c>
      <c r="AD22" s="11" t="str">
        <v>O Príncipe do Egito</v>
      </c>
      <c r="AE22" s="9" t="str">
        <v>NÃO ASSISTIDO</v>
      </c>
      <c r="AF22" s="66">
        <v>6.8749999999999992E-2</v>
      </c>
    </row>
    <row r="23" spans="1:32" ht="19.5" x14ac:dyDescent="0.3">
      <c r="A23" s="6">
        <f t="shared" si="2"/>
        <v>22</v>
      </c>
      <c r="B23" s="4" t="s">
        <v>32</v>
      </c>
      <c r="C23" s="5">
        <v>2010</v>
      </c>
      <c r="D23" s="6" t="s">
        <v>6</v>
      </c>
      <c r="E23" s="6" t="s">
        <v>34</v>
      </c>
      <c r="F23" s="9" t="s">
        <v>71</v>
      </c>
      <c r="G23" s="35">
        <v>6.805555555555555E-2</v>
      </c>
      <c r="H23" s="6" t="s">
        <v>33</v>
      </c>
      <c r="I23" s="57">
        <v>165000000</v>
      </c>
      <c r="J23" s="55">
        <v>494000000</v>
      </c>
      <c r="K23" s="53">
        <f t="shared" si="3"/>
        <v>329000000</v>
      </c>
      <c r="L23" s="23">
        <f t="shared" si="0"/>
        <v>1</v>
      </c>
      <c r="M23" s="25" t="str">
        <f t="shared" si="1"/>
        <v>ASSISTIDO</v>
      </c>
      <c r="N23" s="6">
        <f t="shared" si="4"/>
        <v>22</v>
      </c>
      <c r="P23" s="30"/>
      <c r="Q23" s="1" t="s">
        <v>191</v>
      </c>
      <c r="R23" s="26"/>
      <c r="S23" s="44">
        <v>130</v>
      </c>
      <c r="T23" s="11" t="str">
        <v>Carros 1</v>
      </c>
      <c r="U23" s="6" t="str">
        <v>ASSISTIDO</v>
      </c>
      <c r="V23" s="45">
        <v>8.1250000000000003E-2</v>
      </c>
      <c r="W23" s="49"/>
      <c r="X23" s="71">
        <v>39</v>
      </c>
      <c r="Y23" s="11" t="str">
        <v>Operação Big Hero</v>
      </c>
      <c r="Z23" s="6" t="str">
        <v>ASSISTIDO</v>
      </c>
      <c r="AA23" s="45">
        <v>7.0833333333333331E-2</v>
      </c>
      <c r="AB23" s="14"/>
      <c r="AC23" s="9">
        <v>177</v>
      </c>
      <c r="AD23" s="11" t="str">
        <v>FormiguinhaZ</v>
      </c>
      <c r="AE23" s="9" t="str">
        <v>NÃO ASSISTIDO</v>
      </c>
      <c r="AF23" s="66">
        <v>5.7638888888888885E-2</v>
      </c>
    </row>
    <row r="24" spans="1:32" ht="19.5" x14ac:dyDescent="0.3">
      <c r="A24" s="6">
        <f t="shared" si="2"/>
        <v>23</v>
      </c>
      <c r="B24" s="4" t="s">
        <v>35</v>
      </c>
      <c r="C24" s="5">
        <v>2014</v>
      </c>
      <c r="D24" s="6" t="s">
        <v>6</v>
      </c>
      <c r="E24" s="6" t="s">
        <v>34</v>
      </c>
      <c r="F24" s="9">
        <v>9</v>
      </c>
      <c r="G24" s="35">
        <v>7.2916666666666671E-2</v>
      </c>
      <c r="H24" s="6" t="s">
        <v>33</v>
      </c>
      <c r="I24" s="57">
        <v>145000000</v>
      </c>
      <c r="J24" s="55">
        <v>621500000</v>
      </c>
      <c r="K24" s="53">
        <f t="shared" si="3"/>
        <v>476500000</v>
      </c>
      <c r="L24" s="23">
        <f t="shared" si="0"/>
        <v>1</v>
      </c>
      <c r="M24" s="25" t="str">
        <f t="shared" si="1"/>
        <v>ASSISTIDO</v>
      </c>
      <c r="N24" s="6">
        <f t="shared" si="4"/>
        <v>23</v>
      </c>
      <c r="P24" s="30" t="s">
        <v>5</v>
      </c>
      <c r="Q24" s="19" t="s">
        <v>84</v>
      </c>
      <c r="R24" s="26"/>
      <c r="S24" s="44">
        <v>131</v>
      </c>
      <c r="T24" s="11" t="str">
        <v>Carros 2</v>
      </c>
      <c r="U24" s="6" t="str">
        <v>ASSISTIDO</v>
      </c>
      <c r="V24" s="45">
        <v>7.3611111111111113E-2</v>
      </c>
      <c r="W24" s="49"/>
      <c r="X24" s="71">
        <v>40</v>
      </c>
      <c r="Y24" s="11" t="str">
        <v>Mulan</v>
      </c>
      <c r="Z24" s="6" t="str">
        <v>ASSISTIDO</v>
      </c>
      <c r="AA24" s="45">
        <v>6.1111111111111116E-2</v>
      </c>
      <c r="AB24" s="14"/>
      <c r="AC24" s="9">
        <v>178</v>
      </c>
      <c r="AD24" s="11" t="str">
        <v>O Espanta Tubarões</v>
      </c>
      <c r="AE24" s="9" t="str">
        <v>NÃO ASSISTIDO</v>
      </c>
      <c r="AF24" s="66">
        <v>6.25E-2</v>
      </c>
    </row>
    <row r="25" spans="1:32" ht="19.5" x14ac:dyDescent="0.3">
      <c r="A25" s="6">
        <f t="shared" si="2"/>
        <v>24</v>
      </c>
      <c r="B25" s="4" t="s">
        <v>36</v>
      </c>
      <c r="C25" s="5">
        <v>2019</v>
      </c>
      <c r="D25" s="6" t="s">
        <v>6</v>
      </c>
      <c r="E25" s="6" t="s">
        <v>34</v>
      </c>
      <c r="F25" s="9">
        <v>8</v>
      </c>
      <c r="G25" s="35">
        <v>7.2222222222222229E-2</v>
      </c>
      <c r="H25" s="6" t="s">
        <v>33</v>
      </c>
      <c r="I25" s="57">
        <v>129000000</v>
      </c>
      <c r="J25" s="55">
        <v>524600000</v>
      </c>
      <c r="K25" s="53">
        <f t="shared" si="3"/>
        <v>395600000</v>
      </c>
      <c r="L25" s="23">
        <f t="shared" si="0"/>
        <v>1</v>
      </c>
      <c r="M25" s="25" t="str">
        <f t="shared" si="1"/>
        <v>ASSISTIDO</v>
      </c>
      <c r="N25" s="6">
        <f t="shared" si="4"/>
        <v>24</v>
      </c>
      <c r="P25" s="30" t="s">
        <v>190</v>
      </c>
      <c r="Q25" s="20">
        <f>COUNTIF(H:H,$Q$24)</f>
        <v>10</v>
      </c>
      <c r="R25" s="26"/>
      <c r="S25" s="44">
        <v>132</v>
      </c>
      <c r="T25" s="11" t="str">
        <v>Carros 3</v>
      </c>
      <c r="U25" s="6" t="str">
        <v>ASSISTIDO</v>
      </c>
      <c r="V25" s="45">
        <v>7.5694444444444439E-2</v>
      </c>
      <c r="W25" s="49"/>
      <c r="X25" s="71">
        <v>41</v>
      </c>
      <c r="Y25" s="11" t="str">
        <v>O Rei Leão</v>
      </c>
      <c r="Z25" s="6" t="str">
        <v>ASSISTIDO</v>
      </c>
      <c r="AA25" s="45">
        <v>6.0416666666666667E-2</v>
      </c>
      <c r="AB25" s="14"/>
      <c r="AC25" s="9">
        <v>179</v>
      </c>
      <c r="AD25" s="11" t="str">
        <v>Wallace &amp; Gromit: A Batalha dos vegetais</v>
      </c>
      <c r="AE25" s="9" t="str">
        <v>ASSISTIDO</v>
      </c>
      <c r="AF25" s="66">
        <v>5.9027777777777783E-2</v>
      </c>
    </row>
    <row r="26" spans="1:32" ht="19.5" x14ac:dyDescent="0.3">
      <c r="A26" s="6">
        <f t="shared" si="2"/>
        <v>25</v>
      </c>
      <c r="B26" s="4" t="s">
        <v>37</v>
      </c>
      <c r="C26" s="5">
        <v>2001</v>
      </c>
      <c r="D26" s="6" t="s">
        <v>6</v>
      </c>
      <c r="E26" s="6" t="s">
        <v>34</v>
      </c>
      <c r="F26" s="9" t="s">
        <v>71</v>
      </c>
      <c r="G26" s="35">
        <v>6.1805555555555558E-2</v>
      </c>
      <c r="H26" s="6" t="s">
        <v>33</v>
      </c>
      <c r="I26" s="57">
        <v>60000000</v>
      </c>
      <c r="J26" s="55">
        <v>482000000</v>
      </c>
      <c r="K26" s="53">
        <f t="shared" si="3"/>
        <v>422000000</v>
      </c>
      <c r="L26" s="23">
        <f t="shared" si="0"/>
        <v>1</v>
      </c>
      <c r="M26" s="25" t="str">
        <f t="shared" si="1"/>
        <v>ASSISTIDO</v>
      </c>
      <c r="N26" s="6">
        <f t="shared" si="4"/>
        <v>25</v>
      </c>
      <c r="P26" s="30" t="s">
        <v>187</v>
      </c>
      <c r="Q26" s="22">
        <f>SUMIF(H:H,$Q$24,L:L)</f>
        <v>7</v>
      </c>
      <c r="R26" s="26"/>
      <c r="S26" s="44">
        <v>133</v>
      </c>
      <c r="T26" s="11" t="str">
        <v>O Bom Dinossauro</v>
      </c>
      <c r="U26" s="6" t="str">
        <v>NÃO ASSISTIDO</v>
      </c>
      <c r="V26" s="45">
        <v>6.458333333333334E-2</v>
      </c>
      <c r="W26" s="49"/>
      <c r="X26" s="71">
        <v>42</v>
      </c>
      <c r="Y26" s="11" t="str">
        <v>O Rei Leão 2: O Reino de Simba</v>
      </c>
      <c r="Z26" s="6" t="str">
        <v>ASSISTIDO</v>
      </c>
      <c r="AA26" s="45">
        <v>5.6250000000000001E-2</v>
      </c>
      <c r="AB26" s="14"/>
      <c r="AC26" s="9">
        <v>180</v>
      </c>
      <c r="AD26" s="11" t="str">
        <v>Os Sem Floresta</v>
      </c>
      <c r="AE26" s="9" t="str">
        <v>NÃO ASSISTIDO</v>
      </c>
      <c r="AF26" s="66">
        <v>6.0416666666666667E-2</v>
      </c>
    </row>
    <row r="27" spans="1:32" ht="19.5" x14ac:dyDescent="0.3">
      <c r="A27" s="6">
        <f t="shared" si="2"/>
        <v>26</v>
      </c>
      <c r="B27" s="4" t="s">
        <v>38</v>
      </c>
      <c r="C27" s="5">
        <v>2004</v>
      </c>
      <c r="D27" s="6" t="s">
        <v>6</v>
      </c>
      <c r="E27" s="6" t="s">
        <v>34</v>
      </c>
      <c r="F27" s="9" t="s">
        <v>72</v>
      </c>
      <c r="G27" s="35">
        <v>7.2916666666666671E-2</v>
      </c>
      <c r="H27" s="6" t="s">
        <v>33</v>
      </c>
      <c r="I27" s="57">
        <v>150000000</v>
      </c>
      <c r="J27" s="55">
        <v>928760770</v>
      </c>
      <c r="K27" s="53">
        <f t="shared" si="3"/>
        <v>778760770</v>
      </c>
      <c r="L27" s="23">
        <f t="shared" si="0"/>
        <v>1</v>
      </c>
      <c r="M27" s="25" t="str">
        <f t="shared" si="1"/>
        <v>ASSISTIDO</v>
      </c>
      <c r="N27" s="6">
        <f t="shared" si="4"/>
        <v>26</v>
      </c>
      <c r="P27" s="30" t="s">
        <v>189</v>
      </c>
      <c r="Q27" s="21">
        <f>$Q$25-$Q$26</f>
        <v>3</v>
      </c>
      <c r="R27" s="26"/>
      <c r="S27" s="44">
        <v>134</v>
      </c>
      <c r="T27" s="11" t="str">
        <v>Luca</v>
      </c>
      <c r="U27" s="6" t="str">
        <v>ASSISTIDO</v>
      </c>
      <c r="V27" s="45">
        <v>6.6666666666666666E-2</v>
      </c>
      <c r="W27" s="49"/>
      <c r="X27" s="71">
        <v>43</v>
      </c>
      <c r="Y27" s="11" t="str">
        <v>Aladdin</v>
      </c>
      <c r="Z27" s="6" t="str">
        <v>ASSISTIDO</v>
      </c>
      <c r="AA27" s="45">
        <v>6.25E-2</v>
      </c>
      <c r="AB27" s="14"/>
      <c r="AC27" s="9">
        <v>181</v>
      </c>
      <c r="AD27" s="11" t="str">
        <v>Por Água Abaixo</v>
      </c>
      <c r="AE27" s="9" t="str">
        <v>NÃO ASSISTIDO</v>
      </c>
      <c r="AF27" s="66">
        <v>5.9722222222222225E-2</v>
      </c>
    </row>
    <row r="28" spans="1:32" x14ac:dyDescent="0.25">
      <c r="A28" s="6">
        <f t="shared" si="2"/>
        <v>27</v>
      </c>
      <c r="B28" s="4" t="s">
        <v>39</v>
      </c>
      <c r="C28" s="5">
        <v>2007</v>
      </c>
      <c r="D28" s="6" t="s">
        <v>6</v>
      </c>
      <c r="E28" s="6" t="s">
        <v>34</v>
      </c>
      <c r="F28" s="9">
        <v>8</v>
      </c>
      <c r="G28" s="35">
        <v>6.458333333333334E-2</v>
      </c>
      <c r="H28" s="6" t="s">
        <v>33</v>
      </c>
      <c r="I28" s="57">
        <v>160000000</v>
      </c>
      <c r="J28" s="55">
        <v>813400000</v>
      </c>
      <c r="K28" s="53">
        <f t="shared" si="3"/>
        <v>653400000</v>
      </c>
      <c r="L28" s="23">
        <f t="shared" si="0"/>
        <v>1</v>
      </c>
      <c r="M28" s="25" t="str">
        <f t="shared" si="1"/>
        <v>ASSISTIDO</v>
      </c>
      <c r="N28" s="6">
        <f t="shared" si="4"/>
        <v>27</v>
      </c>
      <c r="R28" s="26"/>
      <c r="S28" s="44">
        <v>135</v>
      </c>
      <c r="T28" s="11" t="str">
        <v>Dois Irmãos: Uma Jornada Fantástica</v>
      </c>
      <c r="U28" s="11" t="str">
        <v>ASSISTIDO</v>
      </c>
      <c r="V28" s="46">
        <v>7.0833333333333331E-2</v>
      </c>
      <c r="W28" s="49"/>
      <c r="X28" s="71">
        <v>44</v>
      </c>
      <c r="Y28" s="11" t="str">
        <v>Hércules</v>
      </c>
      <c r="Z28" s="6" t="str">
        <v>ASSISTIDO</v>
      </c>
      <c r="AA28" s="45">
        <v>6.458333333333334E-2</v>
      </c>
      <c r="AB28" s="14"/>
      <c r="AC28" s="9">
        <v>182</v>
      </c>
      <c r="AD28" s="11" t="str">
        <v>Bee Movie: A História de uma Abelha</v>
      </c>
      <c r="AE28" s="9" t="str">
        <v>NÃO ASSISTIDO</v>
      </c>
      <c r="AF28" s="66">
        <v>6.3194444444444442E-2</v>
      </c>
    </row>
    <row r="29" spans="1:32" ht="19.5" x14ac:dyDescent="0.3">
      <c r="A29" s="6">
        <f t="shared" si="2"/>
        <v>28</v>
      </c>
      <c r="B29" s="4" t="s">
        <v>40</v>
      </c>
      <c r="C29" s="5">
        <v>2002</v>
      </c>
      <c r="D29" s="6" t="s">
        <v>9</v>
      </c>
      <c r="E29" s="6" t="s">
        <v>34</v>
      </c>
      <c r="F29" s="9" t="s">
        <v>71</v>
      </c>
      <c r="G29" s="35">
        <v>5.8333333333333327E-2</v>
      </c>
      <c r="H29" s="6" t="s">
        <v>33</v>
      </c>
      <c r="I29" s="57">
        <v>80000000</v>
      </c>
      <c r="J29" s="55">
        <v>122600000</v>
      </c>
      <c r="K29" s="53">
        <f t="shared" si="3"/>
        <v>42600000</v>
      </c>
      <c r="L29" s="23">
        <f t="shared" si="0"/>
        <v>1</v>
      </c>
      <c r="M29" s="25" t="str">
        <f t="shared" si="1"/>
        <v>ASSISTIDO</v>
      </c>
      <c r="N29" s="6">
        <f t="shared" si="4"/>
        <v>28</v>
      </c>
      <c r="P29" s="30"/>
      <c r="Q29" s="1" t="s">
        <v>192</v>
      </c>
      <c r="R29" s="26"/>
      <c r="S29" s="44">
        <v>156</v>
      </c>
      <c r="T29" s="11" t="str">
        <v>Lightyear</v>
      </c>
      <c r="U29" s="11" t="str">
        <v>NÃO ASSISTIDO</v>
      </c>
      <c r="V29" s="46">
        <v>7.2916666666666671E-2</v>
      </c>
      <c r="W29" s="49"/>
      <c r="X29" s="71">
        <v>45</v>
      </c>
      <c r="Y29" s="11" t="str">
        <v>A Bela e a Fera</v>
      </c>
      <c r="Z29" s="6" t="str">
        <v>ASSISTIDO</v>
      </c>
      <c r="AA29" s="45">
        <v>5.8333333333333327E-2</v>
      </c>
      <c r="AB29" s="14"/>
      <c r="AC29" s="9">
        <v>183</v>
      </c>
      <c r="AD29" s="11" t="str">
        <v>Madagascar 2: A Grande Escapada</v>
      </c>
      <c r="AE29" s="9" t="str">
        <v>NÃO ASSISTIDO</v>
      </c>
      <c r="AF29" s="66">
        <v>6.1805555555555558E-2</v>
      </c>
    </row>
    <row r="30" spans="1:32" ht="19.5" x14ac:dyDescent="0.3">
      <c r="A30" s="6">
        <f t="shared" si="2"/>
        <v>29</v>
      </c>
      <c r="B30" s="4" t="s">
        <v>41</v>
      </c>
      <c r="C30" s="5">
        <v>2000</v>
      </c>
      <c r="D30" s="6" t="s">
        <v>9</v>
      </c>
      <c r="E30" s="6" t="s">
        <v>34</v>
      </c>
      <c r="F30" s="9" t="s">
        <v>73</v>
      </c>
      <c r="G30" s="35">
        <v>6.1805555555555558E-2</v>
      </c>
      <c r="H30" s="6" t="s">
        <v>33</v>
      </c>
      <c r="I30" s="57">
        <v>95000000</v>
      </c>
      <c r="J30" s="55">
        <v>76000000</v>
      </c>
      <c r="K30" s="53">
        <f t="shared" si="3"/>
        <v>-19000000</v>
      </c>
      <c r="L30" s="23">
        <f t="shared" si="0"/>
        <v>1</v>
      </c>
      <c r="M30" s="25" t="str">
        <f t="shared" si="1"/>
        <v>ASSISTIDO</v>
      </c>
      <c r="N30" s="6">
        <f t="shared" si="4"/>
        <v>29</v>
      </c>
      <c r="P30" s="30" t="s">
        <v>185</v>
      </c>
      <c r="Q30" s="19">
        <f>COUNTIF(M:M,"ASSISTIDO")</f>
        <v>143</v>
      </c>
      <c r="R30" s="26"/>
      <c r="S30" s="44">
        <v>157</v>
      </c>
      <c r="T30" s="11" t="str">
        <v>Toy Story 4</v>
      </c>
      <c r="U30" s="11" t="str">
        <v>NÃO ASSISTIDO</v>
      </c>
      <c r="V30" s="46">
        <v>6.9444444444444434E-2</v>
      </c>
      <c r="W30" s="49"/>
      <c r="X30" s="71">
        <v>46</v>
      </c>
      <c r="Y30" s="11" t="str">
        <v>O Corcunda de Notre Dame</v>
      </c>
      <c r="Z30" s="6" t="str">
        <v>ASSISTIDO</v>
      </c>
      <c r="AA30" s="45">
        <v>6.3194444444444442E-2</v>
      </c>
      <c r="AB30" s="14"/>
      <c r="AC30" s="9">
        <v>184</v>
      </c>
      <c r="AD30" s="11" t="str">
        <v>Monstros Vs Aliens</v>
      </c>
      <c r="AE30" s="9" t="str">
        <v>NÃO ASSISTIDO</v>
      </c>
      <c r="AF30" s="66">
        <v>7.0833333333333331E-2</v>
      </c>
    </row>
    <row r="31" spans="1:32" ht="19.5" x14ac:dyDescent="0.3">
      <c r="A31" s="6">
        <f t="shared" si="2"/>
        <v>30</v>
      </c>
      <c r="B31" s="4" t="s">
        <v>42</v>
      </c>
      <c r="C31" s="5">
        <v>2000</v>
      </c>
      <c r="D31" s="6" t="s">
        <v>15</v>
      </c>
      <c r="E31" s="6" t="s">
        <v>34</v>
      </c>
      <c r="F31" s="9" t="s">
        <v>71</v>
      </c>
      <c r="G31" s="35">
        <v>6.5972222222222224E-2</v>
      </c>
      <c r="H31" s="6" t="s">
        <v>43</v>
      </c>
      <c r="I31" s="57">
        <v>45000000</v>
      </c>
      <c r="J31" s="55">
        <v>227700000</v>
      </c>
      <c r="K31" s="53">
        <f t="shared" si="3"/>
        <v>182700000</v>
      </c>
      <c r="L31" s="23">
        <f t="shared" si="0"/>
        <v>1</v>
      </c>
      <c r="M31" s="25" t="str">
        <f t="shared" si="1"/>
        <v>ASSISTIDO</v>
      </c>
      <c r="N31" s="6">
        <f t="shared" si="4"/>
        <v>30</v>
      </c>
      <c r="P31" s="30" t="s">
        <v>189</v>
      </c>
      <c r="Q31" s="19">
        <f>COUNTIF(M:M,"NÃO ASSISTIDO")</f>
        <v>57</v>
      </c>
      <c r="R31" s="26"/>
      <c r="S31" s="73" t="s">
        <v>206</v>
      </c>
      <c r="T31" s="74"/>
      <c r="U31" s="75"/>
      <c r="V31" s="47">
        <f ca="1">SUMIF($U$6:$V$30,"ASSISTIDO",$V$6:$V$30)</f>
        <v>1.5416666666666667</v>
      </c>
      <c r="W31" s="49"/>
      <c r="X31" s="71">
        <v>47</v>
      </c>
      <c r="Y31" s="11" t="str">
        <v>Mogli: O Menino Lobo</v>
      </c>
      <c r="Z31" s="6" t="str">
        <v>ASSISTIDO</v>
      </c>
      <c r="AA31" s="45">
        <v>6.1805555555555558E-2</v>
      </c>
      <c r="AB31" s="14"/>
      <c r="AC31" s="9">
        <v>185</v>
      </c>
      <c r="AD31" s="11" t="str">
        <v>Shrek Para Sempre</v>
      </c>
      <c r="AE31" s="9" t="str">
        <v>NÃO ASSISTIDO</v>
      </c>
      <c r="AF31" s="66">
        <v>6.458333333333334E-2</v>
      </c>
    </row>
    <row r="32" spans="1:32" ht="19.5" x14ac:dyDescent="0.3">
      <c r="A32" s="6">
        <f t="shared" si="2"/>
        <v>31</v>
      </c>
      <c r="B32" s="4" t="s">
        <v>44</v>
      </c>
      <c r="C32" s="5">
        <v>2002</v>
      </c>
      <c r="D32" s="6" t="s">
        <v>9</v>
      </c>
      <c r="E32" s="6" t="s">
        <v>34</v>
      </c>
      <c r="F32" s="9">
        <v>9</v>
      </c>
      <c r="G32" s="35">
        <v>6.5972222222222224E-2</v>
      </c>
      <c r="H32" s="6" t="s">
        <v>10</v>
      </c>
      <c r="I32" s="57">
        <v>180000000</v>
      </c>
      <c r="J32" s="55">
        <v>101000000</v>
      </c>
      <c r="K32" s="53">
        <f t="shared" si="3"/>
        <v>-79000000</v>
      </c>
      <c r="L32" s="23">
        <f t="shared" si="0"/>
        <v>1</v>
      </c>
      <c r="M32" s="25" t="str">
        <f t="shared" si="1"/>
        <v>ASSISTIDO</v>
      </c>
      <c r="N32" s="6">
        <f t="shared" si="4"/>
        <v>31</v>
      </c>
      <c r="P32" s="30" t="s">
        <v>190</v>
      </c>
      <c r="Q32" s="20">
        <f>MAX(A:A)</f>
        <v>200</v>
      </c>
      <c r="S32" s="40"/>
      <c r="T32" s="40"/>
      <c r="U32" s="40"/>
      <c r="V32" s="40"/>
      <c r="W32" s="50"/>
      <c r="X32" s="71">
        <v>48</v>
      </c>
      <c r="Y32" s="11" t="str">
        <v>O Cão e a Raposa</v>
      </c>
      <c r="Z32" s="6" t="str">
        <v>ASSISTIDO</v>
      </c>
      <c r="AA32" s="45">
        <v>5.7638888888888885E-2</v>
      </c>
      <c r="AB32" s="14"/>
      <c r="AC32" s="9">
        <v>186</v>
      </c>
      <c r="AD32" s="11" t="str">
        <v>Megamente</v>
      </c>
      <c r="AE32" s="9" t="str">
        <v>NÃO ASSISTIDO</v>
      </c>
      <c r="AF32" s="66">
        <v>6.6666666666666666E-2</v>
      </c>
    </row>
    <row r="33" spans="1:32" x14ac:dyDescent="0.25">
      <c r="A33" s="6">
        <f t="shared" si="2"/>
        <v>32</v>
      </c>
      <c r="B33" s="4" t="s">
        <v>45</v>
      </c>
      <c r="C33" s="5">
        <v>2004</v>
      </c>
      <c r="D33" s="6" t="s">
        <v>9</v>
      </c>
      <c r="E33" s="6" t="s">
        <v>34</v>
      </c>
      <c r="F33" s="9">
        <v>8</v>
      </c>
      <c r="G33" s="35">
        <v>5.2777777777777778E-2</v>
      </c>
      <c r="H33" s="6" t="s">
        <v>10</v>
      </c>
      <c r="I33" s="57">
        <v>110000000</v>
      </c>
      <c r="J33" s="55">
        <v>145300000</v>
      </c>
      <c r="K33" s="53">
        <f t="shared" si="3"/>
        <v>35300000</v>
      </c>
      <c r="L33" s="23">
        <f t="shared" si="0"/>
        <v>1</v>
      </c>
      <c r="M33" s="25" t="str">
        <f t="shared" si="1"/>
        <v>ASSISTIDO</v>
      </c>
      <c r="N33" s="6">
        <f t="shared" si="4"/>
        <v>32</v>
      </c>
      <c r="W33" s="50"/>
      <c r="X33" s="71">
        <v>49</v>
      </c>
      <c r="Y33" s="11" t="str">
        <v>A Princesa e o Sapo</v>
      </c>
      <c r="Z33" s="6" t="str">
        <v>ASSISTIDO</v>
      </c>
      <c r="AA33" s="45">
        <v>6.7361111111111108E-2</v>
      </c>
      <c r="AB33" s="14"/>
      <c r="AC33" s="9">
        <v>187</v>
      </c>
      <c r="AD33" s="11" t="str">
        <v>Madagascar 3: Os Procurados</v>
      </c>
      <c r="AE33" s="9" t="str">
        <v>NÃO ASSISTIDO</v>
      </c>
      <c r="AF33" s="66">
        <v>6.5972222222222224E-2</v>
      </c>
    </row>
    <row r="34" spans="1:32" x14ac:dyDescent="0.25">
      <c r="A34" s="6">
        <f t="shared" si="2"/>
        <v>33</v>
      </c>
      <c r="B34" s="4" t="s">
        <v>46</v>
      </c>
      <c r="C34" s="5">
        <v>2008</v>
      </c>
      <c r="D34" s="6" t="s">
        <v>6</v>
      </c>
      <c r="E34" s="6" t="s">
        <v>34</v>
      </c>
      <c r="F34" s="9">
        <v>9</v>
      </c>
      <c r="G34" s="35">
        <v>6.3888888888888884E-2</v>
      </c>
      <c r="H34" s="6" t="s">
        <v>33</v>
      </c>
      <c r="I34" s="57">
        <v>130000000</v>
      </c>
      <c r="J34" s="55">
        <v>631744560</v>
      </c>
      <c r="K34" s="53">
        <f t="shared" si="3"/>
        <v>501744560</v>
      </c>
      <c r="L34" s="23">
        <f t="shared" ref="L34:L65" si="5">IF(M34="ASSISTIDO",1,0)</f>
        <v>1</v>
      </c>
      <c r="M34" s="25" t="str">
        <f t="shared" ref="M34:M65" si="6">IF(ISBLANK(F34),"NÃO ASSISTIDO","ASSISTIDO")</f>
        <v>ASSISTIDO</v>
      </c>
      <c r="N34" s="6">
        <f t="shared" si="4"/>
        <v>33</v>
      </c>
      <c r="W34" s="50"/>
      <c r="X34" s="71">
        <v>50</v>
      </c>
      <c r="Y34" s="11" t="str">
        <v>Tarzan</v>
      </c>
      <c r="Z34" s="6" t="str">
        <v>ASSISTIDO</v>
      </c>
      <c r="AA34" s="45">
        <v>6.1111111111111116E-2</v>
      </c>
      <c r="AB34" s="14"/>
      <c r="AC34" s="9">
        <v>188</v>
      </c>
      <c r="AD34" s="11" t="str">
        <v>Turbo</v>
      </c>
      <c r="AE34" s="9" t="str">
        <v>NÃO ASSISTIDO</v>
      </c>
      <c r="AF34" s="66">
        <v>6.6666666666666666E-2</v>
      </c>
    </row>
    <row r="35" spans="1:32" x14ac:dyDescent="0.25">
      <c r="A35" s="6">
        <f t="shared" si="2"/>
        <v>34</v>
      </c>
      <c r="B35" s="4" t="s">
        <v>47</v>
      </c>
      <c r="C35" s="5">
        <v>2011</v>
      </c>
      <c r="D35" s="6" t="s">
        <v>6</v>
      </c>
      <c r="E35" s="6" t="s">
        <v>34</v>
      </c>
      <c r="F35" s="9" t="s">
        <v>71</v>
      </c>
      <c r="G35" s="35">
        <v>6.3888888888888884E-2</v>
      </c>
      <c r="H35" s="6" t="s">
        <v>33</v>
      </c>
      <c r="I35" s="57">
        <v>150000000</v>
      </c>
      <c r="J35" s="55">
        <v>665692281</v>
      </c>
      <c r="K35" s="53">
        <f t="shared" si="3"/>
        <v>515692281</v>
      </c>
      <c r="L35" s="23">
        <f t="shared" si="5"/>
        <v>1</v>
      </c>
      <c r="M35" s="25" t="str">
        <f t="shared" si="6"/>
        <v>ASSISTIDO</v>
      </c>
      <c r="N35" s="6">
        <f t="shared" si="4"/>
        <v>34</v>
      </c>
      <c r="W35" s="50"/>
      <c r="X35" s="71">
        <v>51</v>
      </c>
      <c r="Y35" s="11" t="str">
        <v>Piratas do Caribe: A Maldição do Pérola Negra</v>
      </c>
      <c r="Z35" s="6" t="str">
        <v>ASSISTIDO</v>
      </c>
      <c r="AA35" s="45">
        <v>9.930555555555555E-2</v>
      </c>
      <c r="AB35" s="14"/>
      <c r="AC35" s="9">
        <v>189</v>
      </c>
      <c r="AD35" s="11" t="str">
        <v>As Aventuras de Peabody &amp; Sherman</v>
      </c>
      <c r="AE35" s="9" t="str">
        <v>NÃO ASSISTIDO</v>
      </c>
      <c r="AF35" s="66">
        <v>6.3888888888888884E-2</v>
      </c>
    </row>
    <row r="36" spans="1:32" x14ac:dyDescent="0.25">
      <c r="A36" s="6">
        <f t="shared" si="2"/>
        <v>35</v>
      </c>
      <c r="B36" s="4" t="s">
        <v>48</v>
      </c>
      <c r="C36" s="5">
        <v>2016</v>
      </c>
      <c r="D36" s="6" t="s">
        <v>6</v>
      </c>
      <c r="E36" s="6" t="s">
        <v>34</v>
      </c>
      <c r="F36" s="9" t="s">
        <v>71</v>
      </c>
      <c r="G36" s="35">
        <v>6.5972222222222224E-2</v>
      </c>
      <c r="H36" s="6" t="s">
        <v>33</v>
      </c>
      <c r="I36" s="57">
        <v>145000000</v>
      </c>
      <c r="J36" s="55">
        <v>521170125</v>
      </c>
      <c r="K36" s="53">
        <f t="shared" si="3"/>
        <v>376170125</v>
      </c>
      <c r="L36" s="23">
        <f t="shared" si="5"/>
        <v>1</v>
      </c>
      <c r="M36" s="25" t="str">
        <f t="shared" si="6"/>
        <v>ASSISTIDO</v>
      </c>
      <c r="N36" s="6">
        <f t="shared" si="4"/>
        <v>35</v>
      </c>
      <c r="W36" s="50"/>
      <c r="X36" s="71">
        <v>52</v>
      </c>
      <c r="Y36" s="11" t="str">
        <v>Piratas do Caribe: O Baú da Morte</v>
      </c>
      <c r="Z36" s="6" t="str">
        <v>ASSISTIDO</v>
      </c>
      <c r="AA36" s="45">
        <v>0.10486111111111111</v>
      </c>
      <c r="AB36" s="14"/>
      <c r="AC36" s="9">
        <v>190</v>
      </c>
      <c r="AD36" s="11" t="str">
        <v>Os Pinguins de Madagascar</v>
      </c>
      <c r="AE36" s="9" t="str">
        <v>NÃO ASSISTIDO</v>
      </c>
      <c r="AF36" s="66">
        <v>6.3888888888888884E-2</v>
      </c>
    </row>
    <row r="37" spans="1:32" x14ac:dyDescent="0.25">
      <c r="A37" s="6">
        <f t="shared" si="2"/>
        <v>36</v>
      </c>
      <c r="B37" s="4" t="s">
        <v>49</v>
      </c>
      <c r="C37" s="5">
        <v>2012</v>
      </c>
      <c r="D37" s="6" t="s">
        <v>6</v>
      </c>
      <c r="E37" s="6" t="s">
        <v>34</v>
      </c>
      <c r="F37" s="9" t="s">
        <v>71</v>
      </c>
      <c r="G37" s="35">
        <v>6.7361111111111108E-2</v>
      </c>
      <c r="H37" s="6" t="s">
        <v>33</v>
      </c>
      <c r="I37" s="57">
        <v>145000000</v>
      </c>
      <c r="J37" s="55">
        <v>303712758</v>
      </c>
      <c r="K37" s="53">
        <f t="shared" si="3"/>
        <v>158712758</v>
      </c>
      <c r="L37" s="23">
        <f t="shared" si="5"/>
        <v>1</v>
      </c>
      <c r="M37" s="25" t="str">
        <f t="shared" si="6"/>
        <v>ASSISTIDO</v>
      </c>
      <c r="N37" s="6">
        <f t="shared" si="4"/>
        <v>36</v>
      </c>
      <c r="W37" s="50"/>
      <c r="X37" s="71">
        <v>53</v>
      </c>
      <c r="Y37" s="11" t="str">
        <v>Piratas do Caribe: No Fim do Mundo</v>
      </c>
      <c r="Z37" s="6" t="str">
        <v>ASSISTIDO</v>
      </c>
      <c r="AA37" s="45">
        <v>0.11666666666666665</v>
      </c>
      <c r="AB37" s="14"/>
      <c r="AC37" s="9">
        <v>191</v>
      </c>
      <c r="AD37" s="11" t="str">
        <v>Cada um na sua casa</v>
      </c>
      <c r="AE37" s="9" t="str">
        <v>NÃO ASSISTIDO</v>
      </c>
      <c r="AF37" s="66">
        <v>6.5277777777777782E-2</v>
      </c>
    </row>
    <row r="38" spans="1:32" x14ac:dyDescent="0.25">
      <c r="A38" s="6">
        <f t="shared" si="2"/>
        <v>37</v>
      </c>
      <c r="B38" s="4" t="s">
        <v>50</v>
      </c>
      <c r="C38" s="5">
        <v>2011</v>
      </c>
      <c r="D38" s="6" t="s">
        <v>6</v>
      </c>
      <c r="E38" s="6" t="s">
        <v>34</v>
      </c>
      <c r="F38" s="9">
        <v>8</v>
      </c>
      <c r="G38" s="35">
        <v>6.25E-2</v>
      </c>
      <c r="H38" s="6" t="s">
        <v>33</v>
      </c>
      <c r="I38" s="57">
        <v>130000000</v>
      </c>
      <c r="J38" s="55">
        <v>484600000</v>
      </c>
      <c r="K38" s="53">
        <f t="shared" si="3"/>
        <v>354600000</v>
      </c>
      <c r="L38" s="23">
        <f t="shared" si="5"/>
        <v>1</v>
      </c>
      <c r="M38" s="25" t="str">
        <f t="shared" si="6"/>
        <v>ASSISTIDO</v>
      </c>
      <c r="N38" s="6">
        <f t="shared" si="4"/>
        <v>37</v>
      </c>
      <c r="W38" s="50"/>
      <c r="X38" s="71">
        <v>54</v>
      </c>
      <c r="Y38" s="11" t="str">
        <v>Piratas do Caribe: Navegando em Águas Misteriosas</v>
      </c>
      <c r="Z38" s="6" t="str">
        <v>ASSISTIDO</v>
      </c>
      <c r="AA38" s="45">
        <v>9.7916666666666666E-2</v>
      </c>
      <c r="AB38" s="14"/>
      <c r="AC38" s="9">
        <v>192</v>
      </c>
      <c r="AD38" s="11" t="str">
        <v>Trolls</v>
      </c>
      <c r="AE38" s="9" t="str">
        <v>NÃO ASSISTIDO</v>
      </c>
      <c r="AF38" s="66">
        <v>6.458333333333334E-2</v>
      </c>
    </row>
    <row r="39" spans="1:32" x14ac:dyDescent="0.25">
      <c r="A39" s="6">
        <f t="shared" si="2"/>
        <v>38</v>
      </c>
      <c r="B39" s="4" t="s">
        <v>51</v>
      </c>
      <c r="C39" s="5">
        <v>1959</v>
      </c>
      <c r="D39" s="6" t="s">
        <v>9</v>
      </c>
      <c r="E39" s="6" t="s">
        <v>34</v>
      </c>
      <c r="F39" s="9">
        <v>8</v>
      </c>
      <c r="G39" s="35">
        <v>5.2083333333333336E-2</v>
      </c>
      <c r="H39" s="6" t="s">
        <v>10</v>
      </c>
      <c r="I39" s="57">
        <v>6000000</v>
      </c>
      <c r="J39" s="55">
        <v>51600000</v>
      </c>
      <c r="K39" s="53">
        <f t="shared" si="3"/>
        <v>45600000</v>
      </c>
      <c r="L39" s="23">
        <f t="shared" si="5"/>
        <v>1</v>
      </c>
      <c r="M39" s="25" t="str">
        <f t="shared" si="6"/>
        <v>ASSISTIDO</v>
      </c>
      <c r="N39" s="6">
        <f t="shared" si="4"/>
        <v>38</v>
      </c>
      <c r="W39" s="50"/>
      <c r="X39" s="71">
        <v>55</v>
      </c>
      <c r="Y39" s="11" t="str">
        <v>Piratas do Caribe: A Vingança de Salazar</v>
      </c>
      <c r="Z39" s="6" t="str">
        <v>ASSISTIDO</v>
      </c>
      <c r="AA39" s="45">
        <v>8.9583333333333334E-2</v>
      </c>
      <c r="AB39" s="14"/>
      <c r="AC39" s="9">
        <v>193</v>
      </c>
      <c r="AD39" s="11" t="str">
        <v>O Poderoso Chefinho</v>
      </c>
      <c r="AE39" s="9" t="str">
        <v>NÃO ASSISTIDO</v>
      </c>
      <c r="AF39" s="66">
        <v>6.7361111111111108E-2</v>
      </c>
    </row>
    <row r="40" spans="1:32" x14ac:dyDescent="0.25">
      <c r="A40" s="6">
        <f t="shared" si="2"/>
        <v>39</v>
      </c>
      <c r="B40" s="4" t="s">
        <v>52</v>
      </c>
      <c r="C40" s="5">
        <v>2014</v>
      </c>
      <c r="D40" s="6" t="s">
        <v>6</v>
      </c>
      <c r="E40" s="6" t="s">
        <v>34</v>
      </c>
      <c r="F40" s="9">
        <v>9</v>
      </c>
      <c r="G40" s="35">
        <v>7.0833333333333331E-2</v>
      </c>
      <c r="H40" s="6" t="s">
        <v>10</v>
      </c>
      <c r="I40" s="57">
        <v>165000000</v>
      </c>
      <c r="J40" s="55">
        <v>657800000</v>
      </c>
      <c r="K40" s="53">
        <f t="shared" si="3"/>
        <v>492800000</v>
      </c>
      <c r="L40" s="23">
        <f t="shared" si="5"/>
        <v>1</v>
      </c>
      <c r="M40" s="25" t="str">
        <f t="shared" si="6"/>
        <v>ASSISTIDO</v>
      </c>
      <c r="N40" s="6">
        <f t="shared" si="4"/>
        <v>39</v>
      </c>
      <c r="W40" s="50"/>
      <c r="X40" s="71">
        <v>96</v>
      </c>
      <c r="Y40" s="11" t="str">
        <v>Pocahontas</v>
      </c>
      <c r="Z40" s="6" t="str">
        <v>ASSISTIDO</v>
      </c>
      <c r="AA40" s="45">
        <v>5.6250000000000001E-2</v>
      </c>
      <c r="AB40" s="14"/>
      <c r="AC40" s="9">
        <v>194</v>
      </c>
      <c r="AD40" s="11" t="str">
        <v>As Aventuras do Capitão Cueca</v>
      </c>
      <c r="AE40" s="9" t="str">
        <v>NÃO ASSISTIDO</v>
      </c>
      <c r="AF40" s="66">
        <v>6.1805555555555558E-2</v>
      </c>
    </row>
    <row r="41" spans="1:32" x14ac:dyDescent="0.25">
      <c r="A41" s="6">
        <f t="shared" si="2"/>
        <v>40</v>
      </c>
      <c r="B41" s="4" t="s">
        <v>53</v>
      </c>
      <c r="C41" s="5">
        <v>1998</v>
      </c>
      <c r="D41" s="6" t="s">
        <v>9</v>
      </c>
      <c r="E41" s="6" t="s">
        <v>34</v>
      </c>
      <c r="F41" s="9">
        <v>9</v>
      </c>
      <c r="G41" s="35">
        <v>6.1111111111111116E-2</v>
      </c>
      <c r="H41" s="6" t="s">
        <v>10</v>
      </c>
      <c r="I41" s="57">
        <v>90000000</v>
      </c>
      <c r="J41" s="55">
        <v>304320254</v>
      </c>
      <c r="K41" s="53">
        <f t="shared" si="3"/>
        <v>214320254</v>
      </c>
      <c r="L41" s="23">
        <f t="shared" si="5"/>
        <v>1</v>
      </c>
      <c r="M41" s="25" t="str">
        <f t="shared" si="6"/>
        <v>ASSISTIDO</v>
      </c>
      <c r="N41" s="6">
        <f t="shared" si="4"/>
        <v>40</v>
      </c>
      <c r="W41" s="50"/>
      <c r="X41" s="71">
        <v>97</v>
      </c>
      <c r="Y41" s="11" t="str">
        <v>As Peripécias de um Ratinho Detetive</v>
      </c>
      <c r="Z41" s="6" t="str">
        <v>ASSISTIDO</v>
      </c>
      <c r="AA41" s="45">
        <v>5.1388888888888894E-2</v>
      </c>
      <c r="AB41" s="14"/>
      <c r="AC41" s="9">
        <v>195</v>
      </c>
      <c r="AD41" s="11" t="str">
        <v>Abominável</v>
      </c>
      <c r="AE41" s="9" t="str">
        <v>NÃO ASSISTIDO</v>
      </c>
      <c r="AF41" s="66">
        <v>6.3888888888888884E-2</v>
      </c>
    </row>
    <row r="42" spans="1:32" x14ac:dyDescent="0.25">
      <c r="A42" s="6">
        <f t="shared" si="2"/>
        <v>41</v>
      </c>
      <c r="B42" s="4" t="s">
        <v>54</v>
      </c>
      <c r="C42" s="5">
        <v>1994</v>
      </c>
      <c r="D42" s="6" t="s">
        <v>9</v>
      </c>
      <c r="E42" s="6" t="s">
        <v>34</v>
      </c>
      <c r="F42" s="9" t="s">
        <v>72</v>
      </c>
      <c r="G42" s="35">
        <v>6.0416666666666667E-2</v>
      </c>
      <c r="H42" s="6" t="s">
        <v>10</v>
      </c>
      <c r="I42" s="57">
        <v>45000000</v>
      </c>
      <c r="J42" s="55">
        <v>986100000</v>
      </c>
      <c r="K42" s="53">
        <f t="shared" si="3"/>
        <v>941100000</v>
      </c>
      <c r="L42" s="23">
        <f t="shared" si="5"/>
        <v>1</v>
      </c>
      <c r="M42" s="25" t="str">
        <f t="shared" si="6"/>
        <v>ASSISTIDO</v>
      </c>
      <c r="N42" s="6">
        <f t="shared" si="4"/>
        <v>41</v>
      </c>
      <c r="W42" s="50"/>
      <c r="X42" s="71">
        <v>100</v>
      </c>
      <c r="Y42" s="11" t="str">
        <v>Aristogatas</v>
      </c>
      <c r="Z42" s="6" t="str">
        <v>ASSISTIDO</v>
      </c>
      <c r="AA42" s="45">
        <v>5.4166666666666669E-2</v>
      </c>
      <c r="AB42" s="14"/>
      <c r="AC42" s="9">
        <v>196</v>
      </c>
      <c r="AD42" s="11" t="str">
        <v>Trolls 2</v>
      </c>
      <c r="AE42" s="9" t="str">
        <v>NÃO ASSISTIDO</v>
      </c>
      <c r="AF42" s="66">
        <v>6.3194444444444442E-2</v>
      </c>
    </row>
    <row r="43" spans="1:32" x14ac:dyDescent="0.25">
      <c r="A43" s="6">
        <f t="shared" si="2"/>
        <v>42</v>
      </c>
      <c r="B43" s="4" t="s">
        <v>55</v>
      </c>
      <c r="C43" s="5">
        <v>1998</v>
      </c>
      <c r="D43" s="6" t="s">
        <v>9</v>
      </c>
      <c r="E43" s="6" t="s">
        <v>34</v>
      </c>
      <c r="F43" s="9">
        <v>9</v>
      </c>
      <c r="G43" s="35">
        <v>5.6250000000000001E-2</v>
      </c>
      <c r="H43" s="6" t="s">
        <v>10</v>
      </c>
      <c r="I43" s="57">
        <v>0</v>
      </c>
      <c r="J43" s="55">
        <v>0</v>
      </c>
      <c r="K43" s="53">
        <f t="shared" si="3"/>
        <v>0</v>
      </c>
      <c r="L43" s="23">
        <f t="shared" si="5"/>
        <v>1</v>
      </c>
      <c r="M43" s="25" t="str">
        <f t="shared" si="6"/>
        <v>ASSISTIDO</v>
      </c>
      <c r="N43" s="6">
        <f t="shared" si="4"/>
        <v>42</v>
      </c>
      <c r="W43" s="50"/>
      <c r="X43" s="71">
        <v>105</v>
      </c>
      <c r="Y43" s="11" t="str">
        <v>Cinderela</v>
      </c>
      <c r="Z43" s="6" t="str">
        <v>NÃO ASSISTIDO</v>
      </c>
      <c r="AA43" s="45">
        <v>5.1388888888888894E-2</v>
      </c>
      <c r="AB43" s="14"/>
      <c r="AC43" s="9">
        <v>197</v>
      </c>
      <c r="AD43" s="11" t="str">
        <v>Os Croods</v>
      </c>
      <c r="AE43" s="9" t="str">
        <v>NÃO ASSISTIDO</v>
      </c>
      <c r="AF43" s="66">
        <v>6.805555555555555E-2</v>
      </c>
    </row>
    <row r="44" spans="1:32" x14ac:dyDescent="0.25">
      <c r="A44" s="6">
        <f t="shared" si="2"/>
        <v>43</v>
      </c>
      <c r="B44" s="4" t="s">
        <v>56</v>
      </c>
      <c r="C44" s="5">
        <v>1992</v>
      </c>
      <c r="D44" s="6" t="s">
        <v>9</v>
      </c>
      <c r="E44" s="6" t="s">
        <v>34</v>
      </c>
      <c r="F44" s="9">
        <v>8</v>
      </c>
      <c r="G44" s="35">
        <v>6.25E-2</v>
      </c>
      <c r="H44" s="6" t="s">
        <v>10</v>
      </c>
      <c r="I44" s="57">
        <v>28000000</v>
      </c>
      <c r="J44" s="55">
        <v>504050219</v>
      </c>
      <c r="K44" s="53">
        <f t="shared" si="3"/>
        <v>476050219</v>
      </c>
      <c r="L44" s="23">
        <f t="shared" si="5"/>
        <v>1</v>
      </c>
      <c r="M44" s="25" t="str">
        <f t="shared" si="6"/>
        <v>ASSISTIDO</v>
      </c>
      <c r="N44" s="6">
        <f t="shared" si="4"/>
        <v>43</v>
      </c>
      <c r="W44" s="50"/>
      <c r="X44" s="71">
        <v>117</v>
      </c>
      <c r="Y44" s="11" t="str">
        <v>O Estranho Mundo de Jack</v>
      </c>
      <c r="Z44" s="6" t="str">
        <v>ASSISTIDO</v>
      </c>
      <c r="AA44" s="45">
        <v>5.2777777777777778E-2</v>
      </c>
      <c r="AB44" s="14"/>
      <c r="AC44" s="9">
        <v>198</v>
      </c>
      <c r="AD44" s="11" t="str">
        <v>Os Croods 2: Uma Nova Era</v>
      </c>
      <c r="AE44" s="9" t="str">
        <v>NÃO ASSISTIDO</v>
      </c>
      <c r="AF44" s="66">
        <v>6.5972222222222224E-2</v>
      </c>
    </row>
    <row r="45" spans="1:32" x14ac:dyDescent="0.25">
      <c r="A45" s="6">
        <f t="shared" si="2"/>
        <v>44</v>
      </c>
      <c r="B45" s="4" t="s">
        <v>57</v>
      </c>
      <c r="C45" s="5">
        <v>1997</v>
      </c>
      <c r="D45" s="6" t="s">
        <v>9</v>
      </c>
      <c r="E45" s="6" t="s">
        <v>34</v>
      </c>
      <c r="F45" s="9" t="s">
        <v>71</v>
      </c>
      <c r="G45" s="35">
        <v>6.458333333333334E-2</v>
      </c>
      <c r="H45" s="6" t="s">
        <v>10</v>
      </c>
      <c r="I45" s="57">
        <v>85000000</v>
      </c>
      <c r="J45" s="55">
        <v>252000000</v>
      </c>
      <c r="K45" s="53">
        <f t="shared" si="3"/>
        <v>167000000</v>
      </c>
      <c r="L45" s="23">
        <f t="shared" si="5"/>
        <v>1</v>
      </c>
      <c r="M45" s="25" t="str">
        <f t="shared" si="6"/>
        <v>ASSISTIDO</v>
      </c>
      <c r="N45" s="6">
        <f t="shared" si="4"/>
        <v>44</v>
      </c>
      <c r="W45" s="50"/>
      <c r="X45" s="71">
        <v>119</v>
      </c>
      <c r="Y45" s="11" t="str">
        <v>A Dama e o Vagabundo</v>
      </c>
      <c r="Z45" s="6" t="str">
        <v>ASSISTIDO</v>
      </c>
      <c r="AA45" s="45">
        <v>5.2777777777777778E-2</v>
      </c>
      <c r="AB45" s="14"/>
      <c r="AC45" s="9">
        <v>199</v>
      </c>
      <c r="AD45" s="11" t="str">
        <v>Spirit: O Indomável</v>
      </c>
      <c r="AE45" s="9" t="str">
        <v>NÃO ASSISTIDO</v>
      </c>
      <c r="AF45" s="66">
        <v>6.1111111111111116E-2</v>
      </c>
    </row>
    <row r="46" spans="1:32" x14ac:dyDescent="0.25">
      <c r="A46" s="6">
        <f t="shared" si="2"/>
        <v>45</v>
      </c>
      <c r="B46" s="4" t="s">
        <v>58</v>
      </c>
      <c r="C46" s="5">
        <v>1991</v>
      </c>
      <c r="D46" s="6" t="s">
        <v>9</v>
      </c>
      <c r="E46" s="6" t="s">
        <v>34</v>
      </c>
      <c r="F46" s="9">
        <v>8</v>
      </c>
      <c r="G46" s="35">
        <v>5.8333333333333327E-2</v>
      </c>
      <c r="H46" s="10" t="s">
        <v>10</v>
      </c>
      <c r="I46" s="58">
        <v>25000000</v>
      </c>
      <c r="J46" s="56">
        <v>424967620</v>
      </c>
      <c r="K46" s="53">
        <f t="shared" si="3"/>
        <v>399967620</v>
      </c>
      <c r="L46" s="23">
        <f t="shared" si="5"/>
        <v>1</v>
      </c>
      <c r="M46" s="25" t="str">
        <f t="shared" si="6"/>
        <v>ASSISTIDO</v>
      </c>
      <c r="N46" s="6">
        <f t="shared" si="4"/>
        <v>45</v>
      </c>
      <c r="W46" s="50"/>
      <c r="X46" s="71">
        <v>120</v>
      </c>
      <c r="Y46" s="11" t="str">
        <v>Bernardo e Bianca</v>
      </c>
      <c r="Z46" s="6" t="str">
        <v>ASSISTIDO</v>
      </c>
      <c r="AA46" s="45">
        <v>5.4166666666666669E-2</v>
      </c>
      <c r="AB46" s="14"/>
      <c r="AC46" s="9">
        <v>200</v>
      </c>
      <c r="AD46" s="11" t="str">
        <v>O Poderoso Chefinho 2: Negócios de Família</v>
      </c>
      <c r="AE46" s="9" t="str">
        <v>NÃO ASSISTIDO</v>
      </c>
      <c r="AF46" s="66">
        <v>7.4305555555555555E-2</v>
      </c>
    </row>
    <row r="47" spans="1:32" ht="19.5" x14ac:dyDescent="0.3">
      <c r="A47" s="6">
        <f t="shared" si="2"/>
        <v>46</v>
      </c>
      <c r="B47" s="4" t="s">
        <v>59</v>
      </c>
      <c r="C47" s="5">
        <v>1996</v>
      </c>
      <c r="D47" s="6" t="s">
        <v>9</v>
      </c>
      <c r="E47" s="6" t="s">
        <v>34</v>
      </c>
      <c r="F47" s="9">
        <v>9</v>
      </c>
      <c r="G47" s="35">
        <v>6.3194444444444442E-2</v>
      </c>
      <c r="H47" s="6" t="s">
        <v>10</v>
      </c>
      <c r="I47" s="57">
        <v>100000000</v>
      </c>
      <c r="J47" s="55">
        <v>325300000</v>
      </c>
      <c r="K47" s="53">
        <f t="shared" si="3"/>
        <v>225300000</v>
      </c>
      <c r="L47" s="23">
        <f t="shared" si="5"/>
        <v>1</v>
      </c>
      <c r="M47" s="25" t="str">
        <f t="shared" si="6"/>
        <v>ASSISTIDO</v>
      </c>
      <c r="N47" s="6">
        <f t="shared" si="4"/>
        <v>46</v>
      </c>
      <c r="W47" s="50"/>
      <c r="X47" s="71">
        <v>121</v>
      </c>
      <c r="Y47" s="11" t="str">
        <v>A Nova Onda do Imperador</v>
      </c>
      <c r="Z47" s="6" t="str">
        <v>ASSISTIDO</v>
      </c>
      <c r="AA47" s="45">
        <v>5.4166666666666669E-2</v>
      </c>
      <c r="AB47" s="14"/>
      <c r="AC47" s="76" t="s">
        <v>255</v>
      </c>
      <c r="AD47" s="77"/>
      <c r="AE47" s="78"/>
      <c r="AF47" s="72">
        <f>SUMIF($AE$6:$AE$46,"ASSISTIDO",$AF$6:$AF$46)</f>
        <v>1.0458333333333332</v>
      </c>
    </row>
    <row r="48" spans="1:32" x14ac:dyDescent="0.25">
      <c r="A48" s="6">
        <f t="shared" si="2"/>
        <v>47</v>
      </c>
      <c r="B48" s="4" t="s">
        <v>60</v>
      </c>
      <c r="C48" s="5">
        <v>1967</v>
      </c>
      <c r="D48" s="6" t="s">
        <v>9</v>
      </c>
      <c r="E48" s="6" t="s">
        <v>34</v>
      </c>
      <c r="F48" s="9" t="s">
        <v>73</v>
      </c>
      <c r="G48" s="35">
        <v>6.1805555555555558E-2</v>
      </c>
      <c r="H48" s="6" t="s">
        <v>10</v>
      </c>
      <c r="I48" s="57">
        <v>20000000</v>
      </c>
      <c r="J48" s="55">
        <v>378000000</v>
      </c>
      <c r="K48" s="53">
        <f t="shared" si="3"/>
        <v>358000000</v>
      </c>
      <c r="L48" s="23">
        <f t="shared" si="5"/>
        <v>1</v>
      </c>
      <c r="M48" s="25" t="str">
        <f t="shared" si="6"/>
        <v>ASSISTIDO</v>
      </c>
      <c r="N48" s="6">
        <f t="shared" si="4"/>
        <v>47</v>
      </c>
      <c r="W48" s="50"/>
      <c r="X48" s="71">
        <v>123</v>
      </c>
      <c r="Y48" s="11" t="str">
        <v>Pateta - O Filme</v>
      </c>
      <c r="Z48" s="6" t="str">
        <v>ASSISTIDO</v>
      </c>
      <c r="AA48" s="45">
        <v>5.6250000000000001E-2</v>
      </c>
      <c r="AB48" s="14"/>
    </row>
    <row r="49" spans="1:28" x14ac:dyDescent="0.25">
      <c r="A49" s="6">
        <f t="shared" si="2"/>
        <v>48</v>
      </c>
      <c r="B49" s="4" t="s">
        <v>61</v>
      </c>
      <c r="C49" s="5">
        <v>1981</v>
      </c>
      <c r="D49" s="6" t="s">
        <v>9</v>
      </c>
      <c r="E49" s="6" t="s">
        <v>34</v>
      </c>
      <c r="F49" s="9" t="s">
        <v>72</v>
      </c>
      <c r="G49" s="35">
        <v>5.7638888888888885E-2</v>
      </c>
      <c r="H49" s="6" t="s">
        <v>10</v>
      </c>
      <c r="I49" s="57">
        <v>12000000</v>
      </c>
      <c r="J49" s="55">
        <v>39900000</v>
      </c>
      <c r="K49" s="53">
        <f t="shared" si="3"/>
        <v>27900000</v>
      </c>
      <c r="L49" s="23">
        <f t="shared" si="5"/>
        <v>1</v>
      </c>
      <c r="M49" s="25" t="str">
        <f t="shared" si="6"/>
        <v>ASSISTIDO</v>
      </c>
      <c r="N49" s="6">
        <f t="shared" si="4"/>
        <v>48</v>
      </c>
      <c r="W49" s="50"/>
      <c r="X49" s="71">
        <v>124</v>
      </c>
      <c r="Y49" s="11" t="str">
        <v>Atlantis - O Reino Perdido</v>
      </c>
      <c r="Z49" s="6" t="str">
        <v>NÃO ASSISTIDO</v>
      </c>
      <c r="AA49" s="45">
        <v>6.5972222222222224E-2</v>
      </c>
      <c r="AB49" s="14"/>
    </row>
    <row r="50" spans="1:28" x14ac:dyDescent="0.25">
      <c r="A50" s="6">
        <f t="shared" si="2"/>
        <v>49</v>
      </c>
      <c r="B50" s="4" t="s">
        <v>62</v>
      </c>
      <c r="C50" s="5">
        <v>2009</v>
      </c>
      <c r="D50" s="6" t="s">
        <v>9</v>
      </c>
      <c r="E50" s="6" t="s">
        <v>34</v>
      </c>
      <c r="F50" s="9">
        <v>8</v>
      </c>
      <c r="G50" s="35">
        <v>6.7361111111111108E-2</v>
      </c>
      <c r="H50" s="6" t="s">
        <v>10</v>
      </c>
      <c r="I50" s="57">
        <v>105000000</v>
      </c>
      <c r="J50" s="55">
        <v>267000000</v>
      </c>
      <c r="K50" s="53">
        <f t="shared" si="3"/>
        <v>162000000</v>
      </c>
      <c r="L50" s="23">
        <f t="shared" si="5"/>
        <v>1</v>
      </c>
      <c r="M50" s="25" t="str">
        <f t="shared" si="6"/>
        <v>ASSISTIDO</v>
      </c>
      <c r="N50" s="6">
        <f t="shared" si="4"/>
        <v>49</v>
      </c>
      <c r="W50" s="50"/>
      <c r="X50" s="71">
        <v>125</v>
      </c>
      <c r="Y50" s="11" t="str">
        <v>Dumbo</v>
      </c>
      <c r="Z50" s="6" t="str">
        <v>NÃO ASSISTIDO</v>
      </c>
      <c r="AA50" s="45">
        <v>4.4444444444444446E-2</v>
      </c>
      <c r="AB50" s="14"/>
    </row>
    <row r="51" spans="1:28" x14ac:dyDescent="0.25">
      <c r="A51" s="6">
        <f t="shared" si="2"/>
        <v>50</v>
      </c>
      <c r="B51" s="4" t="s">
        <v>63</v>
      </c>
      <c r="C51" s="5">
        <v>1999</v>
      </c>
      <c r="D51" s="6" t="s">
        <v>9</v>
      </c>
      <c r="E51" s="6" t="s">
        <v>34</v>
      </c>
      <c r="F51" s="9" t="s">
        <v>71</v>
      </c>
      <c r="G51" s="35">
        <v>6.1111111111111116E-2</v>
      </c>
      <c r="H51" s="6" t="s">
        <v>10</v>
      </c>
      <c r="I51" s="57">
        <v>130000000</v>
      </c>
      <c r="J51" s="55">
        <v>448200000</v>
      </c>
      <c r="K51" s="53">
        <f t="shared" si="3"/>
        <v>318200000</v>
      </c>
      <c r="L51" s="23">
        <f t="shared" si="5"/>
        <v>1</v>
      </c>
      <c r="M51" s="25" t="str">
        <f t="shared" si="6"/>
        <v>ASSISTIDO</v>
      </c>
      <c r="N51" s="6">
        <f t="shared" si="4"/>
        <v>50</v>
      </c>
      <c r="W51" s="50"/>
      <c r="X51" s="71">
        <v>126</v>
      </c>
      <c r="Y51" s="11" t="str">
        <v>A Espada era a Lei</v>
      </c>
      <c r="Z51" s="6" t="str">
        <v>NÃO ASSISTIDO</v>
      </c>
      <c r="AA51" s="45">
        <v>5.486111111111111E-2</v>
      </c>
      <c r="AB51" s="14"/>
    </row>
    <row r="52" spans="1:28" x14ac:dyDescent="0.25">
      <c r="A52" s="6">
        <f t="shared" si="2"/>
        <v>51</v>
      </c>
      <c r="B52" s="4" t="s">
        <v>75</v>
      </c>
      <c r="C52" s="5">
        <v>2003</v>
      </c>
      <c r="D52" s="6" t="s">
        <v>80</v>
      </c>
      <c r="E52" s="6" t="s">
        <v>34</v>
      </c>
      <c r="F52" s="9" t="s">
        <v>71</v>
      </c>
      <c r="G52" s="35">
        <v>9.930555555555555E-2</v>
      </c>
      <c r="H52" s="6" t="s">
        <v>10</v>
      </c>
      <c r="I52" s="57">
        <v>140000000</v>
      </c>
      <c r="J52" s="55">
        <v>654300000</v>
      </c>
      <c r="K52" s="53">
        <f t="shared" si="3"/>
        <v>514300000</v>
      </c>
      <c r="L52" s="23">
        <f t="shared" si="5"/>
        <v>1</v>
      </c>
      <c r="M52" s="25" t="str">
        <f t="shared" si="6"/>
        <v>ASSISTIDO</v>
      </c>
      <c r="N52" s="6">
        <f t="shared" si="4"/>
        <v>51</v>
      </c>
      <c r="W52" s="50"/>
      <c r="X52" s="71">
        <v>127</v>
      </c>
      <c r="Y52" s="11" t="str">
        <v>Caldeirão Mágico</v>
      </c>
      <c r="Z52" s="6" t="str">
        <v>NÃO ASSISTIDO</v>
      </c>
      <c r="AA52" s="45">
        <v>5.5555555555555552E-2</v>
      </c>
      <c r="AB52" s="14"/>
    </row>
    <row r="53" spans="1:28" x14ac:dyDescent="0.25">
      <c r="A53" s="6">
        <f t="shared" si="2"/>
        <v>52</v>
      </c>
      <c r="B53" s="4" t="s">
        <v>76</v>
      </c>
      <c r="C53" s="5">
        <v>2006</v>
      </c>
      <c r="D53" s="6" t="s">
        <v>80</v>
      </c>
      <c r="E53" s="6" t="s">
        <v>34</v>
      </c>
      <c r="F53" s="9" t="s">
        <v>81</v>
      </c>
      <c r="G53" s="35">
        <v>0.10486111111111111</v>
      </c>
      <c r="H53" s="6" t="s">
        <v>10</v>
      </c>
      <c r="I53" s="57">
        <v>225000000</v>
      </c>
      <c r="J53" s="55">
        <v>1066000000</v>
      </c>
      <c r="K53" s="53">
        <f t="shared" si="3"/>
        <v>841000000</v>
      </c>
      <c r="L53" s="23">
        <f t="shared" si="5"/>
        <v>1</v>
      </c>
      <c r="M53" s="25" t="str">
        <f t="shared" si="6"/>
        <v>ASSISTIDO</v>
      </c>
      <c r="N53" s="6">
        <f t="shared" si="4"/>
        <v>52</v>
      </c>
      <c r="W53" s="50"/>
      <c r="X53" s="71">
        <v>128</v>
      </c>
      <c r="Y53" s="11" t="str">
        <v>Peter Pan</v>
      </c>
      <c r="Z53" s="6" t="str">
        <v>NÃO ASSISTIDO</v>
      </c>
      <c r="AA53" s="45">
        <v>5.2777777777777778E-2</v>
      </c>
      <c r="AB53" s="14"/>
    </row>
    <row r="54" spans="1:28" x14ac:dyDescent="0.25">
      <c r="A54" s="6">
        <f t="shared" si="2"/>
        <v>53</v>
      </c>
      <c r="B54" s="4" t="s">
        <v>77</v>
      </c>
      <c r="C54" s="5">
        <v>2007</v>
      </c>
      <c r="D54" s="6" t="s">
        <v>80</v>
      </c>
      <c r="E54" s="6" t="s">
        <v>34</v>
      </c>
      <c r="F54" s="9">
        <v>9</v>
      </c>
      <c r="G54" s="35">
        <v>0.11666666666666665</v>
      </c>
      <c r="H54" s="6" t="s">
        <v>10</v>
      </c>
      <c r="I54" s="57">
        <v>300000000</v>
      </c>
      <c r="J54" s="55">
        <v>961600000</v>
      </c>
      <c r="K54" s="53">
        <f t="shared" si="3"/>
        <v>661600000</v>
      </c>
      <c r="L54" s="23">
        <f t="shared" si="5"/>
        <v>1</v>
      </c>
      <c r="M54" s="25" t="str">
        <f t="shared" si="6"/>
        <v>ASSISTIDO</v>
      </c>
      <c r="N54" s="6">
        <f t="shared" si="4"/>
        <v>53</v>
      </c>
      <c r="W54" s="50"/>
      <c r="X54" s="71">
        <v>137</v>
      </c>
      <c r="Y54" s="11" t="str">
        <v>A Branca de Neve e os Sete Anões</v>
      </c>
      <c r="Z54" s="6" t="str">
        <v>ASSISTIDO</v>
      </c>
      <c r="AA54" s="45">
        <v>5.7638888888888885E-2</v>
      </c>
      <c r="AB54" s="14"/>
    </row>
    <row r="55" spans="1:28" x14ac:dyDescent="0.25">
      <c r="A55" s="6">
        <f t="shared" si="2"/>
        <v>54</v>
      </c>
      <c r="B55" s="4" t="s">
        <v>78</v>
      </c>
      <c r="C55" s="5">
        <v>2011</v>
      </c>
      <c r="D55" s="6" t="s">
        <v>80</v>
      </c>
      <c r="E55" s="6" t="s">
        <v>34</v>
      </c>
      <c r="F55" s="9" t="s">
        <v>71</v>
      </c>
      <c r="G55" s="35">
        <v>9.7916666666666666E-2</v>
      </c>
      <c r="H55" s="6" t="s">
        <v>10</v>
      </c>
      <c r="I55" s="57">
        <v>410600000</v>
      </c>
      <c r="J55" s="55">
        <v>1046000000</v>
      </c>
      <c r="K55" s="53">
        <f t="shared" si="3"/>
        <v>635400000</v>
      </c>
      <c r="L55" s="23">
        <f t="shared" si="5"/>
        <v>1</v>
      </c>
      <c r="M55" s="25" t="str">
        <f t="shared" si="6"/>
        <v>ASSISTIDO</v>
      </c>
      <c r="N55" s="6">
        <f t="shared" si="4"/>
        <v>54</v>
      </c>
      <c r="W55" s="50"/>
      <c r="X55" s="71">
        <v>138</v>
      </c>
      <c r="Y55" s="11" t="str">
        <v>Pinóquio</v>
      </c>
      <c r="Z55" s="6" t="str">
        <v>NÃO ASSISTIDO</v>
      </c>
      <c r="AA55" s="45">
        <v>6.1111111111111116E-2</v>
      </c>
      <c r="AB55" s="14"/>
    </row>
    <row r="56" spans="1:28" x14ac:dyDescent="0.25">
      <c r="A56" s="6">
        <f t="shared" si="2"/>
        <v>55</v>
      </c>
      <c r="B56" s="4" t="s">
        <v>79</v>
      </c>
      <c r="C56" s="5">
        <v>2017</v>
      </c>
      <c r="D56" s="6" t="s">
        <v>80</v>
      </c>
      <c r="E56" s="6" t="s">
        <v>34</v>
      </c>
      <c r="F56" s="9">
        <v>8</v>
      </c>
      <c r="G56" s="35">
        <v>8.9583333333333334E-2</v>
      </c>
      <c r="H56" s="6" t="s">
        <v>10</v>
      </c>
      <c r="I56" s="57">
        <v>230000000</v>
      </c>
      <c r="J56" s="55">
        <v>764861794</v>
      </c>
      <c r="K56" s="53">
        <f t="shared" si="3"/>
        <v>534861794</v>
      </c>
      <c r="L56" s="23">
        <f t="shared" si="5"/>
        <v>1</v>
      </c>
      <c r="M56" s="25" t="str">
        <f t="shared" si="6"/>
        <v>ASSISTIDO</v>
      </c>
      <c r="N56" s="6">
        <f t="shared" si="4"/>
        <v>55</v>
      </c>
      <c r="W56" s="50"/>
      <c r="X56" s="71">
        <v>147</v>
      </c>
      <c r="Y56" s="11" t="str">
        <v>Família do Futuro</v>
      </c>
      <c r="Z56" s="6" t="str">
        <v>ASSISTIDO</v>
      </c>
      <c r="AA56" s="45">
        <v>6.5972222222222224E-2</v>
      </c>
      <c r="AB56" s="14"/>
    </row>
    <row r="57" spans="1:28" x14ac:dyDescent="0.25">
      <c r="A57" s="6">
        <f t="shared" si="2"/>
        <v>56</v>
      </c>
      <c r="B57" s="4" t="s">
        <v>83</v>
      </c>
      <c r="C57" s="5">
        <v>2012</v>
      </c>
      <c r="D57" s="6" t="s">
        <v>6</v>
      </c>
      <c r="E57" s="7">
        <v>44987</v>
      </c>
      <c r="F57" s="9" t="s">
        <v>71</v>
      </c>
      <c r="G57" s="35">
        <v>6.3194444444444442E-2</v>
      </c>
      <c r="H57" s="6" t="s">
        <v>84</v>
      </c>
      <c r="I57" s="57">
        <v>85000000</v>
      </c>
      <c r="J57" s="55">
        <v>358400000</v>
      </c>
      <c r="K57" s="53">
        <f t="shared" si="3"/>
        <v>273400000</v>
      </c>
      <c r="L57" s="23">
        <f t="shared" si="5"/>
        <v>1</v>
      </c>
      <c r="M57" s="25" t="str">
        <f t="shared" si="6"/>
        <v>ASSISTIDO</v>
      </c>
      <c r="N57" s="6">
        <f t="shared" si="4"/>
        <v>56</v>
      </c>
      <c r="W57" s="50"/>
      <c r="X57" s="71">
        <v>158</v>
      </c>
      <c r="Y57" s="11" t="str">
        <v>Fantasia</v>
      </c>
      <c r="Z57" s="6" t="str">
        <v>NÃO ASSISTIDO</v>
      </c>
      <c r="AA57" s="35">
        <v>6.9444444444444434E-2</v>
      </c>
      <c r="AB57" s="14"/>
    </row>
    <row r="58" spans="1:28" x14ac:dyDescent="0.25">
      <c r="A58" s="6">
        <f t="shared" si="2"/>
        <v>57</v>
      </c>
      <c r="B58" s="4" t="s">
        <v>91</v>
      </c>
      <c r="C58" s="5">
        <v>2009</v>
      </c>
      <c r="D58" s="6" t="s">
        <v>6</v>
      </c>
      <c r="E58" s="6" t="s">
        <v>34</v>
      </c>
      <c r="F58" s="9">
        <v>8</v>
      </c>
      <c r="G58" s="35">
        <v>6.25E-2</v>
      </c>
      <c r="H58" s="6" t="s">
        <v>84</v>
      </c>
      <c r="I58" s="57">
        <v>100000000</v>
      </c>
      <c r="J58" s="55">
        <v>240000000</v>
      </c>
      <c r="K58" s="53">
        <f t="shared" si="3"/>
        <v>140000000</v>
      </c>
      <c r="L58" s="23">
        <f t="shared" si="5"/>
        <v>1</v>
      </c>
      <c r="M58" s="25" t="str">
        <f t="shared" si="6"/>
        <v>ASSISTIDO</v>
      </c>
      <c r="N58" s="6">
        <f t="shared" si="4"/>
        <v>57</v>
      </c>
      <c r="X58" s="71">
        <v>159</v>
      </c>
      <c r="Y58" s="40" t="str">
        <v>Alô, Amigos</v>
      </c>
      <c r="Z58" s="51" t="str">
        <v>NÃO ASSISTIDO</v>
      </c>
      <c r="AA58" s="52">
        <v>6.9444444444444434E-2</v>
      </c>
    </row>
    <row r="59" spans="1:28" x14ac:dyDescent="0.25">
      <c r="A59" s="6">
        <f t="shared" si="2"/>
        <v>58</v>
      </c>
      <c r="B59" s="4" t="s">
        <v>101</v>
      </c>
      <c r="C59" s="5">
        <v>1998</v>
      </c>
      <c r="D59" s="6" t="s">
        <v>9</v>
      </c>
      <c r="E59" s="6" t="s">
        <v>34</v>
      </c>
      <c r="F59" s="9">
        <v>10</v>
      </c>
      <c r="G59" s="35">
        <v>5.4166666666666669E-2</v>
      </c>
      <c r="H59" s="6" t="s">
        <v>143</v>
      </c>
      <c r="I59" s="57">
        <v>0</v>
      </c>
      <c r="J59" s="55">
        <v>0</v>
      </c>
      <c r="K59" s="53">
        <f t="shared" si="3"/>
        <v>0</v>
      </c>
      <c r="L59" s="23">
        <f t="shared" si="5"/>
        <v>1</v>
      </c>
      <c r="M59" s="25" t="str">
        <f t="shared" si="6"/>
        <v>ASSISTIDO</v>
      </c>
      <c r="N59" s="6">
        <f t="shared" si="4"/>
        <v>58</v>
      </c>
      <c r="X59" s="71">
        <v>160</v>
      </c>
      <c r="Y59" s="11" t="str">
        <v>Você Já Foi à Bahia?</v>
      </c>
      <c r="Z59" s="6" t="str">
        <v>NÃO ASSISTIDO</v>
      </c>
      <c r="AA59" s="35">
        <v>6.9444444444444434E-2</v>
      </c>
    </row>
    <row r="60" spans="1:28" x14ac:dyDescent="0.25">
      <c r="A60" s="6">
        <f t="shared" si="2"/>
        <v>59</v>
      </c>
      <c r="B60" s="4" t="s">
        <v>103</v>
      </c>
      <c r="C60" s="5">
        <v>1999</v>
      </c>
      <c r="D60" s="6" t="s">
        <v>9</v>
      </c>
      <c r="E60" s="6" t="s">
        <v>34</v>
      </c>
      <c r="F60" s="9">
        <v>9</v>
      </c>
      <c r="G60" s="35">
        <v>5.2083333333333336E-2</v>
      </c>
      <c r="H60" s="6" t="s">
        <v>143</v>
      </c>
      <c r="I60" s="57">
        <v>0</v>
      </c>
      <c r="J60" s="55">
        <v>0</v>
      </c>
      <c r="K60" s="53">
        <f t="shared" si="3"/>
        <v>0</v>
      </c>
      <c r="L60" s="23">
        <f t="shared" si="5"/>
        <v>1</v>
      </c>
      <c r="M60" s="25" t="str">
        <f t="shared" si="6"/>
        <v>ASSISTIDO</v>
      </c>
      <c r="N60" s="6">
        <f t="shared" si="4"/>
        <v>59</v>
      </c>
      <c r="X60" s="71">
        <v>161</v>
      </c>
      <c r="Y60" s="11" t="str">
        <v>Música Maestro!</v>
      </c>
      <c r="Z60" s="6" t="str">
        <v>NÃO ASSISTIDO</v>
      </c>
      <c r="AA60" s="35">
        <v>6.9444444444444434E-2</v>
      </c>
    </row>
    <row r="61" spans="1:28" x14ac:dyDescent="0.25">
      <c r="A61" s="6">
        <f t="shared" si="2"/>
        <v>60</v>
      </c>
      <c r="B61" s="4" t="s">
        <v>102</v>
      </c>
      <c r="C61" s="5">
        <v>2000</v>
      </c>
      <c r="D61" s="6" t="s">
        <v>9</v>
      </c>
      <c r="E61" s="6" t="s">
        <v>34</v>
      </c>
      <c r="F61" s="9">
        <v>9</v>
      </c>
      <c r="G61" s="35">
        <v>5.5555555555555552E-2</v>
      </c>
      <c r="H61" s="6" t="s">
        <v>143</v>
      </c>
      <c r="I61" s="57">
        <v>0</v>
      </c>
      <c r="J61" s="55">
        <v>0</v>
      </c>
      <c r="K61" s="53">
        <f t="shared" si="3"/>
        <v>0</v>
      </c>
      <c r="L61" s="23">
        <f t="shared" si="5"/>
        <v>1</v>
      </c>
      <c r="M61" s="25" t="str">
        <f t="shared" si="6"/>
        <v>ASSISTIDO</v>
      </c>
      <c r="N61" s="6">
        <f t="shared" si="4"/>
        <v>60</v>
      </c>
      <c r="X61" s="71">
        <v>162</v>
      </c>
      <c r="Y61" s="11" t="str">
        <v>Como É Bom se Divertir</v>
      </c>
      <c r="Z61" s="6" t="str">
        <v>NÃO ASSISTIDO</v>
      </c>
      <c r="AA61" s="35">
        <v>6.9444444444444434E-2</v>
      </c>
    </row>
    <row r="62" spans="1:28" x14ac:dyDescent="0.25">
      <c r="A62" s="6">
        <f t="shared" si="2"/>
        <v>61</v>
      </c>
      <c r="B62" s="4" t="s">
        <v>104</v>
      </c>
      <c r="C62" s="5">
        <v>2001</v>
      </c>
      <c r="D62" s="6" t="s">
        <v>9</v>
      </c>
      <c r="E62" s="6" t="s">
        <v>34</v>
      </c>
      <c r="F62" s="9">
        <v>9</v>
      </c>
      <c r="G62" s="35">
        <v>5.2083333333333336E-2</v>
      </c>
      <c r="H62" s="6" t="s">
        <v>142</v>
      </c>
      <c r="I62" s="57">
        <v>0</v>
      </c>
      <c r="J62" s="55">
        <v>0</v>
      </c>
      <c r="K62" s="53">
        <f t="shared" si="3"/>
        <v>0</v>
      </c>
      <c r="L62" s="23">
        <f t="shared" si="5"/>
        <v>1</v>
      </c>
      <c r="M62" s="25" t="str">
        <f t="shared" si="6"/>
        <v>ASSISTIDO</v>
      </c>
      <c r="N62" s="6">
        <f t="shared" si="4"/>
        <v>61</v>
      </c>
      <c r="X62" s="71">
        <v>163</v>
      </c>
      <c r="Y62" s="11" t="str">
        <v>Tempo de Melodia</v>
      </c>
      <c r="Z62" s="6" t="str">
        <v>NÃO ASSISTIDO</v>
      </c>
      <c r="AA62" s="35">
        <v>6.9444444444444434E-2</v>
      </c>
    </row>
    <row r="63" spans="1:28" x14ac:dyDescent="0.25">
      <c r="A63" s="6">
        <f t="shared" si="2"/>
        <v>62</v>
      </c>
      <c r="B63" s="4" t="s">
        <v>105</v>
      </c>
      <c r="C63" s="5">
        <v>2003</v>
      </c>
      <c r="D63" s="6" t="s">
        <v>9</v>
      </c>
      <c r="E63" s="6" t="s">
        <v>34</v>
      </c>
      <c r="F63" s="9">
        <v>6</v>
      </c>
      <c r="G63" s="35">
        <v>4.9999999999999996E-2</v>
      </c>
      <c r="H63" s="6" t="s">
        <v>142</v>
      </c>
      <c r="I63" s="57">
        <v>0</v>
      </c>
      <c r="J63" s="55">
        <v>0</v>
      </c>
      <c r="K63" s="53">
        <f t="shared" si="3"/>
        <v>0</v>
      </c>
      <c r="L63" s="23">
        <f t="shared" si="5"/>
        <v>1</v>
      </c>
      <c r="M63" s="25" t="str">
        <f t="shared" si="6"/>
        <v>ASSISTIDO</v>
      </c>
      <c r="N63" s="6">
        <f t="shared" si="4"/>
        <v>62</v>
      </c>
      <c r="X63" s="71">
        <v>164</v>
      </c>
      <c r="Y63" s="11" t="str">
        <v>As Aventuras de Ichabod E Sr.Sapo</v>
      </c>
      <c r="Z63" s="6" t="str">
        <v>NÃO ASSISTIDO</v>
      </c>
      <c r="AA63" s="35">
        <v>6.9444444444444434E-2</v>
      </c>
    </row>
    <row r="64" spans="1:28" x14ac:dyDescent="0.25">
      <c r="A64" s="6">
        <f t="shared" si="2"/>
        <v>63</v>
      </c>
      <c r="B64" s="4" t="s">
        <v>106</v>
      </c>
      <c r="C64" s="5">
        <v>2003</v>
      </c>
      <c r="D64" s="6" t="s">
        <v>9</v>
      </c>
      <c r="E64" s="6" t="s">
        <v>34</v>
      </c>
      <c r="F64" s="9">
        <v>5</v>
      </c>
      <c r="G64" s="35">
        <v>5.2083333333333336E-2</v>
      </c>
      <c r="H64" s="6" t="s">
        <v>142</v>
      </c>
      <c r="I64" s="57">
        <v>0</v>
      </c>
      <c r="J64" s="55">
        <v>0</v>
      </c>
      <c r="K64" s="53">
        <f t="shared" si="3"/>
        <v>0</v>
      </c>
      <c r="L64" s="23">
        <f t="shared" si="5"/>
        <v>1</v>
      </c>
      <c r="M64" s="25" t="str">
        <f t="shared" si="6"/>
        <v>ASSISTIDO</v>
      </c>
      <c r="N64" s="6">
        <f t="shared" si="4"/>
        <v>63</v>
      </c>
      <c r="X64" s="71">
        <v>165</v>
      </c>
      <c r="Y64" s="11" t="str">
        <v>Alice No País Das Maravlihas</v>
      </c>
      <c r="Z64" s="6" t="str">
        <v>NÃO ASSISTIDO</v>
      </c>
      <c r="AA64" s="35">
        <v>6.9444444444444434E-2</v>
      </c>
    </row>
    <row r="65" spans="1:27" x14ac:dyDescent="0.25">
      <c r="A65" s="6">
        <f t="shared" si="2"/>
        <v>64</v>
      </c>
      <c r="B65" s="4" t="s">
        <v>107</v>
      </c>
      <c r="C65" s="5">
        <v>2004</v>
      </c>
      <c r="D65" s="6" t="s">
        <v>9</v>
      </c>
      <c r="E65" s="6" t="s">
        <v>34</v>
      </c>
      <c r="F65" s="9">
        <v>6</v>
      </c>
      <c r="G65" s="35">
        <v>5.1388888888888894E-2</v>
      </c>
      <c r="H65" s="6" t="s">
        <v>142</v>
      </c>
      <c r="I65" s="57">
        <v>0</v>
      </c>
      <c r="J65" s="55">
        <v>0</v>
      </c>
      <c r="K65" s="53">
        <f t="shared" si="3"/>
        <v>0</v>
      </c>
      <c r="L65" s="23">
        <f t="shared" si="5"/>
        <v>1</v>
      </c>
      <c r="M65" s="25" t="str">
        <f t="shared" si="6"/>
        <v>ASSISTIDO</v>
      </c>
      <c r="N65" s="6">
        <f t="shared" si="4"/>
        <v>64</v>
      </c>
      <c r="X65" s="71">
        <v>166</v>
      </c>
      <c r="Y65" s="11" t="str">
        <v>Robin Hood</v>
      </c>
      <c r="Z65" s="6" t="str">
        <v>NÃO ASSISTIDO</v>
      </c>
      <c r="AA65" s="35">
        <v>6.9444444444444434E-2</v>
      </c>
    </row>
    <row r="66" spans="1:27" x14ac:dyDescent="0.25">
      <c r="A66" s="6">
        <f t="shared" si="2"/>
        <v>65</v>
      </c>
      <c r="B66" s="4" t="s">
        <v>108</v>
      </c>
      <c r="C66" s="5">
        <v>2005</v>
      </c>
      <c r="D66" s="6" t="s">
        <v>9</v>
      </c>
      <c r="E66" s="6" t="s">
        <v>34</v>
      </c>
      <c r="F66" s="9">
        <v>6</v>
      </c>
      <c r="G66" s="35">
        <v>5.2083333333333336E-2</v>
      </c>
      <c r="H66" s="6" t="s">
        <v>142</v>
      </c>
      <c r="I66" s="57">
        <v>0</v>
      </c>
      <c r="J66" s="55">
        <v>0</v>
      </c>
      <c r="K66" s="53">
        <f t="shared" si="3"/>
        <v>0</v>
      </c>
      <c r="L66" s="23">
        <f t="shared" ref="L66:L97" si="7">IF(M66="ASSISTIDO",1,0)</f>
        <v>1</v>
      </c>
      <c r="M66" s="25" t="str">
        <f t="shared" ref="M66:M97" si="8">IF(ISBLANK(F66),"NÃO ASSISTIDO","ASSISTIDO")</f>
        <v>ASSISTIDO</v>
      </c>
      <c r="N66" s="6">
        <f t="shared" si="4"/>
        <v>65</v>
      </c>
      <c r="X66" s="71">
        <v>167</v>
      </c>
      <c r="Y66" s="11" t="str">
        <v>As Muitas Aventuras Do Ursinho Pooh</v>
      </c>
      <c r="Z66" s="6" t="str">
        <v>NÃO ASSISTIDO</v>
      </c>
      <c r="AA66" s="35">
        <v>6.9444444444444434E-2</v>
      </c>
    </row>
    <row r="67" spans="1:27" x14ac:dyDescent="0.25">
      <c r="A67" s="6">
        <f t="shared" ref="A67:A130" si="9">ROW()-1</f>
        <v>66</v>
      </c>
      <c r="B67" s="4" t="s">
        <v>109</v>
      </c>
      <c r="C67" s="5">
        <v>2005</v>
      </c>
      <c r="D67" s="6" t="s">
        <v>9</v>
      </c>
      <c r="E67" s="6" t="s">
        <v>34</v>
      </c>
      <c r="F67" s="9" t="s">
        <v>71</v>
      </c>
      <c r="G67" s="35">
        <v>5.486111111111111E-2</v>
      </c>
      <c r="H67" s="6" t="s">
        <v>142</v>
      </c>
      <c r="I67" s="57">
        <v>0</v>
      </c>
      <c r="J67" s="55">
        <v>0</v>
      </c>
      <c r="K67" s="53">
        <f t="shared" ref="K67:K130" si="10">J67-I67</f>
        <v>0</v>
      </c>
      <c r="L67" s="23">
        <f t="shared" si="7"/>
        <v>1</v>
      </c>
      <c r="M67" s="25" t="str">
        <f t="shared" si="8"/>
        <v>ASSISTIDO</v>
      </c>
      <c r="N67" s="6">
        <f t="shared" ref="N67:N130" si="11">ROW()-1</f>
        <v>66</v>
      </c>
      <c r="X67" s="71">
        <v>168</v>
      </c>
      <c r="Y67" s="11" t="str">
        <v>O Caldeirão Mágico</v>
      </c>
      <c r="Z67" s="6" t="str">
        <v>NÃO ASSISTIDO</v>
      </c>
      <c r="AA67" s="35">
        <v>6.9444444444444434E-2</v>
      </c>
    </row>
    <row r="68" spans="1:27" x14ac:dyDescent="0.25">
      <c r="A68" s="6">
        <f t="shared" si="9"/>
        <v>67</v>
      </c>
      <c r="B68" s="4" t="s">
        <v>110</v>
      </c>
      <c r="C68" s="5">
        <v>2006</v>
      </c>
      <c r="D68" s="6" t="s">
        <v>9</v>
      </c>
      <c r="E68" s="6" t="s">
        <v>34</v>
      </c>
      <c r="F68" s="9">
        <v>7</v>
      </c>
      <c r="G68" s="35">
        <v>5.5555555555555552E-2</v>
      </c>
      <c r="H68" s="6" t="s">
        <v>142</v>
      </c>
      <c r="I68" s="57">
        <v>0</v>
      </c>
      <c r="J68" s="55">
        <v>0</v>
      </c>
      <c r="K68" s="53">
        <f t="shared" si="10"/>
        <v>0</v>
      </c>
      <c r="L68" s="23">
        <f t="shared" si="7"/>
        <v>1</v>
      </c>
      <c r="M68" s="25" t="str">
        <f t="shared" si="8"/>
        <v>ASSISTIDO</v>
      </c>
      <c r="N68" s="6">
        <f t="shared" si="11"/>
        <v>67</v>
      </c>
      <c r="X68" s="71">
        <v>169</v>
      </c>
      <c r="Y68" s="11" t="str">
        <v>Oliver e Sua Turma</v>
      </c>
      <c r="Z68" s="6" t="str">
        <v>NÃO ASSISTIDO</v>
      </c>
      <c r="AA68" s="35">
        <v>6.9444444444444434E-2</v>
      </c>
    </row>
    <row r="69" spans="1:27" x14ac:dyDescent="0.25">
      <c r="A69" s="6">
        <f t="shared" si="9"/>
        <v>68</v>
      </c>
      <c r="B69" s="4" t="s">
        <v>111</v>
      </c>
      <c r="C69" s="5">
        <v>2007</v>
      </c>
      <c r="D69" s="6" t="s">
        <v>9</v>
      </c>
      <c r="E69" s="6" t="s">
        <v>34</v>
      </c>
      <c r="F69" s="9">
        <v>7</v>
      </c>
      <c r="G69" s="35">
        <v>6.25E-2</v>
      </c>
      <c r="H69" s="6" t="s">
        <v>142</v>
      </c>
      <c r="I69" s="57">
        <v>0</v>
      </c>
      <c r="J69" s="55">
        <v>0</v>
      </c>
      <c r="K69" s="53">
        <f t="shared" si="10"/>
        <v>0</v>
      </c>
      <c r="L69" s="23">
        <f t="shared" si="7"/>
        <v>1</v>
      </c>
      <c r="M69" s="25" t="str">
        <f t="shared" si="8"/>
        <v>ASSISTIDO</v>
      </c>
      <c r="N69" s="6">
        <f t="shared" si="11"/>
        <v>68</v>
      </c>
      <c r="X69" s="71">
        <v>170</v>
      </c>
      <c r="Y69" s="11" t="str">
        <v>Bernardo e Bianca Na Terra dos Cangurus</v>
      </c>
      <c r="Z69" s="6" t="str">
        <v>NÃO ASSISTIDO</v>
      </c>
      <c r="AA69" s="35">
        <v>6.9444444444444434E-2</v>
      </c>
    </row>
    <row r="70" spans="1:27" x14ac:dyDescent="0.25">
      <c r="A70" s="6">
        <f t="shared" si="9"/>
        <v>69</v>
      </c>
      <c r="B70" s="4" t="s">
        <v>112</v>
      </c>
      <c r="C70" s="5">
        <v>2008</v>
      </c>
      <c r="D70" s="6" t="s">
        <v>9</v>
      </c>
      <c r="E70" s="6" t="s">
        <v>34</v>
      </c>
      <c r="F70" s="9">
        <v>8</v>
      </c>
      <c r="G70" s="35">
        <v>5.2083333333333336E-2</v>
      </c>
      <c r="H70" s="6" t="s">
        <v>142</v>
      </c>
      <c r="I70" s="57">
        <v>0</v>
      </c>
      <c r="J70" s="55">
        <v>0</v>
      </c>
      <c r="K70" s="53">
        <f t="shared" si="10"/>
        <v>0</v>
      </c>
      <c r="L70" s="23">
        <f t="shared" si="7"/>
        <v>1</v>
      </c>
      <c r="M70" s="25" t="str">
        <f t="shared" si="8"/>
        <v>ASSISTIDO</v>
      </c>
      <c r="N70" s="6">
        <f t="shared" si="11"/>
        <v>69</v>
      </c>
      <c r="X70" s="71">
        <v>171</v>
      </c>
      <c r="Y70" s="11" t="str">
        <v>Fantasia 2000</v>
      </c>
      <c r="Z70" s="6" t="str">
        <v>NÃO ASSISTIDO</v>
      </c>
      <c r="AA70" s="35">
        <v>6.9444444444444434E-2</v>
      </c>
    </row>
    <row r="71" spans="1:27" x14ac:dyDescent="0.25">
      <c r="A71" s="6">
        <f t="shared" si="9"/>
        <v>70</v>
      </c>
      <c r="B71" s="4" t="s">
        <v>113</v>
      </c>
      <c r="C71" s="5">
        <v>2009</v>
      </c>
      <c r="D71" s="6" t="s">
        <v>9</v>
      </c>
      <c r="E71" s="6" t="s">
        <v>34</v>
      </c>
      <c r="F71" s="9" t="s">
        <v>73</v>
      </c>
      <c r="G71" s="35">
        <v>5.2777777777777778E-2</v>
      </c>
      <c r="H71" s="6" t="s">
        <v>142</v>
      </c>
      <c r="I71" s="57">
        <v>0</v>
      </c>
      <c r="J71" s="55">
        <v>0</v>
      </c>
      <c r="K71" s="53">
        <f t="shared" si="10"/>
        <v>0</v>
      </c>
      <c r="L71" s="23">
        <f t="shared" si="7"/>
        <v>1</v>
      </c>
      <c r="M71" s="25" t="str">
        <f t="shared" si="8"/>
        <v>ASSISTIDO</v>
      </c>
      <c r="N71" s="6">
        <f t="shared" si="11"/>
        <v>70</v>
      </c>
      <c r="X71" s="71">
        <v>172</v>
      </c>
      <c r="Y71" s="11" t="str">
        <v>Dinossauro</v>
      </c>
      <c r="Z71" s="6" t="str">
        <v>NÃO ASSISTIDO</v>
      </c>
      <c r="AA71" s="35">
        <v>6.9444444444444434E-2</v>
      </c>
    </row>
    <row r="72" spans="1:27" x14ac:dyDescent="0.25">
      <c r="A72" s="6">
        <f t="shared" si="9"/>
        <v>71</v>
      </c>
      <c r="B72" s="4" t="s">
        <v>118</v>
      </c>
      <c r="C72" s="5">
        <v>2010</v>
      </c>
      <c r="D72" s="6" t="s">
        <v>9</v>
      </c>
      <c r="E72" s="6" t="s">
        <v>34</v>
      </c>
      <c r="F72" s="9" t="s">
        <v>81</v>
      </c>
      <c r="G72" s="35">
        <v>5.347222222222222E-2</v>
      </c>
      <c r="H72" s="6" t="s">
        <v>142</v>
      </c>
      <c r="I72" s="57">
        <v>0</v>
      </c>
      <c r="J72" s="55">
        <v>0</v>
      </c>
      <c r="K72" s="53">
        <f t="shared" si="10"/>
        <v>0</v>
      </c>
      <c r="L72" s="23">
        <f t="shared" si="7"/>
        <v>1</v>
      </c>
      <c r="M72" s="25" t="str">
        <f t="shared" si="8"/>
        <v>ASSISTIDO</v>
      </c>
      <c r="N72" s="6">
        <f t="shared" si="11"/>
        <v>71</v>
      </c>
      <c r="X72" s="71">
        <v>173</v>
      </c>
      <c r="Y72" s="11" t="str">
        <v>O Galinho Chicken Little</v>
      </c>
      <c r="Z72" s="6" t="str">
        <v>NÃO ASSISTIDO</v>
      </c>
      <c r="AA72" s="35">
        <v>6.9444444444444434E-2</v>
      </c>
    </row>
    <row r="73" spans="1:27" x14ac:dyDescent="0.25">
      <c r="A73" s="6">
        <f t="shared" si="9"/>
        <v>72</v>
      </c>
      <c r="B73" s="4" t="s">
        <v>117</v>
      </c>
      <c r="C73" s="5">
        <v>2010</v>
      </c>
      <c r="D73" s="6" t="s">
        <v>9</v>
      </c>
      <c r="E73" s="6" t="s">
        <v>34</v>
      </c>
      <c r="F73" s="9">
        <v>9</v>
      </c>
      <c r="G73" s="35">
        <v>5.347222222222222E-2</v>
      </c>
      <c r="H73" s="6" t="s">
        <v>142</v>
      </c>
      <c r="I73" s="57">
        <v>0</v>
      </c>
      <c r="J73" s="55">
        <v>0</v>
      </c>
      <c r="K73" s="53">
        <f t="shared" si="10"/>
        <v>0</v>
      </c>
      <c r="L73" s="23">
        <f t="shared" si="7"/>
        <v>1</v>
      </c>
      <c r="M73" s="25" t="str">
        <f t="shared" si="8"/>
        <v>ASSISTIDO</v>
      </c>
      <c r="N73" s="6">
        <f t="shared" si="11"/>
        <v>72</v>
      </c>
      <c r="X73" s="71">
        <v>174</v>
      </c>
      <c r="Y73" s="11" t="str">
        <v>Bolt: O Supercão</v>
      </c>
      <c r="Z73" s="6" t="str">
        <v>NÃO ASSISTIDO</v>
      </c>
      <c r="AA73" s="35">
        <v>6.9444444444444434E-2</v>
      </c>
    </row>
    <row r="74" spans="1:27" x14ac:dyDescent="0.25">
      <c r="A74" s="6">
        <f t="shared" si="9"/>
        <v>73</v>
      </c>
      <c r="B74" s="4" t="s">
        <v>116</v>
      </c>
      <c r="C74" s="5">
        <v>2011</v>
      </c>
      <c r="D74" s="6" t="s">
        <v>9</v>
      </c>
      <c r="E74" s="6" t="s">
        <v>34</v>
      </c>
      <c r="F74" s="9">
        <v>8</v>
      </c>
      <c r="G74" s="35">
        <v>5.2777777777777778E-2</v>
      </c>
      <c r="H74" s="6" t="s">
        <v>142</v>
      </c>
      <c r="I74" s="57">
        <v>0</v>
      </c>
      <c r="J74" s="55">
        <v>0</v>
      </c>
      <c r="K74" s="53">
        <f t="shared" si="10"/>
        <v>0</v>
      </c>
      <c r="L74" s="23">
        <f t="shared" si="7"/>
        <v>1</v>
      </c>
      <c r="M74" s="25" t="str">
        <f t="shared" si="8"/>
        <v>ASSISTIDO</v>
      </c>
      <c r="N74" s="6">
        <f t="shared" si="11"/>
        <v>73</v>
      </c>
      <c r="X74" s="71">
        <v>175</v>
      </c>
      <c r="Y74" s="11" t="str">
        <v>O Ursinho Pooh</v>
      </c>
      <c r="Z74" s="6" t="str">
        <v>NÃO ASSISTIDO</v>
      </c>
      <c r="AA74" s="35">
        <v>6.9444444444444434E-2</v>
      </c>
    </row>
    <row r="75" spans="1:27" x14ac:dyDescent="0.25">
      <c r="A75" s="6">
        <f t="shared" si="9"/>
        <v>74</v>
      </c>
      <c r="B75" s="4" t="s">
        <v>115</v>
      </c>
      <c r="C75" s="5">
        <v>2012</v>
      </c>
      <c r="D75" s="6" t="s">
        <v>9</v>
      </c>
      <c r="E75" s="6" t="s">
        <v>34</v>
      </c>
      <c r="F75" s="9">
        <v>6</v>
      </c>
      <c r="G75" s="35">
        <v>5.486111111111111E-2</v>
      </c>
      <c r="H75" s="6" t="s">
        <v>142</v>
      </c>
      <c r="I75" s="57">
        <v>0</v>
      </c>
      <c r="J75" s="55">
        <v>0</v>
      </c>
      <c r="K75" s="53">
        <f t="shared" si="10"/>
        <v>0</v>
      </c>
      <c r="L75" s="23">
        <f t="shared" si="7"/>
        <v>1</v>
      </c>
      <c r="M75" s="25" t="str">
        <f t="shared" si="8"/>
        <v>ASSISTIDO</v>
      </c>
      <c r="N75" s="6">
        <f t="shared" si="11"/>
        <v>74</v>
      </c>
      <c r="X75" s="71">
        <v>176</v>
      </c>
      <c r="Y75" s="11" t="str">
        <v>Raya e O Último Dragão</v>
      </c>
      <c r="Z75" s="6" t="str">
        <v>NÃO ASSISTIDO</v>
      </c>
      <c r="AA75" s="35">
        <v>6.9444444444444434E-2</v>
      </c>
    </row>
    <row r="76" spans="1:27" ht="19.5" x14ac:dyDescent="0.3">
      <c r="A76" s="6">
        <f t="shared" si="9"/>
        <v>75</v>
      </c>
      <c r="B76" s="4" t="s">
        <v>114</v>
      </c>
      <c r="C76" s="5">
        <v>2012</v>
      </c>
      <c r="D76" s="6" t="s">
        <v>9</v>
      </c>
      <c r="E76" s="6" t="s">
        <v>34</v>
      </c>
      <c r="F76" s="9">
        <v>6</v>
      </c>
      <c r="G76" s="35">
        <v>5.8333333333333327E-2</v>
      </c>
      <c r="H76" s="6" t="s">
        <v>142</v>
      </c>
      <c r="I76" s="57">
        <v>0</v>
      </c>
      <c r="J76" s="55">
        <v>0</v>
      </c>
      <c r="K76" s="53">
        <f t="shared" si="10"/>
        <v>0</v>
      </c>
      <c r="L76" s="23">
        <f t="shared" si="7"/>
        <v>1</v>
      </c>
      <c r="M76" s="25" t="str">
        <f t="shared" si="8"/>
        <v>ASSISTIDO</v>
      </c>
      <c r="N76" s="6">
        <f t="shared" si="11"/>
        <v>75</v>
      </c>
      <c r="X76" s="73" t="s">
        <v>206</v>
      </c>
      <c r="Y76" s="74"/>
      <c r="Z76" s="75"/>
      <c r="AA76" s="47">
        <f>SUMIF($Z$6:$Z$56,"ASSISTIDO",$AA$6:$AA$56)</f>
        <v>2.9333333333333331</v>
      </c>
    </row>
    <row r="77" spans="1:27" x14ac:dyDescent="0.25">
      <c r="A77" s="6">
        <f t="shared" si="9"/>
        <v>76</v>
      </c>
      <c r="B77" s="4" t="s">
        <v>119</v>
      </c>
      <c r="C77" s="5">
        <v>2012</v>
      </c>
      <c r="D77" s="6" t="s">
        <v>9</v>
      </c>
      <c r="E77" s="6" t="s">
        <v>34</v>
      </c>
      <c r="F77" s="9" t="s">
        <v>73</v>
      </c>
      <c r="G77" s="35">
        <v>5.4166666666666669E-2</v>
      </c>
      <c r="H77" s="6" t="s">
        <v>142</v>
      </c>
      <c r="I77" s="57">
        <v>0</v>
      </c>
      <c r="J77" s="55">
        <v>0</v>
      </c>
      <c r="K77" s="53">
        <f t="shared" si="10"/>
        <v>0</v>
      </c>
      <c r="L77" s="23">
        <f t="shared" si="7"/>
        <v>1</v>
      </c>
      <c r="M77" s="25" t="str">
        <f t="shared" si="8"/>
        <v>ASSISTIDO</v>
      </c>
      <c r="N77" s="6">
        <f t="shared" si="11"/>
        <v>76</v>
      </c>
    </row>
    <row r="78" spans="1:27" x14ac:dyDescent="0.25">
      <c r="A78" s="6">
        <f t="shared" si="9"/>
        <v>77</v>
      </c>
      <c r="B78" s="4" t="s">
        <v>120</v>
      </c>
      <c r="C78" s="5">
        <v>2013</v>
      </c>
      <c r="D78" s="6" t="s">
        <v>139</v>
      </c>
      <c r="E78" s="6" t="s">
        <v>34</v>
      </c>
      <c r="F78" s="9">
        <v>7</v>
      </c>
      <c r="G78" s="35">
        <v>45</v>
      </c>
      <c r="H78" s="6" t="s">
        <v>142</v>
      </c>
      <c r="I78" s="57">
        <v>0</v>
      </c>
      <c r="J78" s="55">
        <v>0</v>
      </c>
      <c r="K78" s="53">
        <f t="shared" si="10"/>
        <v>0</v>
      </c>
      <c r="L78" s="23">
        <f t="shared" si="7"/>
        <v>1</v>
      </c>
      <c r="M78" s="25" t="str">
        <f t="shared" si="8"/>
        <v>ASSISTIDO</v>
      </c>
      <c r="N78" s="6">
        <f t="shared" si="11"/>
        <v>77</v>
      </c>
    </row>
    <row r="79" spans="1:27" x14ac:dyDescent="0.25">
      <c r="A79" s="6">
        <f t="shared" si="9"/>
        <v>78</v>
      </c>
      <c r="B79" s="4" t="s">
        <v>121</v>
      </c>
      <c r="C79" s="5">
        <v>2013</v>
      </c>
      <c r="D79" s="6" t="s">
        <v>9</v>
      </c>
      <c r="E79" s="6" t="s">
        <v>34</v>
      </c>
      <c r="F79" s="9">
        <v>9</v>
      </c>
      <c r="G79" s="35">
        <v>5.4166666666666669E-2</v>
      </c>
      <c r="H79" s="6" t="s">
        <v>142</v>
      </c>
      <c r="I79" s="57">
        <v>0</v>
      </c>
      <c r="J79" s="55">
        <v>0</v>
      </c>
      <c r="K79" s="53">
        <f t="shared" si="10"/>
        <v>0</v>
      </c>
      <c r="L79" s="23">
        <f t="shared" si="7"/>
        <v>1</v>
      </c>
      <c r="M79" s="25" t="str">
        <f t="shared" si="8"/>
        <v>ASSISTIDO</v>
      </c>
      <c r="N79" s="6">
        <f t="shared" si="11"/>
        <v>78</v>
      </c>
    </row>
    <row r="80" spans="1:27" x14ac:dyDescent="0.25">
      <c r="A80" s="6">
        <f t="shared" si="9"/>
        <v>79</v>
      </c>
      <c r="B80" s="4" t="s">
        <v>122</v>
      </c>
      <c r="C80" s="5">
        <v>2014</v>
      </c>
      <c r="D80" s="6" t="s">
        <v>9</v>
      </c>
      <c r="E80" s="6" t="s">
        <v>34</v>
      </c>
      <c r="F80" s="9">
        <v>7</v>
      </c>
      <c r="G80" s="35">
        <v>5.8333333333333327E-2</v>
      </c>
      <c r="H80" s="6" t="s">
        <v>142</v>
      </c>
      <c r="I80" s="57">
        <v>0</v>
      </c>
      <c r="J80" s="55">
        <v>0</v>
      </c>
      <c r="K80" s="53">
        <f t="shared" si="10"/>
        <v>0</v>
      </c>
      <c r="L80" s="23">
        <f t="shared" si="7"/>
        <v>1</v>
      </c>
      <c r="M80" s="25" t="str">
        <f t="shared" si="8"/>
        <v>ASSISTIDO</v>
      </c>
      <c r="N80" s="6">
        <f t="shared" si="11"/>
        <v>79</v>
      </c>
    </row>
    <row r="81" spans="1:14" x14ac:dyDescent="0.25">
      <c r="A81" s="6">
        <f t="shared" si="9"/>
        <v>80</v>
      </c>
      <c r="B81" s="4" t="s">
        <v>124</v>
      </c>
      <c r="C81" s="5">
        <v>2014</v>
      </c>
      <c r="D81" s="6" t="s">
        <v>9</v>
      </c>
      <c r="E81" s="6" t="s">
        <v>34</v>
      </c>
      <c r="F81" s="9">
        <v>4</v>
      </c>
      <c r="G81" s="35">
        <v>5.1388888888888894E-2</v>
      </c>
      <c r="H81" s="6" t="s">
        <v>142</v>
      </c>
      <c r="I81" s="57">
        <v>0</v>
      </c>
      <c r="J81" s="55">
        <v>0</v>
      </c>
      <c r="K81" s="53">
        <f t="shared" si="10"/>
        <v>0</v>
      </c>
      <c r="L81" s="23">
        <f t="shared" si="7"/>
        <v>1</v>
      </c>
      <c r="M81" s="25" t="str">
        <f t="shared" si="8"/>
        <v>ASSISTIDO</v>
      </c>
      <c r="N81" s="6">
        <f t="shared" si="11"/>
        <v>80</v>
      </c>
    </row>
    <row r="82" spans="1:14" x14ac:dyDescent="0.25">
      <c r="A82" s="6">
        <f t="shared" si="9"/>
        <v>81</v>
      </c>
      <c r="B82" s="4" t="s">
        <v>125</v>
      </c>
      <c r="C82" s="5">
        <v>2015</v>
      </c>
      <c r="D82" s="6" t="s">
        <v>9</v>
      </c>
      <c r="E82" s="6" t="s">
        <v>34</v>
      </c>
      <c r="F82" s="9">
        <v>3</v>
      </c>
      <c r="G82" s="35">
        <v>5.5555555555555552E-2</v>
      </c>
      <c r="H82" s="6" t="s">
        <v>142</v>
      </c>
      <c r="I82" s="57">
        <v>0</v>
      </c>
      <c r="J82" s="55">
        <v>0</v>
      </c>
      <c r="K82" s="53">
        <f t="shared" si="10"/>
        <v>0</v>
      </c>
      <c r="L82" s="23">
        <f t="shared" si="7"/>
        <v>1</v>
      </c>
      <c r="M82" s="25" t="str">
        <f t="shared" si="8"/>
        <v>ASSISTIDO</v>
      </c>
      <c r="N82" s="6">
        <f t="shared" si="11"/>
        <v>81</v>
      </c>
    </row>
    <row r="83" spans="1:14" x14ac:dyDescent="0.25">
      <c r="A83" s="6">
        <f t="shared" si="9"/>
        <v>82</v>
      </c>
      <c r="B83" s="4" t="s">
        <v>126</v>
      </c>
      <c r="C83" s="5">
        <v>2015</v>
      </c>
      <c r="D83" s="6" t="s">
        <v>9</v>
      </c>
      <c r="E83" s="6" t="s">
        <v>34</v>
      </c>
      <c r="F83" s="9">
        <v>6</v>
      </c>
      <c r="G83" s="35">
        <v>5.486111111111111E-2</v>
      </c>
      <c r="H83" s="6" t="s">
        <v>142</v>
      </c>
      <c r="I83" s="57">
        <v>0</v>
      </c>
      <c r="J83" s="55">
        <v>0</v>
      </c>
      <c r="K83" s="53">
        <f t="shared" si="10"/>
        <v>0</v>
      </c>
      <c r="L83" s="23">
        <f t="shared" si="7"/>
        <v>1</v>
      </c>
      <c r="M83" s="25" t="str">
        <f t="shared" si="8"/>
        <v>ASSISTIDO</v>
      </c>
      <c r="N83" s="6">
        <f t="shared" si="11"/>
        <v>82</v>
      </c>
    </row>
    <row r="84" spans="1:14" x14ac:dyDescent="0.25">
      <c r="A84" s="6">
        <f t="shared" si="9"/>
        <v>83</v>
      </c>
      <c r="B84" s="4" t="s">
        <v>127</v>
      </c>
      <c r="C84" s="5">
        <v>2016</v>
      </c>
      <c r="D84" s="6" t="s">
        <v>140</v>
      </c>
      <c r="E84" s="6" t="s">
        <v>34</v>
      </c>
      <c r="F84" s="9">
        <v>7</v>
      </c>
      <c r="G84" s="35">
        <v>5.2083333333333336E-2</v>
      </c>
      <c r="H84" s="6" t="s">
        <v>142</v>
      </c>
      <c r="I84" s="57">
        <v>0</v>
      </c>
      <c r="J84" s="55">
        <v>0</v>
      </c>
      <c r="K84" s="53">
        <f t="shared" si="10"/>
        <v>0</v>
      </c>
      <c r="L84" s="23">
        <f t="shared" si="7"/>
        <v>1</v>
      </c>
      <c r="M84" s="25" t="str">
        <f t="shared" si="8"/>
        <v>ASSISTIDO</v>
      </c>
      <c r="N84" s="6">
        <f t="shared" si="11"/>
        <v>83</v>
      </c>
    </row>
    <row r="85" spans="1:14" x14ac:dyDescent="0.25">
      <c r="A85" s="6">
        <f t="shared" si="9"/>
        <v>84</v>
      </c>
      <c r="B85" s="4" t="s">
        <v>128</v>
      </c>
      <c r="C85" s="5">
        <v>2016</v>
      </c>
      <c r="D85" s="6" t="s">
        <v>9</v>
      </c>
      <c r="E85" s="6" t="s">
        <v>34</v>
      </c>
      <c r="F85" s="9">
        <v>4</v>
      </c>
      <c r="G85" s="35">
        <v>5.6944444444444443E-2</v>
      </c>
      <c r="H85" s="6" t="s">
        <v>142</v>
      </c>
      <c r="I85" s="57">
        <v>0</v>
      </c>
      <c r="J85" s="55">
        <v>0</v>
      </c>
      <c r="K85" s="53">
        <f t="shared" si="10"/>
        <v>0</v>
      </c>
      <c r="L85" s="23">
        <f t="shared" si="7"/>
        <v>1</v>
      </c>
      <c r="M85" s="25" t="str">
        <f t="shared" si="8"/>
        <v>ASSISTIDO</v>
      </c>
      <c r="N85" s="6">
        <f t="shared" si="11"/>
        <v>84</v>
      </c>
    </row>
    <row r="86" spans="1:14" x14ac:dyDescent="0.25">
      <c r="A86" s="6">
        <f t="shared" si="9"/>
        <v>85</v>
      </c>
      <c r="B86" s="4" t="s">
        <v>129</v>
      </c>
      <c r="C86" s="5">
        <v>2017</v>
      </c>
      <c r="D86" s="6" t="s">
        <v>9</v>
      </c>
      <c r="E86" s="6" t="s">
        <v>34</v>
      </c>
      <c r="F86" s="9">
        <v>7</v>
      </c>
      <c r="G86" s="35">
        <v>5.486111111111111E-2</v>
      </c>
      <c r="H86" s="6" t="s">
        <v>142</v>
      </c>
      <c r="I86" s="57">
        <v>0</v>
      </c>
      <c r="J86" s="55">
        <v>0</v>
      </c>
      <c r="K86" s="53">
        <f t="shared" si="10"/>
        <v>0</v>
      </c>
      <c r="L86" s="23">
        <f t="shared" si="7"/>
        <v>1</v>
      </c>
      <c r="M86" s="25" t="str">
        <f t="shared" si="8"/>
        <v>ASSISTIDO</v>
      </c>
      <c r="N86" s="6">
        <f t="shared" si="11"/>
        <v>85</v>
      </c>
    </row>
    <row r="87" spans="1:14" x14ac:dyDescent="0.25">
      <c r="A87" s="6">
        <f t="shared" si="9"/>
        <v>86</v>
      </c>
      <c r="B87" s="4" t="s">
        <v>130</v>
      </c>
      <c r="C87" s="5">
        <v>2017</v>
      </c>
      <c r="D87" s="6" t="s">
        <v>140</v>
      </c>
      <c r="E87" s="6" t="s">
        <v>34</v>
      </c>
      <c r="F87" s="9">
        <v>4</v>
      </c>
      <c r="G87" s="35">
        <v>5.4166666666666669E-2</v>
      </c>
      <c r="H87" s="6" t="s">
        <v>142</v>
      </c>
      <c r="I87" s="57">
        <v>0</v>
      </c>
      <c r="J87" s="55">
        <v>0</v>
      </c>
      <c r="K87" s="53">
        <f t="shared" si="10"/>
        <v>0</v>
      </c>
      <c r="L87" s="23">
        <f t="shared" si="7"/>
        <v>1</v>
      </c>
      <c r="M87" s="25" t="str">
        <f t="shared" si="8"/>
        <v>ASSISTIDO</v>
      </c>
      <c r="N87" s="6">
        <f t="shared" si="11"/>
        <v>86</v>
      </c>
    </row>
    <row r="88" spans="1:14" x14ac:dyDescent="0.25">
      <c r="A88" s="6">
        <f t="shared" si="9"/>
        <v>87</v>
      </c>
      <c r="B88" s="4" t="s">
        <v>131</v>
      </c>
      <c r="C88" s="5">
        <v>2018</v>
      </c>
      <c r="D88" s="6" t="s">
        <v>9</v>
      </c>
      <c r="E88" s="6" t="s">
        <v>34</v>
      </c>
      <c r="F88" s="9">
        <v>5</v>
      </c>
      <c r="G88" s="35">
        <v>5.2083333333333336E-2</v>
      </c>
      <c r="H88" s="6" t="s">
        <v>142</v>
      </c>
      <c r="I88" s="57">
        <v>0</v>
      </c>
      <c r="J88" s="55">
        <v>0</v>
      </c>
      <c r="K88" s="53">
        <f t="shared" si="10"/>
        <v>0</v>
      </c>
      <c r="L88" s="23">
        <f t="shared" si="7"/>
        <v>1</v>
      </c>
      <c r="M88" s="25" t="str">
        <f t="shared" si="8"/>
        <v>ASSISTIDO</v>
      </c>
      <c r="N88" s="6">
        <f t="shared" si="11"/>
        <v>87</v>
      </c>
    </row>
    <row r="89" spans="1:14" x14ac:dyDescent="0.25">
      <c r="A89" s="6">
        <f t="shared" si="9"/>
        <v>88</v>
      </c>
      <c r="B89" s="4" t="s">
        <v>132</v>
      </c>
      <c r="C89" s="5">
        <v>2018</v>
      </c>
      <c r="D89" s="6" t="s">
        <v>9</v>
      </c>
      <c r="E89" s="6" t="s">
        <v>34</v>
      </c>
      <c r="F89" s="9">
        <v>6</v>
      </c>
      <c r="G89" s="35">
        <v>5.347222222222222E-2</v>
      </c>
      <c r="H89" s="6" t="s">
        <v>142</v>
      </c>
      <c r="I89" s="57">
        <v>0</v>
      </c>
      <c r="J89" s="55">
        <v>0</v>
      </c>
      <c r="K89" s="53">
        <f t="shared" si="10"/>
        <v>0</v>
      </c>
      <c r="L89" s="23">
        <f t="shared" si="7"/>
        <v>1</v>
      </c>
      <c r="M89" s="25" t="str">
        <f t="shared" si="8"/>
        <v>ASSISTIDO</v>
      </c>
      <c r="N89" s="6">
        <f t="shared" si="11"/>
        <v>88</v>
      </c>
    </row>
    <row r="90" spans="1:14" x14ac:dyDescent="0.25">
      <c r="A90" s="6">
        <f t="shared" si="9"/>
        <v>89</v>
      </c>
      <c r="B90" s="4" t="s">
        <v>133</v>
      </c>
      <c r="C90" s="5">
        <v>2019</v>
      </c>
      <c r="D90" s="6" t="s">
        <v>9</v>
      </c>
      <c r="E90" s="6" t="s">
        <v>34</v>
      </c>
      <c r="F90" s="9">
        <v>4</v>
      </c>
      <c r="G90" s="35">
        <v>4.9999999999999996E-2</v>
      </c>
      <c r="H90" s="6" t="s">
        <v>142</v>
      </c>
      <c r="I90" s="57">
        <v>0</v>
      </c>
      <c r="J90" s="55">
        <v>0</v>
      </c>
      <c r="K90" s="53">
        <f t="shared" si="10"/>
        <v>0</v>
      </c>
      <c r="L90" s="23">
        <f t="shared" si="7"/>
        <v>1</v>
      </c>
      <c r="M90" s="25" t="str">
        <f t="shared" si="8"/>
        <v>ASSISTIDO</v>
      </c>
      <c r="N90" s="6">
        <f t="shared" si="11"/>
        <v>89</v>
      </c>
    </row>
    <row r="91" spans="1:14" x14ac:dyDescent="0.25">
      <c r="A91" s="6">
        <f t="shared" si="9"/>
        <v>90</v>
      </c>
      <c r="B91" s="4" t="s">
        <v>134</v>
      </c>
      <c r="C91" s="5">
        <v>2019</v>
      </c>
      <c r="D91" s="6" t="s">
        <v>9</v>
      </c>
      <c r="E91" s="6" t="s">
        <v>34</v>
      </c>
      <c r="F91" s="9">
        <v>0</v>
      </c>
      <c r="G91" s="35">
        <v>5.5555555555555552E-2</v>
      </c>
      <c r="H91" s="6" t="s">
        <v>142</v>
      </c>
      <c r="I91" s="57">
        <v>0</v>
      </c>
      <c r="J91" s="55">
        <v>0</v>
      </c>
      <c r="K91" s="53">
        <f t="shared" si="10"/>
        <v>0</v>
      </c>
      <c r="L91" s="23">
        <f t="shared" si="7"/>
        <v>1</v>
      </c>
      <c r="M91" s="25" t="str">
        <f t="shared" si="8"/>
        <v>ASSISTIDO</v>
      </c>
      <c r="N91" s="6">
        <f t="shared" si="11"/>
        <v>90</v>
      </c>
    </row>
    <row r="92" spans="1:14" x14ac:dyDescent="0.25">
      <c r="A92" s="6">
        <f t="shared" si="9"/>
        <v>91</v>
      </c>
      <c r="B92" s="4" t="s">
        <v>137</v>
      </c>
      <c r="C92" s="5">
        <v>2020</v>
      </c>
      <c r="D92" s="6" t="s">
        <v>9</v>
      </c>
      <c r="E92" s="6" t="s">
        <v>34</v>
      </c>
      <c r="F92" s="9">
        <v>8</v>
      </c>
      <c r="G92" s="35">
        <v>5.5555555555555552E-2</v>
      </c>
      <c r="H92" s="6" t="s">
        <v>142</v>
      </c>
      <c r="I92" s="57">
        <v>0</v>
      </c>
      <c r="J92" s="55">
        <v>0</v>
      </c>
      <c r="K92" s="53">
        <f t="shared" si="10"/>
        <v>0</v>
      </c>
      <c r="L92" s="23">
        <f t="shared" si="7"/>
        <v>1</v>
      </c>
      <c r="M92" s="25" t="str">
        <f t="shared" si="8"/>
        <v>ASSISTIDO</v>
      </c>
      <c r="N92" s="6">
        <f t="shared" si="11"/>
        <v>91</v>
      </c>
    </row>
    <row r="93" spans="1:14" x14ac:dyDescent="0.25">
      <c r="A93" s="6">
        <f t="shared" si="9"/>
        <v>92</v>
      </c>
      <c r="B93" s="4" t="s">
        <v>138</v>
      </c>
      <c r="C93" s="5">
        <v>2021</v>
      </c>
      <c r="D93" s="6" t="s">
        <v>9</v>
      </c>
      <c r="E93" s="6" t="s">
        <v>34</v>
      </c>
      <c r="F93" s="9">
        <v>6</v>
      </c>
      <c r="G93" s="35">
        <v>5.2777777777777778E-2</v>
      </c>
      <c r="H93" s="6" t="s">
        <v>142</v>
      </c>
      <c r="I93" s="57">
        <v>0</v>
      </c>
      <c r="J93" s="55">
        <v>0</v>
      </c>
      <c r="K93" s="53">
        <f t="shared" si="10"/>
        <v>0</v>
      </c>
      <c r="L93" s="23">
        <f t="shared" si="7"/>
        <v>1</v>
      </c>
      <c r="M93" s="25" t="str">
        <f t="shared" si="8"/>
        <v>ASSISTIDO</v>
      </c>
      <c r="N93" s="6">
        <f t="shared" si="11"/>
        <v>92</v>
      </c>
    </row>
    <row r="94" spans="1:14" x14ac:dyDescent="0.25">
      <c r="A94" s="6">
        <f t="shared" si="9"/>
        <v>93</v>
      </c>
      <c r="B94" s="4" t="s">
        <v>123</v>
      </c>
      <c r="C94" s="5">
        <v>2002</v>
      </c>
      <c r="D94" s="6" t="s">
        <v>141</v>
      </c>
      <c r="E94" s="6" t="s">
        <v>34</v>
      </c>
      <c r="F94" s="9">
        <v>10</v>
      </c>
      <c r="G94" s="35">
        <v>5.9722222222222225E-2</v>
      </c>
      <c r="H94" s="6" t="s">
        <v>142</v>
      </c>
      <c r="I94" s="57">
        <v>84000000</v>
      </c>
      <c r="J94" s="55">
        <v>275000000</v>
      </c>
      <c r="K94" s="53">
        <f t="shared" si="10"/>
        <v>191000000</v>
      </c>
      <c r="L94" s="23">
        <f t="shared" si="7"/>
        <v>1</v>
      </c>
      <c r="M94" s="25" t="str">
        <f t="shared" si="8"/>
        <v>ASSISTIDO</v>
      </c>
      <c r="N94" s="6">
        <f t="shared" si="11"/>
        <v>93</v>
      </c>
    </row>
    <row r="95" spans="1:14" x14ac:dyDescent="0.25">
      <c r="A95" s="6">
        <f t="shared" si="9"/>
        <v>94</v>
      </c>
      <c r="B95" s="4" t="s">
        <v>135</v>
      </c>
      <c r="C95" s="5">
        <v>2004</v>
      </c>
      <c r="D95" s="6" t="s">
        <v>141</v>
      </c>
      <c r="E95" s="6" t="s">
        <v>34</v>
      </c>
      <c r="F95" s="9">
        <v>8</v>
      </c>
      <c r="G95" s="35">
        <v>6.458333333333334E-2</v>
      </c>
      <c r="H95" s="6" t="s">
        <v>142</v>
      </c>
      <c r="I95" s="57">
        <v>80000000</v>
      </c>
      <c r="J95" s="55">
        <v>181466833</v>
      </c>
      <c r="K95" s="53">
        <f t="shared" si="10"/>
        <v>101466833</v>
      </c>
      <c r="L95" s="23">
        <f t="shared" si="7"/>
        <v>1</v>
      </c>
      <c r="M95" s="25" t="str">
        <f t="shared" si="8"/>
        <v>ASSISTIDO</v>
      </c>
      <c r="N95" s="6">
        <f t="shared" si="11"/>
        <v>94</v>
      </c>
    </row>
    <row r="96" spans="1:14" x14ac:dyDescent="0.25">
      <c r="A96" s="6">
        <f t="shared" si="9"/>
        <v>95</v>
      </c>
      <c r="B96" s="4" t="s">
        <v>136</v>
      </c>
      <c r="C96" s="5">
        <v>2020</v>
      </c>
      <c r="D96" s="6" t="s">
        <v>6</v>
      </c>
      <c r="E96" s="6" t="s">
        <v>34</v>
      </c>
      <c r="F96" s="9">
        <v>6</v>
      </c>
      <c r="G96" s="35">
        <v>6.458333333333334E-2</v>
      </c>
      <c r="H96" s="6" t="s">
        <v>142</v>
      </c>
      <c r="I96" s="57">
        <v>90000000</v>
      </c>
      <c r="J96" s="55">
        <v>28500000</v>
      </c>
      <c r="K96" s="53">
        <f t="shared" si="10"/>
        <v>-61500000</v>
      </c>
      <c r="L96" s="23">
        <f t="shared" si="7"/>
        <v>1</v>
      </c>
      <c r="M96" s="25" t="str">
        <f t="shared" si="8"/>
        <v>ASSISTIDO</v>
      </c>
      <c r="N96" s="6">
        <f t="shared" si="11"/>
        <v>95</v>
      </c>
    </row>
    <row r="97" spans="1:14" x14ac:dyDescent="0.25">
      <c r="A97" s="6">
        <f t="shared" si="9"/>
        <v>96</v>
      </c>
      <c r="B97" s="4" t="s">
        <v>64</v>
      </c>
      <c r="C97" s="5">
        <v>1995</v>
      </c>
      <c r="D97" s="6" t="s">
        <v>9</v>
      </c>
      <c r="E97" s="7">
        <v>44996</v>
      </c>
      <c r="F97" s="9">
        <v>9</v>
      </c>
      <c r="G97" s="35">
        <v>5.6250000000000001E-2</v>
      </c>
      <c r="H97" s="6" t="s">
        <v>10</v>
      </c>
      <c r="I97" s="57">
        <v>55000000</v>
      </c>
      <c r="J97" s="55">
        <v>346100000</v>
      </c>
      <c r="K97" s="53">
        <f t="shared" si="10"/>
        <v>291100000</v>
      </c>
      <c r="L97" s="23">
        <f t="shared" si="7"/>
        <v>1</v>
      </c>
      <c r="M97" s="25" t="str">
        <f t="shared" si="8"/>
        <v>ASSISTIDO</v>
      </c>
      <c r="N97" s="6">
        <f t="shared" si="11"/>
        <v>96</v>
      </c>
    </row>
    <row r="98" spans="1:14" x14ac:dyDescent="0.25">
      <c r="A98" s="6">
        <f t="shared" si="9"/>
        <v>97</v>
      </c>
      <c r="B98" s="4" t="s">
        <v>68</v>
      </c>
      <c r="C98" s="5">
        <v>1986</v>
      </c>
      <c r="D98" s="6" t="s">
        <v>9</v>
      </c>
      <c r="E98" s="7">
        <v>44989</v>
      </c>
      <c r="F98" s="9" t="s">
        <v>71</v>
      </c>
      <c r="G98" s="35">
        <v>5.1388888888888894E-2</v>
      </c>
      <c r="H98" s="6" t="s">
        <v>10</v>
      </c>
      <c r="I98" s="57">
        <v>14000000</v>
      </c>
      <c r="J98" s="55">
        <v>38700000</v>
      </c>
      <c r="K98" s="53">
        <f t="shared" si="10"/>
        <v>24700000</v>
      </c>
      <c r="L98" s="23">
        <f t="shared" ref="L98:L129" si="12">IF(M98="ASSISTIDO",1,0)</f>
        <v>1</v>
      </c>
      <c r="M98" s="25" t="str">
        <f t="shared" ref="M98:M129" si="13">IF(ISBLANK(F98),"NÃO ASSISTIDO","ASSISTIDO")</f>
        <v>ASSISTIDO</v>
      </c>
      <c r="N98" s="6">
        <f t="shared" si="11"/>
        <v>97</v>
      </c>
    </row>
    <row r="99" spans="1:14" x14ac:dyDescent="0.25">
      <c r="A99" s="6">
        <f t="shared" si="9"/>
        <v>98</v>
      </c>
      <c r="B99" s="4" t="s">
        <v>65</v>
      </c>
      <c r="C99" s="5">
        <v>1998</v>
      </c>
      <c r="D99" s="6" t="s">
        <v>6</v>
      </c>
      <c r="E99" s="7">
        <v>44996</v>
      </c>
      <c r="F99" s="9" t="s">
        <v>81</v>
      </c>
      <c r="G99" s="35">
        <v>6.5972222222222224E-2</v>
      </c>
      <c r="H99" s="6" t="s">
        <v>7</v>
      </c>
      <c r="I99" s="57">
        <v>45000000</v>
      </c>
      <c r="J99" s="55">
        <v>363300000</v>
      </c>
      <c r="K99" s="53">
        <f t="shared" si="10"/>
        <v>318300000</v>
      </c>
      <c r="L99" s="23">
        <f t="shared" si="12"/>
        <v>1</v>
      </c>
      <c r="M99" s="25" t="str">
        <f t="shared" si="13"/>
        <v>ASSISTIDO</v>
      </c>
      <c r="N99" s="6">
        <f t="shared" si="11"/>
        <v>98</v>
      </c>
    </row>
    <row r="100" spans="1:14" x14ac:dyDescent="0.25">
      <c r="A100" s="6">
        <f t="shared" si="9"/>
        <v>99</v>
      </c>
      <c r="B100" s="4" t="s">
        <v>66</v>
      </c>
      <c r="C100" s="5">
        <v>2003</v>
      </c>
      <c r="D100" s="6" t="s">
        <v>6</v>
      </c>
      <c r="E100" s="7">
        <v>44996</v>
      </c>
      <c r="F100" s="9" t="s">
        <v>81</v>
      </c>
      <c r="G100" s="35">
        <v>6.9444444444444434E-2</v>
      </c>
      <c r="H100" s="6" t="s">
        <v>7</v>
      </c>
      <c r="I100" s="57">
        <v>94000000</v>
      </c>
      <c r="J100" s="55">
        <v>940400000</v>
      </c>
      <c r="K100" s="53">
        <f t="shared" si="10"/>
        <v>846400000</v>
      </c>
      <c r="L100" s="23">
        <f t="shared" si="12"/>
        <v>1</v>
      </c>
      <c r="M100" s="25" t="str">
        <f t="shared" si="13"/>
        <v>ASSISTIDO</v>
      </c>
      <c r="N100" s="6">
        <f t="shared" si="11"/>
        <v>99</v>
      </c>
    </row>
    <row r="101" spans="1:14" x14ac:dyDescent="0.25">
      <c r="A101" s="6">
        <f t="shared" si="9"/>
        <v>100</v>
      </c>
      <c r="B101" s="4" t="s">
        <v>67</v>
      </c>
      <c r="C101" s="5">
        <v>1970</v>
      </c>
      <c r="D101" s="6" t="s">
        <v>9</v>
      </c>
      <c r="E101" s="7">
        <v>44990</v>
      </c>
      <c r="F101" s="9">
        <v>7</v>
      </c>
      <c r="G101" s="35">
        <v>5.4166666666666669E-2</v>
      </c>
      <c r="H101" s="6" t="s">
        <v>10</v>
      </c>
      <c r="I101" s="57">
        <v>4000000</v>
      </c>
      <c r="J101" s="55">
        <v>191000000</v>
      </c>
      <c r="K101" s="53">
        <f t="shared" si="10"/>
        <v>187000000</v>
      </c>
      <c r="L101" s="23">
        <f t="shared" si="12"/>
        <v>1</v>
      </c>
      <c r="M101" s="25" t="str">
        <f t="shared" si="13"/>
        <v>ASSISTIDO</v>
      </c>
      <c r="N101" s="6">
        <f t="shared" si="11"/>
        <v>100</v>
      </c>
    </row>
    <row r="102" spans="1:14" x14ac:dyDescent="0.25">
      <c r="A102" s="6">
        <f t="shared" si="9"/>
        <v>101</v>
      </c>
      <c r="B102" s="4" t="s">
        <v>69</v>
      </c>
      <c r="C102" s="5">
        <v>2005</v>
      </c>
      <c r="D102" s="6" t="s">
        <v>6</v>
      </c>
      <c r="E102" s="7">
        <v>44996</v>
      </c>
      <c r="F102" s="9">
        <v>7</v>
      </c>
      <c r="G102" s="35">
        <v>5.9722222222222225E-2</v>
      </c>
      <c r="H102" s="6" t="s">
        <v>33</v>
      </c>
      <c r="I102" s="57">
        <v>75000000</v>
      </c>
      <c r="J102" s="55">
        <v>556600000</v>
      </c>
      <c r="K102" s="53">
        <f t="shared" si="10"/>
        <v>481600000</v>
      </c>
      <c r="L102" s="23">
        <f t="shared" si="12"/>
        <v>1</v>
      </c>
      <c r="M102" s="25" t="str">
        <f t="shared" si="13"/>
        <v>ASSISTIDO</v>
      </c>
      <c r="N102" s="6">
        <f t="shared" si="11"/>
        <v>101</v>
      </c>
    </row>
    <row r="103" spans="1:14" x14ac:dyDescent="0.25">
      <c r="A103" s="6">
        <f t="shared" si="9"/>
        <v>102</v>
      </c>
      <c r="B103" s="4" t="s">
        <v>85</v>
      </c>
      <c r="C103" s="5">
        <v>2006</v>
      </c>
      <c r="D103" s="6" t="s">
        <v>6</v>
      </c>
      <c r="E103" s="7">
        <v>44991</v>
      </c>
      <c r="F103" s="9" t="s">
        <v>71</v>
      </c>
      <c r="G103" s="35">
        <v>6.3194444444444442E-2</v>
      </c>
      <c r="H103" s="6" t="s">
        <v>88</v>
      </c>
      <c r="I103" s="57">
        <v>75000000</v>
      </c>
      <c r="J103" s="55">
        <v>141900000</v>
      </c>
      <c r="K103" s="53">
        <f t="shared" si="10"/>
        <v>66900000</v>
      </c>
      <c r="L103" s="23">
        <f t="shared" si="12"/>
        <v>1</v>
      </c>
      <c r="M103" s="25" t="str">
        <f t="shared" si="13"/>
        <v>ASSISTIDO</v>
      </c>
      <c r="N103" s="6">
        <f t="shared" si="11"/>
        <v>102</v>
      </c>
    </row>
    <row r="104" spans="1:14" x14ac:dyDescent="0.25">
      <c r="A104" s="6">
        <f t="shared" si="9"/>
        <v>103</v>
      </c>
      <c r="B104" s="4" t="s">
        <v>86</v>
      </c>
      <c r="C104" s="5">
        <v>2015</v>
      </c>
      <c r="D104" s="6" t="s">
        <v>6</v>
      </c>
      <c r="E104" s="18">
        <v>45046</v>
      </c>
      <c r="F104" s="9">
        <v>8</v>
      </c>
      <c r="G104" s="35">
        <v>6.1805555555555558E-2</v>
      </c>
      <c r="H104" s="6" t="s">
        <v>84</v>
      </c>
      <c r="I104" s="57">
        <v>80000000</v>
      </c>
      <c r="J104" s="55">
        <v>474800000</v>
      </c>
      <c r="K104" s="53">
        <f t="shared" si="10"/>
        <v>394800000</v>
      </c>
      <c r="L104" s="23">
        <f t="shared" si="12"/>
        <v>1</v>
      </c>
      <c r="M104" s="25" t="str">
        <f t="shared" si="13"/>
        <v>ASSISTIDO</v>
      </c>
      <c r="N104" s="6">
        <f t="shared" si="11"/>
        <v>103</v>
      </c>
    </row>
    <row r="105" spans="1:14" x14ac:dyDescent="0.25">
      <c r="A105" s="6">
        <f t="shared" si="9"/>
        <v>104</v>
      </c>
      <c r="B105" s="4" t="s">
        <v>87</v>
      </c>
      <c r="C105" s="5">
        <v>2018</v>
      </c>
      <c r="D105" s="6" t="s">
        <v>6</v>
      </c>
      <c r="E105" s="7">
        <v>45046</v>
      </c>
      <c r="F105" s="9">
        <v>8</v>
      </c>
      <c r="G105" s="35">
        <v>6.7361111111111108E-2</v>
      </c>
      <c r="H105" s="6" t="s">
        <v>84</v>
      </c>
      <c r="I105" s="57">
        <v>80000000</v>
      </c>
      <c r="J105" s="55">
        <v>528583744</v>
      </c>
      <c r="K105" s="53">
        <f t="shared" si="10"/>
        <v>448583744</v>
      </c>
      <c r="L105" s="23">
        <f t="shared" si="12"/>
        <v>1</v>
      </c>
      <c r="M105" s="25" t="str">
        <f t="shared" si="13"/>
        <v>ASSISTIDO</v>
      </c>
      <c r="N105" s="6">
        <f t="shared" si="11"/>
        <v>104</v>
      </c>
    </row>
    <row r="106" spans="1:14" x14ac:dyDescent="0.25">
      <c r="A106" s="6">
        <f t="shared" si="9"/>
        <v>105</v>
      </c>
      <c r="B106" s="4" t="s">
        <v>89</v>
      </c>
      <c r="C106" s="5">
        <v>1950</v>
      </c>
      <c r="D106" s="6" t="s">
        <v>9</v>
      </c>
      <c r="G106" s="35">
        <v>5.1388888888888894E-2</v>
      </c>
      <c r="H106" s="6" t="s">
        <v>10</v>
      </c>
      <c r="I106" s="57">
        <v>2900000</v>
      </c>
      <c r="J106" s="55">
        <v>263600000</v>
      </c>
      <c r="K106" s="53">
        <f t="shared" si="10"/>
        <v>260700000</v>
      </c>
      <c r="L106" s="23">
        <f t="shared" si="12"/>
        <v>0</v>
      </c>
      <c r="M106" s="25" t="str">
        <f t="shared" si="13"/>
        <v>NÃO ASSISTIDO</v>
      </c>
      <c r="N106" s="6">
        <f t="shared" si="11"/>
        <v>105</v>
      </c>
    </row>
    <row r="107" spans="1:14" x14ac:dyDescent="0.25">
      <c r="A107" s="6">
        <f t="shared" si="9"/>
        <v>106</v>
      </c>
      <c r="B107" s="4" t="s">
        <v>90</v>
      </c>
      <c r="C107" s="5">
        <v>1999</v>
      </c>
      <c r="D107" s="6" t="s">
        <v>6</v>
      </c>
      <c r="E107" s="7">
        <v>45010</v>
      </c>
      <c r="F107" s="9" t="s">
        <v>71</v>
      </c>
      <c r="G107" s="35">
        <v>6.5972222222222224E-2</v>
      </c>
      <c r="H107" s="6" t="s">
        <v>7</v>
      </c>
      <c r="I107" s="57">
        <v>90000000</v>
      </c>
      <c r="J107" s="55">
        <v>512000000</v>
      </c>
      <c r="K107" s="53">
        <f t="shared" si="10"/>
        <v>422000000</v>
      </c>
      <c r="L107" s="23">
        <f t="shared" si="12"/>
        <v>1</v>
      </c>
      <c r="M107" s="25" t="str">
        <f t="shared" si="13"/>
        <v>ASSISTIDO</v>
      </c>
      <c r="N107" s="6">
        <f t="shared" si="11"/>
        <v>106</v>
      </c>
    </row>
    <row r="108" spans="1:14" x14ac:dyDescent="0.25">
      <c r="A108" s="6">
        <f t="shared" si="9"/>
        <v>107</v>
      </c>
      <c r="B108" s="4" t="s">
        <v>92</v>
      </c>
      <c r="C108" s="5">
        <v>2011</v>
      </c>
      <c r="D108" s="6" t="s">
        <v>6</v>
      </c>
      <c r="G108" s="35">
        <v>6.7361111111111108E-2</v>
      </c>
      <c r="H108" s="6" t="s">
        <v>84</v>
      </c>
      <c r="I108" s="57">
        <v>100000000</v>
      </c>
      <c r="J108" s="55">
        <v>147400000</v>
      </c>
      <c r="K108" s="53">
        <f t="shared" si="10"/>
        <v>47400000</v>
      </c>
      <c r="L108" s="23">
        <f t="shared" si="12"/>
        <v>0</v>
      </c>
      <c r="M108" s="25" t="str">
        <f t="shared" si="13"/>
        <v>NÃO ASSISTIDO</v>
      </c>
      <c r="N108" s="6">
        <f t="shared" si="11"/>
        <v>107</v>
      </c>
    </row>
    <row r="109" spans="1:14" x14ac:dyDescent="0.25">
      <c r="A109" s="6">
        <f t="shared" si="9"/>
        <v>108</v>
      </c>
      <c r="B109" s="4" t="s">
        <v>93</v>
      </c>
      <c r="C109" s="5">
        <v>2010</v>
      </c>
      <c r="D109" s="6" t="s">
        <v>6</v>
      </c>
      <c r="E109" s="7">
        <v>45011</v>
      </c>
      <c r="F109" s="9">
        <v>9</v>
      </c>
      <c r="G109" s="35">
        <v>7.1527777777777787E-2</v>
      </c>
      <c r="H109" s="6" t="s">
        <v>7</v>
      </c>
      <c r="I109" s="57">
        <v>200000000</v>
      </c>
      <c r="J109" s="55">
        <v>1066969703</v>
      </c>
      <c r="K109" s="53">
        <f t="shared" si="10"/>
        <v>866969703</v>
      </c>
      <c r="L109" s="23">
        <f t="shared" si="12"/>
        <v>1</v>
      </c>
      <c r="M109" s="25" t="str">
        <f t="shared" si="13"/>
        <v>ASSISTIDO</v>
      </c>
      <c r="N109" s="6">
        <f t="shared" si="11"/>
        <v>108</v>
      </c>
    </row>
    <row r="110" spans="1:14" x14ac:dyDescent="0.25">
      <c r="A110" s="6">
        <f t="shared" si="9"/>
        <v>109</v>
      </c>
      <c r="B110" s="4" t="s">
        <v>94</v>
      </c>
      <c r="C110" s="5">
        <v>2016</v>
      </c>
      <c r="D110" s="6" t="s">
        <v>6</v>
      </c>
      <c r="E110" s="7">
        <v>45052</v>
      </c>
      <c r="F110" s="9" t="s">
        <v>71</v>
      </c>
      <c r="G110" s="35">
        <v>6.6666666666666666E-2</v>
      </c>
      <c r="H110" s="6" t="s">
        <v>7</v>
      </c>
      <c r="I110" s="57">
        <v>200000000</v>
      </c>
      <c r="J110" s="55">
        <v>1029000000</v>
      </c>
      <c r="K110" s="53">
        <f t="shared" si="10"/>
        <v>829000000</v>
      </c>
      <c r="L110" s="23">
        <f t="shared" si="12"/>
        <v>1</v>
      </c>
      <c r="M110" s="25" t="str">
        <f t="shared" si="13"/>
        <v>ASSISTIDO</v>
      </c>
      <c r="N110" s="6">
        <f t="shared" si="11"/>
        <v>109</v>
      </c>
    </row>
    <row r="111" spans="1:14" x14ac:dyDescent="0.25">
      <c r="A111" s="6">
        <f t="shared" si="9"/>
        <v>110</v>
      </c>
      <c r="B111" s="4" t="s">
        <v>95</v>
      </c>
      <c r="C111" s="5">
        <v>2013</v>
      </c>
      <c r="D111" s="6" t="s">
        <v>6</v>
      </c>
      <c r="E111" s="7">
        <v>45011</v>
      </c>
      <c r="F111" s="9">
        <v>9</v>
      </c>
      <c r="G111" s="35">
        <v>7.2222222222222229E-2</v>
      </c>
      <c r="H111" s="6" t="s">
        <v>7</v>
      </c>
      <c r="I111" s="57">
        <v>200000000</v>
      </c>
      <c r="J111" s="55">
        <v>743600000</v>
      </c>
      <c r="K111" s="53">
        <f t="shared" si="10"/>
        <v>543600000</v>
      </c>
      <c r="L111" s="23">
        <f t="shared" si="12"/>
        <v>1</v>
      </c>
      <c r="M111" s="25" t="str">
        <f t="shared" si="13"/>
        <v>ASSISTIDO</v>
      </c>
      <c r="N111" s="6">
        <f t="shared" si="11"/>
        <v>110</v>
      </c>
    </row>
    <row r="112" spans="1:14" x14ac:dyDescent="0.25">
      <c r="A112" s="6">
        <f t="shared" si="9"/>
        <v>111</v>
      </c>
      <c r="B112" s="4" t="s">
        <v>96</v>
      </c>
      <c r="C112" s="5">
        <v>2008</v>
      </c>
      <c r="D112" s="6" t="s">
        <v>6</v>
      </c>
      <c r="E112" s="7">
        <v>45045</v>
      </c>
      <c r="F112" s="9">
        <v>9</v>
      </c>
      <c r="G112" s="35">
        <v>6.805555555555555E-2</v>
      </c>
      <c r="H112" s="6" t="s">
        <v>7</v>
      </c>
      <c r="I112" s="57">
        <v>180000000</v>
      </c>
      <c r="J112" s="55">
        <v>532500000</v>
      </c>
      <c r="K112" s="53">
        <f t="shared" si="10"/>
        <v>352500000</v>
      </c>
      <c r="L112" s="23">
        <f t="shared" si="12"/>
        <v>1</v>
      </c>
      <c r="M112" s="25" t="str">
        <f t="shared" si="13"/>
        <v>ASSISTIDO</v>
      </c>
      <c r="N112" s="6">
        <f t="shared" si="11"/>
        <v>111</v>
      </c>
    </row>
    <row r="113" spans="1:14" x14ac:dyDescent="0.25">
      <c r="A113" s="6">
        <f t="shared" si="9"/>
        <v>112</v>
      </c>
      <c r="B113" s="4" t="s">
        <v>97</v>
      </c>
      <c r="C113" s="5">
        <v>2007</v>
      </c>
      <c r="D113" s="6" t="s">
        <v>6</v>
      </c>
      <c r="E113" s="7">
        <v>44989</v>
      </c>
      <c r="F113" s="9" t="s">
        <v>71</v>
      </c>
      <c r="G113" s="35">
        <v>7.7083333333333337E-2</v>
      </c>
      <c r="H113" s="6" t="s">
        <v>7</v>
      </c>
      <c r="I113" s="57">
        <v>150000000</v>
      </c>
      <c r="J113" s="55">
        <v>623700000</v>
      </c>
      <c r="K113" s="53">
        <f t="shared" si="10"/>
        <v>473700000</v>
      </c>
      <c r="L113" s="23">
        <f t="shared" si="12"/>
        <v>1</v>
      </c>
      <c r="M113" s="25" t="str">
        <f t="shared" si="13"/>
        <v>ASSISTIDO</v>
      </c>
      <c r="N113" s="6">
        <f t="shared" si="11"/>
        <v>112</v>
      </c>
    </row>
    <row r="114" spans="1:14" x14ac:dyDescent="0.25">
      <c r="A114" s="6">
        <f t="shared" si="9"/>
        <v>113</v>
      </c>
      <c r="B114" s="4" t="s">
        <v>98</v>
      </c>
      <c r="C114" s="5">
        <v>2020</v>
      </c>
      <c r="D114" s="6" t="s">
        <v>6</v>
      </c>
      <c r="E114" s="7">
        <v>44996</v>
      </c>
      <c r="F114" s="9">
        <v>9</v>
      </c>
      <c r="G114" s="35">
        <v>6.9444444444444434E-2</v>
      </c>
      <c r="H114" s="6" t="s">
        <v>7</v>
      </c>
      <c r="I114" s="57">
        <v>150000000</v>
      </c>
      <c r="J114" s="55">
        <v>121000000</v>
      </c>
      <c r="K114" s="53">
        <f t="shared" si="10"/>
        <v>-29000000</v>
      </c>
      <c r="L114" s="23">
        <f t="shared" si="12"/>
        <v>1</v>
      </c>
      <c r="M114" s="25" t="str">
        <f t="shared" si="13"/>
        <v>ASSISTIDO</v>
      </c>
      <c r="N114" s="6">
        <f t="shared" si="11"/>
        <v>113</v>
      </c>
    </row>
    <row r="115" spans="1:14" x14ac:dyDescent="0.25">
      <c r="A115" s="6">
        <f t="shared" si="9"/>
        <v>114</v>
      </c>
      <c r="B115" s="4" t="s">
        <v>146</v>
      </c>
      <c r="C115" s="5">
        <v>2022</v>
      </c>
      <c r="D115" s="6" t="s">
        <v>6</v>
      </c>
      <c r="E115" s="7">
        <v>44989</v>
      </c>
      <c r="F115" s="9">
        <v>9</v>
      </c>
      <c r="G115" s="35">
        <v>6.9444444444444434E-2</v>
      </c>
      <c r="H115" s="6" t="s">
        <v>7</v>
      </c>
      <c r="I115" s="57">
        <v>175000000</v>
      </c>
      <c r="J115" s="55">
        <v>21000000</v>
      </c>
      <c r="K115" s="53">
        <f t="shared" si="10"/>
        <v>-154000000</v>
      </c>
      <c r="L115" s="23">
        <f t="shared" si="12"/>
        <v>1</v>
      </c>
      <c r="M115" s="25" t="str">
        <f t="shared" si="13"/>
        <v>ASSISTIDO</v>
      </c>
      <c r="N115" s="6">
        <f t="shared" si="11"/>
        <v>114</v>
      </c>
    </row>
    <row r="116" spans="1:14" x14ac:dyDescent="0.25">
      <c r="A116" s="6">
        <f t="shared" si="9"/>
        <v>115</v>
      </c>
      <c r="B116" s="4" t="s">
        <v>99</v>
      </c>
      <c r="C116" s="5">
        <v>2016</v>
      </c>
      <c r="D116" s="6" t="s">
        <v>6</v>
      </c>
      <c r="E116" s="6" t="s">
        <v>34</v>
      </c>
      <c r="F116" s="9">
        <v>8</v>
      </c>
      <c r="G116" s="35">
        <v>6.7361111111111108E-2</v>
      </c>
      <c r="H116" s="6" t="s">
        <v>84</v>
      </c>
      <c r="I116" s="57">
        <v>73000000</v>
      </c>
      <c r="J116" s="55">
        <v>352300000</v>
      </c>
      <c r="K116" s="53">
        <f t="shared" si="10"/>
        <v>279300000</v>
      </c>
      <c r="L116" s="23">
        <f t="shared" si="12"/>
        <v>1</v>
      </c>
      <c r="M116" s="25" t="str">
        <f t="shared" si="13"/>
        <v>ASSISTIDO</v>
      </c>
      <c r="N116" s="6">
        <f t="shared" si="11"/>
        <v>115</v>
      </c>
    </row>
    <row r="117" spans="1:14" x14ac:dyDescent="0.25">
      <c r="A117" s="6">
        <f t="shared" si="9"/>
        <v>116</v>
      </c>
      <c r="B117" s="4" t="s">
        <v>100</v>
      </c>
      <c r="C117" s="5">
        <v>2019</v>
      </c>
      <c r="D117" s="6" t="s">
        <v>6</v>
      </c>
      <c r="G117" s="35">
        <v>6.6666666666666666E-2</v>
      </c>
      <c r="H117" s="6" t="s">
        <v>84</v>
      </c>
      <c r="I117" s="57">
        <v>65000000</v>
      </c>
      <c r="J117" s="55">
        <v>152800000</v>
      </c>
      <c r="K117" s="53">
        <f t="shared" si="10"/>
        <v>87800000</v>
      </c>
      <c r="L117" s="23">
        <f t="shared" si="12"/>
        <v>0</v>
      </c>
      <c r="M117" s="25" t="str">
        <f t="shared" si="13"/>
        <v>NÃO ASSISTIDO</v>
      </c>
      <c r="N117" s="6">
        <f t="shared" si="11"/>
        <v>116</v>
      </c>
    </row>
    <row r="118" spans="1:14" x14ac:dyDescent="0.25">
      <c r="A118" s="6">
        <f t="shared" si="9"/>
        <v>117</v>
      </c>
      <c r="B118" s="4" t="s">
        <v>144</v>
      </c>
      <c r="C118" s="5">
        <v>1993</v>
      </c>
      <c r="D118" s="6" t="s">
        <v>15</v>
      </c>
      <c r="E118" s="7">
        <v>45094</v>
      </c>
      <c r="F118" s="9" t="s">
        <v>71</v>
      </c>
      <c r="G118" s="35">
        <v>5.2777777777777778E-2</v>
      </c>
      <c r="H118" s="6" t="s">
        <v>10</v>
      </c>
      <c r="I118" s="57">
        <v>24000000</v>
      </c>
      <c r="J118" s="55">
        <v>91500000</v>
      </c>
      <c r="K118" s="53">
        <f t="shared" si="10"/>
        <v>67500000</v>
      </c>
      <c r="L118" s="23">
        <f t="shared" si="12"/>
        <v>1</v>
      </c>
      <c r="M118" s="25" t="str">
        <f t="shared" si="13"/>
        <v>ASSISTIDO</v>
      </c>
      <c r="N118" s="6">
        <f t="shared" si="11"/>
        <v>117</v>
      </c>
    </row>
    <row r="119" spans="1:14" x14ac:dyDescent="0.25">
      <c r="A119" s="6">
        <f t="shared" si="9"/>
        <v>118</v>
      </c>
      <c r="B119" s="4" t="s">
        <v>145</v>
      </c>
      <c r="C119" s="5">
        <v>2022</v>
      </c>
      <c r="D119" s="6" t="s">
        <v>6</v>
      </c>
      <c r="E119" s="7">
        <v>44989</v>
      </c>
      <c r="F119" s="9" t="s">
        <v>71</v>
      </c>
      <c r="G119" s="35">
        <v>7.0833333333333331E-2</v>
      </c>
      <c r="H119" s="6" t="s">
        <v>33</v>
      </c>
      <c r="I119" s="57">
        <v>110000000</v>
      </c>
      <c r="J119" s="55">
        <v>478700000</v>
      </c>
      <c r="K119" s="53">
        <f t="shared" si="10"/>
        <v>368700000</v>
      </c>
      <c r="L119" s="23">
        <f t="shared" si="12"/>
        <v>1</v>
      </c>
      <c r="M119" s="25" t="str">
        <f t="shared" si="13"/>
        <v>ASSISTIDO</v>
      </c>
      <c r="N119" s="6">
        <f t="shared" si="11"/>
        <v>118</v>
      </c>
    </row>
    <row r="120" spans="1:14" x14ac:dyDescent="0.25">
      <c r="A120" s="6">
        <f t="shared" si="9"/>
        <v>119</v>
      </c>
      <c r="B120" s="4" t="s">
        <v>147</v>
      </c>
      <c r="C120" s="5">
        <v>1955</v>
      </c>
      <c r="D120" s="6" t="s">
        <v>9</v>
      </c>
      <c r="E120" s="7">
        <v>45010</v>
      </c>
      <c r="F120" s="9" t="s">
        <v>71</v>
      </c>
      <c r="G120" s="35">
        <v>5.2777777777777778E-2</v>
      </c>
      <c r="H120" s="6" t="s">
        <v>10</v>
      </c>
      <c r="I120" s="57">
        <v>4000000</v>
      </c>
      <c r="J120" s="55">
        <v>187000000</v>
      </c>
      <c r="K120" s="53">
        <f t="shared" si="10"/>
        <v>183000000</v>
      </c>
      <c r="L120" s="23">
        <f t="shared" si="12"/>
        <v>1</v>
      </c>
      <c r="M120" s="25" t="str">
        <f t="shared" si="13"/>
        <v>ASSISTIDO</v>
      </c>
      <c r="N120" s="6">
        <f t="shared" si="11"/>
        <v>119</v>
      </c>
    </row>
    <row r="121" spans="1:14" x14ac:dyDescent="0.25">
      <c r="A121" s="6">
        <f t="shared" si="9"/>
        <v>120</v>
      </c>
      <c r="B121" s="4" t="s">
        <v>148</v>
      </c>
      <c r="C121" s="5">
        <v>1971</v>
      </c>
      <c r="D121" s="6" t="s">
        <v>9</v>
      </c>
      <c r="F121" s="9" t="s">
        <v>71</v>
      </c>
      <c r="G121" s="35">
        <v>5.4166666666666669E-2</v>
      </c>
      <c r="H121" s="6" t="s">
        <v>10</v>
      </c>
      <c r="I121" s="57">
        <v>7500000</v>
      </c>
      <c r="J121" s="55">
        <v>169000000</v>
      </c>
      <c r="K121" s="53">
        <f t="shared" si="10"/>
        <v>161500000</v>
      </c>
      <c r="L121" s="23">
        <f t="shared" si="12"/>
        <v>1</v>
      </c>
      <c r="M121" s="25" t="str">
        <f t="shared" si="13"/>
        <v>ASSISTIDO</v>
      </c>
      <c r="N121" s="6">
        <f t="shared" si="11"/>
        <v>120</v>
      </c>
    </row>
    <row r="122" spans="1:14" x14ac:dyDescent="0.25">
      <c r="A122" s="6">
        <f t="shared" si="9"/>
        <v>121</v>
      </c>
      <c r="B122" s="4" t="s">
        <v>149</v>
      </c>
      <c r="C122" s="5">
        <v>2000</v>
      </c>
      <c r="D122" s="6" t="s">
        <v>9</v>
      </c>
      <c r="E122" s="7">
        <v>45010</v>
      </c>
      <c r="F122" s="9" t="s">
        <v>71</v>
      </c>
      <c r="G122" s="35">
        <v>5.4166666666666669E-2</v>
      </c>
      <c r="H122" s="6" t="s">
        <v>10</v>
      </c>
      <c r="I122" s="57">
        <v>100000000</v>
      </c>
      <c r="J122" s="55">
        <v>169700000</v>
      </c>
      <c r="K122" s="53">
        <f t="shared" si="10"/>
        <v>69700000</v>
      </c>
      <c r="L122" s="23">
        <f t="shared" si="12"/>
        <v>1</v>
      </c>
      <c r="M122" s="25" t="str">
        <f t="shared" si="13"/>
        <v>ASSISTIDO</v>
      </c>
      <c r="N122" s="6">
        <f t="shared" si="11"/>
        <v>121</v>
      </c>
    </row>
    <row r="123" spans="1:14" x14ac:dyDescent="0.25">
      <c r="A123" s="6">
        <f t="shared" si="9"/>
        <v>122</v>
      </c>
      <c r="B123" s="4" t="s">
        <v>150</v>
      </c>
      <c r="C123" s="5">
        <v>2003</v>
      </c>
      <c r="D123" s="6" t="s">
        <v>9</v>
      </c>
      <c r="G123" s="35">
        <v>5.9722222222222225E-2</v>
      </c>
      <c r="H123" s="6" t="s">
        <v>33</v>
      </c>
      <c r="I123" s="57">
        <v>60000000</v>
      </c>
      <c r="J123" s="55">
        <v>80800000</v>
      </c>
      <c r="K123" s="53">
        <f t="shared" si="10"/>
        <v>20800000</v>
      </c>
      <c r="L123" s="23">
        <f t="shared" si="12"/>
        <v>0</v>
      </c>
      <c r="M123" s="25" t="str">
        <f t="shared" si="13"/>
        <v>NÃO ASSISTIDO</v>
      </c>
      <c r="N123" s="6">
        <f t="shared" si="11"/>
        <v>122</v>
      </c>
    </row>
    <row r="124" spans="1:14" x14ac:dyDescent="0.25">
      <c r="A124" s="6">
        <f t="shared" si="9"/>
        <v>123</v>
      </c>
      <c r="B124" s="4" t="s">
        <v>151</v>
      </c>
      <c r="C124" s="5">
        <v>1995</v>
      </c>
      <c r="D124" s="6" t="s">
        <v>9</v>
      </c>
      <c r="E124" s="7">
        <v>45022</v>
      </c>
      <c r="F124" s="9">
        <v>10</v>
      </c>
      <c r="G124" s="35">
        <v>5.6250000000000001E-2</v>
      </c>
      <c r="H124" s="6" t="s">
        <v>10</v>
      </c>
      <c r="I124" s="57">
        <v>18000000</v>
      </c>
      <c r="J124" s="55">
        <v>37600000</v>
      </c>
      <c r="K124" s="53">
        <f t="shared" si="10"/>
        <v>19600000</v>
      </c>
      <c r="L124" s="23">
        <f t="shared" si="12"/>
        <v>1</v>
      </c>
      <c r="M124" s="25" t="str">
        <f t="shared" si="13"/>
        <v>ASSISTIDO</v>
      </c>
      <c r="N124" s="6">
        <f t="shared" si="11"/>
        <v>123</v>
      </c>
    </row>
    <row r="125" spans="1:14" x14ac:dyDescent="0.25">
      <c r="A125" s="6">
        <f t="shared" si="9"/>
        <v>124</v>
      </c>
      <c r="B125" s="4" t="s">
        <v>152</v>
      </c>
      <c r="C125" s="5">
        <v>2001</v>
      </c>
      <c r="D125" s="6" t="s">
        <v>9</v>
      </c>
      <c r="G125" s="35">
        <v>6.5972222222222224E-2</v>
      </c>
      <c r="H125" s="6" t="s">
        <v>10</v>
      </c>
      <c r="I125" s="57">
        <v>120000000</v>
      </c>
      <c r="J125" s="55">
        <v>186100000</v>
      </c>
      <c r="K125" s="53">
        <f t="shared" si="10"/>
        <v>66100000</v>
      </c>
      <c r="L125" s="23">
        <f t="shared" si="12"/>
        <v>0</v>
      </c>
      <c r="M125" s="25" t="str">
        <f t="shared" si="13"/>
        <v>NÃO ASSISTIDO</v>
      </c>
      <c r="N125" s="6">
        <f t="shared" si="11"/>
        <v>124</v>
      </c>
    </row>
    <row r="126" spans="1:14" x14ac:dyDescent="0.25">
      <c r="A126" s="6">
        <f t="shared" si="9"/>
        <v>125</v>
      </c>
      <c r="B126" s="4" t="s">
        <v>153</v>
      </c>
      <c r="C126" s="5">
        <v>1941</v>
      </c>
      <c r="D126" s="6" t="s">
        <v>9</v>
      </c>
      <c r="G126" s="35">
        <v>4.4444444444444446E-2</v>
      </c>
      <c r="H126" s="6" t="s">
        <v>10</v>
      </c>
      <c r="I126" s="57">
        <v>170000000</v>
      </c>
      <c r="J126" s="55">
        <v>353300000</v>
      </c>
      <c r="K126" s="53">
        <f t="shared" si="10"/>
        <v>183300000</v>
      </c>
      <c r="L126" s="23">
        <f t="shared" si="12"/>
        <v>0</v>
      </c>
      <c r="M126" s="25" t="str">
        <f t="shared" si="13"/>
        <v>NÃO ASSISTIDO</v>
      </c>
      <c r="N126" s="6">
        <f t="shared" si="11"/>
        <v>125</v>
      </c>
    </row>
    <row r="127" spans="1:14" x14ac:dyDescent="0.25">
      <c r="A127" s="6">
        <f t="shared" si="9"/>
        <v>126</v>
      </c>
      <c r="B127" s="4" t="s">
        <v>154</v>
      </c>
      <c r="C127" s="5">
        <v>1963</v>
      </c>
      <c r="D127" s="6" t="s">
        <v>9</v>
      </c>
      <c r="G127" s="35">
        <v>5.486111111111111E-2</v>
      </c>
      <c r="H127" s="6" t="s">
        <v>10</v>
      </c>
      <c r="I127" s="57">
        <v>3000000</v>
      </c>
      <c r="J127" s="55">
        <v>22200000</v>
      </c>
      <c r="K127" s="53">
        <f t="shared" si="10"/>
        <v>19200000</v>
      </c>
      <c r="L127" s="23">
        <f t="shared" si="12"/>
        <v>0</v>
      </c>
      <c r="M127" s="25" t="str">
        <f t="shared" si="13"/>
        <v>NÃO ASSISTIDO</v>
      </c>
      <c r="N127" s="6">
        <f t="shared" si="11"/>
        <v>126</v>
      </c>
    </row>
    <row r="128" spans="1:14" x14ac:dyDescent="0.25">
      <c r="A128" s="6">
        <f t="shared" si="9"/>
        <v>127</v>
      </c>
      <c r="B128" s="4" t="s">
        <v>155</v>
      </c>
      <c r="C128" s="5">
        <v>1985</v>
      </c>
      <c r="D128" s="6" t="s">
        <v>9</v>
      </c>
      <c r="G128" s="35">
        <v>5.5555555555555552E-2</v>
      </c>
      <c r="H128" s="6" t="s">
        <v>10</v>
      </c>
      <c r="I128" s="57">
        <v>44000000</v>
      </c>
      <c r="J128" s="55">
        <v>21000000</v>
      </c>
      <c r="K128" s="53">
        <f t="shared" si="10"/>
        <v>-23000000</v>
      </c>
      <c r="L128" s="23">
        <f t="shared" si="12"/>
        <v>0</v>
      </c>
      <c r="M128" s="25" t="str">
        <f t="shared" si="13"/>
        <v>NÃO ASSISTIDO</v>
      </c>
      <c r="N128" s="6">
        <f t="shared" si="11"/>
        <v>127</v>
      </c>
    </row>
    <row r="129" spans="1:14" x14ac:dyDescent="0.25">
      <c r="A129" s="6">
        <f t="shared" si="9"/>
        <v>128</v>
      </c>
      <c r="B129" s="4" t="s">
        <v>156</v>
      </c>
      <c r="C129" s="5">
        <v>1953</v>
      </c>
      <c r="D129" s="6" t="s">
        <v>9</v>
      </c>
      <c r="G129" s="35">
        <v>5.2777777777777778E-2</v>
      </c>
      <c r="H129" s="6" t="s">
        <v>10</v>
      </c>
      <c r="I129" s="57">
        <v>130000000</v>
      </c>
      <c r="J129" s="55">
        <v>122000000</v>
      </c>
      <c r="K129" s="53">
        <f t="shared" si="10"/>
        <v>-8000000</v>
      </c>
      <c r="L129" s="23">
        <f t="shared" si="12"/>
        <v>0</v>
      </c>
      <c r="M129" s="25" t="str">
        <f t="shared" si="13"/>
        <v>NÃO ASSISTIDO</v>
      </c>
      <c r="N129" s="6">
        <f t="shared" si="11"/>
        <v>128</v>
      </c>
    </row>
    <row r="130" spans="1:14" x14ac:dyDescent="0.25">
      <c r="A130" s="6">
        <f t="shared" si="9"/>
        <v>129</v>
      </c>
      <c r="B130" s="4" t="s">
        <v>157</v>
      </c>
      <c r="C130" s="5">
        <v>2012</v>
      </c>
      <c r="D130" s="6" t="s">
        <v>6</v>
      </c>
      <c r="E130" s="7">
        <v>45052</v>
      </c>
      <c r="F130" s="9">
        <v>9</v>
      </c>
      <c r="G130" s="35">
        <v>6.458333333333334E-2</v>
      </c>
      <c r="H130" s="6" t="s">
        <v>7</v>
      </c>
      <c r="I130" s="57">
        <v>185000000</v>
      </c>
      <c r="J130" s="55">
        <v>540437063</v>
      </c>
      <c r="K130" s="53">
        <f t="shared" si="10"/>
        <v>355437063</v>
      </c>
      <c r="L130" s="23">
        <f t="shared" ref="L130:L151" si="14">IF(M130="ASSISTIDO",1,0)</f>
        <v>1</v>
      </c>
      <c r="M130" s="25" t="str">
        <f t="shared" ref="M130:M149" si="15">IF(ISBLANK(F130),"NÃO ASSISTIDO","ASSISTIDO")</f>
        <v>ASSISTIDO</v>
      </c>
      <c r="N130" s="6">
        <f t="shared" si="11"/>
        <v>129</v>
      </c>
    </row>
    <row r="131" spans="1:14" x14ac:dyDescent="0.25">
      <c r="A131" s="6">
        <f t="shared" ref="A131:A149" si="16">ROW()-1</f>
        <v>130</v>
      </c>
      <c r="B131" s="4" t="s">
        <v>158</v>
      </c>
      <c r="C131" s="5">
        <v>2006</v>
      </c>
      <c r="D131" s="6" t="s">
        <v>6</v>
      </c>
      <c r="E131" s="7">
        <v>45010</v>
      </c>
      <c r="F131" s="9">
        <v>9</v>
      </c>
      <c r="G131" s="35">
        <v>8.1250000000000003E-2</v>
      </c>
      <c r="H131" s="6" t="s">
        <v>7</v>
      </c>
      <c r="I131" s="57">
        <v>120000000</v>
      </c>
      <c r="J131" s="55">
        <v>462000000</v>
      </c>
      <c r="K131" s="53">
        <f t="shared" ref="K131:K177" si="17">J131-I131</f>
        <v>342000000</v>
      </c>
      <c r="L131" s="23">
        <f t="shared" si="14"/>
        <v>1</v>
      </c>
      <c r="M131" s="25" t="str">
        <f t="shared" si="15"/>
        <v>ASSISTIDO</v>
      </c>
      <c r="N131" s="6">
        <f t="shared" ref="N131:N149" si="18">ROW()-1</f>
        <v>130</v>
      </c>
    </row>
    <row r="132" spans="1:14" x14ac:dyDescent="0.25">
      <c r="A132" s="6">
        <f t="shared" si="16"/>
        <v>131</v>
      </c>
      <c r="B132" s="4" t="s">
        <v>159</v>
      </c>
      <c r="C132" s="5">
        <v>2011</v>
      </c>
      <c r="D132" s="6" t="s">
        <v>6</v>
      </c>
      <c r="E132" s="7">
        <v>45046</v>
      </c>
      <c r="F132" s="9">
        <v>8</v>
      </c>
      <c r="G132" s="35">
        <v>7.3611111111111113E-2</v>
      </c>
      <c r="H132" s="6" t="s">
        <v>7</v>
      </c>
      <c r="I132" s="57">
        <v>200000000</v>
      </c>
      <c r="J132" s="55">
        <v>559800000</v>
      </c>
      <c r="K132" s="53">
        <f t="shared" si="17"/>
        <v>359800000</v>
      </c>
      <c r="L132" s="23">
        <f t="shared" si="14"/>
        <v>1</v>
      </c>
      <c r="M132" s="25" t="str">
        <f t="shared" si="15"/>
        <v>ASSISTIDO</v>
      </c>
      <c r="N132" s="6">
        <f t="shared" si="18"/>
        <v>131</v>
      </c>
    </row>
    <row r="133" spans="1:14" x14ac:dyDescent="0.25">
      <c r="A133" s="6">
        <f t="shared" si="16"/>
        <v>132</v>
      </c>
      <c r="B133" s="4" t="s">
        <v>160</v>
      </c>
      <c r="C133" s="5">
        <v>2017</v>
      </c>
      <c r="D133" s="6" t="s">
        <v>6</v>
      </c>
      <c r="E133" s="7">
        <v>45046</v>
      </c>
      <c r="F133" s="9" t="s">
        <v>72</v>
      </c>
      <c r="G133" s="35">
        <v>7.5694444444444439E-2</v>
      </c>
      <c r="H133" s="6" t="s">
        <v>7</v>
      </c>
      <c r="I133" s="57">
        <v>175000000</v>
      </c>
      <c r="J133" s="55">
        <v>383900000</v>
      </c>
      <c r="K133" s="53">
        <f t="shared" si="17"/>
        <v>208900000</v>
      </c>
      <c r="L133" s="23">
        <f t="shared" si="14"/>
        <v>1</v>
      </c>
      <c r="M133" s="25" t="str">
        <f t="shared" si="15"/>
        <v>ASSISTIDO</v>
      </c>
      <c r="N133" s="6">
        <f t="shared" si="18"/>
        <v>132</v>
      </c>
    </row>
    <row r="134" spans="1:14" x14ac:dyDescent="0.25">
      <c r="A134" s="6">
        <f t="shared" si="16"/>
        <v>133</v>
      </c>
      <c r="B134" s="4" t="s">
        <v>161</v>
      </c>
      <c r="C134" s="5">
        <v>2015</v>
      </c>
      <c r="D134" s="6" t="s">
        <v>6</v>
      </c>
      <c r="G134" s="35">
        <v>6.458333333333334E-2</v>
      </c>
      <c r="H134" s="6" t="s">
        <v>7</v>
      </c>
      <c r="I134" s="57">
        <v>200000000</v>
      </c>
      <c r="J134" s="55">
        <v>117300000</v>
      </c>
      <c r="K134" s="53">
        <f t="shared" si="17"/>
        <v>-82700000</v>
      </c>
      <c r="L134" s="23">
        <f t="shared" si="14"/>
        <v>0</v>
      </c>
      <c r="M134" s="25" t="str">
        <f t="shared" si="15"/>
        <v>NÃO ASSISTIDO</v>
      </c>
      <c r="N134" s="6">
        <f t="shared" si="18"/>
        <v>133</v>
      </c>
    </row>
    <row r="135" spans="1:14" x14ac:dyDescent="0.25">
      <c r="A135" s="6">
        <f t="shared" si="16"/>
        <v>134</v>
      </c>
      <c r="B135" s="4" t="s">
        <v>162</v>
      </c>
      <c r="C135" s="5">
        <v>2021</v>
      </c>
      <c r="D135" s="6" t="s">
        <v>6</v>
      </c>
      <c r="E135" s="7">
        <v>45003</v>
      </c>
      <c r="F135" s="9" t="s">
        <v>71</v>
      </c>
      <c r="G135" s="35">
        <v>6.6666666666666666E-2</v>
      </c>
      <c r="H135" s="6" t="s">
        <v>7</v>
      </c>
      <c r="I135" s="57">
        <v>0</v>
      </c>
      <c r="J135" s="55">
        <v>49750471</v>
      </c>
      <c r="K135" s="53">
        <f t="shared" si="17"/>
        <v>49750471</v>
      </c>
      <c r="L135" s="23">
        <f t="shared" si="14"/>
        <v>1</v>
      </c>
      <c r="M135" s="25" t="str">
        <f t="shared" si="15"/>
        <v>ASSISTIDO</v>
      </c>
      <c r="N135" s="6">
        <f t="shared" si="18"/>
        <v>134</v>
      </c>
    </row>
    <row r="136" spans="1:14" x14ac:dyDescent="0.25">
      <c r="A136" s="6">
        <f t="shared" si="16"/>
        <v>135</v>
      </c>
      <c r="B136" s="4" t="s">
        <v>163</v>
      </c>
      <c r="C136" s="5">
        <v>2020</v>
      </c>
      <c r="D136" s="6" t="s">
        <v>6</v>
      </c>
      <c r="E136" s="7">
        <v>45003</v>
      </c>
      <c r="F136" s="9" t="s">
        <v>168</v>
      </c>
      <c r="G136" s="35">
        <v>7.0833333333333331E-2</v>
      </c>
      <c r="H136" s="6" t="s">
        <v>7</v>
      </c>
      <c r="I136" s="57">
        <v>200000000</v>
      </c>
      <c r="J136" s="55">
        <v>142000000</v>
      </c>
      <c r="K136" s="53">
        <f t="shared" si="17"/>
        <v>-58000000</v>
      </c>
      <c r="L136" s="23">
        <f t="shared" si="14"/>
        <v>1</v>
      </c>
      <c r="M136" s="25" t="str">
        <f t="shared" si="15"/>
        <v>ASSISTIDO</v>
      </c>
      <c r="N136" s="6">
        <f t="shared" si="18"/>
        <v>135</v>
      </c>
    </row>
    <row r="137" spans="1:14" x14ac:dyDescent="0.25">
      <c r="A137" s="6">
        <f t="shared" si="16"/>
        <v>136</v>
      </c>
      <c r="B137" s="4" t="s">
        <v>164</v>
      </c>
      <c r="C137" s="5">
        <v>1998</v>
      </c>
      <c r="D137" s="6" t="s">
        <v>9</v>
      </c>
      <c r="G137" s="35">
        <v>6.8749999999999992E-2</v>
      </c>
      <c r="H137" s="6" t="s">
        <v>33</v>
      </c>
      <c r="I137" s="57">
        <v>60000000</v>
      </c>
      <c r="J137" s="55">
        <v>218600000</v>
      </c>
      <c r="K137" s="53">
        <f t="shared" si="17"/>
        <v>158600000</v>
      </c>
      <c r="L137" s="23">
        <f t="shared" si="14"/>
        <v>0</v>
      </c>
      <c r="M137" s="25" t="str">
        <f t="shared" si="15"/>
        <v>NÃO ASSISTIDO</v>
      </c>
      <c r="N137" s="6">
        <f t="shared" si="18"/>
        <v>136</v>
      </c>
    </row>
    <row r="138" spans="1:14" x14ac:dyDescent="0.25">
      <c r="A138" s="6">
        <f t="shared" si="16"/>
        <v>137</v>
      </c>
      <c r="B138" s="4" t="s">
        <v>165</v>
      </c>
      <c r="C138" s="5">
        <v>1937</v>
      </c>
      <c r="D138" s="6" t="s">
        <v>9</v>
      </c>
      <c r="F138" s="9">
        <v>9</v>
      </c>
      <c r="G138" s="35">
        <v>5.7638888888888885E-2</v>
      </c>
      <c r="H138" s="6" t="s">
        <v>10</v>
      </c>
      <c r="I138" s="57">
        <v>1500000</v>
      </c>
      <c r="J138" s="55">
        <v>418000000</v>
      </c>
      <c r="K138" s="53">
        <f t="shared" si="17"/>
        <v>416500000</v>
      </c>
      <c r="L138" s="23">
        <f t="shared" si="14"/>
        <v>1</v>
      </c>
      <c r="M138" s="25" t="str">
        <f t="shared" si="15"/>
        <v>ASSISTIDO</v>
      </c>
      <c r="N138" s="6">
        <f t="shared" si="18"/>
        <v>137</v>
      </c>
    </row>
    <row r="139" spans="1:14" x14ac:dyDescent="0.25">
      <c r="A139" s="6">
        <f t="shared" si="16"/>
        <v>138</v>
      </c>
      <c r="B139" s="4" t="s">
        <v>166</v>
      </c>
      <c r="C139" s="5">
        <v>1940</v>
      </c>
      <c r="D139" s="6" t="s">
        <v>9</v>
      </c>
      <c r="G139" s="35">
        <v>6.1111111111111116E-2</v>
      </c>
      <c r="H139" s="6" t="s">
        <v>10</v>
      </c>
      <c r="I139" s="57">
        <v>150000000</v>
      </c>
      <c r="J139" s="55">
        <v>164000000</v>
      </c>
      <c r="K139" s="53">
        <f t="shared" si="17"/>
        <v>14000000</v>
      </c>
      <c r="L139" s="23">
        <f t="shared" si="14"/>
        <v>0</v>
      </c>
      <c r="M139" s="25" t="str">
        <f t="shared" si="15"/>
        <v>NÃO ASSISTIDO</v>
      </c>
      <c r="N139" s="6">
        <f t="shared" si="18"/>
        <v>138</v>
      </c>
    </row>
    <row r="140" spans="1:14" x14ac:dyDescent="0.25">
      <c r="A140" s="6">
        <f t="shared" si="16"/>
        <v>139</v>
      </c>
      <c r="B140" s="4" t="s">
        <v>167</v>
      </c>
      <c r="C140" s="5">
        <v>2021</v>
      </c>
      <c r="D140" s="6" t="s">
        <v>6</v>
      </c>
      <c r="E140" s="7">
        <v>45003</v>
      </c>
      <c r="F140" s="9">
        <v>10</v>
      </c>
      <c r="G140" s="35">
        <v>7.9166666666666663E-2</v>
      </c>
      <c r="H140" s="6" t="s">
        <v>84</v>
      </c>
      <c r="I140" s="57">
        <v>110000000</v>
      </c>
      <c r="J140" s="55">
        <v>0</v>
      </c>
      <c r="K140" s="53">
        <f t="shared" si="17"/>
        <v>-110000000</v>
      </c>
      <c r="L140" s="23">
        <f t="shared" si="14"/>
        <v>1</v>
      </c>
      <c r="M140" s="25" t="str">
        <f t="shared" si="15"/>
        <v>ASSISTIDO</v>
      </c>
      <c r="N140" s="6">
        <f t="shared" si="18"/>
        <v>139</v>
      </c>
    </row>
    <row r="141" spans="1:14" x14ac:dyDescent="0.25">
      <c r="A141" s="6">
        <f t="shared" si="16"/>
        <v>140</v>
      </c>
      <c r="B141" s="4" t="s">
        <v>169</v>
      </c>
      <c r="C141" s="5">
        <v>1997</v>
      </c>
      <c r="D141" s="6" t="s">
        <v>9</v>
      </c>
      <c r="E141" s="7">
        <v>45010</v>
      </c>
      <c r="F141" s="9">
        <v>9</v>
      </c>
      <c r="G141" s="35">
        <v>6.5277777777777782E-2</v>
      </c>
      <c r="H141" s="6" t="s">
        <v>170</v>
      </c>
      <c r="I141" s="57">
        <v>50000000</v>
      </c>
      <c r="J141" s="55">
        <v>139804348</v>
      </c>
      <c r="K141" s="53">
        <f t="shared" si="17"/>
        <v>89804348</v>
      </c>
      <c r="L141" s="23">
        <f t="shared" si="14"/>
        <v>1</v>
      </c>
      <c r="M141" s="25" t="str">
        <f t="shared" si="15"/>
        <v>ASSISTIDO</v>
      </c>
      <c r="N141" s="6">
        <f t="shared" si="18"/>
        <v>140</v>
      </c>
    </row>
    <row r="142" spans="1:14" x14ac:dyDescent="0.25">
      <c r="A142" s="6">
        <f t="shared" si="16"/>
        <v>141</v>
      </c>
      <c r="B142" s="4" t="s">
        <v>176</v>
      </c>
      <c r="C142" s="5">
        <v>2007</v>
      </c>
      <c r="D142" s="6" t="s">
        <v>6</v>
      </c>
      <c r="E142" s="7">
        <v>45022</v>
      </c>
      <c r="F142" s="9" t="s">
        <v>71</v>
      </c>
      <c r="G142" s="35">
        <v>5.9027777777777783E-2</v>
      </c>
      <c r="H142" s="6" t="s">
        <v>84</v>
      </c>
      <c r="I142" s="57">
        <v>100000000</v>
      </c>
      <c r="J142" s="55">
        <v>152000000</v>
      </c>
      <c r="K142" s="53">
        <f t="shared" si="17"/>
        <v>52000000</v>
      </c>
      <c r="L142" s="23">
        <f t="shared" si="14"/>
        <v>1</v>
      </c>
      <c r="M142" s="25" t="str">
        <f t="shared" si="15"/>
        <v>ASSISTIDO</v>
      </c>
      <c r="N142" s="6">
        <f t="shared" si="18"/>
        <v>141</v>
      </c>
    </row>
    <row r="143" spans="1:14" x14ac:dyDescent="0.25">
      <c r="A143" s="6">
        <f t="shared" si="16"/>
        <v>142</v>
      </c>
      <c r="B143" s="4" t="s">
        <v>177</v>
      </c>
      <c r="C143" s="5">
        <v>2006</v>
      </c>
      <c r="D143" s="6" t="s">
        <v>6</v>
      </c>
      <c r="G143" s="35">
        <v>5.9722222222222225E-2</v>
      </c>
      <c r="H143" s="6" t="s">
        <v>84</v>
      </c>
      <c r="I143" s="57">
        <v>85000000</v>
      </c>
      <c r="J143" s="55">
        <v>200800000</v>
      </c>
      <c r="K143" s="53">
        <f t="shared" si="17"/>
        <v>115800000</v>
      </c>
      <c r="L143" s="23">
        <f t="shared" si="14"/>
        <v>0</v>
      </c>
      <c r="M143" s="25" t="str">
        <f t="shared" si="15"/>
        <v>NÃO ASSISTIDO</v>
      </c>
      <c r="N143" s="6">
        <f t="shared" si="18"/>
        <v>142</v>
      </c>
    </row>
    <row r="144" spans="1:14" x14ac:dyDescent="0.25">
      <c r="A144" s="6">
        <f t="shared" si="16"/>
        <v>143</v>
      </c>
      <c r="B144" s="4" t="s">
        <v>178</v>
      </c>
      <c r="C144" s="5">
        <v>2016</v>
      </c>
      <c r="D144" s="6" t="s">
        <v>6</v>
      </c>
      <c r="E144" s="7">
        <v>45039</v>
      </c>
      <c r="F144" s="9">
        <v>9</v>
      </c>
      <c r="G144" s="35">
        <v>7.6388888888888895E-2</v>
      </c>
      <c r="H144" s="6" t="s">
        <v>179</v>
      </c>
      <c r="I144" s="57">
        <v>75000000</v>
      </c>
      <c r="J144" s="55">
        <v>634151679</v>
      </c>
      <c r="K144" s="53">
        <f t="shared" si="17"/>
        <v>559151679</v>
      </c>
      <c r="L144" s="23">
        <f t="shared" si="14"/>
        <v>1</v>
      </c>
      <c r="M144" s="25" t="str">
        <f t="shared" si="15"/>
        <v>ASSISTIDO</v>
      </c>
      <c r="N144" s="6">
        <f t="shared" si="18"/>
        <v>143</v>
      </c>
    </row>
    <row r="145" spans="1:14" x14ac:dyDescent="0.25">
      <c r="A145" s="6">
        <f t="shared" si="16"/>
        <v>144</v>
      </c>
      <c r="B145" s="4" t="s">
        <v>180</v>
      </c>
      <c r="C145" s="5">
        <v>2021</v>
      </c>
      <c r="D145" s="6" t="s">
        <v>6</v>
      </c>
      <c r="E145" s="7">
        <v>45045</v>
      </c>
      <c r="F145" s="9" t="s">
        <v>72</v>
      </c>
      <c r="G145" s="35">
        <v>7.6388888888888895E-2</v>
      </c>
      <c r="H145" s="6" t="s">
        <v>179</v>
      </c>
      <c r="I145" s="57">
        <v>85000000</v>
      </c>
      <c r="J145" s="55">
        <v>408400000</v>
      </c>
      <c r="K145" s="53">
        <f t="shared" si="17"/>
        <v>323400000</v>
      </c>
      <c r="L145" s="23">
        <f t="shared" si="14"/>
        <v>1</v>
      </c>
      <c r="M145" s="25" t="str">
        <f t="shared" si="15"/>
        <v>ASSISTIDO</v>
      </c>
      <c r="N145" s="6">
        <f t="shared" si="18"/>
        <v>144</v>
      </c>
    </row>
    <row r="146" spans="1:14" x14ac:dyDescent="0.25">
      <c r="A146" s="6">
        <f t="shared" si="16"/>
        <v>145</v>
      </c>
      <c r="B146" s="4" t="s">
        <v>181</v>
      </c>
      <c r="C146" s="5">
        <v>2010</v>
      </c>
      <c r="D146" s="6" t="s">
        <v>6</v>
      </c>
      <c r="E146" s="7">
        <v>45038</v>
      </c>
      <c r="F146" s="9">
        <v>8</v>
      </c>
      <c r="G146" s="35">
        <v>6.5972222222222224E-2</v>
      </c>
      <c r="H146" s="6" t="s">
        <v>179</v>
      </c>
      <c r="I146" s="57">
        <v>69000000</v>
      </c>
      <c r="J146" s="55">
        <v>543200000</v>
      </c>
      <c r="K146" s="53">
        <f t="shared" si="17"/>
        <v>474200000</v>
      </c>
      <c r="L146" s="23">
        <f t="shared" si="14"/>
        <v>1</v>
      </c>
      <c r="M146" s="25" t="str">
        <f t="shared" si="15"/>
        <v>ASSISTIDO</v>
      </c>
      <c r="N146" s="6">
        <f t="shared" si="18"/>
        <v>145</v>
      </c>
    </row>
    <row r="147" spans="1:14" x14ac:dyDescent="0.25">
      <c r="A147" s="6">
        <f t="shared" si="16"/>
        <v>146</v>
      </c>
      <c r="B147" s="4" t="s">
        <v>182</v>
      </c>
      <c r="C147" s="5">
        <v>2013</v>
      </c>
      <c r="D147" s="6" t="s">
        <v>6</v>
      </c>
      <c r="E147" s="7">
        <v>45039</v>
      </c>
      <c r="F147" s="9" t="s">
        <v>71</v>
      </c>
      <c r="G147" s="35">
        <v>6.805555555555555E-2</v>
      </c>
      <c r="H147" s="6" t="s">
        <v>179</v>
      </c>
      <c r="I147" s="57">
        <v>76000000</v>
      </c>
      <c r="J147" s="55">
        <v>970800000</v>
      </c>
      <c r="K147" s="53">
        <f t="shared" si="17"/>
        <v>894800000</v>
      </c>
      <c r="L147" s="23">
        <f t="shared" si="14"/>
        <v>1</v>
      </c>
      <c r="M147" s="25" t="str">
        <f t="shared" si="15"/>
        <v>ASSISTIDO</v>
      </c>
      <c r="N147" s="6">
        <f t="shared" si="18"/>
        <v>146</v>
      </c>
    </row>
    <row r="148" spans="1:14" x14ac:dyDescent="0.25">
      <c r="A148" s="6">
        <f t="shared" si="16"/>
        <v>147</v>
      </c>
      <c r="B148" s="4" t="s">
        <v>183</v>
      </c>
      <c r="C148" s="5">
        <v>2007</v>
      </c>
      <c r="D148" s="6" t="s">
        <v>6</v>
      </c>
      <c r="E148" s="7">
        <v>45045</v>
      </c>
      <c r="F148" s="9">
        <v>9</v>
      </c>
      <c r="G148" s="35">
        <v>6.5972222222222224E-2</v>
      </c>
      <c r="H148" s="6" t="s">
        <v>10</v>
      </c>
      <c r="I148" s="57">
        <v>150000000</v>
      </c>
      <c r="J148" s="55">
        <v>169300000</v>
      </c>
      <c r="K148" s="53">
        <f t="shared" si="17"/>
        <v>19300000</v>
      </c>
      <c r="L148" s="23">
        <f t="shared" si="14"/>
        <v>1</v>
      </c>
      <c r="M148" s="25" t="str">
        <f t="shared" si="15"/>
        <v>ASSISTIDO</v>
      </c>
      <c r="N148" s="6">
        <f t="shared" si="18"/>
        <v>147</v>
      </c>
    </row>
    <row r="149" spans="1:14" x14ac:dyDescent="0.25">
      <c r="A149" s="6">
        <f t="shared" si="16"/>
        <v>148</v>
      </c>
      <c r="B149" s="4" t="s">
        <v>184</v>
      </c>
      <c r="C149" s="5">
        <v>2023</v>
      </c>
      <c r="D149" s="6" t="s">
        <v>6</v>
      </c>
      <c r="E149" s="7">
        <v>45038</v>
      </c>
      <c r="F149" s="9">
        <v>9</v>
      </c>
      <c r="G149" s="35">
        <v>6.3888888888888884E-2</v>
      </c>
      <c r="H149" s="6" t="s">
        <v>179</v>
      </c>
      <c r="I149" s="57">
        <v>100000000</v>
      </c>
      <c r="J149" s="55">
        <v>1346000000</v>
      </c>
      <c r="K149" s="53">
        <f t="shared" si="17"/>
        <v>1246000000</v>
      </c>
      <c r="L149" s="23">
        <f t="shared" si="14"/>
        <v>1</v>
      </c>
      <c r="M149" s="25" t="str">
        <f t="shared" si="15"/>
        <v>ASSISTIDO</v>
      </c>
      <c r="N149" s="6">
        <f t="shared" si="18"/>
        <v>148</v>
      </c>
    </row>
    <row r="150" spans="1:14" x14ac:dyDescent="0.25">
      <c r="A150" s="6">
        <f>ROW()-1</f>
        <v>149</v>
      </c>
      <c r="B150" s="4" t="s">
        <v>193</v>
      </c>
      <c r="C150" s="5">
        <v>2023</v>
      </c>
      <c r="D150" s="6" t="s">
        <v>194</v>
      </c>
      <c r="E150" s="7">
        <v>45095</v>
      </c>
      <c r="F150" s="9" t="s">
        <v>72</v>
      </c>
      <c r="G150" s="35">
        <v>7.7777777777777779E-2</v>
      </c>
      <c r="H150" s="6" t="s">
        <v>195</v>
      </c>
      <c r="I150" s="57">
        <v>0</v>
      </c>
      <c r="J150" s="55">
        <v>0</v>
      </c>
      <c r="K150" s="53">
        <f t="shared" si="17"/>
        <v>0</v>
      </c>
      <c r="L150" s="23">
        <f t="shared" si="14"/>
        <v>1</v>
      </c>
      <c r="M150" s="25" t="str">
        <f t="shared" ref="M150:M151" si="19">IF(ISBLANK(F150),"NÃO ASSISTIDO","ASSISTIDO")</f>
        <v>ASSISTIDO</v>
      </c>
      <c r="N150" s="6">
        <f>ROW()-1</f>
        <v>149</v>
      </c>
    </row>
    <row r="151" spans="1:14" x14ac:dyDescent="0.25">
      <c r="A151" s="6">
        <f>ROW()-1</f>
        <v>150</v>
      </c>
      <c r="B151" s="4" t="s">
        <v>196</v>
      </c>
      <c r="C151" s="5">
        <v>2021</v>
      </c>
      <c r="D151" s="6" t="s">
        <v>194</v>
      </c>
      <c r="E151" s="6" t="s">
        <v>34</v>
      </c>
      <c r="F151" s="9" t="s">
        <v>72</v>
      </c>
      <c r="G151" s="35">
        <v>8.3333333333333329E-2</v>
      </c>
      <c r="H151" s="6" t="s">
        <v>197</v>
      </c>
      <c r="I151" s="57">
        <v>15750000</v>
      </c>
      <c r="J151" s="55">
        <v>0</v>
      </c>
      <c r="K151" s="53">
        <f t="shared" si="17"/>
        <v>-15750000</v>
      </c>
      <c r="L151" s="23">
        <f t="shared" si="14"/>
        <v>1</v>
      </c>
      <c r="M151" s="25" t="str">
        <f t="shared" si="19"/>
        <v>ASSISTIDO</v>
      </c>
      <c r="N151" s="6">
        <f>ROW()-1</f>
        <v>150</v>
      </c>
    </row>
    <row r="152" spans="1:14" x14ac:dyDescent="0.25">
      <c r="A152" s="6">
        <f t="shared" ref="A152:A201" si="20">ROW()-1</f>
        <v>151</v>
      </c>
      <c r="B152" s="4" t="s">
        <v>198</v>
      </c>
      <c r="C152" s="5">
        <v>2002</v>
      </c>
      <c r="D152" s="6" t="s">
        <v>80</v>
      </c>
      <c r="E152" s="6" t="s">
        <v>34</v>
      </c>
      <c r="F152" s="9" t="s">
        <v>73</v>
      </c>
      <c r="G152" s="35">
        <v>8.4027777777777771E-2</v>
      </c>
      <c r="H152" s="6" t="s">
        <v>88</v>
      </c>
      <c r="I152" s="57">
        <v>139000000</v>
      </c>
      <c r="J152" s="55">
        <v>825000000</v>
      </c>
      <c r="K152" s="53">
        <f t="shared" si="17"/>
        <v>686000000</v>
      </c>
      <c r="L152" s="23">
        <f t="shared" ref="L152:L156" si="21">IF(M152="ASSISTIDO",1,0)</f>
        <v>1</v>
      </c>
      <c r="M152" s="25" t="str">
        <f t="shared" ref="M152:M156" si="22">IF(ISBLANK(F152),"NÃO ASSISTIDO","ASSISTIDO")</f>
        <v>ASSISTIDO</v>
      </c>
      <c r="N152" s="6">
        <f t="shared" ref="N152:N201" si="23">ROW()-1</f>
        <v>151</v>
      </c>
    </row>
    <row r="153" spans="1:14" x14ac:dyDescent="0.25">
      <c r="A153" s="6">
        <f t="shared" si="20"/>
        <v>152</v>
      </c>
      <c r="B153" s="4" t="s">
        <v>199</v>
      </c>
      <c r="C153" s="5">
        <v>2004</v>
      </c>
      <c r="D153" s="6" t="s">
        <v>80</v>
      </c>
      <c r="E153" s="7">
        <v>45101</v>
      </c>
      <c r="F153" s="9">
        <v>8</v>
      </c>
      <c r="G153" s="35">
        <v>8.819444444444445E-2</v>
      </c>
      <c r="H153" s="6" t="s">
        <v>88</v>
      </c>
      <c r="I153" s="57">
        <v>200000000</v>
      </c>
      <c r="J153" s="55">
        <v>789000000</v>
      </c>
      <c r="K153" s="53">
        <f t="shared" si="17"/>
        <v>589000000</v>
      </c>
      <c r="L153" s="23">
        <f t="shared" si="21"/>
        <v>1</v>
      </c>
      <c r="M153" s="25" t="str">
        <f t="shared" si="22"/>
        <v>ASSISTIDO</v>
      </c>
      <c r="N153" s="6">
        <f t="shared" si="23"/>
        <v>152</v>
      </c>
    </row>
    <row r="154" spans="1:14" x14ac:dyDescent="0.25">
      <c r="A154" s="6">
        <f t="shared" si="20"/>
        <v>153</v>
      </c>
      <c r="B154" s="4" t="s">
        <v>200</v>
      </c>
      <c r="C154" s="5">
        <v>2007</v>
      </c>
      <c r="D154" s="6" t="s">
        <v>80</v>
      </c>
      <c r="E154" s="7">
        <v>45102</v>
      </c>
      <c r="F154" s="9" t="s">
        <v>73</v>
      </c>
      <c r="G154" s="35">
        <v>9.6527777777777768E-2</v>
      </c>
      <c r="H154" s="6" t="s">
        <v>88</v>
      </c>
      <c r="I154" s="57">
        <v>250000000</v>
      </c>
      <c r="J154" s="55">
        <v>895000000</v>
      </c>
      <c r="K154" s="53">
        <f t="shared" si="17"/>
        <v>645000000</v>
      </c>
      <c r="L154" s="23">
        <f t="shared" si="21"/>
        <v>1</v>
      </c>
      <c r="M154" s="25" t="str">
        <f t="shared" si="22"/>
        <v>ASSISTIDO</v>
      </c>
      <c r="N154" s="6">
        <f t="shared" si="23"/>
        <v>153</v>
      </c>
    </row>
    <row r="155" spans="1:14" x14ac:dyDescent="0.25">
      <c r="A155" s="6">
        <f t="shared" si="20"/>
        <v>154</v>
      </c>
      <c r="B155" s="4" t="s">
        <v>201</v>
      </c>
      <c r="C155" s="5">
        <v>2005</v>
      </c>
      <c r="D155" s="6" t="s">
        <v>80</v>
      </c>
      <c r="E155" s="7">
        <v>45108</v>
      </c>
      <c r="F155" s="9">
        <v>9</v>
      </c>
      <c r="G155" s="35">
        <v>8.3333333333333329E-2</v>
      </c>
      <c r="H155" s="6" t="s">
        <v>142</v>
      </c>
      <c r="I155" s="57">
        <v>150000000</v>
      </c>
      <c r="J155" s="55">
        <v>373700000</v>
      </c>
      <c r="K155" s="53">
        <f t="shared" si="17"/>
        <v>223700000</v>
      </c>
      <c r="L155" s="23">
        <f t="shared" si="21"/>
        <v>1</v>
      </c>
      <c r="M155" s="25" t="str">
        <f t="shared" si="22"/>
        <v>ASSISTIDO</v>
      </c>
      <c r="N155" s="6">
        <f t="shared" si="23"/>
        <v>154</v>
      </c>
    </row>
    <row r="156" spans="1:14" x14ac:dyDescent="0.25">
      <c r="A156" s="6">
        <f t="shared" si="20"/>
        <v>155</v>
      </c>
      <c r="B156" s="4" t="s">
        <v>202</v>
      </c>
      <c r="C156" s="5">
        <v>2008</v>
      </c>
      <c r="D156" s="6" t="s">
        <v>80</v>
      </c>
      <c r="E156" s="7">
        <v>45108</v>
      </c>
      <c r="F156" s="9">
        <v>9</v>
      </c>
      <c r="G156" s="35">
        <v>8.3333333333333329E-2</v>
      </c>
      <c r="H156" s="6" t="s">
        <v>142</v>
      </c>
      <c r="I156" s="57">
        <v>180000000</v>
      </c>
      <c r="J156" s="55">
        <v>1006000000</v>
      </c>
      <c r="K156" s="53">
        <f t="shared" si="17"/>
        <v>826000000</v>
      </c>
      <c r="L156" s="23">
        <f t="shared" si="21"/>
        <v>1</v>
      </c>
      <c r="M156" s="25" t="str">
        <f t="shared" si="22"/>
        <v>ASSISTIDO</v>
      </c>
      <c r="N156" s="6">
        <f t="shared" si="23"/>
        <v>155</v>
      </c>
    </row>
    <row r="157" spans="1:14" x14ac:dyDescent="0.25">
      <c r="A157" s="6">
        <f t="shared" si="20"/>
        <v>156</v>
      </c>
      <c r="B157" s="4" t="s">
        <v>205</v>
      </c>
      <c r="C157" s="5">
        <v>2022</v>
      </c>
      <c r="D157" s="6" t="s">
        <v>6</v>
      </c>
      <c r="E157" s="7">
        <v>45108</v>
      </c>
      <c r="G157" s="35">
        <v>7.2916666666666671E-2</v>
      </c>
      <c r="H157" s="6" t="s">
        <v>7</v>
      </c>
      <c r="I157" s="57">
        <v>200000000</v>
      </c>
      <c r="J157" s="55">
        <v>226400000</v>
      </c>
      <c r="K157" s="53">
        <f t="shared" si="17"/>
        <v>26400000</v>
      </c>
      <c r="L157" s="23">
        <v>0</v>
      </c>
      <c r="M157" s="25" t="str">
        <f t="shared" ref="M157" si="24">IF(ISBLANK(F157),"NÃO ASSISTIDO","ASSISTIDO")</f>
        <v>NÃO ASSISTIDO</v>
      </c>
      <c r="N157" s="6">
        <f t="shared" si="23"/>
        <v>156</v>
      </c>
    </row>
    <row r="158" spans="1:14" x14ac:dyDescent="0.25">
      <c r="A158" s="6">
        <f t="shared" si="20"/>
        <v>157</v>
      </c>
      <c r="B158" s="4" t="s">
        <v>204</v>
      </c>
      <c r="C158" s="5">
        <v>2019</v>
      </c>
      <c r="D158" s="6" t="s">
        <v>6</v>
      </c>
      <c r="E158" s="7">
        <v>45108</v>
      </c>
      <c r="G158" s="35">
        <v>6.9444444444444434E-2</v>
      </c>
      <c r="H158" s="6" t="s">
        <v>7</v>
      </c>
      <c r="I158" s="57">
        <v>200000000</v>
      </c>
      <c r="J158" s="55">
        <v>1073000000</v>
      </c>
      <c r="K158" s="53">
        <f t="shared" si="17"/>
        <v>873000000</v>
      </c>
      <c r="L158" s="23">
        <v>0</v>
      </c>
      <c r="M158" s="25" t="str">
        <f t="shared" ref="M158" si="25">IF(ISBLANK(F158),"NÃO ASSISTIDO","ASSISTIDO")</f>
        <v>NÃO ASSISTIDO</v>
      </c>
      <c r="N158" s="6">
        <f t="shared" si="23"/>
        <v>157</v>
      </c>
    </row>
    <row r="159" spans="1:14" x14ac:dyDescent="0.25">
      <c r="A159" s="6">
        <f t="shared" si="20"/>
        <v>158</v>
      </c>
      <c r="B159" s="4" t="s">
        <v>208</v>
      </c>
      <c r="C159" s="5">
        <v>1940</v>
      </c>
      <c r="D159" s="6" t="s">
        <v>9</v>
      </c>
      <c r="E159" s="7">
        <v>45108</v>
      </c>
      <c r="G159" s="35">
        <v>6.9444444444444434E-2</v>
      </c>
      <c r="H159" s="6" t="s">
        <v>10</v>
      </c>
      <c r="I159" s="57">
        <v>2280000</v>
      </c>
      <c r="J159" s="55">
        <v>0</v>
      </c>
      <c r="K159" s="53">
        <f t="shared" si="17"/>
        <v>-2280000</v>
      </c>
      <c r="L159" s="23">
        <v>0</v>
      </c>
      <c r="M159" s="25" t="str">
        <f t="shared" ref="M159" si="26">IF(ISBLANK(F159),"NÃO ASSISTIDO","ASSISTIDO")</f>
        <v>NÃO ASSISTIDO</v>
      </c>
      <c r="N159" s="6">
        <f t="shared" si="23"/>
        <v>158</v>
      </c>
    </row>
    <row r="160" spans="1:14" x14ac:dyDescent="0.25">
      <c r="A160" s="6">
        <f t="shared" si="20"/>
        <v>159</v>
      </c>
      <c r="B160" s="4" t="s">
        <v>209</v>
      </c>
      <c r="C160" s="5">
        <v>1943</v>
      </c>
      <c r="D160" s="6" t="s">
        <v>9</v>
      </c>
      <c r="E160" s="7">
        <v>45108</v>
      </c>
      <c r="G160" s="35">
        <v>6.9444444444444434E-2</v>
      </c>
      <c r="H160" s="6" t="s">
        <v>10</v>
      </c>
      <c r="I160" s="57">
        <v>1000000</v>
      </c>
      <c r="J160" s="55">
        <v>1135000</v>
      </c>
      <c r="K160" s="53">
        <f t="shared" si="17"/>
        <v>135000</v>
      </c>
      <c r="L160" s="23">
        <v>0</v>
      </c>
      <c r="M160" s="25" t="str">
        <f t="shared" ref="M160:M162" si="27">IF(ISBLANK(F160),"NÃO ASSISTIDO","ASSISTIDO")</f>
        <v>NÃO ASSISTIDO</v>
      </c>
      <c r="N160" s="6">
        <f t="shared" si="23"/>
        <v>159</v>
      </c>
    </row>
    <row r="161" spans="1:14" x14ac:dyDescent="0.25">
      <c r="A161" s="6">
        <f t="shared" si="20"/>
        <v>160</v>
      </c>
      <c r="B161" s="4" t="s">
        <v>210</v>
      </c>
      <c r="C161" s="5">
        <v>1944</v>
      </c>
      <c r="D161" s="6" t="s">
        <v>9</v>
      </c>
      <c r="E161" s="7">
        <v>45108</v>
      </c>
      <c r="G161" s="35">
        <v>6.9444444444444434E-2</v>
      </c>
      <c r="H161" s="6" t="s">
        <v>10</v>
      </c>
      <c r="I161" s="57">
        <v>0</v>
      </c>
      <c r="J161" s="55">
        <v>3355000</v>
      </c>
      <c r="K161" s="53">
        <f t="shared" si="17"/>
        <v>3355000</v>
      </c>
      <c r="L161" s="23">
        <v>0</v>
      </c>
      <c r="M161" s="25" t="str">
        <f t="shared" si="27"/>
        <v>NÃO ASSISTIDO</v>
      </c>
      <c r="N161" s="6">
        <f t="shared" si="23"/>
        <v>160</v>
      </c>
    </row>
    <row r="162" spans="1:14" x14ac:dyDescent="0.25">
      <c r="A162" s="6">
        <f t="shared" si="20"/>
        <v>161</v>
      </c>
      <c r="B162" s="4" t="s">
        <v>211</v>
      </c>
      <c r="C162" s="5">
        <v>1946</v>
      </c>
      <c r="D162" s="6" t="s">
        <v>9</v>
      </c>
      <c r="E162" s="7">
        <v>45108</v>
      </c>
      <c r="G162" s="35">
        <v>6.9444444444444434E-2</v>
      </c>
      <c r="H162" s="6" t="s">
        <v>10</v>
      </c>
      <c r="I162" s="57">
        <v>1350000</v>
      </c>
      <c r="J162" s="55">
        <v>3275000</v>
      </c>
      <c r="K162" s="53">
        <f t="shared" si="17"/>
        <v>1925000</v>
      </c>
      <c r="L162" s="23">
        <v>0</v>
      </c>
      <c r="M162" s="25" t="str">
        <f t="shared" si="27"/>
        <v>NÃO ASSISTIDO</v>
      </c>
      <c r="N162" s="6">
        <f t="shared" si="23"/>
        <v>161</v>
      </c>
    </row>
    <row r="163" spans="1:14" x14ac:dyDescent="0.25">
      <c r="A163" s="6">
        <f t="shared" si="20"/>
        <v>162</v>
      </c>
      <c r="B163" s="4" t="s">
        <v>212</v>
      </c>
      <c r="C163" s="5">
        <v>1947</v>
      </c>
      <c r="D163" s="6" t="s">
        <v>9</v>
      </c>
      <c r="E163" s="7">
        <v>45108</v>
      </c>
      <c r="G163" s="35">
        <v>6.9444444444444434E-2</v>
      </c>
      <c r="H163" s="6" t="s">
        <v>10</v>
      </c>
      <c r="I163" s="57">
        <v>0</v>
      </c>
      <c r="J163" s="55">
        <v>0</v>
      </c>
      <c r="K163" s="53">
        <f t="shared" si="17"/>
        <v>0</v>
      </c>
      <c r="L163" s="23">
        <v>0</v>
      </c>
      <c r="M163" s="25" t="str">
        <f t="shared" ref="M163:M175" si="28">IF(ISBLANK(F163),"NÃO ASSISTIDO","ASSISTIDO")</f>
        <v>NÃO ASSISTIDO</v>
      </c>
      <c r="N163" s="6">
        <f t="shared" si="23"/>
        <v>162</v>
      </c>
    </row>
    <row r="164" spans="1:14" x14ac:dyDescent="0.25">
      <c r="A164" s="6">
        <f t="shared" si="20"/>
        <v>163</v>
      </c>
      <c r="B164" s="4" t="s">
        <v>213</v>
      </c>
      <c r="C164" s="5">
        <v>1948</v>
      </c>
      <c r="D164" s="6" t="s">
        <v>9</v>
      </c>
      <c r="E164" s="7">
        <v>45108</v>
      </c>
      <c r="G164" s="35">
        <v>6.9444444444444434E-2</v>
      </c>
      <c r="H164" s="6" t="s">
        <v>10</v>
      </c>
      <c r="I164" s="57">
        <v>1350000</v>
      </c>
      <c r="J164" s="55">
        <v>3275000</v>
      </c>
      <c r="K164" s="53">
        <f t="shared" si="17"/>
        <v>1925000</v>
      </c>
      <c r="L164" s="23">
        <v>0</v>
      </c>
      <c r="M164" s="25" t="str">
        <f t="shared" si="28"/>
        <v>NÃO ASSISTIDO</v>
      </c>
      <c r="N164" s="6">
        <f t="shared" si="23"/>
        <v>163</v>
      </c>
    </row>
    <row r="165" spans="1:14" x14ac:dyDescent="0.25">
      <c r="A165" s="6">
        <f t="shared" si="20"/>
        <v>164</v>
      </c>
      <c r="B165" s="4" t="s">
        <v>214</v>
      </c>
      <c r="C165" s="5">
        <v>1949</v>
      </c>
      <c r="D165" s="6" t="s">
        <v>9</v>
      </c>
      <c r="E165" s="7">
        <v>45108</v>
      </c>
      <c r="G165" s="35">
        <v>6.9444444444444434E-2</v>
      </c>
      <c r="H165" s="6" t="s">
        <v>10</v>
      </c>
      <c r="I165" s="57">
        <v>0</v>
      </c>
      <c r="J165" s="55">
        <v>1625000</v>
      </c>
      <c r="K165" s="53">
        <f t="shared" si="17"/>
        <v>1625000</v>
      </c>
      <c r="L165" s="23">
        <v>0</v>
      </c>
      <c r="M165" s="25" t="str">
        <f t="shared" si="28"/>
        <v>NÃO ASSISTIDO</v>
      </c>
      <c r="N165" s="6">
        <f t="shared" si="23"/>
        <v>164</v>
      </c>
    </row>
    <row r="166" spans="1:14" x14ac:dyDescent="0.25">
      <c r="A166" s="6">
        <f t="shared" si="20"/>
        <v>165</v>
      </c>
      <c r="B166" s="4" t="s">
        <v>215</v>
      </c>
      <c r="C166" s="5">
        <v>1951</v>
      </c>
      <c r="D166" s="6" t="s">
        <v>9</v>
      </c>
      <c r="E166" s="7">
        <v>45108</v>
      </c>
      <c r="G166" s="35">
        <v>6.9444444444444434E-2</v>
      </c>
      <c r="H166" s="6" t="s">
        <v>10</v>
      </c>
      <c r="I166" s="57">
        <v>200000000</v>
      </c>
      <c r="J166" s="55">
        <v>1025000000</v>
      </c>
      <c r="K166" s="53">
        <f t="shared" si="17"/>
        <v>825000000</v>
      </c>
      <c r="L166" s="23">
        <v>0</v>
      </c>
      <c r="M166" s="25" t="str">
        <f t="shared" si="28"/>
        <v>NÃO ASSISTIDO</v>
      </c>
      <c r="N166" s="6">
        <f t="shared" si="23"/>
        <v>165</v>
      </c>
    </row>
    <row r="167" spans="1:14" x14ac:dyDescent="0.25">
      <c r="A167" s="6">
        <f t="shared" si="20"/>
        <v>166</v>
      </c>
      <c r="B167" s="4" t="s">
        <v>216</v>
      </c>
      <c r="C167" s="5">
        <v>1973</v>
      </c>
      <c r="D167" s="6" t="s">
        <v>9</v>
      </c>
      <c r="E167" s="7">
        <v>45108</v>
      </c>
      <c r="G167" s="35">
        <v>6.9444444444444434E-2</v>
      </c>
      <c r="H167" s="6" t="s">
        <v>10</v>
      </c>
      <c r="I167" s="57">
        <v>100000000</v>
      </c>
      <c r="J167" s="55">
        <v>86500000</v>
      </c>
      <c r="K167" s="53">
        <f t="shared" si="17"/>
        <v>-13500000</v>
      </c>
      <c r="L167" s="23">
        <v>0</v>
      </c>
      <c r="M167" s="25" t="str">
        <f t="shared" si="28"/>
        <v>NÃO ASSISTIDO</v>
      </c>
      <c r="N167" s="6">
        <f t="shared" si="23"/>
        <v>166</v>
      </c>
    </row>
    <row r="168" spans="1:14" x14ac:dyDescent="0.25">
      <c r="A168" s="6">
        <f t="shared" si="20"/>
        <v>167</v>
      </c>
      <c r="B168" s="4" t="s">
        <v>217</v>
      </c>
      <c r="C168" s="5">
        <v>1977</v>
      </c>
      <c r="D168" s="6" t="s">
        <v>9</v>
      </c>
      <c r="E168" s="7">
        <v>45108</v>
      </c>
      <c r="G168" s="35">
        <v>6.9444444444444434E-2</v>
      </c>
      <c r="H168" s="6" t="s">
        <v>10</v>
      </c>
      <c r="I168" s="57">
        <v>100000</v>
      </c>
      <c r="J168" s="55">
        <v>4000000</v>
      </c>
      <c r="K168" s="53">
        <f t="shared" si="17"/>
        <v>3900000</v>
      </c>
      <c r="L168" s="23">
        <v>0</v>
      </c>
      <c r="M168" s="25" t="str">
        <f t="shared" si="28"/>
        <v>NÃO ASSISTIDO</v>
      </c>
      <c r="N168" s="6">
        <f t="shared" si="23"/>
        <v>167</v>
      </c>
    </row>
    <row r="169" spans="1:14" x14ac:dyDescent="0.25">
      <c r="A169" s="6">
        <f t="shared" si="20"/>
        <v>168</v>
      </c>
      <c r="B169" s="4" t="s">
        <v>218</v>
      </c>
      <c r="C169" s="5">
        <v>1985</v>
      </c>
      <c r="D169" s="6" t="s">
        <v>9</v>
      </c>
      <c r="E169" s="7">
        <v>45108</v>
      </c>
      <c r="G169" s="35">
        <v>6.9444444444444434E-2</v>
      </c>
      <c r="H169" s="6" t="s">
        <v>10</v>
      </c>
      <c r="I169" s="57">
        <v>44000000</v>
      </c>
      <c r="J169" s="55">
        <v>21300000</v>
      </c>
      <c r="K169" s="53">
        <f t="shared" si="17"/>
        <v>-22700000</v>
      </c>
      <c r="L169" s="23">
        <v>0</v>
      </c>
      <c r="M169" s="25" t="str">
        <f t="shared" si="28"/>
        <v>NÃO ASSISTIDO</v>
      </c>
      <c r="N169" s="6">
        <f t="shared" si="23"/>
        <v>168</v>
      </c>
    </row>
    <row r="170" spans="1:14" x14ac:dyDescent="0.25">
      <c r="A170" s="6">
        <f t="shared" si="20"/>
        <v>169</v>
      </c>
      <c r="B170" s="4" t="s">
        <v>219</v>
      </c>
      <c r="C170" s="5">
        <v>1988</v>
      </c>
      <c r="D170" s="6" t="s">
        <v>9</v>
      </c>
      <c r="E170" s="7">
        <v>45108</v>
      </c>
      <c r="G170" s="35">
        <v>6.9444444444444434E-2</v>
      </c>
      <c r="H170" s="6" t="s">
        <v>10</v>
      </c>
      <c r="I170" s="57">
        <v>31000000</v>
      </c>
      <c r="J170" s="55">
        <v>0</v>
      </c>
      <c r="K170" s="53">
        <f t="shared" si="17"/>
        <v>-31000000</v>
      </c>
      <c r="L170" s="23">
        <v>0</v>
      </c>
      <c r="M170" s="25" t="str">
        <f t="shared" si="28"/>
        <v>NÃO ASSISTIDO</v>
      </c>
      <c r="N170" s="6">
        <f t="shared" si="23"/>
        <v>169</v>
      </c>
    </row>
    <row r="171" spans="1:14" x14ac:dyDescent="0.25">
      <c r="A171" s="6">
        <f t="shared" si="20"/>
        <v>170</v>
      </c>
      <c r="B171" s="4" t="s">
        <v>220</v>
      </c>
      <c r="C171" s="5">
        <v>1990</v>
      </c>
      <c r="D171" s="6" t="s">
        <v>9</v>
      </c>
      <c r="E171" s="7">
        <v>45108</v>
      </c>
      <c r="G171" s="35">
        <v>6.9444444444444434E-2</v>
      </c>
      <c r="H171" s="6" t="s">
        <v>10</v>
      </c>
      <c r="I171" s="57">
        <v>47400000</v>
      </c>
      <c r="J171" s="55">
        <v>37930000</v>
      </c>
      <c r="K171" s="53">
        <f t="shared" si="17"/>
        <v>-9470000</v>
      </c>
      <c r="L171" s="23">
        <v>0</v>
      </c>
      <c r="M171" s="25" t="str">
        <f t="shared" si="28"/>
        <v>NÃO ASSISTIDO</v>
      </c>
      <c r="N171" s="6">
        <f t="shared" si="23"/>
        <v>170</v>
      </c>
    </row>
    <row r="172" spans="1:14" x14ac:dyDescent="0.25">
      <c r="A172" s="6">
        <f t="shared" si="20"/>
        <v>171</v>
      </c>
      <c r="B172" s="4" t="s">
        <v>221</v>
      </c>
      <c r="C172" s="5">
        <v>1999</v>
      </c>
      <c r="D172" s="6" t="s">
        <v>9</v>
      </c>
      <c r="E172" s="7">
        <v>45108</v>
      </c>
      <c r="G172" s="35">
        <v>6.9444444444444434E-2</v>
      </c>
      <c r="H172" s="6" t="s">
        <v>10</v>
      </c>
      <c r="I172" s="57">
        <v>80000000</v>
      </c>
      <c r="J172" s="55">
        <v>90900000</v>
      </c>
      <c r="K172" s="53">
        <f t="shared" si="17"/>
        <v>10900000</v>
      </c>
      <c r="L172" s="23">
        <v>0</v>
      </c>
      <c r="M172" s="25" t="str">
        <f t="shared" si="28"/>
        <v>NÃO ASSISTIDO</v>
      </c>
      <c r="N172" s="6">
        <f t="shared" si="23"/>
        <v>171</v>
      </c>
    </row>
    <row r="173" spans="1:14" x14ac:dyDescent="0.25">
      <c r="A173" s="6">
        <f t="shared" si="20"/>
        <v>172</v>
      </c>
      <c r="B173" s="4" t="s">
        <v>222</v>
      </c>
      <c r="C173" s="5">
        <v>2000</v>
      </c>
      <c r="D173" s="6" t="s">
        <v>6</v>
      </c>
      <c r="E173" s="7">
        <v>45108</v>
      </c>
      <c r="G173" s="35">
        <v>6.9444444444444434E-2</v>
      </c>
      <c r="H173" s="6" t="s">
        <v>10</v>
      </c>
      <c r="I173" s="57">
        <v>127500000</v>
      </c>
      <c r="J173" s="55">
        <v>349800000</v>
      </c>
      <c r="K173" s="53">
        <f t="shared" si="17"/>
        <v>222300000</v>
      </c>
      <c r="L173" s="23">
        <v>0</v>
      </c>
      <c r="M173" s="25" t="str">
        <f t="shared" si="28"/>
        <v>NÃO ASSISTIDO</v>
      </c>
      <c r="N173" s="6">
        <f t="shared" si="23"/>
        <v>172</v>
      </c>
    </row>
    <row r="174" spans="1:14" x14ac:dyDescent="0.25">
      <c r="A174" s="6">
        <f t="shared" si="20"/>
        <v>173</v>
      </c>
      <c r="B174" s="4" t="s">
        <v>223</v>
      </c>
      <c r="C174" s="5">
        <v>2005</v>
      </c>
      <c r="D174" s="6" t="s">
        <v>6</v>
      </c>
      <c r="E174" s="7">
        <v>45108</v>
      </c>
      <c r="G174" s="35">
        <v>6.9444444444444434E-2</v>
      </c>
      <c r="H174" s="6" t="s">
        <v>10</v>
      </c>
      <c r="I174" s="57">
        <v>150000000</v>
      </c>
      <c r="J174" s="55">
        <v>314400000</v>
      </c>
      <c r="K174" s="53">
        <f t="shared" si="17"/>
        <v>164400000</v>
      </c>
      <c r="L174" s="23">
        <v>0</v>
      </c>
      <c r="M174" s="25" t="str">
        <f t="shared" si="28"/>
        <v>NÃO ASSISTIDO</v>
      </c>
      <c r="N174" s="6">
        <f t="shared" si="23"/>
        <v>173</v>
      </c>
    </row>
    <row r="175" spans="1:14" x14ac:dyDescent="0.25">
      <c r="A175" s="6">
        <f t="shared" si="20"/>
        <v>174</v>
      </c>
      <c r="B175" s="4" t="s">
        <v>224</v>
      </c>
      <c r="C175" s="5">
        <v>2008</v>
      </c>
      <c r="D175" s="6" t="s">
        <v>6</v>
      </c>
      <c r="E175" s="7">
        <v>45108</v>
      </c>
      <c r="G175" s="35">
        <v>6.9444444444444434E-2</v>
      </c>
      <c r="H175" s="6" t="s">
        <v>10</v>
      </c>
      <c r="I175" s="57">
        <v>150000000</v>
      </c>
      <c r="J175" s="55">
        <v>310000000</v>
      </c>
      <c r="K175" s="53">
        <f t="shared" si="17"/>
        <v>160000000</v>
      </c>
      <c r="L175" s="23">
        <v>0</v>
      </c>
      <c r="M175" s="25" t="str">
        <f t="shared" si="28"/>
        <v>NÃO ASSISTIDO</v>
      </c>
      <c r="N175" s="6">
        <f t="shared" si="23"/>
        <v>174</v>
      </c>
    </row>
    <row r="176" spans="1:14" x14ac:dyDescent="0.25">
      <c r="A176" s="6">
        <f t="shared" si="20"/>
        <v>175</v>
      </c>
      <c r="B176" s="4" t="s">
        <v>225</v>
      </c>
      <c r="C176" s="5">
        <v>2011</v>
      </c>
      <c r="D176" s="6" t="s">
        <v>9</v>
      </c>
      <c r="E176" s="7">
        <v>45108</v>
      </c>
      <c r="G176" s="35">
        <v>6.9444444444444434E-2</v>
      </c>
      <c r="H176" s="6" t="s">
        <v>10</v>
      </c>
      <c r="I176" s="57">
        <v>30000000</v>
      </c>
      <c r="J176" s="55">
        <v>50100000</v>
      </c>
      <c r="K176" s="53">
        <f t="shared" si="17"/>
        <v>20100000</v>
      </c>
      <c r="L176" s="23">
        <v>0</v>
      </c>
      <c r="M176" s="25" t="str">
        <f t="shared" ref="M176:M177" si="29">IF(ISBLANK(F176),"NÃO ASSISTIDO","ASSISTIDO")</f>
        <v>NÃO ASSISTIDO</v>
      </c>
      <c r="N176" s="6">
        <f t="shared" si="23"/>
        <v>175</v>
      </c>
    </row>
    <row r="177" spans="1:14" x14ac:dyDescent="0.25">
      <c r="A177" s="6">
        <f t="shared" si="20"/>
        <v>176</v>
      </c>
      <c r="B177" s="4" t="s">
        <v>226</v>
      </c>
      <c r="C177" s="5">
        <v>2021</v>
      </c>
      <c r="D177" s="6" t="s">
        <v>6</v>
      </c>
      <c r="E177" s="7">
        <v>45108</v>
      </c>
      <c r="G177" s="35">
        <v>6.9444444444444434E-2</v>
      </c>
      <c r="H177" s="6" t="s">
        <v>10</v>
      </c>
      <c r="I177" s="57">
        <v>100000000</v>
      </c>
      <c r="J177" s="55">
        <v>130400000</v>
      </c>
      <c r="K177" s="53">
        <f t="shared" si="17"/>
        <v>30400000</v>
      </c>
      <c r="L177" s="23">
        <v>0</v>
      </c>
      <c r="M177" s="25" t="str">
        <f t="shared" si="29"/>
        <v>NÃO ASSISTIDO</v>
      </c>
      <c r="N177" s="6">
        <f t="shared" si="23"/>
        <v>176</v>
      </c>
    </row>
    <row r="178" spans="1:14" x14ac:dyDescent="0.25">
      <c r="A178" s="6">
        <f t="shared" si="20"/>
        <v>177</v>
      </c>
      <c r="B178" s="4" t="s">
        <v>231</v>
      </c>
      <c r="C178" s="5">
        <v>1998</v>
      </c>
      <c r="D178" s="6" t="s">
        <v>6</v>
      </c>
      <c r="E178" s="7"/>
      <c r="G178" s="35">
        <v>5.7638888888888885E-2</v>
      </c>
      <c r="H178" s="6" t="s">
        <v>33</v>
      </c>
      <c r="I178" s="57">
        <v>105000000</v>
      </c>
      <c r="J178" s="55">
        <v>171800000</v>
      </c>
      <c r="K178" s="53">
        <f t="shared" ref="K178:K189" si="30">J178-I178</f>
        <v>66800000</v>
      </c>
      <c r="L178" s="23">
        <v>0</v>
      </c>
      <c r="M178" s="25" t="str">
        <f t="shared" ref="M178:M189" si="31">IF(ISBLANK(F178),"NÃO ASSISTIDO","ASSISTIDO")</f>
        <v>NÃO ASSISTIDO</v>
      </c>
      <c r="N178" s="6">
        <f t="shared" si="23"/>
        <v>177</v>
      </c>
    </row>
    <row r="179" spans="1:14" x14ac:dyDescent="0.25">
      <c r="A179" s="6">
        <f t="shared" si="20"/>
        <v>178</v>
      </c>
      <c r="B179" s="4" t="s">
        <v>232</v>
      </c>
      <c r="C179" s="5">
        <v>2004</v>
      </c>
      <c r="D179" s="6" t="s">
        <v>6</v>
      </c>
      <c r="E179" s="7"/>
      <c r="G179" s="35">
        <v>6.25E-2</v>
      </c>
      <c r="H179" s="6" t="s">
        <v>33</v>
      </c>
      <c r="I179" s="57">
        <v>75000000</v>
      </c>
      <c r="J179" s="55">
        <v>374600000</v>
      </c>
      <c r="K179" s="53">
        <f t="shared" si="30"/>
        <v>299600000</v>
      </c>
      <c r="L179" s="23">
        <v>0</v>
      </c>
      <c r="M179" s="25" t="str">
        <f t="shared" si="31"/>
        <v>NÃO ASSISTIDO</v>
      </c>
      <c r="N179" s="6">
        <f t="shared" si="23"/>
        <v>178</v>
      </c>
    </row>
    <row r="180" spans="1:14" x14ac:dyDescent="0.25">
      <c r="A180" s="6">
        <f t="shared" si="20"/>
        <v>179</v>
      </c>
      <c r="B180" s="4" t="s">
        <v>233</v>
      </c>
      <c r="C180" s="5">
        <v>2005</v>
      </c>
      <c r="D180" s="6" t="s">
        <v>15</v>
      </c>
      <c r="E180" s="7" t="s">
        <v>34</v>
      </c>
      <c r="F180" s="9">
        <v>9</v>
      </c>
      <c r="G180" s="35">
        <v>5.9027777777777783E-2</v>
      </c>
      <c r="H180" s="6" t="s">
        <v>33</v>
      </c>
      <c r="I180" s="57">
        <v>30000000</v>
      </c>
      <c r="J180" s="55">
        <v>192600000</v>
      </c>
      <c r="K180" s="53">
        <f t="shared" si="30"/>
        <v>162600000</v>
      </c>
      <c r="L180" s="23">
        <v>0</v>
      </c>
      <c r="M180" s="25" t="str">
        <f t="shared" si="31"/>
        <v>ASSISTIDO</v>
      </c>
      <c r="N180" s="6">
        <f t="shared" si="23"/>
        <v>179</v>
      </c>
    </row>
    <row r="181" spans="1:14" x14ac:dyDescent="0.25">
      <c r="A181" s="6">
        <f t="shared" si="20"/>
        <v>180</v>
      </c>
      <c r="B181" s="4" t="s">
        <v>234</v>
      </c>
      <c r="C181" s="5">
        <v>2006</v>
      </c>
      <c r="D181" s="6" t="s">
        <v>6</v>
      </c>
      <c r="E181" s="7"/>
      <c r="G181" s="35">
        <v>6.0416666666666667E-2</v>
      </c>
      <c r="H181" s="6" t="s">
        <v>33</v>
      </c>
      <c r="I181" s="57">
        <v>80000000</v>
      </c>
      <c r="J181" s="55">
        <v>336002996</v>
      </c>
      <c r="K181" s="53">
        <f t="shared" si="30"/>
        <v>256002996</v>
      </c>
      <c r="L181" s="23">
        <v>0</v>
      </c>
      <c r="M181" s="25" t="str">
        <f t="shared" si="31"/>
        <v>NÃO ASSISTIDO</v>
      </c>
      <c r="N181" s="6">
        <f t="shared" si="23"/>
        <v>180</v>
      </c>
    </row>
    <row r="182" spans="1:14" x14ac:dyDescent="0.25">
      <c r="A182" s="6">
        <f t="shared" si="20"/>
        <v>181</v>
      </c>
      <c r="B182" s="4" t="s">
        <v>235</v>
      </c>
      <c r="C182" s="5">
        <v>2006</v>
      </c>
      <c r="D182" s="6" t="s">
        <v>6</v>
      </c>
      <c r="E182" s="7"/>
      <c r="G182" s="35">
        <v>5.9722222222222225E-2</v>
      </c>
      <c r="H182" s="6" t="s">
        <v>33</v>
      </c>
      <c r="I182" s="57">
        <v>149000000</v>
      </c>
      <c r="J182" s="55">
        <v>178000000</v>
      </c>
      <c r="K182" s="53">
        <f t="shared" si="30"/>
        <v>29000000</v>
      </c>
      <c r="L182" s="23">
        <v>0</v>
      </c>
      <c r="M182" s="25" t="str">
        <f t="shared" si="31"/>
        <v>NÃO ASSISTIDO</v>
      </c>
      <c r="N182" s="6">
        <f t="shared" si="23"/>
        <v>181</v>
      </c>
    </row>
    <row r="183" spans="1:14" x14ac:dyDescent="0.25">
      <c r="A183" s="6">
        <f t="shared" si="20"/>
        <v>182</v>
      </c>
      <c r="B183" s="4" t="s">
        <v>236</v>
      </c>
      <c r="C183" s="5">
        <v>2007</v>
      </c>
      <c r="D183" s="6" t="s">
        <v>6</v>
      </c>
      <c r="E183" s="7"/>
      <c r="G183" s="35">
        <v>6.3194444444444442E-2</v>
      </c>
      <c r="H183" s="6" t="s">
        <v>33</v>
      </c>
      <c r="I183" s="57">
        <v>150000000</v>
      </c>
      <c r="J183" s="55">
        <v>293500000</v>
      </c>
      <c r="K183" s="53">
        <f t="shared" si="30"/>
        <v>143500000</v>
      </c>
      <c r="L183" s="23">
        <v>0</v>
      </c>
      <c r="M183" s="25" t="str">
        <f t="shared" si="31"/>
        <v>NÃO ASSISTIDO</v>
      </c>
      <c r="N183" s="6">
        <f t="shared" si="23"/>
        <v>182</v>
      </c>
    </row>
    <row r="184" spans="1:14" x14ac:dyDescent="0.25">
      <c r="A184" s="6">
        <f t="shared" si="20"/>
        <v>183</v>
      </c>
      <c r="B184" s="4" t="s">
        <v>237</v>
      </c>
      <c r="C184" s="5">
        <v>2009</v>
      </c>
      <c r="D184" s="6" t="s">
        <v>6</v>
      </c>
      <c r="E184" s="7"/>
      <c r="G184" s="35">
        <v>6.1805555555555558E-2</v>
      </c>
      <c r="H184" s="6" t="s">
        <v>33</v>
      </c>
      <c r="I184" s="57">
        <v>150000000</v>
      </c>
      <c r="J184" s="55">
        <v>603900000</v>
      </c>
      <c r="K184" s="53">
        <f t="shared" si="30"/>
        <v>453900000</v>
      </c>
      <c r="L184" s="23">
        <v>0</v>
      </c>
      <c r="M184" s="25" t="str">
        <f t="shared" si="31"/>
        <v>NÃO ASSISTIDO</v>
      </c>
      <c r="N184" s="6">
        <f t="shared" si="23"/>
        <v>183</v>
      </c>
    </row>
    <row r="185" spans="1:14" x14ac:dyDescent="0.25">
      <c r="A185" s="6">
        <f t="shared" si="20"/>
        <v>184</v>
      </c>
      <c r="B185" s="4" t="s">
        <v>238</v>
      </c>
      <c r="C185" s="5">
        <v>2009</v>
      </c>
      <c r="D185" s="6" t="s">
        <v>6</v>
      </c>
      <c r="E185" s="7"/>
      <c r="G185" s="35">
        <v>7.0833333333333331E-2</v>
      </c>
      <c r="H185" s="6" t="s">
        <v>33</v>
      </c>
      <c r="I185" s="57">
        <v>175000000</v>
      </c>
      <c r="J185" s="55">
        <v>381700000</v>
      </c>
      <c r="K185" s="53">
        <f t="shared" si="30"/>
        <v>206700000</v>
      </c>
      <c r="L185" s="23">
        <v>0</v>
      </c>
      <c r="M185" s="25" t="str">
        <f t="shared" si="31"/>
        <v>NÃO ASSISTIDO</v>
      </c>
      <c r="N185" s="6">
        <f t="shared" si="23"/>
        <v>184</v>
      </c>
    </row>
    <row r="186" spans="1:14" x14ac:dyDescent="0.25">
      <c r="A186" s="6">
        <f t="shared" si="20"/>
        <v>185</v>
      </c>
      <c r="B186" s="4" t="s">
        <v>239</v>
      </c>
      <c r="C186" s="5">
        <v>2010</v>
      </c>
      <c r="D186" s="6" t="s">
        <v>6</v>
      </c>
      <c r="E186" s="7"/>
      <c r="G186" s="35">
        <v>6.458333333333334E-2</v>
      </c>
      <c r="H186" s="6" t="s">
        <v>33</v>
      </c>
      <c r="I186" s="57">
        <v>135000000</v>
      </c>
      <c r="J186" s="55">
        <v>756200000</v>
      </c>
      <c r="K186" s="53">
        <f t="shared" si="30"/>
        <v>621200000</v>
      </c>
      <c r="L186" s="23">
        <v>0</v>
      </c>
      <c r="M186" s="25" t="str">
        <f t="shared" si="31"/>
        <v>NÃO ASSISTIDO</v>
      </c>
      <c r="N186" s="6">
        <f t="shared" si="23"/>
        <v>185</v>
      </c>
    </row>
    <row r="187" spans="1:14" x14ac:dyDescent="0.25">
      <c r="A187" s="6">
        <f t="shared" si="20"/>
        <v>186</v>
      </c>
      <c r="B187" s="4" t="s">
        <v>240</v>
      </c>
      <c r="C187" s="5">
        <v>2010</v>
      </c>
      <c r="D187" s="6" t="s">
        <v>6</v>
      </c>
      <c r="E187" s="7"/>
      <c r="G187" s="35">
        <v>6.6666666666666666E-2</v>
      </c>
      <c r="H187" s="6" t="s">
        <v>33</v>
      </c>
      <c r="I187" s="57">
        <v>130000000</v>
      </c>
      <c r="J187" s="55">
        <v>321900000</v>
      </c>
      <c r="K187" s="53">
        <f t="shared" si="30"/>
        <v>191900000</v>
      </c>
      <c r="L187" s="23">
        <v>0</v>
      </c>
      <c r="M187" s="25" t="str">
        <f t="shared" si="31"/>
        <v>NÃO ASSISTIDO</v>
      </c>
      <c r="N187" s="6">
        <f t="shared" si="23"/>
        <v>186</v>
      </c>
    </row>
    <row r="188" spans="1:14" x14ac:dyDescent="0.25">
      <c r="A188" s="6">
        <f t="shared" si="20"/>
        <v>187</v>
      </c>
      <c r="B188" s="4" t="s">
        <v>241</v>
      </c>
      <c r="C188" s="5">
        <v>2012</v>
      </c>
      <c r="D188" s="6" t="s">
        <v>6</v>
      </c>
      <c r="E188" s="7"/>
      <c r="G188" s="35">
        <v>6.5972222222222224E-2</v>
      </c>
      <c r="H188" s="6" t="s">
        <v>33</v>
      </c>
      <c r="I188" s="57">
        <v>145000000</v>
      </c>
      <c r="J188" s="55">
        <v>746000000</v>
      </c>
      <c r="K188" s="53">
        <f t="shared" si="30"/>
        <v>601000000</v>
      </c>
      <c r="L188" s="23">
        <v>0</v>
      </c>
      <c r="M188" s="25" t="str">
        <f t="shared" si="31"/>
        <v>NÃO ASSISTIDO</v>
      </c>
      <c r="N188" s="6">
        <f t="shared" si="23"/>
        <v>187</v>
      </c>
    </row>
    <row r="189" spans="1:14" x14ac:dyDescent="0.25">
      <c r="A189" s="6">
        <f t="shared" si="20"/>
        <v>188</v>
      </c>
      <c r="B189" s="4" t="s">
        <v>243</v>
      </c>
      <c r="C189" s="5">
        <v>2013</v>
      </c>
      <c r="D189" s="6" t="s">
        <v>6</v>
      </c>
      <c r="E189" s="7"/>
      <c r="G189" s="35">
        <v>6.6666666666666666E-2</v>
      </c>
      <c r="H189" s="6" t="s">
        <v>33</v>
      </c>
      <c r="I189" s="57">
        <v>127000000</v>
      </c>
      <c r="J189" s="55">
        <v>282600000</v>
      </c>
      <c r="K189" s="53">
        <f t="shared" si="30"/>
        <v>155600000</v>
      </c>
      <c r="L189" s="23">
        <v>0</v>
      </c>
      <c r="M189" s="25" t="str">
        <f t="shared" si="31"/>
        <v>NÃO ASSISTIDO</v>
      </c>
      <c r="N189" s="6">
        <f t="shared" si="23"/>
        <v>188</v>
      </c>
    </row>
    <row r="190" spans="1:14" x14ac:dyDescent="0.25">
      <c r="A190" s="6">
        <f t="shared" si="20"/>
        <v>189</v>
      </c>
      <c r="B190" s="4" t="s">
        <v>244</v>
      </c>
      <c r="C190" s="5">
        <v>2014</v>
      </c>
      <c r="D190" s="6" t="s">
        <v>6</v>
      </c>
      <c r="E190" s="7"/>
      <c r="G190" s="35">
        <v>6.3888888888888884E-2</v>
      </c>
      <c r="H190" s="6" t="s">
        <v>33</v>
      </c>
      <c r="I190" s="57">
        <v>145000000</v>
      </c>
      <c r="J190" s="55">
        <v>260800000</v>
      </c>
      <c r="K190" s="53">
        <f t="shared" ref="K190:K198" si="32">J190-I190</f>
        <v>115800000</v>
      </c>
      <c r="L190" s="23">
        <v>0</v>
      </c>
      <c r="M190" s="25" t="str">
        <f t="shared" ref="M190:M198" si="33">IF(ISBLANK(F190),"NÃO ASSISTIDO","ASSISTIDO")</f>
        <v>NÃO ASSISTIDO</v>
      </c>
      <c r="N190" s="6">
        <f t="shared" si="23"/>
        <v>189</v>
      </c>
    </row>
    <row r="191" spans="1:14" x14ac:dyDescent="0.25">
      <c r="A191" s="6">
        <f t="shared" si="20"/>
        <v>190</v>
      </c>
      <c r="B191" s="4" t="s">
        <v>245</v>
      </c>
      <c r="C191" s="5">
        <v>2014</v>
      </c>
      <c r="D191" s="6" t="s">
        <v>6</v>
      </c>
      <c r="E191" s="7"/>
      <c r="G191" s="35">
        <v>6.3888888888888884E-2</v>
      </c>
      <c r="H191" s="6" t="s">
        <v>33</v>
      </c>
      <c r="I191" s="57">
        <v>132000000</v>
      </c>
      <c r="J191" s="55">
        <v>373500000</v>
      </c>
      <c r="K191" s="53">
        <f t="shared" si="32"/>
        <v>241500000</v>
      </c>
      <c r="L191" s="23">
        <v>0</v>
      </c>
      <c r="M191" s="25" t="str">
        <f t="shared" si="33"/>
        <v>NÃO ASSISTIDO</v>
      </c>
      <c r="N191" s="6">
        <f t="shared" si="23"/>
        <v>190</v>
      </c>
    </row>
    <row r="192" spans="1:14" x14ac:dyDescent="0.25">
      <c r="A192" s="6">
        <f t="shared" si="20"/>
        <v>191</v>
      </c>
      <c r="B192" s="4" t="s">
        <v>246</v>
      </c>
      <c r="C192" s="5">
        <v>2015</v>
      </c>
      <c r="D192" s="6" t="s">
        <v>6</v>
      </c>
      <c r="E192" s="7"/>
      <c r="G192" s="35">
        <v>6.5277777777777782E-2</v>
      </c>
      <c r="H192" s="6" t="s">
        <v>33</v>
      </c>
      <c r="I192" s="57">
        <v>135000000</v>
      </c>
      <c r="J192" s="55">
        <v>386000000</v>
      </c>
      <c r="K192" s="53">
        <f t="shared" si="32"/>
        <v>251000000</v>
      </c>
      <c r="L192" s="23">
        <v>0</v>
      </c>
      <c r="M192" s="25" t="str">
        <f t="shared" si="33"/>
        <v>NÃO ASSISTIDO</v>
      </c>
      <c r="N192" s="6">
        <f t="shared" si="23"/>
        <v>191</v>
      </c>
    </row>
    <row r="193" spans="1:14" x14ac:dyDescent="0.25">
      <c r="A193" s="6">
        <f t="shared" si="20"/>
        <v>192</v>
      </c>
      <c r="B193" s="4" t="s">
        <v>247</v>
      </c>
      <c r="C193" s="5">
        <v>2016</v>
      </c>
      <c r="D193" s="6" t="s">
        <v>6</v>
      </c>
      <c r="E193" s="7"/>
      <c r="G193" s="35">
        <v>6.458333333333334E-2</v>
      </c>
      <c r="H193" s="6" t="s">
        <v>33</v>
      </c>
      <c r="I193" s="57">
        <v>125000000</v>
      </c>
      <c r="J193" s="55">
        <v>347182886</v>
      </c>
      <c r="K193" s="53">
        <f t="shared" si="32"/>
        <v>222182886</v>
      </c>
      <c r="L193" s="23">
        <v>0</v>
      </c>
      <c r="M193" s="25" t="str">
        <f t="shared" si="33"/>
        <v>NÃO ASSISTIDO</v>
      </c>
      <c r="N193" s="6">
        <f t="shared" si="23"/>
        <v>192</v>
      </c>
    </row>
    <row r="194" spans="1:14" x14ac:dyDescent="0.25">
      <c r="A194" s="6">
        <f t="shared" si="20"/>
        <v>193</v>
      </c>
      <c r="B194" s="4" t="s">
        <v>248</v>
      </c>
      <c r="C194" s="5">
        <v>2017</v>
      </c>
      <c r="D194" s="6" t="s">
        <v>6</v>
      </c>
      <c r="E194" s="7"/>
      <c r="G194" s="35">
        <v>6.7361111111111108E-2</v>
      </c>
      <c r="H194" s="6" t="s">
        <v>33</v>
      </c>
      <c r="I194" s="57">
        <v>110000000</v>
      </c>
      <c r="J194" s="55">
        <v>528000000</v>
      </c>
      <c r="K194" s="53">
        <f t="shared" si="32"/>
        <v>418000000</v>
      </c>
      <c r="L194" s="23">
        <v>0</v>
      </c>
      <c r="M194" s="25" t="str">
        <f t="shared" si="33"/>
        <v>NÃO ASSISTIDO</v>
      </c>
      <c r="N194" s="6">
        <f t="shared" si="23"/>
        <v>193</v>
      </c>
    </row>
    <row r="195" spans="1:14" x14ac:dyDescent="0.25">
      <c r="A195" s="6">
        <f t="shared" si="20"/>
        <v>194</v>
      </c>
      <c r="B195" s="4" t="s">
        <v>249</v>
      </c>
      <c r="C195" s="5">
        <v>2017</v>
      </c>
      <c r="D195" s="6" t="s">
        <v>6</v>
      </c>
      <c r="E195" s="7"/>
      <c r="G195" s="35">
        <v>6.1805555555555558E-2</v>
      </c>
      <c r="H195" s="6" t="s">
        <v>33</v>
      </c>
      <c r="I195" s="57">
        <v>38000000</v>
      </c>
      <c r="J195" s="55">
        <v>125400000</v>
      </c>
      <c r="K195" s="53">
        <f t="shared" si="32"/>
        <v>87400000</v>
      </c>
      <c r="L195" s="23">
        <v>0</v>
      </c>
      <c r="M195" s="25" t="str">
        <f t="shared" si="33"/>
        <v>NÃO ASSISTIDO</v>
      </c>
      <c r="N195" s="6">
        <f t="shared" si="23"/>
        <v>194</v>
      </c>
    </row>
    <row r="196" spans="1:14" x14ac:dyDescent="0.25">
      <c r="A196" s="6">
        <f t="shared" si="20"/>
        <v>195</v>
      </c>
      <c r="B196" s="4" t="s">
        <v>250</v>
      </c>
      <c r="C196" s="5">
        <v>2019</v>
      </c>
      <c r="D196" s="6" t="s">
        <v>6</v>
      </c>
      <c r="E196" s="7"/>
      <c r="G196" s="35">
        <v>6.3888888888888884E-2</v>
      </c>
      <c r="H196" s="6" t="s">
        <v>33</v>
      </c>
      <c r="I196" s="57">
        <v>75000000</v>
      </c>
      <c r="J196" s="55">
        <v>188700000</v>
      </c>
      <c r="K196" s="53">
        <f t="shared" si="32"/>
        <v>113700000</v>
      </c>
      <c r="L196" s="23">
        <v>0</v>
      </c>
      <c r="M196" s="25" t="str">
        <f t="shared" si="33"/>
        <v>NÃO ASSISTIDO</v>
      </c>
      <c r="N196" s="6">
        <f t="shared" si="23"/>
        <v>195</v>
      </c>
    </row>
    <row r="197" spans="1:14" x14ac:dyDescent="0.25">
      <c r="A197" s="6">
        <f t="shared" si="20"/>
        <v>196</v>
      </c>
      <c r="B197" s="4" t="s">
        <v>251</v>
      </c>
      <c r="C197" s="5">
        <v>2020</v>
      </c>
      <c r="D197" s="6" t="s">
        <v>6</v>
      </c>
      <c r="E197" s="7"/>
      <c r="G197" s="35">
        <v>6.3194444444444442E-2</v>
      </c>
      <c r="H197" s="6" t="s">
        <v>33</v>
      </c>
      <c r="I197" s="57">
        <v>110000000</v>
      </c>
      <c r="J197" s="55">
        <v>48000000</v>
      </c>
      <c r="K197" s="53">
        <f t="shared" si="32"/>
        <v>-62000000</v>
      </c>
      <c r="L197" s="23">
        <v>0</v>
      </c>
      <c r="M197" s="25" t="str">
        <f t="shared" si="33"/>
        <v>NÃO ASSISTIDO</v>
      </c>
      <c r="N197" s="6">
        <f t="shared" si="23"/>
        <v>196</v>
      </c>
    </row>
    <row r="198" spans="1:14" x14ac:dyDescent="0.25">
      <c r="A198" s="6">
        <f t="shared" si="20"/>
        <v>197</v>
      </c>
      <c r="B198" s="4" t="s">
        <v>242</v>
      </c>
      <c r="C198" s="5">
        <v>2013</v>
      </c>
      <c r="D198" s="6" t="s">
        <v>6</v>
      </c>
      <c r="E198" s="7"/>
      <c r="G198" s="35">
        <v>6.805555555555555E-2</v>
      </c>
      <c r="H198" s="6" t="s">
        <v>33</v>
      </c>
      <c r="I198" s="57">
        <v>135000000</v>
      </c>
      <c r="J198" s="55">
        <v>587200000</v>
      </c>
      <c r="K198" s="53">
        <f t="shared" si="32"/>
        <v>452200000</v>
      </c>
      <c r="L198" s="23">
        <v>0</v>
      </c>
      <c r="M198" s="25" t="str">
        <f t="shared" si="33"/>
        <v>NÃO ASSISTIDO</v>
      </c>
      <c r="N198" s="6">
        <f t="shared" si="23"/>
        <v>197</v>
      </c>
    </row>
    <row r="199" spans="1:14" x14ac:dyDescent="0.25">
      <c r="A199" s="6">
        <f t="shared" si="20"/>
        <v>198</v>
      </c>
      <c r="B199" s="4" t="s">
        <v>252</v>
      </c>
      <c r="C199" s="5">
        <v>2020</v>
      </c>
      <c r="D199" s="6" t="s">
        <v>6</v>
      </c>
      <c r="E199" s="7"/>
      <c r="G199" s="35">
        <v>6.5972222222222224E-2</v>
      </c>
      <c r="H199" s="6" t="s">
        <v>33</v>
      </c>
      <c r="I199" s="57">
        <v>65000000</v>
      </c>
      <c r="J199" s="55">
        <v>216000000</v>
      </c>
      <c r="K199" s="53">
        <f>J199-I199</f>
        <v>151000000</v>
      </c>
      <c r="L199" s="23">
        <v>0</v>
      </c>
      <c r="M199" s="25" t="str">
        <f>IF(ISBLANK(F199),"NÃO ASSISTIDO","ASSISTIDO")</f>
        <v>NÃO ASSISTIDO</v>
      </c>
      <c r="N199" s="6">
        <f t="shared" si="23"/>
        <v>198</v>
      </c>
    </row>
    <row r="200" spans="1:14" x14ac:dyDescent="0.25">
      <c r="A200" s="6">
        <f>ROW()-1</f>
        <v>199</v>
      </c>
      <c r="B200" s="4" t="s">
        <v>253</v>
      </c>
      <c r="C200" s="5">
        <v>2021</v>
      </c>
      <c r="D200" s="6" t="s">
        <v>6</v>
      </c>
      <c r="E200" s="7"/>
      <c r="G200" s="35">
        <v>6.1111111111111116E-2</v>
      </c>
      <c r="H200" s="6" t="s">
        <v>33</v>
      </c>
      <c r="I200" s="57">
        <v>30000000</v>
      </c>
      <c r="J200" s="55">
        <v>42000000</v>
      </c>
      <c r="K200" s="53">
        <f>J200-I200</f>
        <v>12000000</v>
      </c>
      <c r="L200" s="23">
        <v>0</v>
      </c>
      <c r="M200" s="25" t="str">
        <f>IF(ISBLANK(F200),"NÃO ASSISTIDO","ASSISTIDO")</f>
        <v>NÃO ASSISTIDO</v>
      </c>
      <c r="N200" s="6">
        <f t="shared" si="23"/>
        <v>199</v>
      </c>
    </row>
    <row r="201" spans="1:14" x14ac:dyDescent="0.25">
      <c r="A201" s="6">
        <f t="shared" si="20"/>
        <v>200</v>
      </c>
      <c r="B201" s="4" t="s">
        <v>254</v>
      </c>
      <c r="C201" s="5">
        <v>2021</v>
      </c>
      <c r="D201" s="6" t="s">
        <v>6</v>
      </c>
      <c r="E201" s="7"/>
      <c r="G201" s="35">
        <v>7.4305555555555555E-2</v>
      </c>
      <c r="H201" s="6" t="s">
        <v>33</v>
      </c>
      <c r="I201" s="57">
        <v>82000000</v>
      </c>
      <c r="J201" s="55">
        <v>146800000</v>
      </c>
      <c r="K201" s="53">
        <f>J201-I201</f>
        <v>64800000</v>
      </c>
      <c r="L201" s="23">
        <v>0</v>
      </c>
      <c r="M201" s="25" t="str">
        <f>IF(ISBLANK(F201),"NÃO ASSISTIDO","ASSISTIDO")</f>
        <v>NÃO ASSISTIDO</v>
      </c>
      <c r="N201" s="6">
        <f t="shared" si="23"/>
        <v>200</v>
      </c>
    </row>
  </sheetData>
  <autoFilter ref="A1:L200" xr:uid="{B5A731FE-9613-428C-993D-C03F78E1A52D}"/>
  <mergeCells count="3">
    <mergeCell ref="S31:U31"/>
    <mergeCell ref="X76:Z76"/>
    <mergeCell ref="AC47:AE47"/>
  </mergeCells>
  <conditionalFormatting sqref="F1:F1048576">
    <cfRule type="cellIs" dxfId="16" priority="15" operator="greaterThanOrEqual">
      <formula>8</formula>
    </cfRule>
    <cfRule type="cellIs" dxfId="15" priority="16" operator="greaterThanOrEqual">
      <formula>5</formula>
    </cfRule>
    <cfRule type="cellIs" dxfId="14" priority="17" operator="greaterThanOrEqual">
      <formula>0</formula>
    </cfRule>
  </conditionalFormatting>
  <conditionalFormatting sqref="K1:K1048576">
    <cfRule type="cellIs" dxfId="13" priority="6" operator="equal">
      <formula>0</formula>
    </cfRule>
  </conditionalFormatting>
  <conditionalFormatting sqref="K2:K1048576">
    <cfRule type="cellIs" dxfId="12" priority="7" operator="lessThan">
      <formula>0</formula>
    </cfRule>
    <cfRule type="cellIs" dxfId="11" priority="8" operator="greaterThan">
      <formula>0</formula>
    </cfRule>
  </conditionalFormatting>
  <conditionalFormatting sqref="L1:L1048576">
    <cfRule type="cellIs" dxfId="10" priority="5" operator="equal">
      <formula>0</formula>
    </cfRule>
  </conditionalFormatting>
  <conditionalFormatting sqref="R1:R36 Q20:Q21 M1:M1048576 U32:U1048576 R60:R1048576 Z1:Z1048576 AE1:AE46 AE48:AE1048576">
    <cfRule type="cellIs" dxfId="9" priority="21" operator="equal">
      <formula>"NÃO ASSISTIDO"</formula>
    </cfRule>
    <cfRule type="cellIs" dxfId="8" priority="22" operator="equal">
      <formula>"ASSISTIDO"</formula>
    </cfRule>
  </conditionalFormatting>
  <conditionalFormatting sqref="U1:U30 Q12">
    <cfRule type="cellIs" dxfId="7" priority="19" operator="equal">
      <formula>"NÃO ASSISTIDO"</formula>
    </cfRule>
    <cfRule type="cellIs" dxfId="6" priority="20" operator="equal">
      <formula>"ASSISTIDO"</formula>
    </cfRule>
  </conditionalFormatting>
  <conditionalFormatting sqref="V5">
    <cfRule type="cellIs" dxfId="5" priority="13" operator="equal">
      <formula>"NÃO ASSISTIDO"</formula>
    </cfRule>
    <cfRule type="cellIs" dxfId="4" priority="14" operator="equal">
      <formula>"ASSISTIDO"</formula>
    </cfRule>
  </conditionalFormatting>
  <conditionalFormatting sqref="AA5">
    <cfRule type="cellIs" dxfId="3" priority="9" operator="equal">
      <formula>"NÃO ASSISTIDO"</formula>
    </cfRule>
    <cfRule type="cellIs" dxfId="2" priority="10" operator="equal">
      <formula>"ASSISTIDO"</formula>
    </cfRule>
  </conditionalFormatting>
  <conditionalFormatting sqref="AF5">
    <cfRule type="cellIs" dxfId="1" priority="1" operator="equal">
      <formula>"NÃO ASSISTIDO"</formula>
    </cfRule>
    <cfRule type="cellIs" dxfId="0" priority="2" operator="equal">
      <formula>"ASSISTIDO"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2023-02-26T15:24:53Z</dcterms:created>
  <dcterms:modified xsi:type="dcterms:W3CDTF">2023-07-30T13:35:05Z</dcterms:modified>
</cp:coreProperties>
</file>