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https://d.docs.live.net/aaf923baab9001f8/Documents/"/>
    </mc:Choice>
  </mc:AlternateContent>
  <xr:revisionPtr revIDLastSave="791" documentId="8_{B6E76CF8-B35E-974B-BCC8-1F343252A9E8}" xr6:coauthVersionLast="47" xr6:coauthVersionMax="47" xr10:uidLastSave="{23B83FF4-A501-FE48-BD9E-1DECADEF766B}"/>
  <bookViews>
    <workbookView xWindow="4320" yWindow="1300" windowWidth="23080" windowHeight="16080" activeTab="4" xr2:uid="{00000000-000D-0000-FFFF-FFFF00000000}"/>
  </bookViews>
  <sheets>
    <sheet name="Correlation" sheetId="11" r:id="rId1"/>
    <sheet name="Regression" sheetId="12" r:id="rId2"/>
    <sheet name="Table1 (problem1 data)" sheetId="9" r:id="rId3"/>
    <sheet name="Regression (Dummy)" sheetId="15" r:id="rId4"/>
    <sheet name="Table1 (Dummy)" sheetId="13" r:id="rId5"/>
    <sheet name="Time-Series" sheetId="18" r:id="rId6"/>
    <sheet name="Table2 (problem 2 data)"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 i="9" l="1"/>
  <c r="I3" i="9"/>
  <c r="H3" i="9"/>
  <c r="G2" i="9"/>
  <c r="H3" i="10" a="1"/>
  <c r="H3" i="10" s="1"/>
  <c r="I3" i="10" s="1"/>
  <c r="H4" i="10" a="1"/>
  <c r="H4" i="10" s="1"/>
  <c r="I4" i="10" s="1"/>
  <c r="H5" i="10" a="1"/>
  <c r="H5" i="10" s="1"/>
  <c r="I5" i="10" s="1"/>
  <c r="H6" i="10" a="1"/>
  <c r="H6" i="10" s="1"/>
  <c r="I6" i="10" s="1"/>
  <c r="H7" i="10" a="1"/>
  <c r="H7" i="10" s="1"/>
  <c r="I7" i="10" s="1"/>
  <c r="H8" i="10" a="1"/>
  <c r="H8" i="10" s="1"/>
  <c r="H9" i="10" a="1"/>
  <c r="H9" i="10" s="1"/>
  <c r="I9" i="10" s="1"/>
  <c r="H10" i="10" a="1"/>
  <c r="H10" i="10" s="1"/>
  <c r="I10" i="10" s="1"/>
  <c r="H11" i="10" a="1"/>
  <c r="H11" i="10" s="1"/>
  <c r="I11" i="10" s="1"/>
  <c r="H12" i="10" a="1"/>
  <c r="H12" i="10" s="1"/>
  <c r="H13" i="10" a="1"/>
  <c r="H13" i="10" s="1"/>
  <c r="I13" i="10" s="1"/>
  <c r="H14" i="10" a="1"/>
  <c r="H14" i="10" s="1"/>
  <c r="I14" i="10" s="1"/>
  <c r="H15" i="10" a="1"/>
  <c r="H15" i="10" s="1"/>
  <c r="I15" i="10" s="1"/>
  <c r="H16" i="10" a="1"/>
  <c r="H16" i="10" s="1"/>
  <c r="H17" i="10" a="1"/>
  <c r="H17" i="10" s="1"/>
  <c r="I17" i="10" s="1"/>
  <c r="H18" i="10" a="1"/>
  <c r="H18" i="10" s="1"/>
  <c r="I18" i="10" s="1"/>
  <c r="H19" i="10" a="1"/>
  <c r="H19" i="10" s="1"/>
  <c r="I19" i="10" s="1"/>
  <c r="H20" i="10" a="1"/>
  <c r="H20" i="10" s="1"/>
  <c r="H21" i="10" a="1"/>
  <c r="H21" i="10" s="1"/>
  <c r="I21" i="10" s="1"/>
  <c r="H22" i="10" a="1"/>
  <c r="H22" i="10" s="1"/>
  <c r="I22" i="10" s="1"/>
  <c r="H23" i="10" a="1"/>
  <c r="H23" i="10" s="1"/>
  <c r="I23" i="10" s="1"/>
  <c r="H24" i="10" a="1"/>
  <c r="H24" i="10" s="1"/>
  <c r="H25" i="10" a="1"/>
  <c r="H25" i="10" s="1"/>
  <c r="I25" i="10" s="1"/>
  <c r="H26" i="10" a="1"/>
  <c r="H26" i="10" s="1"/>
  <c r="I26" i="10" s="1"/>
  <c r="H27" i="10" a="1"/>
  <c r="H27" i="10" s="1"/>
  <c r="I27" i="10" s="1"/>
  <c r="H28" i="10" a="1"/>
  <c r="H28" i="10" s="1"/>
  <c r="H29" i="10" a="1"/>
  <c r="H29" i="10" s="1"/>
  <c r="I29" i="10" s="1"/>
  <c r="H30" i="10" a="1"/>
  <c r="H30" i="10" s="1"/>
  <c r="I30" i="10" s="1"/>
  <c r="H31" i="10" a="1"/>
  <c r="H31" i="10" s="1"/>
  <c r="I31" i="10" s="1"/>
  <c r="H32" i="10" a="1"/>
  <c r="H32" i="10" s="1"/>
  <c r="H33" i="10" a="1"/>
  <c r="H33" i="10" s="1"/>
  <c r="I33" i="10" s="1"/>
  <c r="H34" i="10" a="1"/>
  <c r="H34" i="10" s="1"/>
  <c r="I34" i="10" s="1"/>
  <c r="H35" i="10" a="1"/>
  <c r="H35" i="10" s="1"/>
  <c r="I35" i="10" s="1"/>
  <c r="H36" i="10" a="1"/>
  <c r="H36" i="10" s="1"/>
  <c r="H37" i="10" a="1"/>
  <c r="H37" i="10" s="1"/>
  <c r="I37" i="10" s="1"/>
  <c r="H38" i="10" a="1"/>
  <c r="H38" i="10" s="1"/>
  <c r="I38" i="10" s="1"/>
  <c r="H39" i="10" a="1"/>
  <c r="H39" i="10" s="1"/>
  <c r="I39" i="10" s="1"/>
  <c r="H40" i="10" a="1"/>
  <c r="H40" i="10" s="1"/>
  <c r="H41" i="10" a="1"/>
  <c r="H41" i="10" s="1"/>
  <c r="I41" i="10" s="1"/>
  <c r="H42" i="10" a="1"/>
  <c r="H42" i="10" s="1"/>
  <c r="I42" i="10" s="1"/>
  <c r="H43" i="10" a="1"/>
  <c r="H43" i="10" s="1"/>
  <c r="I43" i="10" s="1"/>
  <c r="H44" i="10" a="1"/>
  <c r="H44" i="10" s="1"/>
  <c r="H45" i="10" a="1"/>
  <c r="H45" i="10" s="1"/>
  <c r="I45" i="10" s="1"/>
  <c r="H46" i="10" a="1"/>
  <c r="H46" i="10" s="1"/>
  <c r="I46" i="10" s="1"/>
  <c r="H47" i="10" a="1"/>
  <c r="H47" i="10" s="1"/>
  <c r="I47" i="10" s="1"/>
  <c r="H48" i="10" a="1"/>
  <c r="H48" i="10" s="1"/>
  <c r="H49" i="10" a="1"/>
  <c r="H49" i="10" s="1"/>
  <c r="I49" i="10" s="1"/>
  <c r="H50" i="10" a="1"/>
  <c r="H50" i="10" s="1"/>
  <c r="I50" i="10" s="1"/>
  <c r="H51" i="10" a="1"/>
  <c r="H51" i="10" s="1"/>
  <c r="I51" i="10" s="1"/>
  <c r="H52" i="10" a="1"/>
  <c r="H52" i="10" s="1"/>
  <c r="H53" i="10" a="1"/>
  <c r="H53" i="10" s="1"/>
  <c r="I53" i="10" s="1"/>
  <c r="H54" i="10" a="1"/>
  <c r="H54" i="10" s="1"/>
  <c r="I54" i="10" s="1"/>
  <c r="H55" i="10" a="1"/>
  <c r="H55" i="10" s="1"/>
  <c r="I55" i="10" s="1"/>
  <c r="H56" i="10" a="1"/>
  <c r="H56" i="10" s="1"/>
  <c r="H57" i="10" a="1"/>
  <c r="H57" i="10" s="1"/>
  <c r="I57" i="10" s="1"/>
  <c r="H58" i="10" a="1"/>
  <c r="H58" i="10" s="1"/>
  <c r="I58" i="10" s="1"/>
  <c r="H59" i="10" a="1"/>
  <c r="H59" i="10" s="1"/>
  <c r="I59" i="10" s="1"/>
  <c r="H60" i="10" a="1"/>
  <c r="H60" i="10" s="1"/>
  <c r="H61" i="10" a="1"/>
  <c r="H61" i="10" s="1"/>
  <c r="I61" i="10" s="1"/>
  <c r="H62" i="10" a="1"/>
  <c r="H62" i="10" s="1"/>
  <c r="I62" i="10" s="1"/>
  <c r="H63" i="10" a="1"/>
  <c r="H63" i="10" s="1"/>
  <c r="I63" i="10" s="1"/>
  <c r="H64" i="10" a="1"/>
  <c r="H64" i="10" s="1"/>
  <c r="I64" i="10" s="1"/>
  <c r="H65" i="10" a="1"/>
  <c r="H65" i="10" s="1"/>
  <c r="I65" i="10" s="1"/>
  <c r="H66" i="10" a="1"/>
  <c r="H66" i="10" s="1"/>
  <c r="I66" i="10" s="1"/>
  <c r="H67" i="10" a="1"/>
  <c r="H67" i="10" s="1"/>
  <c r="I67" i="10" s="1"/>
  <c r="H68" i="10" a="1"/>
  <c r="H68" i="10" s="1"/>
  <c r="I68" i="10" s="1"/>
  <c r="H69" i="10" a="1"/>
  <c r="H69" i="10" s="1"/>
  <c r="I69" i="10" s="1"/>
  <c r="H70" i="10" a="1"/>
  <c r="H70" i="10" s="1"/>
  <c r="I70" i="10" s="1"/>
  <c r="H71" i="10" a="1"/>
  <c r="H71" i="10" s="1"/>
  <c r="I71" i="10" s="1"/>
  <c r="H72" i="10" a="1"/>
  <c r="H72" i="10" s="1"/>
  <c r="I72" i="10" s="1"/>
  <c r="H73" i="10" a="1"/>
  <c r="H73" i="10" s="1"/>
  <c r="I73" i="10" s="1"/>
  <c r="H74" i="10" a="1"/>
  <c r="H74" i="10" s="1"/>
  <c r="I74" i="10" s="1"/>
  <c r="H75" i="10" a="1"/>
  <c r="H75" i="10" s="1"/>
  <c r="I75" i="10" s="1"/>
  <c r="H76" i="10" a="1"/>
  <c r="H76" i="10" s="1"/>
  <c r="I76" i="10" s="1"/>
  <c r="H77" i="10" a="1"/>
  <c r="H77" i="10" s="1"/>
  <c r="I77" i="10" s="1"/>
  <c r="H78" i="10" a="1"/>
  <c r="H78" i="10" s="1"/>
  <c r="I78" i="10" s="1"/>
  <c r="H79" i="10" a="1"/>
  <c r="H79" i="10" s="1"/>
  <c r="I79" i="10" s="1"/>
  <c r="H80" i="10" a="1"/>
  <c r="H80" i="10" s="1"/>
  <c r="I80" i="10" s="1"/>
  <c r="H81" i="10" a="1"/>
  <c r="H81" i="10" s="1"/>
  <c r="I81" i="10" s="1"/>
  <c r="H82" i="10" a="1"/>
  <c r="H82" i="10" s="1"/>
  <c r="I82" i="10" s="1"/>
  <c r="H83" i="10" a="1"/>
  <c r="H83" i="10" s="1"/>
  <c r="I83" i="10" s="1"/>
  <c r="H84" i="10" a="1"/>
  <c r="H84" i="10" s="1"/>
  <c r="I84" i="10" s="1"/>
  <c r="H85" i="10" a="1"/>
  <c r="H85" i="10" s="1"/>
  <c r="I85" i="10" s="1"/>
  <c r="H86" i="10" a="1"/>
  <c r="H86" i="10" s="1"/>
  <c r="I86" i="10" s="1"/>
  <c r="H87" i="10" a="1"/>
  <c r="H87" i="10" s="1"/>
  <c r="I87" i="10" s="1"/>
  <c r="H88" i="10" a="1"/>
  <c r="H88" i="10" s="1"/>
  <c r="I88" i="10" s="1"/>
  <c r="H89" i="10" a="1"/>
  <c r="H89" i="10" s="1"/>
  <c r="I89" i="10" s="1"/>
  <c r="H2" i="10" a="1"/>
  <c r="H2" i="10" s="1"/>
  <c r="I2" i="10" s="1"/>
  <c r="M5" i="10"/>
  <c r="M4" i="10"/>
  <c r="M3" i="10"/>
  <c r="M2" i="10"/>
  <c r="T68" i="10"/>
  <c r="T46" i="10"/>
  <c r="T24" i="10"/>
  <c r="S68" i="10"/>
  <c r="S46" i="10"/>
  <c r="S24" i="10"/>
  <c r="R68" i="10"/>
  <c r="R46" i="10"/>
  <c r="R24" i="10"/>
  <c r="T2" i="10"/>
  <c r="S2" i="10"/>
  <c r="R2" i="10"/>
  <c r="Q68" i="10"/>
  <c r="Q2" i="10"/>
  <c r="Q24" i="10"/>
  <c r="Q46" i="10"/>
  <c r="G87" i="10"/>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4" i="10"/>
  <c r="F87"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4" i="10"/>
  <c r="E87"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3" i="10"/>
  <c r="I60" i="10" l="1"/>
  <c r="I56" i="10"/>
  <c r="I52" i="10"/>
  <c r="I48" i="10"/>
  <c r="I44" i="10"/>
  <c r="I40" i="10"/>
  <c r="I36" i="10"/>
  <c r="I32" i="10"/>
  <c r="I28" i="10"/>
  <c r="I24" i="10"/>
  <c r="I20" i="10"/>
  <c r="I16" i="10"/>
  <c r="I12" i="10"/>
  <c r="I8" i="10"/>
  <c r="B13" i="10" l="1"/>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3" i="10"/>
  <c r="B4" i="10"/>
  <c r="B5" i="10"/>
  <c r="B6" i="10"/>
  <c r="B7" i="10"/>
  <c r="B8" i="10"/>
  <c r="B9" i="10"/>
  <c r="B10" i="10"/>
  <c r="B11" i="10"/>
  <c r="B12" i="10"/>
  <c r="B2" i="10"/>
  <c r="I56" i="15"/>
  <c r="F91" i="15"/>
  <c r="D91"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39"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38" i="15"/>
  <c r="K8" i="15"/>
  <c r="K7" i="15"/>
  <c r="I8" i="15"/>
  <c r="J7" i="15"/>
  <c r="L7" i="12"/>
  <c r="I7" i="15"/>
  <c r="K5" i="15"/>
  <c r="J5" i="15"/>
  <c r="I5" i="15"/>
  <c r="K4" i="15"/>
  <c r="J4" i="15"/>
  <c r="I4" i="15"/>
  <c r="L53" i="15"/>
  <c r="K53" i="15"/>
  <c r="L37" i="15"/>
  <c r="Q36" i="15" s="1"/>
  <c r="Q37" i="15" s="1"/>
  <c r="L38" i="15"/>
  <c r="L39" i="15"/>
  <c r="L40" i="15"/>
  <c r="L41" i="15"/>
  <c r="L42" i="15"/>
  <c r="L43" i="15"/>
  <c r="L44" i="15"/>
  <c r="L45" i="15"/>
  <c r="L46" i="15"/>
  <c r="L47" i="15"/>
  <c r="L48" i="15"/>
  <c r="L49" i="15"/>
  <c r="L50" i="15"/>
  <c r="L36" i="15"/>
  <c r="G2" i="13"/>
  <c r="H2" i="13"/>
  <c r="I2" i="13"/>
  <c r="J2" i="13"/>
  <c r="K2" i="13"/>
  <c r="L2" i="13"/>
  <c r="M2" i="13"/>
  <c r="N2" i="13"/>
  <c r="O2" i="13"/>
  <c r="P2" i="13"/>
  <c r="Q2" i="13"/>
  <c r="G3" i="13"/>
  <c r="H3" i="13"/>
  <c r="I3" i="13"/>
  <c r="J3" i="13"/>
  <c r="K3" i="13"/>
  <c r="L3" i="13"/>
  <c r="M3" i="13"/>
  <c r="N3" i="13"/>
  <c r="O3" i="13"/>
  <c r="P3" i="13"/>
  <c r="Q3" i="13"/>
  <c r="G4" i="13"/>
  <c r="H4" i="13"/>
  <c r="I4" i="13"/>
  <c r="J4" i="13"/>
  <c r="K4" i="13"/>
  <c r="L4" i="13"/>
  <c r="M4" i="13"/>
  <c r="N4" i="13"/>
  <c r="O4" i="13"/>
  <c r="P4" i="13"/>
  <c r="Q4" i="13"/>
  <c r="G5" i="13"/>
  <c r="H5" i="13"/>
  <c r="I5" i="13"/>
  <c r="J5" i="13"/>
  <c r="K5" i="13"/>
  <c r="L5" i="13"/>
  <c r="M5" i="13"/>
  <c r="N5" i="13"/>
  <c r="O5" i="13"/>
  <c r="P5" i="13"/>
  <c r="Q5" i="13"/>
  <c r="G6" i="13"/>
  <c r="H6" i="13"/>
  <c r="I6" i="13"/>
  <c r="J6" i="13"/>
  <c r="K6" i="13"/>
  <c r="L6" i="13"/>
  <c r="M6" i="13"/>
  <c r="N6" i="13"/>
  <c r="O6" i="13"/>
  <c r="P6" i="13"/>
  <c r="Q6" i="13"/>
  <c r="G7" i="13"/>
  <c r="H7" i="13"/>
  <c r="I7" i="13"/>
  <c r="J7" i="13"/>
  <c r="K7" i="13"/>
  <c r="L7" i="13"/>
  <c r="M7" i="13"/>
  <c r="N7" i="13"/>
  <c r="O7" i="13"/>
  <c r="P7" i="13"/>
  <c r="Q7" i="13"/>
  <c r="G8" i="13"/>
  <c r="H8" i="13"/>
  <c r="I8" i="13"/>
  <c r="J8" i="13"/>
  <c r="K8" i="13"/>
  <c r="L8" i="13"/>
  <c r="M8" i="13"/>
  <c r="N8" i="13"/>
  <c r="O8" i="13"/>
  <c r="P8" i="13"/>
  <c r="Q8" i="13"/>
  <c r="G9" i="13"/>
  <c r="H9" i="13"/>
  <c r="I9" i="13"/>
  <c r="J9" i="13"/>
  <c r="K9" i="13"/>
  <c r="L9" i="13"/>
  <c r="M9" i="13"/>
  <c r="N9" i="13"/>
  <c r="O9" i="13"/>
  <c r="P9" i="13"/>
  <c r="Q9" i="13"/>
  <c r="G10" i="13"/>
  <c r="H10" i="13"/>
  <c r="I10" i="13"/>
  <c r="J10" i="13"/>
  <c r="K10" i="13"/>
  <c r="L10" i="13"/>
  <c r="M10" i="13"/>
  <c r="N10" i="13"/>
  <c r="O10" i="13"/>
  <c r="P10" i="13"/>
  <c r="Q10" i="13"/>
  <c r="G11" i="13"/>
  <c r="H11" i="13"/>
  <c r="I11" i="13"/>
  <c r="J11" i="13"/>
  <c r="K11" i="13"/>
  <c r="L11" i="13"/>
  <c r="M11" i="13"/>
  <c r="N11" i="13"/>
  <c r="O11" i="13"/>
  <c r="P11" i="13"/>
  <c r="Q11" i="13"/>
  <c r="G12" i="13"/>
  <c r="H12" i="13"/>
  <c r="I12" i="13"/>
  <c r="J12" i="13"/>
  <c r="K12" i="13"/>
  <c r="L12" i="13"/>
  <c r="M12" i="13"/>
  <c r="N12" i="13"/>
  <c r="O12" i="13"/>
  <c r="P12" i="13"/>
  <c r="Q12" i="13"/>
  <c r="G13" i="13"/>
  <c r="H13" i="13"/>
  <c r="I13" i="13"/>
  <c r="J13" i="13"/>
  <c r="K13" i="13"/>
  <c r="L13" i="13"/>
  <c r="M13" i="13"/>
  <c r="N13" i="13"/>
  <c r="O13" i="13"/>
  <c r="P13" i="13"/>
  <c r="Q13" i="13"/>
  <c r="G14" i="13"/>
  <c r="H14" i="13"/>
  <c r="I14" i="13"/>
  <c r="J14" i="13"/>
  <c r="K14" i="13"/>
  <c r="L14" i="13"/>
  <c r="M14" i="13"/>
  <c r="N14" i="13"/>
  <c r="O14" i="13"/>
  <c r="P14" i="13"/>
  <c r="Q14" i="13"/>
  <c r="G15" i="13"/>
  <c r="H15" i="13"/>
  <c r="I15" i="13"/>
  <c r="J15" i="13"/>
  <c r="K15" i="13"/>
  <c r="L15" i="13"/>
  <c r="M15" i="13"/>
  <c r="N15" i="13"/>
  <c r="O15" i="13"/>
  <c r="P15" i="13"/>
  <c r="Q15" i="13"/>
  <c r="G16" i="13"/>
  <c r="H16" i="13"/>
  <c r="I16" i="13"/>
  <c r="J16" i="13"/>
  <c r="K16" i="13"/>
  <c r="L16" i="13"/>
  <c r="M16" i="13"/>
  <c r="N16" i="13"/>
  <c r="O16" i="13"/>
  <c r="P16" i="13"/>
  <c r="Q16" i="13"/>
  <c r="G17" i="13"/>
  <c r="H17" i="13"/>
  <c r="I17" i="13"/>
  <c r="J17" i="13"/>
  <c r="K17" i="13"/>
  <c r="L17" i="13"/>
  <c r="M17" i="13"/>
  <c r="N17" i="13"/>
  <c r="O17" i="13"/>
  <c r="P17" i="13"/>
  <c r="Q17" i="13"/>
  <c r="G18" i="13"/>
  <c r="H18" i="13"/>
  <c r="I18" i="13"/>
  <c r="J18" i="13"/>
  <c r="K18" i="13"/>
  <c r="L18" i="13"/>
  <c r="M18" i="13"/>
  <c r="N18" i="13"/>
  <c r="O18" i="13"/>
  <c r="P18" i="13"/>
  <c r="Q18" i="13"/>
  <c r="G19" i="13"/>
  <c r="H19" i="13"/>
  <c r="I19" i="13"/>
  <c r="J19" i="13"/>
  <c r="K19" i="13"/>
  <c r="L19" i="13"/>
  <c r="M19" i="13"/>
  <c r="N19" i="13"/>
  <c r="O19" i="13"/>
  <c r="P19" i="13"/>
  <c r="Q19" i="13"/>
  <c r="G20" i="13"/>
  <c r="H20" i="13"/>
  <c r="I20" i="13"/>
  <c r="J20" i="13"/>
  <c r="K20" i="13"/>
  <c r="L20" i="13"/>
  <c r="M20" i="13"/>
  <c r="N20" i="13"/>
  <c r="O20" i="13"/>
  <c r="P20" i="13"/>
  <c r="Q20" i="13"/>
  <c r="G21" i="13"/>
  <c r="H21" i="13"/>
  <c r="I21" i="13"/>
  <c r="J21" i="13"/>
  <c r="K21" i="13"/>
  <c r="L21" i="13"/>
  <c r="M21" i="13"/>
  <c r="N21" i="13"/>
  <c r="O21" i="13"/>
  <c r="P21" i="13"/>
  <c r="Q21" i="13"/>
  <c r="G22" i="13"/>
  <c r="H22" i="13"/>
  <c r="I22" i="13"/>
  <c r="J22" i="13"/>
  <c r="K22" i="13"/>
  <c r="L22" i="13"/>
  <c r="M22" i="13"/>
  <c r="N22" i="13"/>
  <c r="O22" i="13"/>
  <c r="P22" i="13"/>
  <c r="Q22" i="13"/>
  <c r="G23" i="13"/>
  <c r="H23" i="13"/>
  <c r="I23" i="13"/>
  <c r="J23" i="13"/>
  <c r="K23" i="13"/>
  <c r="L23" i="13"/>
  <c r="M23" i="13"/>
  <c r="N23" i="13"/>
  <c r="O23" i="13"/>
  <c r="P23" i="13"/>
  <c r="Q23" i="13"/>
  <c r="G24" i="13"/>
  <c r="H24" i="13"/>
  <c r="I24" i="13"/>
  <c r="J24" i="13"/>
  <c r="K24" i="13"/>
  <c r="L24" i="13"/>
  <c r="M24" i="13"/>
  <c r="N24" i="13"/>
  <c r="O24" i="13"/>
  <c r="P24" i="13"/>
  <c r="Q24" i="13"/>
  <c r="G25" i="13"/>
  <c r="H25" i="13"/>
  <c r="I25" i="13"/>
  <c r="J25" i="13"/>
  <c r="K25" i="13"/>
  <c r="L25" i="13"/>
  <c r="M25" i="13"/>
  <c r="N25" i="13"/>
  <c r="O25" i="13"/>
  <c r="P25" i="13"/>
  <c r="Q25" i="13"/>
  <c r="G26" i="13"/>
  <c r="H26" i="13"/>
  <c r="I26" i="13"/>
  <c r="J26" i="13"/>
  <c r="K26" i="13"/>
  <c r="L26" i="13"/>
  <c r="M26" i="13"/>
  <c r="N26" i="13"/>
  <c r="O26" i="13"/>
  <c r="P26" i="13"/>
  <c r="Q26" i="13"/>
  <c r="G27" i="13"/>
  <c r="H27" i="13"/>
  <c r="I27" i="13"/>
  <c r="J27" i="13"/>
  <c r="K27" i="13"/>
  <c r="L27" i="13"/>
  <c r="M27" i="13"/>
  <c r="N27" i="13"/>
  <c r="O27" i="13"/>
  <c r="P27" i="13"/>
  <c r="Q27" i="13"/>
  <c r="G28" i="13"/>
  <c r="H28" i="13"/>
  <c r="I28" i="13"/>
  <c r="J28" i="13"/>
  <c r="K28" i="13"/>
  <c r="L28" i="13"/>
  <c r="M28" i="13"/>
  <c r="N28" i="13"/>
  <c r="O28" i="13"/>
  <c r="P28" i="13"/>
  <c r="Q28" i="13"/>
  <c r="G29" i="13"/>
  <c r="H29" i="13"/>
  <c r="I29" i="13"/>
  <c r="J29" i="13"/>
  <c r="K29" i="13"/>
  <c r="L29" i="13"/>
  <c r="M29" i="13"/>
  <c r="N29" i="13"/>
  <c r="O29" i="13"/>
  <c r="P29" i="13"/>
  <c r="Q29" i="13"/>
  <c r="G30" i="13"/>
  <c r="H30" i="13"/>
  <c r="I30" i="13"/>
  <c r="J30" i="13"/>
  <c r="K30" i="13"/>
  <c r="L30" i="13"/>
  <c r="M30" i="13"/>
  <c r="N30" i="13"/>
  <c r="O30" i="13"/>
  <c r="P30" i="13"/>
  <c r="Q30" i="13"/>
  <c r="G31" i="13"/>
  <c r="H31" i="13"/>
  <c r="I31" i="13"/>
  <c r="J31" i="13"/>
  <c r="K31" i="13"/>
  <c r="L31" i="13"/>
  <c r="M31" i="13"/>
  <c r="N31" i="13"/>
  <c r="O31" i="13"/>
  <c r="P31" i="13"/>
  <c r="Q31" i="13"/>
  <c r="G32" i="13"/>
  <c r="H32" i="13"/>
  <c r="I32" i="13"/>
  <c r="J32" i="13"/>
  <c r="K32" i="13"/>
  <c r="L32" i="13"/>
  <c r="M32" i="13"/>
  <c r="N32" i="13"/>
  <c r="O32" i="13"/>
  <c r="P32" i="13"/>
  <c r="Q32" i="13"/>
  <c r="G33" i="13"/>
  <c r="H33" i="13"/>
  <c r="I33" i="13"/>
  <c r="J33" i="13"/>
  <c r="K33" i="13"/>
  <c r="L33" i="13"/>
  <c r="M33" i="13"/>
  <c r="N33" i="13"/>
  <c r="O33" i="13"/>
  <c r="P33" i="13"/>
  <c r="Q33" i="13"/>
  <c r="G34" i="13"/>
  <c r="H34" i="13"/>
  <c r="I34" i="13"/>
  <c r="J34" i="13"/>
  <c r="K34" i="13"/>
  <c r="L34" i="13"/>
  <c r="M34" i="13"/>
  <c r="N34" i="13"/>
  <c r="O34" i="13"/>
  <c r="P34" i="13"/>
  <c r="Q34" i="13"/>
  <c r="G35" i="13"/>
  <c r="H35" i="13"/>
  <c r="I35" i="13"/>
  <c r="J35" i="13"/>
  <c r="K35" i="13"/>
  <c r="L35" i="13"/>
  <c r="M35" i="13"/>
  <c r="N35" i="13"/>
  <c r="O35" i="13"/>
  <c r="P35" i="13"/>
  <c r="Q35" i="13"/>
  <c r="G36" i="13"/>
  <c r="H36" i="13"/>
  <c r="I36" i="13"/>
  <c r="J36" i="13"/>
  <c r="K36" i="13"/>
  <c r="L36" i="13"/>
  <c r="M36" i="13"/>
  <c r="N36" i="13"/>
  <c r="O36" i="13"/>
  <c r="P36" i="13"/>
  <c r="Q36" i="13"/>
  <c r="G37" i="13"/>
  <c r="H37" i="13"/>
  <c r="I37" i="13"/>
  <c r="J37" i="13"/>
  <c r="K37" i="13"/>
  <c r="L37" i="13"/>
  <c r="M37" i="13"/>
  <c r="N37" i="13"/>
  <c r="O37" i="13"/>
  <c r="P37" i="13"/>
  <c r="Q37" i="13"/>
  <c r="G38" i="13"/>
  <c r="H38" i="13"/>
  <c r="I38" i="13"/>
  <c r="J38" i="13"/>
  <c r="K38" i="13"/>
  <c r="L38" i="13"/>
  <c r="M38" i="13"/>
  <c r="N38" i="13"/>
  <c r="O38" i="13"/>
  <c r="P38" i="13"/>
  <c r="Q38" i="13"/>
  <c r="G39" i="13"/>
  <c r="H39" i="13"/>
  <c r="I39" i="13"/>
  <c r="J39" i="13"/>
  <c r="K39" i="13"/>
  <c r="L39" i="13"/>
  <c r="M39" i="13"/>
  <c r="N39" i="13"/>
  <c r="O39" i="13"/>
  <c r="P39" i="13"/>
  <c r="Q39" i="13"/>
  <c r="G40" i="13"/>
  <c r="H40" i="13"/>
  <c r="I40" i="13"/>
  <c r="J40" i="13"/>
  <c r="K40" i="13"/>
  <c r="L40" i="13"/>
  <c r="M40" i="13"/>
  <c r="N40" i="13"/>
  <c r="O40" i="13"/>
  <c r="P40" i="13"/>
  <c r="Q40" i="13"/>
  <c r="G41" i="13"/>
  <c r="H41" i="13"/>
  <c r="I41" i="13"/>
  <c r="J41" i="13"/>
  <c r="K41" i="13"/>
  <c r="L41" i="13"/>
  <c r="M41" i="13"/>
  <c r="N41" i="13"/>
  <c r="O41" i="13"/>
  <c r="P41" i="13"/>
  <c r="Q41" i="13"/>
  <c r="G42" i="13"/>
  <c r="H42" i="13"/>
  <c r="I42" i="13"/>
  <c r="J42" i="13"/>
  <c r="K42" i="13"/>
  <c r="L42" i="13"/>
  <c r="M42" i="13"/>
  <c r="N42" i="13"/>
  <c r="O42" i="13"/>
  <c r="P42" i="13"/>
  <c r="Q42" i="13"/>
  <c r="G43" i="13"/>
  <c r="H43" i="13"/>
  <c r="I43" i="13"/>
  <c r="J43" i="13"/>
  <c r="K43" i="13"/>
  <c r="L43" i="13"/>
  <c r="M43" i="13"/>
  <c r="N43" i="13"/>
  <c r="O43" i="13"/>
  <c r="P43" i="13"/>
  <c r="Q43" i="13"/>
  <c r="G44" i="13"/>
  <c r="H44" i="13"/>
  <c r="I44" i="13"/>
  <c r="J44" i="13"/>
  <c r="K44" i="13"/>
  <c r="L44" i="13"/>
  <c r="M44" i="13"/>
  <c r="N44" i="13"/>
  <c r="O44" i="13"/>
  <c r="P44" i="13"/>
  <c r="Q44" i="13"/>
  <c r="G45" i="13"/>
  <c r="H45" i="13"/>
  <c r="I45" i="13"/>
  <c r="J45" i="13"/>
  <c r="K45" i="13"/>
  <c r="L45" i="13"/>
  <c r="M45" i="13"/>
  <c r="N45" i="13"/>
  <c r="O45" i="13"/>
  <c r="P45" i="13"/>
  <c r="Q45" i="13"/>
  <c r="G46" i="13"/>
  <c r="H46" i="13"/>
  <c r="I46" i="13"/>
  <c r="J46" i="13"/>
  <c r="K46" i="13"/>
  <c r="L46" i="13"/>
  <c r="M46" i="13"/>
  <c r="N46" i="13"/>
  <c r="O46" i="13"/>
  <c r="P46" i="13"/>
  <c r="Q46" i="13"/>
  <c r="G47" i="13"/>
  <c r="H47" i="13"/>
  <c r="I47" i="13"/>
  <c r="J47" i="13"/>
  <c r="K47" i="13"/>
  <c r="L47" i="13"/>
  <c r="M47" i="13"/>
  <c r="N47" i="13"/>
  <c r="O47" i="13"/>
  <c r="P47" i="13"/>
  <c r="Q47" i="13"/>
  <c r="G48" i="13"/>
  <c r="H48" i="13"/>
  <c r="I48" i="13"/>
  <c r="J48" i="13"/>
  <c r="K48" i="13"/>
  <c r="L48" i="13"/>
  <c r="M48" i="13"/>
  <c r="N48" i="13"/>
  <c r="O48" i="13"/>
  <c r="P48" i="13"/>
  <c r="Q48" i="13"/>
  <c r="G49" i="13"/>
  <c r="H49" i="13"/>
  <c r="I49" i="13"/>
  <c r="J49" i="13"/>
  <c r="K49" i="13"/>
  <c r="L49" i="13"/>
  <c r="M49" i="13"/>
  <c r="N49" i="13"/>
  <c r="O49" i="13"/>
  <c r="P49" i="13"/>
  <c r="Q49" i="13"/>
  <c r="G50" i="13"/>
  <c r="H50" i="13"/>
  <c r="I50" i="13"/>
  <c r="J50" i="13"/>
  <c r="K50" i="13"/>
  <c r="L50" i="13"/>
  <c r="M50" i="13"/>
  <c r="N50" i="13"/>
  <c r="O50" i="13"/>
  <c r="P50" i="13"/>
  <c r="Q50" i="13"/>
  <c r="G51" i="13"/>
  <c r="H51" i="13"/>
  <c r="I51" i="13"/>
  <c r="J51" i="13"/>
  <c r="K51" i="13"/>
  <c r="L51" i="13"/>
  <c r="M51" i="13"/>
  <c r="N51" i="13"/>
  <c r="O51" i="13"/>
  <c r="P51" i="13"/>
  <c r="Q51" i="13"/>
  <c r="G52" i="13"/>
  <c r="H52" i="13"/>
  <c r="I52" i="13"/>
  <c r="J52" i="13"/>
  <c r="K52" i="13"/>
  <c r="L52" i="13"/>
  <c r="M52" i="13"/>
  <c r="N52" i="13"/>
  <c r="O52" i="13"/>
  <c r="P52" i="13"/>
  <c r="Q52" i="13"/>
  <c r="G53" i="13"/>
  <c r="H53" i="13"/>
  <c r="I53" i="13"/>
  <c r="J53" i="13"/>
  <c r="K53" i="13"/>
  <c r="L53" i="13"/>
  <c r="M53" i="13"/>
  <c r="N53" i="13"/>
  <c r="O53" i="13"/>
  <c r="P53" i="13"/>
  <c r="Q53" i="13"/>
  <c r="G54" i="13"/>
  <c r="H54" i="13"/>
  <c r="I54" i="13"/>
  <c r="J54" i="13"/>
  <c r="K54" i="13"/>
  <c r="L54" i="13"/>
  <c r="M54" i="13"/>
  <c r="N54" i="13"/>
  <c r="O54" i="13"/>
  <c r="P54" i="13"/>
  <c r="Q54"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2" i="13"/>
  <c r="G3" i="9"/>
  <c r="G4" i="9"/>
  <c r="H4" i="9" s="1"/>
  <c r="I4" i="9" s="1"/>
  <c r="G5" i="9"/>
  <c r="H5" i="9" s="1"/>
  <c r="I5" i="9" s="1"/>
  <c r="G6" i="9"/>
  <c r="G7" i="9"/>
  <c r="H7" i="9" s="1"/>
  <c r="I7" i="9" s="1"/>
  <c r="G8" i="9"/>
  <c r="G9" i="9"/>
  <c r="H9" i="9" s="1"/>
  <c r="I9" i="9" s="1"/>
  <c r="G10" i="9"/>
  <c r="H10" i="9" s="1"/>
  <c r="I10" i="9" s="1"/>
  <c r="G11" i="9"/>
  <c r="H11" i="9" s="1"/>
  <c r="I11" i="9" s="1"/>
  <c r="G12" i="9"/>
  <c r="H12" i="9" s="1"/>
  <c r="I12" i="9" s="1"/>
  <c r="G13" i="9"/>
  <c r="H13" i="9" s="1"/>
  <c r="I13" i="9" s="1"/>
  <c r="G14" i="9"/>
  <c r="H14" i="9" s="1"/>
  <c r="I14" i="9" s="1"/>
  <c r="G15" i="9"/>
  <c r="H15" i="9" s="1"/>
  <c r="I15" i="9" s="1"/>
  <c r="G16" i="9"/>
  <c r="H16" i="9" s="1"/>
  <c r="I16" i="9" s="1"/>
  <c r="G17" i="9"/>
  <c r="H17" i="9" s="1"/>
  <c r="I17" i="9" s="1"/>
  <c r="G18" i="9"/>
  <c r="H18" i="9" s="1"/>
  <c r="I18" i="9" s="1"/>
  <c r="G19" i="9"/>
  <c r="H19" i="9" s="1"/>
  <c r="I19" i="9" s="1"/>
  <c r="G20" i="9"/>
  <c r="H20" i="9" s="1"/>
  <c r="I20" i="9" s="1"/>
  <c r="G21" i="9"/>
  <c r="H21" i="9" s="1"/>
  <c r="I21" i="9" s="1"/>
  <c r="G22" i="9"/>
  <c r="H22" i="9" s="1"/>
  <c r="I22" i="9" s="1"/>
  <c r="G23" i="9"/>
  <c r="H23" i="9" s="1"/>
  <c r="I23" i="9" s="1"/>
  <c r="G24" i="9"/>
  <c r="H24" i="9" s="1"/>
  <c r="I24" i="9" s="1"/>
  <c r="G25" i="9"/>
  <c r="H25" i="9" s="1"/>
  <c r="I25" i="9" s="1"/>
  <c r="G26" i="9"/>
  <c r="H26" i="9" s="1"/>
  <c r="I26" i="9" s="1"/>
  <c r="G27" i="9"/>
  <c r="H27" i="9" s="1"/>
  <c r="I27" i="9" s="1"/>
  <c r="G28" i="9"/>
  <c r="H28" i="9" s="1"/>
  <c r="I28" i="9" s="1"/>
  <c r="G29" i="9"/>
  <c r="H29" i="9" s="1"/>
  <c r="I29" i="9" s="1"/>
  <c r="G30" i="9"/>
  <c r="H30" i="9" s="1"/>
  <c r="I30" i="9" s="1"/>
  <c r="G31" i="9"/>
  <c r="H31" i="9" s="1"/>
  <c r="I31" i="9" s="1"/>
  <c r="G32" i="9"/>
  <c r="H32" i="9" s="1"/>
  <c r="I32" i="9" s="1"/>
  <c r="G33" i="9"/>
  <c r="H33" i="9" s="1"/>
  <c r="I33" i="9" s="1"/>
  <c r="G34" i="9"/>
  <c r="H34" i="9" s="1"/>
  <c r="I34" i="9" s="1"/>
  <c r="G35" i="9"/>
  <c r="H35" i="9" s="1"/>
  <c r="I35" i="9" s="1"/>
  <c r="G36" i="9"/>
  <c r="H36" i="9" s="1"/>
  <c r="I36" i="9" s="1"/>
  <c r="G37" i="9"/>
  <c r="H37" i="9" s="1"/>
  <c r="I37" i="9" s="1"/>
  <c r="G38" i="9"/>
  <c r="H38" i="9" s="1"/>
  <c r="I38" i="9" s="1"/>
  <c r="G39" i="9"/>
  <c r="H39" i="9" s="1"/>
  <c r="I39" i="9" s="1"/>
  <c r="G40" i="9"/>
  <c r="G41" i="9"/>
  <c r="H41" i="9" s="1"/>
  <c r="I41" i="9" s="1"/>
  <c r="G42" i="9"/>
  <c r="H42" i="9" s="1"/>
  <c r="I42" i="9" s="1"/>
  <c r="G43" i="9"/>
  <c r="H43" i="9" s="1"/>
  <c r="I43" i="9" s="1"/>
  <c r="G44" i="9"/>
  <c r="G45" i="9"/>
  <c r="H45" i="9" s="1"/>
  <c r="I45" i="9" s="1"/>
  <c r="G46" i="9"/>
  <c r="H46" i="9" s="1"/>
  <c r="I46" i="9" s="1"/>
  <c r="G47" i="9"/>
  <c r="H47" i="9" s="1"/>
  <c r="I47" i="9" s="1"/>
  <c r="G48" i="9"/>
  <c r="G49" i="9"/>
  <c r="H49" i="9" s="1"/>
  <c r="I49" i="9" s="1"/>
  <c r="G50" i="9"/>
  <c r="H50" i="9" s="1"/>
  <c r="I50" i="9" s="1"/>
  <c r="G51" i="9"/>
  <c r="H51" i="9" s="1"/>
  <c r="I51" i="9" s="1"/>
  <c r="G52" i="9"/>
  <c r="G53" i="9"/>
  <c r="H54" i="9" s="1"/>
  <c r="I54" i="9" s="1"/>
  <c r="G54" i="9"/>
  <c r="G55" i="9"/>
  <c r="K5" i="12"/>
  <c r="K7" i="12" s="1"/>
  <c r="K8" i="12" s="1"/>
  <c r="M4" i="12"/>
  <c r="M5" i="12" s="1"/>
  <c r="M7" i="12" s="1"/>
  <c r="M8" i="12" s="1"/>
  <c r="L4" i="12"/>
  <c r="L5" i="12" s="1"/>
  <c r="K4" i="12"/>
  <c r="G32" i="12"/>
  <c r="F32" i="12"/>
  <c r="G27" i="12"/>
  <c r="G28" i="12"/>
  <c r="G29" i="12"/>
  <c r="G26" i="12"/>
  <c r="P36" i="15" l="1"/>
  <c r="P37" i="15" s="1"/>
  <c r="L8" i="12"/>
  <c r="I9" i="15"/>
  <c r="I11" i="15" s="1"/>
  <c r="J8" i="15"/>
  <c r="J9" i="15" s="1"/>
  <c r="J11" i="15" s="1"/>
  <c r="H52" i="9"/>
  <c r="I52" i="9" s="1"/>
  <c r="H48" i="9"/>
  <c r="I48" i="9" s="1"/>
  <c r="H44" i="9"/>
  <c r="I44" i="9" s="1"/>
  <c r="H40" i="9"/>
  <c r="I40" i="9" s="1"/>
  <c r="H8" i="9"/>
  <c r="I8" i="9" s="1"/>
  <c r="H6" i="9"/>
  <c r="I6" i="9" s="1"/>
  <c r="H53" i="9"/>
  <c r="I53" i="9" s="1"/>
  <c r="M9" i="12"/>
  <c r="M11" i="12" s="1"/>
  <c r="L9" i="12"/>
  <c r="L11" i="12" s="1"/>
  <c r="K9" i="12"/>
  <c r="K11" i="12" s="1"/>
  <c r="N7" i="12"/>
  <c r="I55" i="9" l="1"/>
  <c r="K9" i="15"/>
  <c r="K11"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<sst xmlns="http://schemas.openxmlformats.org/spreadsheetml/2006/main" count="248" uniqueCount="83">
  <si>
    <t>AAA</t>
  </si>
  <si>
    <t>3-4</t>
  </si>
  <si>
    <t>DEOM</t>
  </si>
  <si>
    <t>D3-4</t>
  </si>
  <si>
    <t>Date</t>
  </si>
  <si>
    <t>Gap Sales (in 1000s)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</si>
  <si>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</si>
  <si>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</si>
  <si>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</si>
  <si>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</si>
  <si>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</si>
  <si>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</si>
  <si>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</si>
  <si>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</si>
  <si>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</si>
  <si>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</si>
  <si>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</si>
  <si>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</si>
  <si>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</si>
  <si>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</si>
  <si>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</si>
  <si>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</si>
  <si>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</si>
  <si>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</si>
  <si>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</si>
  <si>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</si>
  <si>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</si>
  <si>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</si>
  <si>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</si>
  <si>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</si>
  <si>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</si>
  <si>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</si>
  <si>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DEOM</t>
  </si>
  <si>
    <t>Residuals</t>
  </si>
  <si>
    <t>ABS t</t>
  </si>
  <si>
    <t>CV</t>
  </si>
  <si>
    <t>&lt;</t>
  </si>
  <si>
    <t>&gt;</t>
  </si>
  <si>
    <t>Overall model</t>
  </si>
  <si>
    <t>Se1</t>
  </si>
  <si>
    <t>Se2</t>
  </si>
  <si>
    <t>Se3</t>
  </si>
  <si>
    <t>Frequency</t>
  </si>
  <si>
    <t>SUM</t>
  </si>
  <si>
    <t>Diff</t>
  </si>
  <si>
    <t>Ranges</t>
  </si>
  <si>
    <t>e</t>
  </si>
  <si>
    <t>e^2</t>
  </si>
  <si>
    <t>-</t>
  </si>
  <si>
    <t>(e-et-1)</t>
  </si>
  <si>
    <t>(e-et-1)^2</t>
  </si>
  <si>
    <t>D</t>
  </si>
  <si>
    <t>DU</t>
  </si>
  <si>
    <t>DL</t>
  </si>
  <si>
    <t>DW-Test</t>
  </si>
  <si>
    <t>January</t>
  </si>
  <si>
    <t>February</t>
  </si>
  <si>
    <t>March</t>
  </si>
  <si>
    <t>April</t>
  </si>
  <si>
    <t>May</t>
  </si>
  <si>
    <t>June</t>
  </si>
  <si>
    <t>July</t>
  </si>
  <si>
    <t>August</t>
  </si>
  <si>
    <t>September</t>
  </si>
  <si>
    <t>October</t>
  </si>
  <si>
    <t>November</t>
  </si>
  <si>
    <t>December</t>
  </si>
  <si>
    <t>ABS</t>
  </si>
  <si>
    <t>ABS F</t>
  </si>
  <si>
    <t>Count</t>
  </si>
  <si>
    <t>Rel.Freq.</t>
  </si>
  <si>
    <t>e-et-1</t>
  </si>
  <si>
    <t>e-et-1^2</t>
  </si>
  <si>
    <t>Predicted Gap Sales (in 1000s)</t>
  </si>
  <si>
    <t>Time Index</t>
  </si>
  <si>
    <t>Quarters</t>
  </si>
  <si>
    <t>CMA</t>
  </si>
  <si>
    <t>Y/CMA = SI* 100</t>
  </si>
  <si>
    <t>SI</t>
  </si>
  <si>
    <t>Qtr</t>
  </si>
  <si>
    <t>Deseason</t>
  </si>
  <si>
    <t>SI/100</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</si>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</sst>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0"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i/>
      <sz val="11"/>
      <color theme="1"/>
      <name val="Calibri"/>
      <family val="2"/>
      <scheme val="minor"/>
    </font>
    <font>
      <b/>
      <i/>
      <sz val="12"/>
      <color theme="1"/>
      <name val="Calibri"/>
      <family val="2"/>
      <scheme val="minor"/>
    </font>
    <font>
      <sz val="8"/>
      <name val="Calibri"/>
      <family val="2"/>
      <scheme val="minor"/>
    </font>
    <font>
      <b/>
      <i/>
      <sz val="11"/>
      <color theme="1"/>
      <name val="Calibri"/>
      <family val="2"/>
      <scheme val="minor"/>
    </font>
    <font>
      <b/>
      <i/>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theme="4" tint="0.39997558519241921"/>
      </top>
      <bottom style="medium">
        <color indexed="64"/>
      </bottom>
      <diagonal/>
    </border>
    <border>
      <left/>
      <right/>
      <top style="thin">
        <color theme="4" tint="0.39997558519241921"/>
      </top>
      <bottom style="medium">
        <color indexed="64"/>
      </bottom>
      <diagonal/>
    </border>
    <border>
      <left/>
      <right style="medium">
        <color indexed="64"/>
      </right>
      <top style="thin">
        <color theme="4" tint="0.3999755851924192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theme="4" tint="0.39997558519241921"/>
      </top>
      <bottom/>
      <diagonal/>
    </border>
    <border>
      <left/>
      <right/>
      <top style="thin">
        <color theme="4" tint="0.39997558519241921"/>
      </top>
      <bottom/>
      <diagonal/>
    </border>
    <border>
      <left/>
      <right style="medium">
        <color indexed="64"/>
      </right>
      <top style="thin">
        <color theme="4" tint="0.39997558519241921"/>
      </top>
      <bottom/>
      <diagonal/>
    </border>
  </borders>
  <cellStyleXfs count="2">
    <xf numFmtId="0" fontId="0" fillId="0" borderId="0"/>
    <xf numFmtId="9" fontId="4" fillId="0" borderId="0" applyFont="0" applyFill="0" applyBorder="0" applyAlignment="0" applyProtection="0"/>
  </cellStyleXfs>
  <cellXfs count="86">
    <xf numFmtId="0" fontId="0" fillId="0" borderId="0" xfId="0"/>
    <xf numFmtId="0" fontId="3" fillId="0" borderId="0" xfId="0" applyFont="1"/>
    <xf numFmtId="0" fontId="2" fillId="0" borderId="0" xfId="0" applyFont="1"/>
    <xf numFmtId="17" fontId="2" fillId="0" borderId="0" xfId="0" applyNumberFormat="1" applyFont="1" applyAlignment="1">
      <alignment horizontal="center"/>
    </xf>
    <xf numFmtId="3" fontId="2" fillId="0" borderId="0" xfId="0" applyNumberFormat="1" applyFont="1" applyAlignment="1">
      <alignment horizontal="center"/>
    </xf>
    <xf numFmtId="16" fontId="3" fillId="0" borderId="0" xfId="0" quotePrefix="1" applyNumberFormat="1" applyFont="1"/>
    <xf numFmtId="17" fontId="2" fillId="0" borderId="0" xfId="0" applyNumberFormat="1" applyFont="1"/>
    <xf numFmtId="2" fontId="2" fillId="0" borderId="0" xfId="0" applyNumberFormat="1" applyFont="1"/>
    <xf numFmtId="0" fontId="0" fillId="0" borderId="1" xfId="0" applyBorder="1"/>
    <xf numFmtId="0" fontId="5" fillId="0" borderId="2" xfId="0" applyFont="1" applyBorder="1" applyAlignment="1">
      <alignment horizontal="center"/>
    </xf>
    <xf numFmtId="164" fontId="0" fillId="0" borderId="0" xfId="0" applyNumberFormat="1"/>
    <xf numFmtId="164" fontId="0" fillId="0" borderId="1" xfId="0" applyNumberFormat="1" applyBorder="1"/>
    <xf numFmtId="0" fontId="5" fillId="0" borderId="2" xfId="0" applyFont="1" applyBorder="1" applyAlignment="1">
      <alignment horizontal="centerContinuous"/>
    </xf>
    <xf numFmtId="0" fontId="0" fillId="0" borderId="0" xfId="0"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7" xfId="0" applyBorder="1" applyAlignment="1">
      <alignment horizontal="center"/>
    </xf>
    <xf numFmtId="0" fontId="0" fillId="0" borderId="8" xfId="0" applyBorder="1"/>
    <xf numFmtId="0" fontId="0" fillId="0" borderId="9" xfId="0" applyBorder="1"/>
    <xf numFmtId="0" fontId="0" fillId="0" borderId="10" xfId="0" applyBorder="1"/>
    <xf numFmtId="165" fontId="0" fillId="0" borderId="9" xfId="0" applyNumberFormat="1" applyBorder="1"/>
    <xf numFmtId="165" fontId="0" fillId="0" borderId="10" xfId="0" applyNumberFormat="1" applyBorder="1"/>
    <xf numFmtId="0" fontId="0" fillId="0" borderId="11" xfId="0" applyBorder="1"/>
    <xf numFmtId="0" fontId="5" fillId="0" borderId="11" xfId="0" applyFont="1" applyBorder="1" applyAlignment="1">
      <alignment horizontal="center"/>
    </xf>
    <xf numFmtId="0" fontId="0" fillId="0" borderId="12" xfId="0" applyBorder="1"/>
    <xf numFmtId="9" fontId="0" fillId="0" borderId="0" xfId="1" applyFont="1"/>
    <xf numFmtId="0" fontId="0" fillId="0" borderId="13" xfId="0" applyBorder="1"/>
    <xf numFmtId="10" fontId="0" fillId="0" borderId="5" xfId="1" applyNumberFormat="1" applyFont="1" applyBorder="1"/>
    <xf numFmtId="10" fontId="0" fillId="0" borderId="5" xfId="0" applyNumberFormat="1" applyBorder="1"/>
    <xf numFmtId="10" fontId="0" fillId="0" borderId="8" xfId="0" applyNumberFormat="1" applyBorder="1"/>
    <xf numFmtId="0" fontId="0" fillId="0" borderId="16" xfId="0" applyBorder="1"/>
    <xf numFmtId="10" fontId="0" fillId="0" borderId="9" xfId="1" applyNumberFormat="1" applyFont="1" applyBorder="1"/>
    <xf numFmtId="10" fontId="0" fillId="0" borderId="9" xfId="0" applyNumberFormat="1" applyBorder="1"/>
    <xf numFmtId="9" fontId="0" fillId="0" borderId="9" xfId="0" applyNumberFormat="1" applyBorder="1"/>
    <xf numFmtId="10" fontId="0" fillId="0" borderId="10" xfId="0" applyNumberFormat="1" applyBorder="1"/>
    <xf numFmtId="164" fontId="2" fillId="0" borderId="0" xfId="0" applyNumberFormat="1" applyFont="1"/>
    <xf numFmtId="0" fontId="1" fillId="0" borderId="0" xfId="0" applyFont="1"/>
    <xf numFmtId="0" fontId="1" fillId="0" borderId="0" xfId="0" applyFont="1" applyAlignment="1">
      <alignment horizontal="center"/>
    </xf>
    <xf numFmtId="0" fontId="2" fillId="0" borderId="5" xfId="0" applyFont="1" applyBorder="1"/>
    <xf numFmtId="0" fontId="2" fillId="0" borderId="8" xfId="0" applyFont="1" applyBorder="1"/>
    <xf numFmtId="0" fontId="1" fillId="0" borderId="19" xfId="0" applyFont="1" applyBorder="1"/>
    <xf numFmtId="0" fontId="2" fillId="0" borderId="9" xfId="0" applyFont="1" applyBorder="1"/>
    <xf numFmtId="0" fontId="1" fillId="0" borderId="9" xfId="0" applyFont="1" applyBorder="1"/>
    <xf numFmtId="0" fontId="1" fillId="0" borderId="10" xfId="0" applyFont="1" applyBorder="1"/>
    <xf numFmtId="0" fontId="5" fillId="0" borderId="20" xfId="0" applyFont="1" applyBorder="1" applyAlignment="1">
      <alignment horizontal="centerContinuous"/>
    </xf>
    <xf numFmtId="0" fontId="5" fillId="0" borderId="21" xfId="0" applyFont="1" applyBorder="1" applyAlignment="1">
      <alignment horizontal="centerContinuous"/>
    </xf>
    <xf numFmtId="0" fontId="5" fillId="0" borderId="12" xfId="0" applyFont="1" applyBorder="1" applyAlignment="1">
      <alignment horizontal="center"/>
    </xf>
    <xf numFmtId="0" fontId="5" fillId="0" borderId="15" xfId="0" applyFont="1" applyBorder="1" applyAlignment="1">
      <alignment horizontal="center"/>
    </xf>
    <xf numFmtId="0" fontId="0" fillId="0" borderId="16" xfId="0" applyBorder="1" applyAlignment="1">
      <alignment horizontal="center"/>
    </xf>
    <xf numFmtId="0" fontId="5" fillId="0" borderId="0" xfId="0" applyFont="1" applyAlignment="1">
      <alignment horizontal="center"/>
    </xf>
    <xf numFmtId="0" fontId="0" fillId="0" borderId="19" xfId="0" applyBorder="1"/>
    <xf numFmtId="3" fontId="2" fillId="0" borderId="0" xfId="0" applyNumberFormat="1" applyFont="1"/>
    <xf numFmtId="0" fontId="2" fillId="0" borderId="7" xfId="0" applyFont="1" applyBorder="1"/>
    <xf numFmtId="0" fontId="3" fillId="0" borderId="7" xfId="0" applyFont="1" applyBorder="1"/>
    <xf numFmtId="3" fontId="2" fillId="0" borderId="7" xfId="0" applyNumberFormat="1" applyFont="1" applyBorder="1" applyAlignment="1">
      <alignment horizontal="center"/>
    </xf>
    <xf numFmtId="1" fontId="2" fillId="0" borderId="0" xfId="0" applyNumberFormat="1" applyFont="1"/>
    <xf numFmtId="0" fontId="1" fillId="0" borderId="16" xfId="0" applyFont="1" applyBorder="1"/>
    <xf numFmtId="0" fontId="1" fillId="0" borderId="11" xfId="0" applyFont="1" applyBorder="1"/>
    <xf numFmtId="0" fontId="2" fillId="0" borderId="10" xfId="0" applyFont="1" applyBorder="1"/>
    <xf numFmtId="0" fontId="9" fillId="2" borderId="22" xfId="0" applyFont="1" applyFill="1" applyBorder="1" applyAlignment="1">
      <alignment horizontal="center"/>
    </xf>
    <xf numFmtId="0" fontId="9" fillId="2" borderId="23" xfId="0" applyFont="1" applyFill="1" applyBorder="1" applyAlignment="1">
      <alignment horizontal="center"/>
    </xf>
    <xf numFmtId="0" fontId="9" fillId="2" borderId="24" xfId="0" applyFont="1" applyFill="1" applyBorder="1" applyAlignment="1">
      <alignment horizontal="center"/>
    </xf>
    <xf numFmtId="0" fontId="0" fillId="3" borderId="28" xfId="0" applyFill="1" applyBorder="1"/>
    <xf numFmtId="0" fontId="0" fillId="3" borderId="13" xfId="0" applyFill="1" applyBorder="1"/>
    <xf numFmtId="0" fontId="0" fillId="3" borderId="29" xfId="0" applyFill="1" applyBorder="1"/>
    <xf numFmtId="0" fontId="0" fillId="0" borderId="30" xfId="0" applyBorder="1"/>
    <xf numFmtId="2" fontId="0" fillId="0" borderId="31" xfId="0" applyNumberFormat="1" applyBorder="1"/>
    <xf numFmtId="0" fontId="0" fillId="0" borderId="31" xfId="0" applyBorder="1"/>
    <xf numFmtId="0" fontId="0" fillId="0" borderId="32" xfId="0" applyBorder="1"/>
    <xf numFmtId="0" fontId="0" fillId="3" borderId="30" xfId="0" applyFill="1" applyBorder="1"/>
    <xf numFmtId="2" fontId="0" fillId="3" borderId="31" xfId="0" applyNumberFormat="1" applyFill="1" applyBorder="1"/>
    <xf numFmtId="0" fontId="0" fillId="3" borderId="31" xfId="0" applyFill="1" applyBorder="1"/>
    <xf numFmtId="0" fontId="0" fillId="3" borderId="32" xfId="0" applyFill="1" applyBorder="1"/>
    <xf numFmtId="0" fontId="0" fillId="0" borderId="25" xfId="0" applyBorder="1"/>
    <xf numFmtId="2" fontId="0" fillId="0" borderId="26" xfId="0" applyNumberFormat="1" applyBorder="1"/>
    <xf numFmtId="0" fontId="0" fillId="0" borderId="27" xfId="0" applyBorder="1"/>
    <xf numFmtId="0" fontId="6" fillId="0" borderId="3" xfId="0" applyFont="1" applyBorder="1" applyAlignment="1">
      <alignment horizontal="center"/>
    </xf>
    <xf numFmtId="0" fontId="6" fillId="0" borderId="14" xfId="0" applyFont="1" applyBorder="1" applyAlignment="1">
      <alignment horizontal="center"/>
    </xf>
    <xf numFmtId="0" fontId="6" fillId="0" borderId="17" xfId="0" applyFont="1" applyBorder="1" applyAlignment="1">
      <alignment horizontal="center"/>
    </xf>
    <xf numFmtId="0" fontId="6" fillId="0" borderId="18" xfId="0" applyFont="1" applyBorder="1" applyAlignment="1">
      <alignment horizontal="center"/>
    </xf>
    <xf numFmtId="0" fontId="8" fillId="0" borderId="3" xfId="0" applyFont="1" applyBorder="1" applyAlignment="1">
      <alignment horizontal="center"/>
    </xf>
    <xf numFmtId="0" fontId="8" fillId="0" borderId="14" xfId="0" applyFont="1" applyBorder="1" applyAlignment="1">
      <alignment horizontal="center"/>
    </xf>
    <xf numFmtId="0" fontId="8" fillId="0" borderId="17" xfId="0" applyFont="1" applyBorder="1" applyAlignment="1">
      <alignment horizontal="center"/>
    </xf>
    <xf numFmtId="0" fontId="8" fillId="0" borderId="18" xfId="0" applyFont="1" applyBorder="1" applyAlignment="1">
      <alignment horizontal="center"/>
    </xf>
  </cellXfs>
  <cellStyles count="2">
    <cellStyle name="Normal" xfId="0" builtinId="0"/>
    <cellStyle name="Percent" xfId="1" builtinId="5"/>
  </cellStyles>
  <dxfs count="2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Time Index  Residual Plot</a:t>
            </a:r>
          </a:p>
        </c:rich>
      </c:tx>
      <c:overlay val="0"/>
    </c:title>
    <c:autoTitleDeleted val="0"/>
    <c:plotArea>
      <c:layout/>
      <c:scatterChart>
        <c:scatterStyle val="lineMarker"/>
        <c:varyColors val="0"/>
        <c:ser>
          <c:idx val="0"/>
          <c:order val="0"/>
          <c:spPr>
            <a:ln w="19050">
              <a:noFill/>
            </a:ln>
          </c:spPr>
          <c:xVal>
            <c:numRef>
              <c:f>'Table2 (problem 2 data)'!$A$2:$A$89</c:f>
              <c:numCache>
                <c:formatCode>General</c:formatCode>
                <c:ptCount val="8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numCache>
            </c:numRef>
          </c:xVal>
          <c:yVal>
            <c:numRef>
              <c:f>'Time-Series'!$C$25:$C$112</c:f>
              <c:numCache>
                <c:formatCode>General</c:formatCode>
                <c:ptCount val="88"/>
                <c:pt idx="0">
                  <c:v>706014.02987742622</c:v>
                </c:pt>
                <c:pt idx="1">
                  <c:v>664114.82307773619</c:v>
                </c:pt>
                <c:pt idx="2">
                  <c:v>669327.61627804604</c:v>
                </c:pt>
                <c:pt idx="3">
                  <c:v>671151.40947835601</c:v>
                </c:pt>
                <c:pt idx="4">
                  <c:v>534998.20267866598</c:v>
                </c:pt>
                <c:pt idx="5">
                  <c:v>483457.99587897595</c:v>
                </c:pt>
                <c:pt idx="6">
                  <c:v>487177.78907928587</c:v>
                </c:pt>
                <c:pt idx="7">
                  <c:v>504526.58227959584</c:v>
                </c:pt>
                <c:pt idx="8">
                  <c:v>360797.37547990581</c:v>
                </c:pt>
                <c:pt idx="9">
                  <c:v>311170.16868021572</c:v>
                </c:pt>
                <c:pt idx="10">
                  <c:v>310712.96188052569</c:v>
                </c:pt>
                <c:pt idx="11">
                  <c:v>340368.75508083566</c:v>
                </c:pt>
                <c:pt idx="12">
                  <c:v>165804.54828114563</c:v>
                </c:pt>
                <c:pt idx="13">
                  <c:v>132464.34148145549</c:v>
                </c:pt>
                <c:pt idx="14">
                  <c:v>134568.13468176546</c:v>
                </c:pt>
                <c:pt idx="15">
                  <c:v>179164.92788207543</c:v>
                </c:pt>
                <c:pt idx="16">
                  <c:v>9100.7210823853966</c:v>
                </c:pt>
                <c:pt idx="17">
                  <c:v>-31205.485717304633</c:v>
                </c:pt>
                <c:pt idx="18">
                  <c:v>-7863.6925169946626</c:v>
                </c:pt>
                <c:pt idx="19">
                  <c:v>75346.100683315191</c:v>
                </c:pt>
                <c:pt idx="20">
                  <c:v>-123737.10611637472</c:v>
                </c:pt>
                <c:pt idx="21">
                  <c:v>-177429.31291606487</c:v>
                </c:pt>
                <c:pt idx="22">
                  <c:v>-137055.51971575501</c:v>
                </c:pt>
                <c:pt idx="23">
                  <c:v>-70339.726515444927</c:v>
                </c:pt>
                <c:pt idx="24">
                  <c:v>-261085.93331513507</c:v>
                </c:pt>
                <c:pt idx="25">
                  <c:v>-284650.14011482499</c:v>
                </c:pt>
                <c:pt idx="26">
                  <c:v>-161974.34691451513</c:v>
                </c:pt>
                <c:pt idx="27">
                  <c:v>-116861.55371420528</c:v>
                </c:pt>
                <c:pt idx="28">
                  <c:v>-387802.76051389519</c:v>
                </c:pt>
                <c:pt idx="29">
                  <c:v>-418872.96731358534</c:v>
                </c:pt>
                <c:pt idx="30">
                  <c:v>-262085.17411327525</c:v>
                </c:pt>
                <c:pt idx="31">
                  <c:v>-215418.3809129654</c:v>
                </c:pt>
                <c:pt idx="32">
                  <c:v>-558367.58771265554</c:v>
                </c:pt>
                <c:pt idx="33">
                  <c:v>-565075.79451234546</c:v>
                </c:pt>
                <c:pt idx="34">
                  <c:v>-415911.0013120356</c:v>
                </c:pt>
                <c:pt idx="35">
                  <c:v>-310678.20811172551</c:v>
                </c:pt>
                <c:pt idx="36">
                  <c:v>-675558.41491141566</c:v>
                </c:pt>
                <c:pt idx="37">
                  <c:v>-710417.62171110557</c:v>
                </c:pt>
                <c:pt idx="38">
                  <c:v>-551522.82851079572</c:v>
                </c:pt>
                <c:pt idx="39">
                  <c:v>-386399.03531048587</c:v>
                </c:pt>
                <c:pt idx="40">
                  <c:v>-803821.24211017601</c:v>
                </c:pt>
                <c:pt idx="41">
                  <c:v>-840315.44890986569</c:v>
                </c:pt>
                <c:pt idx="42">
                  <c:v>-609219.65570955584</c:v>
                </c:pt>
                <c:pt idx="43">
                  <c:v>-299349.86250924598</c:v>
                </c:pt>
                <c:pt idx="44">
                  <c:v>-764640.06930893613</c:v>
                </c:pt>
                <c:pt idx="45">
                  <c:v>-813770.27610862628</c:v>
                </c:pt>
                <c:pt idx="46">
                  <c:v>-607430.48290831596</c:v>
                </c:pt>
                <c:pt idx="47">
                  <c:v>-378850.6897080061</c:v>
                </c:pt>
                <c:pt idx="48">
                  <c:v>-871884.89650769625</c:v>
                </c:pt>
                <c:pt idx="49">
                  <c:v>-814170.10330738639</c:v>
                </c:pt>
                <c:pt idx="50">
                  <c:v>-449772.31010707654</c:v>
                </c:pt>
                <c:pt idx="51">
                  <c:v>-106552.51690676622</c:v>
                </c:pt>
                <c:pt idx="52">
                  <c:v>-608639.72370645637</c:v>
                </c:pt>
                <c:pt idx="53">
                  <c:v>-479701.93050614651</c:v>
                </c:pt>
                <c:pt idx="54">
                  <c:v>-41092.137305836659</c:v>
                </c:pt>
                <c:pt idx="55">
                  <c:v>532587.6558944732</c:v>
                </c:pt>
                <c:pt idx="56">
                  <c:v>-275898.55090521649</c:v>
                </c:pt>
                <c:pt idx="57">
                  <c:v>-156613.75770490663</c:v>
                </c:pt>
                <c:pt idx="58">
                  <c:v>379113.03549540322</c:v>
                </c:pt>
                <c:pt idx="59">
                  <c:v>1136345.8286957131</c:v>
                </c:pt>
                <c:pt idx="60">
                  <c:v>-46923.378103977069</c:v>
                </c:pt>
                <c:pt idx="61">
                  <c:v>112480.41509633325</c:v>
                </c:pt>
                <c:pt idx="62">
                  <c:v>523114.2082966431</c:v>
                </c:pt>
                <c:pt idx="63">
                  <c:v>1631214.001496953</c:v>
                </c:pt>
                <c:pt idx="64">
                  <c:v>175461.79469726281</c:v>
                </c:pt>
                <c:pt idx="65">
                  <c:v>184704.58789757267</c:v>
                </c:pt>
                <c:pt idx="66">
                  <c:v>216538.38109788299</c:v>
                </c:pt>
                <c:pt idx="67">
                  <c:v>916470.17429819284</c:v>
                </c:pt>
                <c:pt idx="68">
                  <c:v>-338635.03250149731</c:v>
                </c:pt>
                <c:pt idx="69">
                  <c:v>-17486.239301187452</c:v>
                </c:pt>
                <c:pt idx="70">
                  <c:v>302840.5538991224</c:v>
                </c:pt>
                <c:pt idx="71">
                  <c:v>1252168.3470994327</c:v>
                </c:pt>
                <c:pt idx="72">
                  <c:v>-101984.85970025742</c:v>
                </c:pt>
                <c:pt idx="73">
                  <c:v>174222.93350005243</c:v>
                </c:pt>
                <c:pt idx="74">
                  <c:v>362059.72670036228</c:v>
                </c:pt>
                <c:pt idx="75">
                  <c:v>1262547.5199006726</c:v>
                </c:pt>
                <c:pt idx="76">
                  <c:v>-12471.686899018008</c:v>
                </c:pt>
                <c:pt idx="77">
                  <c:v>-15567.893698707689</c:v>
                </c:pt>
                <c:pt idx="78">
                  <c:v>187472.89950160263</c:v>
                </c:pt>
                <c:pt idx="79">
                  <c:v>1049002.692701912</c:v>
                </c:pt>
                <c:pt idx="80">
                  <c:v>-279317.51409777766</c:v>
                </c:pt>
                <c:pt idx="81">
                  <c:v>-245637.72089746827</c:v>
                </c:pt>
                <c:pt idx="82">
                  <c:v>-157957.92769715795</c:v>
                </c:pt>
                <c:pt idx="83">
                  <c:v>746721.86550315237</c:v>
                </c:pt>
                <c:pt idx="84">
                  <c:v>-689598.34129653824</c:v>
                </c:pt>
                <c:pt idx="85">
                  <c:v>-470918.54809622793</c:v>
                </c:pt>
                <c:pt idx="86">
                  <c:v>-387238.75489591807</c:v>
                </c:pt>
                <c:pt idx="87">
                  <c:v>630441.03830439225</c:v>
                </c:pt>
              </c:numCache>
            </c:numRef>
          </c:yVal>
          <c:smooth val="0"/>
          <c:extLst>
            <c:ext xmlns:c16="http://schemas.microsoft.com/office/drawing/2014/chart" uri="{C3380CC4-5D6E-409C-BE32-E72D297353CC}">
              <c16:uniqueId val="{00000003-2226-C244-9DD2-C05B23AB2E9B}"/>
            </c:ext>
          </c:extLst>
        </c:ser>
        <c:dLbls>
          <c:showLegendKey val="0"/>
          <c:showVal val="0"/>
          <c:showCatName val="0"/>
          <c:showSerName val="0"/>
          <c:showPercent val="0"/>
          <c:showBubbleSize val="0"/>
        </c:dLbls>
        <c:axId val="2120429727"/>
        <c:axId val="2120484239"/>
      </c:scatterChart>
      <c:valAx>
        <c:axId val="2120429727"/>
        <c:scaling>
          <c:orientation val="minMax"/>
        </c:scaling>
        <c:delete val="0"/>
        <c:axPos val="b"/>
        <c:title>
          <c:tx>
            <c:rich>
              <a:bodyPr/>
              <a:lstStyle/>
              <a:p>
                <a:pPr>
                  <a:defRPr/>
                </a:pPr>
                <a:r>
                  <a:rPr lang="en-US"/>
                  <a:t>Time Index</a:t>
                </a:r>
              </a:p>
            </c:rich>
          </c:tx>
          <c:overlay val="0"/>
        </c:title>
        <c:numFmt formatCode="General" sourceLinked="1"/>
        <c:majorTickMark val="out"/>
        <c:minorTickMark val="none"/>
        <c:tickLblPos val="nextTo"/>
        <c:crossAx val="2120484239"/>
        <c:crosses val="autoZero"/>
        <c:crossBetween val="midCat"/>
      </c:valAx>
      <c:valAx>
        <c:axId val="212048423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212042972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Gap Sales (in 1000s)</c:v>
          </c:tx>
          <c:spPr>
            <a:ln w="19050">
              <a:noFill/>
            </a:ln>
          </c:spPr>
          <c:xVal>
            <c:numRef>
              <c:f>'Table2 (problem 2 data)'!$A$2:$A$89</c:f>
              <c:numCache>
                <c:formatCode>General</c:formatCode>
                <c:ptCount val="8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numCache>
            </c:numRef>
          </c:xVal>
          <c:yVal>
            <c:numRef>
              <c:f>'Table2 (problem 2 data)'!$D$2:$D$89</c:f>
              <c:numCache>
                <c:formatCode>#,##0</c:formatCode>
                <c:ptCount val="88"/>
                <c:pt idx="0">
                  <c:v>105715</c:v>
                </c:pt>
                <c:pt idx="1">
                  <c:v>120136</c:v>
                </c:pt>
                <c:pt idx="2">
                  <c:v>181669</c:v>
                </c:pt>
                <c:pt idx="3">
                  <c:v>239813</c:v>
                </c:pt>
                <c:pt idx="4">
                  <c:v>159980</c:v>
                </c:pt>
                <c:pt idx="5">
                  <c:v>164760</c:v>
                </c:pt>
                <c:pt idx="6">
                  <c:v>224800</c:v>
                </c:pt>
                <c:pt idx="7">
                  <c:v>298469</c:v>
                </c:pt>
                <c:pt idx="8">
                  <c:v>211060</c:v>
                </c:pt>
                <c:pt idx="9">
                  <c:v>217753</c:v>
                </c:pt>
                <c:pt idx="10">
                  <c:v>273616</c:v>
                </c:pt>
                <c:pt idx="11">
                  <c:v>359592</c:v>
                </c:pt>
                <c:pt idx="12">
                  <c:v>241348</c:v>
                </c:pt>
                <c:pt idx="13">
                  <c:v>264328</c:v>
                </c:pt>
                <c:pt idx="14">
                  <c:v>322752</c:v>
                </c:pt>
                <c:pt idx="15">
                  <c:v>423669</c:v>
                </c:pt>
                <c:pt idx="16">
                  <c:v>309925</c:v>
                </c:pt>
                <c:pt idx="17">
                  <c:v>325939</c:v>
                </c:pt>
                <c:pt idx="18">
                  <c:v>405601</c:v>
                </c:pt>
                <c:pt idx="19">
                  <c:v>545131</c:v>
                </c:pt>
                <c:pt idx="20">
                  <c:v>402368</c:v>
                </c:pt>
                <c:pt idx="21">
                  <c:v>404996</c:v>
                </c:pt>
                <c:pt idx="22">
                  <c:v>501690</c:v>
                </c:pt>
                <c:pt idx="23">
                  <c:v>624726</c:v>
                </c:pt>
                <c:pt idx="24">
                  <c:v>490300</c:v>
                </c:pt>
                <c:pt idx="25">
                  <c:v>523056</c:v>
                </c:pt>
                <c:pt idx="26">
                  <c:v>702052</c:v>
                </c:pt>
                <c:pt idx="27">
                  <c:v>803485</c:v>
                </c:pt>
                <c:pt idx="28">
                  <c:v>588864</c:v>
                </c:pt>
                <c:pt idx="29">
                  <c:v>614114</c:v>
                </c:pt>
                <c:pt idx="30">
                  <c:v>827222</c:v>
                </c:pt>
                <c:pt idx="31">
                  <c:v>930209</c:v>
                </c:pt>
                <c:pt idx="32">
                  <c:v>643580</c:v>
                </c:pt>
                <c:pt idx="33">
                  <c:v>693192</c:v>
                </c:pt>
                <c:pt idx="34">
                  <c:v>898677</c:v>
                </c:pt>
                <c:pt idx="35">
                  <c:v>1060230</c:v>
                </c:pt>
                <c:pt idx="36">
                  <c:v>751670</c:v>
                </c:pt>
                <c:pt idx="37">
                  <c:v>773131</c:v>
                </c:pt>
                <c:pt idx="38">
                  <c:v>988346</c:v>
                </c:pt>
                <c:pt idx="39">
                  <c:v>1209790</c:v>
                </c:pt>
                <c:pt idx="40">
                  <c:v>848688</c:v>
                </c:pt>
                <c:pt idx="41">
                  <c:v>868514</c:v>
                </c:pt>
                <c:pt idx="42">
                  <c:v>1155930</c:v>
                </c:pt>
                <c:pt idx="43">
                  <c:v>1522120</c:v>
                </c:pt>
                <c:pt idx="44">
                  <c:v>1113150</c:v>
                </c:pt>
                <c:pt idx="45">
                  <c:v>1120340</c:v>
                </c:pt>
                <c:pt idx="46">
                  <c:v>1383000</c:v>
                </c:pt>
                <c:pt idx="47">
                  <c:v>1667900</c:v>
                </c:pt>
                <c:pt idx="48">
                  <c:v>1231186</c:v>
                </c:pt>
                <c:pt idx="49">
                  <c:v>1345221</c:v>
                </c:pt>
                <c:pt idx="50">
                  <c:v>1765939</c:v>
                </c:pt>
                <c:pt idx="51">
                  <c:v>2165479</c:v>
                </c:pt>
                <c:pt idx="52">
                  <c:v>1719712</c:v>
                </c:pt>
                <c:pt idx="53">
                  <c:v>1904970</c:v>
                </c:pt>
                <c:pt idx="54">
                  <c:v>2399900</c:v>
                </c:pt>
                <c:pt idx="55">
                  <c:v>3029900</c:v>
                </c:pt>
                <c:pt idx="56">
                  <c:v>2277734</c:v>
                </c:pt>
                <c:pt idx="57">
                  <c:v>2453339</c:v>
                </c:pt>
                <c:pt idx="58">
                  <c:v>3045386</c:v>
                </c:pt>
                <c:pt idx="59">
                  <c:v>3858939</c:v>
                </c:pt>
                <c:pt idx="60">
                  <c:v>2731990</c:v>
                </c:pt>
                <c:pt idx="61">
                  <c:v>2947714</c:v>
                </c:pt>
                <c:pt idx="62">
                  <c:v>3414668</c:v>
                </c:pt>
                <c:pt idx="63">
                  <c:v>4579088</c:v>
                </c:pt>
                <c:pt idx="64">
                  <c:v>3179656</c:v>
                </c:pt>
                <c:pt idx="65">
                  <c:v>3245219</c:v>
                </c:pt>
                <c:pt idx="66">
                  <c:v>3333373</c:v>
                </c:pt>
                <c:pt idx="67">
                  <c:v>4089625</c:v>
                </c:pt>
                <c:pt idx="68">
                  <c:v>2890840</c:v>
                </c:pt>
                <c:pt idx="69">
                  <c:v>3268309</c:v>
                </c:pt>
                <c:pt idx="70">
                  <c:v>3644956</c:v>
                </c:pt>
                <c:pt idx="71">
                  <c:v>4650604</c:v>
                </c:pt>
                <c:pt idx="72">
                  <c:v>3352771</c:v>
                </c:pt>
                <c:pt idx="73">
                  <c:v>3685299</c:v>
                </c:pt>
                <c:pt idx="74">
                  <c:v>3929456</c:v>
                </c:pt>
                <c:pt idx="75">
                  <c:v>4886264</c:v>
                </c:pt>
                <c:pt idx="76">
                  <c:v>3667565</c:v>
                </c:pt>
                <c:pt idx="77">
                  <c:v>3720789</c:v>
                </c:pt>
                <c:pt idx="78">
                  <c:v>3980150</c:v>
                </c:pt>
                <c:pt idx="79">
                  <c:v>4898000</c:v>
                </c:pt>
                <c:pt idx="80">
                  <c:v>3626000</c:v>
                </c:pt>
                <c:pt idx="81">
                  <c:v>3716000</c:v>
                </c:pt>
                <c:pt idx="82">
                  <c:v>3860000</c:v>
                </c:pt>
                <c:pt idx="83">
                  <c:v>4821000</c:v>
                </c:pt>
                <c:pt idx="84">
                  <c:v>3441000</c:v>
                </c:pt>
                <c:pt idx="85">
                  <c:v>3716000</c:v>
                </c:pt>
                <c:pt idx="86">
                  <c:v>3856000</c:v>
                </c:pt>
                <c:pt idx="87">
                  <c:v>4930000</c:v>
                </c:pt>
              </c:numCache>
            </c:numRef>
          </c:yVal>
          <c:smooth val="0"/>
          <c:extLst>
            <c:ext xmlns:c16="http://schemas.microsoft.com/office/drawing/2014/chart" uri="{C3380CC4-5D6E-409C-BE32-E72D297353CC}">
              <c16:uniqueId val="{00000003-1E29-2044-8E06-3CE896C49E1C}"/>
            </c:ext>
          </c:extLst>
        </c:ser>
        <c:ser>
          <c:idx val="1"/>
          <c:order val="1"/>
          <c:tx>
            <c:v>Predicted Gap Sales (in 1000s)</c:v>
          </c:tx>
          <c:spPr>
            <a:ln w="19050">
              <a:noFill/>
            </a:ln>
          </c:spPr>
          <c:xVal>
            <c:numRef>
              <c:f>'Table2 (problem 2 data)'!$A$2:$A$89</c:f>
              <c:numCache>
                <c:formatCode>General</c:formatCode>
                <c:ptCount val="8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numCache>
            </c:numRef>
          </c:xVal>
          <c:yVal>
            <c:numRef>
              <c:f>'Time-Series'!$B$25:$B$112</c:f>
              <c:numCache>
                <c:formatCode>General</c:formatCode>
                <c:ptCount val="88"/>
                <c:pt idx="0">
                  <c:v>-600299.02987742622</c:v>
                </c:pt>
                <c:pt idx="1">
                  <c:v>-543978.82307773619</c:v>
                </c:pt>
                <c:pt idx="2">
                  <c:v>-487658.6162780461</c:v>
                </c:pt>
                <c:pt idx="3">
                  <c:v>-431338.40947835601</c:v>
                </c:pt>
                <c:pt idx="4">
                  <c:v>-375018.20267866598</c:v>
                </c:pt>
                <c:pt idx="5">
                  <c:v>-318697.99587897595</c:v>
                </c:pt>
                <c:pt idx="6">
                  <c:v>-262377.78907928587</c:v>
                </c:pt>
                <c:pt idx="7">
                  <c:v>-206057.58227959584</c:v>
                </c:pt>
                <c:pt idx="8">
                  <c:v>-149737.37547990581</c:v>
                </c:pt>
                <c:pt idx="9">
                  <c:v>-93417.16868021572</c:v>
                </c:pt>
                <c:pt idx="10">
                  <c:v>-37096.961880525691</c:v>
                </c:pt>
                <c:pt idx="11">
                  <c:v>19223.244919164339</c:v>
                </c:pt>
                <c:pt idx="12">
                  <c:v>75543.451718854369</c:v>
                </c:pt>
                <c:pt idx="13">
                  <c:v>131863.65851854451</c:v>
                </c:pt>
                <c:pt idx="14">
                  <c:v>188183.86531823454</c:v>
                </c:pt>
                <c:pt idx="15">
                  <c:v>244504.07211792457</c:v>
                </c:pt>
                <c:pt idx="16">
                  <c:v>300824.2789176146</c:v>
                </c:pt>
                <c:pt idx="17">
                  <c:v>357144.48571730463</c:v>
                </c:pt>
                <c:pt idx="18">
                  <c:v>413464.69251699466</c:v>
                </c:pt>
                <c:pt idx="19">
                  <c:v>469784.89931668481</c:v>
                </c:pt>
                <c:pt idx="20">
                  <c:v>526105.10611637472</c:v>
                </c:pt>
                <c:pt idx="21">
                  <c:v>582425.31291606487</c:v>
                </c:pt>
                <c:pt idx="22">
                  <c:v>638745.51971575501</c:v>
                </c:pt>
                <c:pt idx="23">
                  <c:v>695065.72651544493</c:v>
                </c:pt>
                <c:pt idx="24">
                  <c:v>751385.93331513507</c:v>
                </c:pt>
                <c:pt idx="25">
                  <c:v>807706.14011482499</c:v>
                </c:pt>
                <c:pt idx="26">
                  <c:v>864026.34691451513</c:v>
                </c:pt>
                <c:pt idx="27">
                  <c:v>920346.55371420528</c:v>
                </c:pt>
                <c:pt idx="28">
                  <c:v>976666.76051389519</c:v>
                </c:pt>
                <c:pt idx="29">
                  <c:v>1032986.9673135853</c:v>
                </c:pt>
                <c:pt idx="30">
                  <c:v>1089307.1741132753</c:v>
                </c:pt>
                <c:pt idx="31">
                  <c:v>1145627.3809129654</c:v>
                </c:pt>
                <c:pt idx="32">
                  <c:v>1201947.5877126555</c:v>
                </c:pt>
                <c:pt idx="33">
                  <c:v>1258267.7945123455</c:v>
                </c:pt>
                <c:pt idx="34">
                  <c:v>1314588.0013120356</c:v>
                </c:pt>
                <c:pt idx="35">
                  <c:v>1370908.2081117255</c:v>
                </c:pt>
                <c:pt idx="36">
                  <c:v>1427228.4149114157</c:v>
                </c:pt>
                <c:pt idx="37">
                  <c:v>1483548.6217111056</c:v>
                </c:pt>
                <c:pt idx="38">
                  <c:v>1539868.8285107957</c:v>
                </c:pt>
                <c:pt idx="39">
                  <c:v>1596189.0353104859</c:v>
                </c:pt>
                <c:pt idx="40">
                  <c:v>1652509.242110176</c:v>
                </c:pt>
                <c:pt idx="41">
                  <c:v>1708829.4489098657</c:v>
                </c:pt>
                <c:pt idx="42">
                  <c:v>1765149.6557095558</c:v>
                </c:pt>
                <c:pt idx="43">
                  <c:v>1821469.862509246</c:v>
                </c:pt>
                <c:pt idx="44">
                  <c:v>1877790.0693089361</c:v>
                </c:pt>
                <c:pt idx="45">
                  <c:v>1934110.2761086263</c:v>
                </c:pt>
                <c:pt idx="46">
                  <c:v>1990430.482908316</c:v>
                </c:pt>
                <c:pt idx="47">
                  <c:v>2046750.6897080061</c:v>
                </c:pt>
                <c:pt idx="48">
                  <c:v>2103070.8965076962</c:v>
                </c:pt>
                <c:pt idx="49">
                  <c:v>2159391.1033073864</c:v>
                </c:pt>
                <c:pt idx="50">
                  <c:v>2215711.3101070765</c:v>
                </c:pt>
                <c:pt idx="51">
                  <c:v>2272031.5169067662</c:v>
                </c:pt>
                <c:pt idx="52">
                  <c:v>2328351.7237064564</c:v>
                </c:pt>
                <c:pt idx="53">
                  <c:v>2384671.9305061465</c:v>
                </c:pt>
                <c:pt idx="54">
                  <c:v>2440992.1373058367</c:v>
                </c:pt>
                <c:pt idx="55">
                  <c:v>2497312.3441055268</c:v>
                </c:pt>
                <c:pt idx="56">
                  <c:v>2553632.5509052165</c:v>
                </c:pt>
                <c:pt idx="57">
                  <c:v>2609952.7577049066</c:v>
                </c:pt>
                <c:pt idx="58">
                  <c:v>2666272.9645045968</c:v>
                </c:pt>
                <c:pt idx="59">
                  <c:v>2722593.1713042869</c:v>
                </c:pt>
                <c:pt idx="60">
                  <c:v>2778913.3781039771</c:v>
                </c:pt>
                <c:pt idx="61">
                  <c:v>2835233.5849036667</c:v>
                </c:pt>
                <c:pt idx="62">
                  <c:v>2891553.7917033569</c:v>
                </c:pt>
                <c:pt idx="63">
                  <c:v>2947873.998503047</c:v>
                </c:pt>
                <c:pt idx="64">
                  <c:v>3004194.2053027372</c:v>
                </c:pt>
                <c:pt idx="65">
                  <c:v>3060514.4121024273</c:v>
                </c:pt>
                <c:pt idx="66">
                  <c:v>3116834.618902117</c:v>
                </c:pt>
                <c:pt idx="67">
                  <c:v>3173154.8257018072</c:v>
                </c:pt>
                <c:pt idx="68">
                  <c:v>3229475.0325014973</c:v>
                </c:pt>
                <c:pt idx="69">
                  <c:v>3285795.2393011875</c:v>
                </c:pt>
                <c:pt idx="70">
                  <c:v>3342115.4461008776</c:v>
                </c:pt>
                <c:pt idx="71">
                  <c:v>3398435.6529005673</c:v>
                </c:pt>
                <c:pt idx="72">
                  <c:v>3454755.8597002574</c:v>
                </c:pt>
                <c:pt idx="73">
                  <c:v>3511076.0664999476</c:v>
                </c:pt>
                <c:pt idx="74">
                  <c:v>3567396.2732996377</c:v>
                </c:pt>
                <c:pt idx="75">
                  <c:v>3623716.4800993274</c:v>
                </c:pt>
                <c:pt idx="76">
                  <c:v>3680036.686899018</c:v>
                </c:pt>
                <c:pt idx="77">
                  <c:v>3736356.8936987077</c:v>
                </c:pt>
                <c:pt idx="78">
                  <c:v>3792677.1004983974</c:v>
                </c:pt>
                <c:pt idx="79">
                  <c:v>3848997.307298088</c:v>
                </c:pt>
                <c:pt idx="80">
                  <c:v>3905317.5140977777</c:v>
                </c:pt>
                <c:pt idx="81">
                  <c:v>3961637.7208974683</c:v>
                </c:pt>
                <c:pt idx="82">
                  <c:v>4017957.927697158</c:v>
                </c:pt>
                <c:pt idx="83">
                  <c:v>4074278.1344968476</c:v>
                </c:pt>
                <c:pt idx="84">
                  <c:v>4130598.3412965382</c:v>
                </c:pt>
                <c:pt idx="85">
                  <c:v>4186918.5480962279</c:v>
                </c:pt>
                <c:pt idx="86">
                  <c:v>4243238.7548959181</c:v>
                </c:pt>
                <c:pt idx="87">
                  <c:v>4299558.9616956078</c:v>
                </c:pt>
              </c:numCache>
            </c:numRef>
          </c:yVal>
          <c:smooth val="0"/>
          <c:extLst>
            <c:ext xmlns:c16="http://schemas.microsoft.com/office/drawing/2014/chart" uri="{C3380CC4-5D6E-409C-BE32-E72D297353CC}">
              <c16:uniqueId val="{00000004-1E29-2044-8E06-3CE896C49E1C}"/>
            </c:ext>
          </c:extLst>
        </c:ser>
        <c:dLbls>
          <c:showLegendKey val="0"/>
          <c:showVal val="0"/>
          <c:showCatName val="0"/>
          <c:showSerName val="0"/>
          <c:showPercent val="0"/>
          <c:showBubbleSize val="0"/>
        </c:dLbls>
        <c:axId val="34470064"/>
        <c:axId val="33586944"/>
      </c:scatterChart>
      <c:valAx>
        <c:axId val="34470064"/>
        <c:scaling>
          <c:orientation val="minMax"/>
        </c:scaling>
        <c:delete val="0"/>
        <c:axPos val="b"/>
        <c:numFmt formatCode="General" sourceLinked="1"/>
        <c:majorTickMark val="out"/>
        <c:minorTickMark val="none"/>
        <c:tickLblPos val="nextTo"/>
        <c:crossAx val="33586944"/>
        <c:crosses val="autoZero"/>
        <c:crossBetween val="midCat"/>
      </c:valAx>
      <c:valAx>
        <c:axId val="33586944"/>
        <c:scaling>
          <c:orientation val="minMax"/>
        </c:scaling>
        <c:delete val="0"/>
        <c:axPos val="l"/>
        <c:numFmt formatCode="#,##0" sourceLinked="1"/>
        <c:majorTickMark val="out"/>
        <c:minorTickMark val="none"/>
        <c:tickLblPos val="nextTo"/>
        <c:crossAx val="3447006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emf"/><Relationship Id="rId4" Type="http://schemas.openxmlformats.org/officeDocument/2006/relationships/image" Target="../media/image6.emf"/></Relationships>
</file>

<file path=xl/drawings/_rels/drawing3.xml.rels><?xml version="1.0" encoding="UTF-8" standalone="yes"?>
<Relationships xmlns="http://schemas.openxmlformats.org/package/2006/relationships"><Relationship Id="rId1" Type="http://schemas.openxmlformats.org/officeDocument/2006/relationships/image" Target="../media/image7.emf"/></Relationships>
</file>

<file path=xl/drawings/_rels/drawing4.x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8.emf"/><Relationship Id="rId5" Type="http://schemas.openxmlformats.org/officeDocument/2006/relationships/image" Target="../media/image12.emf"/><Relationship Id="rId4" Type="http://schemas.openxmlformats.org/officeDocument/2006/relationships/image" Target="../media/image11.emf"/></Relationships>
</file>

<file path=xl/drawings/_rels/drawing5.xml.rels><?xml version="1.0" encoding="UTF-8" standalone="yes"?>
<Relationships xmlns="http://schemas.openxmlformats.org/package/2006/relationships"><Relationship Id="rId3" Type="http://schemas.openxmlformats.org/officeDocument/2006/relationships/image" Target="../media/image13.emf"/><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xdr:from>
      <xdr:col>6</xdr:col>
      <xdr:colOff>507999</xdr:colOff>
      <xdr:row>3</xdr:row>
      <xdr:rowOff>152400</xdr:rowOff>
    </xdr:from>
    <xdr:to>
      <xdr:col>16</xdr:col>
      <xdr:colOff>761999</xdr:colOff>
      <xdr:row>37</xdr:row>
      <xdr:rowOff>91807</xdr:rowOff>
    </xdr:to>
    <xdr:sp macro="" textlink="">
      <xdr:nvSpPr>
        <xdr:cNvPr id="2" name="TextBox 1">
          <a:extLst>
            <a:ext uri="{FF2B5EF4-FFF2-40B4-BE49-F238E27FC236}">
              <a16:creationId xmlns:a16="http://schemas.microsoft.com/office/drawing/2014/main" id="{B94EADC6-ABFC-370E-E014-054C7E1F7479}"/>
            </a:ext>
          </a:extLst>
        </xdr:cNvPr>
        <xdr:cNvSpPr txBox="1"/>
      </xdr:nvSpPr>
      <xdr:spPr>
        <a:xfrm>
          <a:off x="5848119" y="703243"/>
          <a:ext cx="8516651" cy="619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742950" marR="0" lvl="1" indent="-285750">
            <a:lnSpc>
              <a:spcPct val="115000"/>
            </a:lnSpc>
            <a:spcBef>
              <a:spcPts val="0"/>
            </a:spcBef>
            <a:spcAft>
              <a:spcPts val="0"/>
            </a:spcAft>
            <a:buFont typeface="+mj-lt"/>
            <a:buAutoNum type="arabicPeriod"/>
          </a:pPr>
          <a:r>
            <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rPr>
            <a:t>1.1Develop a correlation matrix among all four variables (DEOM, AAA, 3-4, and D3-4). Explain what you observe from the correlation matrix.   </a:t>
          </a:r>
          <a:endParaRPr lang="en-US" sz="20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r>
            <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p>
        <a:p>
          <a:pPr marL="228600" marR="0">
            <a:lnSpc>
              <a:spcPct val="115000"/>
            </a:lnSpc>
            <a:spcBef>
              <a:spcPts val="0"/>
            </a:spcBef>
            <a:spcAft>
              <a:spcPts val="0"/>
            </a:spcAft>
          </a:pPr>
          <a:endPar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endParaRPr>
        </a:p>
        <a:p>
          <a:pPr marL="228600" marR="0" indent="0" defTabSz="914400" eaLnBrk="1" fontAlgn="auto" latinLnBrk="0" hangingPunct="1">
            <a:lnSpc>
              <a:spcPct val="115000"/>
            </a:lnSpc>
            <a:spcBef>
              <a:spcPts val="0"/>
            </a:spcBef>
            <a:spcAft>
              <a:spcPts val="0"/>
            </a:spcAft>
            <a:buClrTx/>
            <a:buSzTx/>
            <a:buFontTx/>
            <a:buNone/>
            <a:tabLst/>
            <a:defRPr/>
          </a:pPr>
          <a:endParaRPr lang="en-US" sz="20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endPar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r>
            <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rPr>
            <a:t>The correlation matrix exhibits the following:</a:t>
          </a:r>
          <a:endParaRPr lang="en-US" sz="20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r>
            <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2000">
            <a:effectLst/>
            <a:latin typeface="Calibri" panose="020F0502020204030204" pitchFamily="34" charset="0"/>
            <a:ea typeface="Calibri" panose="020F0502020204030204" pitchFamily="34" charset="0"/>
            <a:cs typeface="Cordia New" panose="020B0304020202020204" pitchFamily="34" charset="-34"/>
          </a:endParaRPr>
        </a:p>
        <a:p>
          <a:pPr marL="342900" marR="0" lvl="0" indent="-342900">
            <a:lnSpc>
              <a:spcPct val="115000"/>
            </a:lnSpc>
            <a:spcBef>
              <a:spcPts val="0"/>
            </a:spcBef>
            <a:spcAft>
              <a:spcPts val="0"/>
            </a:spcAft>
            <a:buFont typeface="Symbol" pitchFamily="2" charset="2"/>
            <a:buChar char=""/>
          </a:pPr>
          <a:r>
            <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rPr>
            <a:t>With Dependent “DEOM” Variable</a:t>
          </a:r>
          <a:endParaRPr lang="en-US" sz="2000">
            <a:effectLst/>
            <a:latin typeface="Calibri" panose="020F0502020204030204" pitchFamily="34" charset="0"/>
            <a:ea typeface="Calibri" panose="020F0502020204030204" pitchFamily="34" charset="0"/>
            <a:cs typeface="Cordia New" panose="020B0304020202020204" pitchFamily="34" charset="-34"/>
          </a:endParaRPr>
        </a:p>
        <a:p>
          <a:pPr marL="742950" marR="0" lvl="1" indent="-285750">
            <a:lnSpc>
              <a:spcPct val="115000"/>
            </a:lnSpc>
            <a:spcBef>
              <a:spcPts val="0"/>
            </a:spcBef>
            <a:spcAft>
              <a:spcPts val="0"/>
            </a:spcAft>
            <a:buFont typeface="Courier New" panose="02070309020205020404" pitchFamily="49" charset="0"/>
            <a:buChar char="o"/>
          </a:pPr>
          <a:r>
            <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rPr>
            <a:t>(AAA) Bond rates are moderately positively correlated – 0.26</a:t>
          </a:r>
          <a:endParaRPr lang="en-US" sz="2000">
            <a:effectLst/>
            <a:latin typeface="Calibri" panose="020F0502020204030204" pitchFamily="34" charset="0"/>
            <a:ea typeface="Calibri" panose="020F0502020204030204" pitchFamily="34" charset="0"/>
            <a:cs typeface="Cordia New" panose="020B0304020202020204" pitchFamily="34" charset="-34"/>
          </a:endParaRPr>
        </a:p>
        <a:p>
          <a:pPr marL="742950" marR="0" lvl="1" indent="-285750">
            <a:lnSpc>
              <a:spcPct val="115000"/>
            </a:lnSpc>
            <a:spcBef>
              <a:spcPts val="0"/>
            </a:spcBef>
            <a:spcAft>
              <a:spcPts val="0"/>
            </a:spcAft>
            <a:buFont typeface="Courier New" panose="02070309020205020404" pitchFamily="49" charset="0"/>
            <a:buChar char="o"/>
          </a:pPr>
          <a:r>
            <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rPr>
            <a:t>(D3-4) Change in Gov’t Bond Rates are very weakly negatively correlated – (0.19)</a:t>
          </a:r>
          <a:endParaRPr lang="en-US" sz="2000">
            <a:effectLst/>
            <a:latin typeface="Calibri" panose="020F0502020204030204" pitchFamily="34" charset="0"/>
            <a:ea typeface="Calibri" panose="020F0502020204030204" pitchFamily="34" charset="0"/>
            <a:cs typeface="Cordia New" panose="020B0304020202020204" pitchFamily="34" charset="-34"/>
          </a:endParaRPr>
        </a:p>
        <a:p>
          <a:pPr marL="742950" marR="0" lvl="1" indent="-285750">
            <a:lnSpc>
              <a:spcPct val="115000"/>
            </a:lnSpc>
            <a:spcBef>
              <a:spcPts val="0"/>
            </a:spcBef>
            <a:spcAft>
              <a:spcPts val="0"/>
            </a:spcAft>
            <a:buFont typeface="Courier New" panose="02070309020205020404" pitchFamily="49" charset="0"/>
            <a:buChar char="o"/>
          </a:pPr>
          <a:r>
            <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rPr>
            <a:t>(3-4) Gov’t bond rates are moderately negatively correlated – (0.39)</a:t>
          </a:r>
          <a:endParaRPr lang="en-US" sz="2000">
            <a:effectLst/>
            <a:latin typeface="Calibri" panose="020F0502020204030204" pitchFamily="34" charset="0"/>
            <a:ea typeface="Calibri" panose="020F0502020204030204" pitchFamily="34" charset="0"/>
            <a:cs typeface="Cordia New" panose="020B0304020202020204" pitchFamily="34" charset="-34"/>
          </a:endParaRPr>
        </a:p>
        <a:p>
          <a:pPr marL="342900" marR="0" lvl="0" indent="-342900">
            <a:lnSpc>
              <a:spcPct val="115000"/>
            </a:lnSpc>
            <a:spcBef>
              <a:spcPts val="0"/>
            </a:spcBef>
            <a:spcAft>
              <a:spcPts val="0"/>
            </a:spcAft>
            <a:buFont typeface="Symbol" pitchFamily="2" charset="2"/>
            <a:buChar char=""/>
          </a:pPr>
          <a:r>
            <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rPr>
            <a:t>With Independent Variables</a:t>
          </a:r>
          <a:endParaRPr lang="en-US" sz="2000">
            <a:effectLst/>
            <a:latin typeface="Calibri" panose="020F0502020204030204" pitchFamily="34" charset="0"/>
            <a:ea typeface="Calibri" panose="020F0502020204030204" pitchFamily="34" charset="0"/>
            <a:cs typeface="Cordia New" panose="020B0304020202020204" pitchFamily="34" charset="-34"/>
          </a:endParaRPr>
        </a:p>
        <a:p>
          <a:pPr marL="742950" marR="0" lvl="1" indent="-285750">
            <a:lnSpc>
              <a:spcPct val="115000"/>
            </a:lnSpc>
            <a:spcBef>
              <a:spcPts val="0"/>
            </a:spcBef>
            <a:spcAft>
              <a:spcPts val="0"/>
            </a:spcAft>
            <a:buFont typeface="Courier New" panose="02070309020205020404" pitchFamily="49" charset="0"/>
            <a:buChar char="o"/>
          </a:pPr>
          <a:r>
            <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rPr>
            <a:t>(D3-4) is weakly negatively correlated to (AAA) – (0.2)</a:t>
          </a:r>
          <a:endParaRPr lang="en-US" sz="2000">
            <a:effectLst/>
            <a:latin typeface="Calibri" panose="020F0502020204030204" pitchFamily="34" charset="0"/>
            <a:ea typeface="Calibri" panose="020F0502020204030204" pitchFamily="34" charset="0"/>
            <a:cs typeface="Cordia New" panose="020B0304020202020204" pitchFamily="34" charset="-34"/>
          </a:endParaRPr>
        </a:p>
        <a:p>
          <a:pPr marL="742950" marR="0" lvl="1" indent="-285750">
            <a:lnSpc>
              <a:spcPct val="115000"/>
            </a:lnSpc>
            <a:spcBef>
              <a:spcPts val="0"/>
            </a:spcBef>
            <a:spcAft>
              <a:spcPts val="0"/>
            </a:spcAft>
            <a:buFont typeface="Courier New" panose="02070309020205020404" pitchFamily="49" charset="0"/>
            <a:buChar char="o"/>
          </a:pPr>
          <a:r>
            <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rPr>
            <a:t>(3-4) is moderately positively correlated to (AAA) – 0.59</a:t>
          </a:r>
          <a:endParaRPr lang="en-US" sz="2000">
            <a:effectLst/>
            <a:latin typeface="Calibri" panose="020F0502020204030204" pitchFamily="34" charset="0"/>
            <a:ea typeface="Calibri" panose="020F0502020204030204" pitchFamily="34" charset="0"/>
            <a:cs typeface="Cordia New" panose="020B0304020202020204" pitchFamily="34" charset="-34"/>
          </a:endParaRPr>
        </a:p>
        <a:p>
          <a:pPr marL="742950" marR="0" lvl="1" indent="-285750">
            <a:lnSpc>
              <a:spcPct val="115000"/>
            </a:lnSpc>
            <a:spcBef>
              <a:spcPts val="0"/>
            </a:spcBef>
            <a:spcAft>
              <a:spcPts val="1000"/>
            </a:spcAft>
            <a:buFont typeface="Courier New" panose="02070309020205020404" pitchFamily="49" charset="0"/>
            <a:buChar char="o"/>
          </a:pPr>
          <a:r>
            <a:rPr lang="en-US" sz="2000">
              <a:solidFill>
                <a:srgbClr val="000000"/>
              </a:solidFill>
              <a:effectLst/>
              <a:latin typeface="Calibri" panose="020F0502020204030204" pitchFamily="34" charset="0"/>
              <a:ea typeface="Calibri" panose="020F0502020204030204" pitchFamily="34" charset="0"/>
              <a:cs typeface="Cordia New" panose="020B0304020202020204" pitchFamily="34" charset="-34"/>
            </a:rPr>
            <a:t>(D3-4) is weakly negatively correlated to (3-4) – (0.2)</a:t>
          </a:r>
          <a:endParaRPr lang="en-US" sz="2000">
            <a:effectLst/>
            <a:latin typeface="Calibri" panose="020F0502020204030204" pitchFamily="34" charset="0"/>
            <a:ea typeface="Calibri" panose="020F0502020204030204" pitchFamily="34" charset="0"/>
            <a:cs typeface="Cordia New" panose="020B0304020202020204" pitchFamily="34" charset="-34"/>
          </a:endParaRPr>
        </a:p>
        <a:p>
          <a:endParaRPr lang="en-US" sz="1100"/>
        </a:p>
      </xdr:txBody>
    </xdr:sp>
    <xdr:clientData/>
  </xdr:twoCellAnchor>
  <xdr:twoCellAnchor>
    <xdr:from>
      <xdr:col>4</xdr:col>
      <xdr:colOff>406400</xdr:colOff>
      <xdr:row>6</xdr:row>
      <xdr:rowOff>0</xdr:rowOff>
    </xdr:from>
    <xdr:to>
      <xdr:col>6</xdr:col>
      <xdr:colOff>0</xdr:colOff>
      <xdr:row>10</xdr:row>
      <xdr:rowOff>101600</xdr:rowOff>
    </xdr:to>
    <xdr:cxnSp macro="">
      <xdr:nvCxnSpPr>
        <xdr:cNvPr id="4" name="Straight Arrow Connector 3">
          <a:extLst>
            <a:ext uri="{FF2B5EF4-FFF2-40B4-BE49-F238E27FC236}">
              <a16:creationId xmlns:a16="http://schemas.microsoft.com/office/drawing/2014/main" id="{10E04FD8-4AFA-0C6B-7210-6B6F19B2BF5D}"/>
            </a:ext>
          </a:extLst>
        </xdr:cNvPr>
        <xdr:cNvCxnSpPr/>
      </xdr:nvCxnSpPr>
      <xdr:spPr>
        <a:xfrm flipH="1" flipV="1">
          <a:off x="3776133" y="1134533"/>
          <a:ext cx="1253067" cy="84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61204</xdr:colOff>
      <xdr:row>8</xdr:row>
      <xdr:rowOff>91807</xdr:rowOff>
    </xdr:from>
    <xdr:to>
      <xdr:col>14</xdr:col>
      <xdr:colOff>438379</xdr:colOff>
      <xdr:row>13</xdr:row>
      <xdr:rowOff>151635</xdr:rowOff>
    </xdr:to>
    <xdr:pic>
      <xdr:nvPicPr>
        <xdr:cNvPr id="3" name="Picture 2">
          <a:extLst>
            <a:ext uri="{FF2B5EF4-FFF2-40B4-BE49-F238E27FC236}">
              <a16:creationId xmlns:a16="http://schemas.microsoft.com/office/drawing/2014/main" id="{C0986A43-8DED-9A78-2808-C4E971776760}"/>
            </a:ext>
          </a:extLst>
        </xdr:cNvPr>
        <xdr:cNvPicPr>
          <a:picLocks noChangeAspect="1"/>
        </xdr:cNvPicPr>
      </xdr:nvPicPr>
      <xdr:blipFill>
        <a:blip xmlns:r="http://schemas.openxmlformats.org/officeDocument/2006/relationships" r:embed="rId1"/>
        <a:stretch>
          <a:fillRect/>
        </a:stretch>
      </xdr:blipFill>
      <xdr:spPr>
        <a:xfrm>
          <a:off x="7880120" y="1576024"/>
          <a:ext cx="4508500" cy="977900"/>
        </a:xfrm>
        <a:prstGeom prst="rect">
          <a:avLst/>
        </a:prstGeom>
      </xdr:spPr>
    </xdr:pic>
    <xdr:clientData/>
  </xdr:twoCellAnchor>
  <xdr:twoCellAnchor editAs="oneCell">
    <xdr:from>
      <xdr:col>1</xdr:col>
      <xdr:colOff>0</xdr:colOff>
      <xdr:row>18</xdr:row>
      <xdr:rowOff>0</xdr:rowOff>
    </xdr:from>
    <xdr:to>
      <xdr:col>6</xdr:col>
      <xdr:colOff>285368</xdr:colOff>
      <xdr:row>23</xdr:row>
      <xdr:rowOff>59827</xdr:rowOff>
    </xdr:to>
    <xdr:pic>
      <xdr:nvPicPr>
        <xdr:cNvPr id="5" name="Picture 4">
          <a:extLst>
            <a:ext uri="{FF2B5EF4-FFF2-40B4-BE49-F238E27FC236}">
              <a16:creationId xmlns:a16="http://schemas.microsoft.com/office/drawing/2014/main" id="{99BED617-4760-CEB5-53CD-D9A9D59FA956}"/>
            </a:ext>
          </a:extLst>
        </xdr:cNvPr>
        <xdr:cNvPicPr>
          <a:picLocks noChangeAspect="1"/>
        </xdr:cNvPicPr>
      </xdr:nvPicPr>
      <xdr:blipFill>
        <a:blip xmlns:r="http://schemas.openxmlformats.org/officeDocument/2006/relationships" r:embed="rId2"/>
        <a:stretch>
          <a:fillRect/>
        </a:stretch>
      </xdr:blipFill>
      <xdr:spPr>
        <a:xfrm>
          <a:off x="1116988" y="3320361"/>
          <a:ext cx="4508500" cy="977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21</xdr:row>
      <xdr:rowOff>0</xdr:rowOff>
    </xdr:from>
    <xdr:to>
      <xdr:col>27</xdr:col>
      <xdr:colOff>203200</xdr:colOff>
      <xdr:row>94</xdr:row>
      <xdr:rowOff>39077</xdr:rowOff>
    </xdr:to>
    <xdr:sp macro="" textlink="">
      <xdr:nvSpPr>
        <xdr:cNvPr id="2" name="TextBox 1">
          <a:extLst>
            <a:ext uri="{FF2B5EF4-FFF2-40B4-BE49-F238E27FC236}">
              <a16:creationId xmlns:a16="http://schemas.microsoft.com/office/drawing/2014/main" id="{5BFFFF36-F56A-CA41-96F6-D1835FF547FF}"/>
            </a:ext>
          </a:extLst>
        </xdr:cNvPr>
        <xdr:cNvSpPr txBox="1"/>
      </xdr:nvSpPr>
      <xdr:spPr>
        <a:xfrm>
          <a:off x="10210800" y="4267200"/>
          <a:ext cx="12776200" cy="14872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742950" marR="0" lvl="1" indent="-285750">
            <a:lnSpc>
              <a:spcPct val="115000"/>
            </a:lnSpc>
            <a:spcBef>
              <a:spcPts val="0"/>
            </a:spcBef>
            <a:spcAft>
              <a:spcPts val="0"/>
            </a:spcAft>
            <a:buFont typeface="+mj-lt"/>
            <a:buAutoNum type="arabicPeriod"/>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1.2 Develop a regression model to forecast the DEOM figures based on the three independent variables (AAA, 3-4, and D3-4).  Evaluate the model the strength of the model using the appropriate test and comment on the strength of the model (using </a:t>
          </a: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sym typeface="Symbol" pitchFamily="2" charset="2"/>
            </a:rPr>
            <a:t></a:t>
          </a: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 0.01).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n – k – 1 = 48</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alpha = 0.01</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CV(t) = 5.841</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100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CV(F) = 4.218</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The t-stats of independent variables (AAA) Bond Yield and (3-4) Government Bond Yield successfully reject the null hypothesis by exceeding the critical value. This proves these variables are significant predictors in predicting variation of DEOM figures. On the other hand, the change in bond yield variable does not successfully reject the null hypothesis, proving no significant predictability.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Performing the F-test starts with identifying the observed F in the output report which is 20.854. This exceeds the critical value and successfully rejects the null hypothesis, supporting at least one of the variables is statistically significant and proves predictability of variation by the model for DEOM</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endPar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endPar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Looking at the adjusted r-squared, the output report displays a moderately positive correlation sitting at 0.56. In terms of predictability, this isn’t very strong and indicates only 56% of the variation can be predicted by the model.</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1000"/>
            </a:spcAft>
          </a:pPr>
          <a:endPar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1000"/>
            </a:spcAft>
          </a:pPr>
          <a:r>
            <a:rPr lang="en-US" sz="1600">
              <a:solidFill>
                <a:srgbClr val="000000"/>
              </a:solidFill>
              <a:effectLst/>
              <a:latin typeface="Calibri" panose="020F0502020204030204" pitchFamily="34" charset="0"/>
              <a:ea typeface="Calibri" panose="020F0502020204030204" pitchFamily="34" charset="0"/>
              <a:cs typeface="Cordia New" panose="020B0304020202020204" pitchFamily="34" charset="-34"/>
            </a:rPr>
            <a:t>In the analysis of the standard error, the table displays a normal distribution of residual data based on the residual analysis. This proves that the model is well fitted to the actual data.</a:t>
          </a:r>
          <a:endParaRPr lang="en-US" sz="1600">
            <a:effectLst/>
            <a:latin typeface="Calibri" panose="020F0502020204030204" pitchFamily="34" charset="0"/>
            <a:ea typeface="Calibri" panose="020F0502020204030204" pitchFamily="34" charset="0"/>
            <a:cs typeface="Cordia New" panose="020B0304020202020204" pitchFamily="34" charset="-34"/>
          </a:endParaRPr>
        </a:p>
        <a:p>
          <a:endParaRPr lang="en-US" sz="1100"/>
        </a:p>
        <a:p>
          <a:endParaRPr lang="en-US" sz="1100"/>
        </a:p>
      </xdr:txBody>
    </xdr:sp>
    <xdr:clientData/>
  </xdr:twoCellAnchor>
  <xdr:twoCellAnchor editAs="oneCell">
    <xdr:from>
      <xdr:col>16</xdr:col>
      <xdr:colOff>668311</xdr:colOff>
      <xdr:row>25</xdr:row>
      <xdr:rowOff>153620</xdr:rowOff>
    </xdr:from>
    <xdr:to>
      <xdr:col>21</xdr:col>
      <xdr:colOff>822377</xdr:colOff>
      <xdr:row>30</xdr:row>
      <xdr:rowOff>165696</xdr:rowOff>
    </xdr:to>
    <xdr:pic>
      <xdr:nvPicPr>
        <xdr:cNvPr id="3" name="Picture 2">
          <a:extLst>
            <a:ext uri="{FF2B5EF4-FFF2-40B4-BE49-F238E27FC236}">
              <a16:creationId xmlns:a16="http://schemas.microsoft.com/office/drawing/2014/main" id="{ECFAA980-8C5D-E761-3592-BBAF4F738F6C}"/>
            </a:ext>
          </a:extLst>
        </xdr:cNvPr>
        <xdr:cNvPicPr>
          <a:picLocks noChangeAspect="1"/>
        </xdr:cNvPicPr>
      </xdr:nvPicPr>
      <xdr:blipFill>
        <a:blip xmlns:r="http://schemas.openxmlformats.org/officeDocument/2006/relationships" r:embed="rId1"/>
        <a:stretch>
          <a:fillRect/>
        </a:stretch>
      </xdr:blipFill>
      <xdr:spPr>
        <a:xfrm>
          <a:off x="14134690" y="5080344"/>
          <a:ext cx="4314411" cy="997421"/>
        </a:xfrm>
        <a:prstGeom prst="rect">
          <a:avLst/>
        </a:prstGeom>
      </xdr:spPr>
    </xdr:pic>
    <xdr:clientData/>
  </xdr:twoCellAnchor>
  <xdr:twoCellAnchor editAs="oneCell">
    <xdr:from>
      <xdr:col>16</xdr:col>
      <xdr:colOff>601272</xdr:colOff>
      <xdr:row>38</xdr:row>
      <xdr:rowOff>112109</xdr:rowOff>
    </xdr:from>
    <xdr:to>
      <xdr:col>21</xdr:col>
      <xdr:colOff>755338</xdr:colOff>
      <xdr:row>40</xdr:row>
      <xdr:rowOff>150324</xdr:rowOff>
    </xdr:to>
    <xdr:pic>
      <xdr:nvPicPr>
        <xdr:cNvPr id="4" name="Picture 3">
          <a:extLst>
            <a:ext uri="{FF2B5EF4-FFF2-40B4-BE49-F238E27FC236}">
              <a16:creationId xmlns:a16="http://schemas.microsoft.com/office/drawing/2014/main" id="{A6D5F652-9E20-2CFA-1BDC-D1F14F1316F9}"/>
            </a:ext>
          </a:extLst>
        </xdr:cNvPr>
        <xdr:cNvPicPr>
          <a:picLocks noChangeAspect="1"/>
        </xdr:cNvPicPr>
      </xdr:nvPicPr>
      <xdr:blipFill>
        <a:blip xmlns:r="http://schemas.openxmlformats.org/officeDocument/2006/relationships" r:embed="rId2"/>
        <a:stretch>
          <a:fillRect/>
        </a:stretch>
      </xdr:blipFill>
      <xdr:spPr>
        <a:xfrm>
          <a:off x="14067651" y="7600730"/>
          <a:ext cx="4314411" cy="432353"/>
        </a:xfrm>
        <a:prstGeom prst="rect">
          <a:avLst/>
        </a:prstGeom>
      </xdr:spPr>
    </xdr:pic>
    <xdr:clientData/>
  </xdr:twoCellAnchor>
  <xdr:twoCellAnchor editAs="oneCell">
    <xdr:from>
      <xdr:col>16</xdr:col>
      <xdr:colOff>65058</xdr:colOff>
      <xdr:row>45</xdr:row>
      <xdr:rowOff>129226</xdr:rowOff>
    </xdr:from>
    <xdr:to>
      <xdr:col>22</xdr:col>
      <xdr:colOff>325419</xdr:colOff>
      <xdr:row>58</xdr:row>
      <xdr:rowOff>45832</xdr:rowOff>
    </xdr:to>
    <xdr:pic>
      <xdr:nvPicPr>
        <xdr:cNvPr id="5" name="Picture 4">
          <a:extLst>
            <a:ext uri="{FF2B5EF4-FFF2-40B4-BE49-F238E27FC236}">
              <a16:creationId xmlns:a16="http://schemas.microsoft.com/office/drawing/2014/main" id="{F85F5FA4-5BC0-B984-F83D-D74112B58FDF}"/>
            </a:ext>
          </a:extLst>
        </xdr:cNvPr>
        <xdr:cNvPicPr>
          <a:picLocks noChangeAspect="1"/>
        </xdr:cNvPicPr>
      </xdr:nvPicPr>
      <xdr:blipFill>
        <a:blip xmlns:r="http://schemas.openxmlformats.org/officeDocument/2006/relationships" r:embed="rId3"/>
        <a:stretch>
          <a:fillRect/>
        </a:stretch>
      </xdr:blipFill>
      <xdr:spPr>
        <a:xfrm>
          <a:off x="13531437" y="8997329"/>
          <a:ext cx="5252775" cy="2478503"/>
        </a:xfrm>
        <a:prstGeom prst="rect">
          <a:avLst/>
        </a:prstGeom>
      </xdr:spPr>
    </xdr:pic>
    <xdr:clientData/>
  </xdr:twoCellAnchor>
  <xdr:twoCellAnchor editAs="oneCell">
    <xdr:from>
      <xdr:col>17</xdr:col>
      <xdr:colOff>589747</xdr:colOff>
      <xdr:row>64</xdr:row>
      <xdr:rowOff>170899</xdr:rowOff>
    </xdr:from>
    <xdr:to>
      <xdr:col>21</xdr:col>
      <xdr:colOff>585514</xdr:colOff>
      <xdr:row>74</xdr:row>
      <xdr:rowOff>86232</xdr:rowOff>
    </xdr:to>
    <xdr:pic>
      <xdr:nvPicPr>
        <xdr:cNvPr id="6" name="Picture 5">
          <a:extLst>
            <a:ext uri="{FF2B5EF4-FFF2-40B4-BE49-F238E27FC236}">
              <a16:creationId xmlns:a16="http://schemas.microsoft.com/office/drawing/2014/main" id="{2E2C0C6F-F3B8-15FB-20A5-3AC884207D20}"/>
            </a:ext>
          </a:extLst>
        </xdr:cNvPr>
        <xdr:cNvPicPr>
          <a:picLocks noChangeAspect="1"/>
        </xdr:cNvPicPr>
      </xdr:nvPicPr>
      <xdr:blipFill>
        <a:blip xmlns:r="http://schemas.openxmlformats.org/officeDocument/2006/relationships" r:embed="rId4"/>
        <a:stretch>
          <a:fillRect/>
        </a:stretch>
      </xdr:blipFill>
      <xdr:spPr>
        <a:xfrm>
          <a:off x="14888195" y="12783313"/>
          <a:ext cx="3324043" cy="18860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246975</xdr:colOff>
      <xdr:row>4</xdr:row>
      <xdr:rowOff>196282</xdr:rowOff>
    </xdr:from>
    <xdr:to>
      <xdr:col>23</xdr:col>
      <xdr:colOff>614828</xdr:colOff>
      <xdr:row>18</xdr:row>
      <xdr:rowOff>165100</xdr:rowOff>
    </xdr:to>
    <xdr:sp macro="" textlink="">
      <xdr:nvSpPr>
        <xdr:cNvPr id="2" name="TextBox 1">
          <a:extLst>
            <a:ext uri="{FF2B5EF4-FFF2-40B4-BE49-F238E27FC236}">
              <a16:creationId xmlns:a16="http://schemas.microsoft.com/office/drawing/2014/main" id="{DD03FCAA-EB64-B493-48B7-A73CF30CDB1C}"/>
            </a:ext>
          </a:extLst>
        </xdr:cNvPr>
        <xdr:cNvSpPr txBox="1"/>
      </xdr:nvSpPr>
      <xdr:spPr>
        <a:xfrm>
          <a:off x="9111575" y="1021782"/>
          <a:ext cx="7098853" cy="28263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742950" marR="0" lvl="1" indent="-285750">
            <a:lnSpc>
              <a:spcPct val="115000"/>
            </a:lnSpc>
            <a:spcBef>
              <a:spcPts val="0"/>
            </a:spcBef>
            <a:spcAft>
              <a:spcPts val="0"/>
            </a:spcAft>
            <a:buFont typeface="+mj-lt"/>
            <a:buAutoNum type="arabicPeriod"/>
          </a:pPr>
          <a:r>
            <a:rPr lang="en-US" sz="1100">
              <a:solidFill>
                <a:srgbClr val="000000"/>
              </a:solidFill>
              <a:effectLst/>
              <a:latin typeface="Calibri" panose="020F0502020204030204" pitchFamily="34" charset="0"/>
              <a:ea typeface="Calibri" panose="020F0502020204030204" pitchFamily="34" charset="0"/>
              <a:cs typeface="Cordia New" panose="020B0304020202020204" pitchFamily="34" charset="-34"/>
            </a:rPr>
            <a:t>1.3 Perform the Durbin-Watson test using </a:t>
          </a:r>
          <a:r>
            <a:rPr lang="en-US" sz="1100">
              <a:effectLst/>
              <a:latin typeface="Calibri" panose="020F0502020204030204" pitchFamily="34" charset="0"/>
              <a:ea typeface="Calibri" panose="020F0502020204030204" pitchFamily="34" charset="0"/>
              <a:cs typeface="Cordia New" panose="020B0304020202020204" pitchFamily="34" charset="-34"/>
              <a:sym typeface="Symbol" pitchFamily="2" charset="2"/>
            </a:rPr>
            <a:t></a:t>
          </a:r>
          <a:r>
            <a:rPr lang="en-US" sz="11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 0.01 to check if autocorrelation exists. Show the details of your test and explain the results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457200" marR="0">
            <a:lnSpc>
              <a:spcPct val="115000"/>
            </a:lnSpc>
            <a:spcBef>
              <a:spcPts val="0"/>
            </a:spcBef>
            <a:spcAft>
              <a:spcPts val="1000"/>
            </a:spcAft>
          </a:pPr>
          <a:r>
            <a:rPr lang="en-US" sz="1100">
              <a:solidFill>
                <a:srgbClr val="00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r>
            <a:rPr lang="en-US" sz="1100">
              <a:solidFill>
                <a:srgbClr val="000000"/>
              </a:solidFill>
              <a:effectLst/>
              <a:latin typeface="Calibri" panose="020F0502020204030204" pitchFamily="34" charset="0"/>
              <a:ea typeface="Calibri" panose="020F0502020204030204" pitchFamily="34" charset="0"/>
              <a:cs typeface="Cordia New" panose="020B0304020202020204" pitchFamily="34" charset="-34"/>
            </a:rPr>
            <a:t>The D Critical Value exceeds the upper value. Therefore, it fails to reject the null hypothesis, and proves no autocorrelation exists. This validates the results of the F-test and t-test, supporting that the model possesses significant predictability</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endParaRPr lang="en-US" sz="1100"/>
        </a:p>
      </xdr:txBody>
    </xdr:sp>
    <xdr:clientData/>
  </xdr:twoCellAnchor>
  <xdr:twoCellAnchor editAs="oneCell">
    <xdr:from>
      <xdr:col>17</xdr:col>
      <xdr:colOff>615685</xdr:colOff>
      <xdr:row>6</xdr:row>
      <xdr:rowOff>196283</xdr:rowOff>
    </xdr:from>
    <xdr:to>
      <xdr:col>19</xdr:col>
      <xdr:colOff>622650</xdr:colOff>
      <xdr:row>13</xdr:row>
      <xdr:rowOff>19712</xdr:rowOff>
    </xdr:to>
    <xdr:pic>
      <xdr:nvPicPr>
        <xdr:cNvPr id="3" name="Picture 2">
          <a:extLst>
            <a:ext uri="{FF2B5EF4-FFF2-40B4-BE49-F238E27FC236}">
              <a16:creationId xmlns:a16="http://schemas.microsoft.com/office/drawing/2014/main" id="{B3E17BC8-8231-9ECE-78DF-CECDFAD14E86}"/>
            </a:ext>
          </a:extLst>
        </xdr:cNvPr>
        <xdr:cNvPicPr>
          <a:picLocks noChangeAspect="1"/>
        </xdr:cNvPicPr>
      </xdr:nvPicPr>
      <xdr:blipFill>
        <a:blip xmlns:r="http://schemas.openxmlformats.org/officeDocument/2006/relationships" r:embed="rId1"/>
        <a:stretch>
          <a:fillRect/>
        </a:stretch>
      </xdr:blipFill>
      <xdr:spPr>
        <a:xfrm>
          <a:off x="12209556" y="1466283"/>
          <a:ext cx="1358900" cy="1257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19</xdr:col>
      <xdr:colOff>0</xdr:colOff>
      <xdr:row>6</xdr:row>
      <xdr:rowOff>189551</xdr:rowOff>
    </xdr:from>
    <xdr:to>
      <xdr:col>35</xdr:col>
      <xdr:colOff>739254</xdr:colOff>
      <xdr:row>84</xdr:row>
      <xdr:rowOff>175172</xdr:rowOff>
    </xdr:to>
    <xdr:sp macro="" textlink="">
      <xdr:nvSpPr>
        <xdr:cNvPr id="2" name="TextBox 1">
          <a:extLst>
            <a:ext uri="{FF2B5EF4-FFF2-40B4-BE49-F238E27FC236}">
              <a16:creationId xmlns:a16="http://schemas.microsoft.com/office/drawing/2014/main" id="{DEC05A5F-718B-6F45-997C-F1A1532273D9}"/>
            </a:ext>
          </a:extLst>
        </xdr:cNvPr>
        <xdr:cNvSpPr txBox="1"/>
      </xdr:nvSpPr>
      <xdr:spPr>
        <a:xfrm>
          <a:off x="16187761" y="1364775"/>
          <a:ext cx="14083732" cy="149602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742950" marR="0" lvl="1" indent="-285750">
            <a:lnSpc>
              <a:spcPct val="115000"/>
            </a:lnSpc>
            <a:spcBef>
              <a:spcPts val="0"/>
            </a:spcBef>
            <a:spcAft>
              <a:spcPts val="0"/>
            </a:spcAft>
            <a:buFont typeface="+mj-lt"/>
            <a:buAutoNum type="arabicPeriod"/>
          </a:pPr>
          <a:r>
            <a:rPr lang="en-US" sz="1100">
              <a:effectLst/>
              <a:latin typeface="Calibri" panose="020F0502020204030204" pitchFamily="34" charset="0"/>
              <a:ea typeface="Calibri" panose="020F0502020204030204" pitchFamily="34" charset="0"/>
              <a:cs typeface="Cordia New" panose="020B0304020202020204" pitchFamily="34" charset="-34"/>
            </a:rPr>
            <a:t>1.4 Create dummy (indicator) variables to allow monthly seasonal components to be included in the regression model. Develop a new regression model, which includes these dummy variables and the three independent variables. Evaluate the model and comment on the strength of the model compared to the one in part 2. </a:t>
          </a:r>
          <a:r>
            <a:rPr lang="en-US" sz="1100">
              <a:solidFill>
                <a:srgbClr val="FF0000"/>
              </a:solidFill>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228600" marR="0">
            <a:lnSpc>
              <a:spcPct val="115000"/>
            </a:lnSpc>
            <a:spcBef>
              <a:spcPts val="0"/>
            </a:spcBef>
            <a:spcAft>
              <a:spcPts val="0"/>
            </a:spcAft>
          </a:pPr>
          <a:r>
            <a:rPr lang="en-US" sz="1100">
              <a:effectLst/>
              <a:latin typeface="Calibri" panose="020F0502020204030204" pitchFamily="34" charset="0"/>
              <a:ea typeface="Calibri" panose="020F0502020204030204" pitchFamily="34" charset="0"/>
              <a:cs typeface="Cordia New" panose="020B0304020202020204" pitchFamily="34" charset="-34"/>
            </a:rPr>
            <a:t>n – k – 1 = 37</a:t>
          </a:r>
        </a:p>
        <a:p>
          <a:pPr marL="228600" marR="0">
            <a:lnSpc>
              <a:spcPct val="115000"/>
            </a:lnSpc>
            <a:spcBef>
              <a:spcPts val="0"/>
            </a:spcBef>
            <a:spcAft>
              <a:spcPts val="0"/>
            </a:spcAft>
          </a:pPr>
          <a:r>
            <a:rPr lang="en-US" sz="1100">
              <a:effectLst/>
              <a:latin typeface="Calibri" panose="020F0502020204030204" pitchFamily="34" charset="0"/>
              <a:ea typeface="Calibri" panose="020F0502020204030204" pitchFamily="34" charset="0"/>
              <a:cs typeface="Cordia New" panose="020B0304020202020204" pitchFamily="34" charset="-34"/>
            </a:rPr>
            <a:t>alpha = 0.01</a:t>
          </a:r>
        </a:p>
        <a:p>
          <a:pPr marL="228600" marR="0">
            <a:lnSpc>
              <a:spcPct val="115000"/>
            </a:lnSpc>
            <a:spcBef>
              <a:spcPts val="0"/>
            </a:spcBef>
            <a:spcAft>
              <a:spcPts val="0"/>
            </a:spcAft>
          </a:pPr>
          <a:r>
            <a:rPr lang="en-US" sz="1100">
              <a:effectLst/>
              <a:latin typeface="Calibri" panose="020F0502020204030204" pitchFamily="34" charset="0"/>
              <a:ea typeface="Calibri" panose="020F0502020204030204" pitchFamily="34" charset="0"/>
              <a:cs typeface="Cordia New" panose="020B0304020202020204" pitchFamily="34" charset="-34"/>
            </a:rPr>
            <a:t> </a:t>
          </a:r>
        </a:p>
        <a:p>
          <a:pPr marL="228600" marR="0">
            <a:lnSpc>
              <a:spcPct val="115000"/>
            </a:lnSpc>
            <a:spcBef>
              <a:spcPts val="0"/>
            </a:spcBef>
            <a:spcAft>
              <a:spcPts val="0"/>
            </a:spcAft>
          </a:pPr>
          <a:r>
            <a:rPr lang="en-US" sz="1100">
              <a:effectLst/>
              <a:latin typeface="Calibri" panose="020F0502020204030204" pitchFamily="34" charset="0"/>
              <a:ea typeface="Calibri" panose="020F0502020204030204" pitchFamily="34" charset="0"/>
              <a:cs typeface="Cordia New" panose="020B0304020202020204" pitchFamily="34" charset="-34"/>
            </a:rPr>
            <a:t>CV (t) = 2.977</a:t>
          </a:r>
        </a:p>
        <a:p>
          <a:pPr marL="228600" marR="0">
            <a:lnSpc>
              <a:spcPct val="115000"/>
            </a:lnSpc>
            <a:spcBef>
              <a:spcPts val="0"/>
            </a:spcBef>
            <a:spcAft>
              <a:spcPts val="1000"/>
            </a:spcAft>
          </a:pPr>
          <a:r>
            <a:rPr lang="en-US" sz="1100">
              <a:effectLst/>
              <a:latin typeface="Calibri" panose="020F0502020204030204" pitchFamily="34" charset="0"/>
              <a:ea typeface="Calibri" panose="020F0502020204030204" pitchFamily="34" charset="0"/>
              <a:cs typeface="Cordia New" panose="020B0304020202020204" pitchFamily="34" charset="-34"/>
            </a:rPr>
            <a:t>CV (F) = 2.606</a:t>
          </a:r>
        </a:p>
        <a:p>
          <a:pPr marL="0" marR="0">
            <a:lnSpc>
              <a:spcPct val="115000"/>
            </a:lnSpc>
            <a:spcBef>
              <a:spcPts val="0"/>
            </a:spcBef>
            <a:spcAft>
              <a:spcPts val="1000"/>
            </a:spcAft>
          </a:pPr>
          <a:r>
            <a:rPr lang="en-US" sz="1100" u="none" strike="noStrike">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r>
            <a:rPr lang="en-US" sz="1100" u="none" strike="noStrike">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r>
            <a:rPr lang="en-US" sz="1100">
              <a:effectLst/>
              <a:latin typeface="Calibri" panose="020F0502020204030204" pitchFamily="34" charset="0"/>
              <a:ea typeface="Calibri" panose="020F0502020204030204" pitchFamily="34" charset="0"/>
              <a:cs typeface="Cordia New" panose="020B0304020202020204" pitchFamily="34" charset="-34"/>
            </a:rPr>
            <a:t>Adding in the dummy variables generates the following output. This regression analysis has a strong positive correlation, sitting at 0.87. This high coefficient of determination is interpreted as 87% of the variation can be accounted for by the model.</a:t>
          </a:r>
        </a:p>
        <a:p>
          <a:pPr marL="0" marR="0">
            <a:lnSpc>
              <a:spcPct val="115000"/>
            </a:lnSpc>
            <a:spcBef>
              <a:spcPts val="0"/>
            </a:spcBef>
            <a:spcAft>
              <a:spcPts val="1000"/>
            </a:spcAft>
          </a:pPr>
          <a:r>
            <a:rPr lang="en-US" sz="1100">
              <a:effectLst/>
              <a:latin typeface="Calibri" panose="020F0502020204030204" pitchFamily="34" charset="0"/>
              <a:ea typeface="Calibri" panose="020F0502020204030204" pitchFamily="34" charset="0"/>
              <a:cs typeface="Cordia New" panose="020B0304020202020204" pitchFamily="34" charset="-34"/>
            </a:rPr>
            <a:t> </a:t>
          </a:r>
        </a:p>
        <a:p>
          <a:pPr marL="0" marR="0">
            <a:lnSpc>
              <a:spcPct val="115000"/>
            </a:lnSpc>
            <a:spcBef>
              <a:spcPts val="0"/>
            </a:spcBef>
            <a:spcAft>
              <a:spcPts val="1000"/>
            </a:spcAft>
          </a:pPr>
          <a:r>
            <a:rPr lang="en-US" sz="1100" u="none" strike="noStrike">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r>
            <a:rPr lang="en-US" sz="1100" u="none" strike="noStrike">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r>
            <a:rPr lang="en-US" sz="1100" u="none" strike="noStrike">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r>
            <a:rPr lang="en-US" sz="1100" u="none" strike="noStrike">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r>
            <a:rPr lang="en-US" sz="1100" u="none" strike="noStrike">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r>
            <a:rPr lang="en-US" sz="1100">
              <a:effectLst/>
              <a:latin typeface="Calibri" panose="020F0502020204030204" pitchFamily="34" charset="0"/>
              <a:ea typeface="Calibri" panose="020F0502020204030204" pitchFamily="34" charset="0"/>
              <a:cs typeface="Cordia New" panose="020B0304020202020204" pitchFamily="34" charset="-34"/>
            </a:rPr>
            <a:t>Looking at the t-test chart, most independent variables, 86%, successfully reject the null hypothesis. This indicates significant predictability for the three original variables and for the months March through November. January and February however fail the t-test and fail to reject the null hypothesis, indicating these variables add no explanation to the variation.</a:t>
          </a:r>
        </a:p>
        <a:p>
          <a:pPr marL="0" marR="0">
            <a:lnSpc>
              <a:spcPct val="115000"/>
            </a:lnSpc>
            <a:spcBef>
              <a:spcPts val="0"/>
            </a:spcBef>
            <a:spcAft>
              <a:spcPts val="1000"/>
            </a:spcAft>
          </a:pPr>
          <a:r>
            <a:rPr lang="en-US" sz="1100" u="none" strike="noStrike">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r>
            <a:rPr lang="en-US" sz="1100">
              <a:effectLst/>
              <a:latin typeface="Calibri" panose="020F0502020204030204" pitchFamily="34" charset="0"/>
              <a:ea typeface="Calibri" panose="020F0502020204030204" pitchFamily="34" charset="0"/>
              <a:cs typeface="Cordia New" panose="020B0304020202020204" pitchFamily="34" charset="-34"/>
            </a:rPr>
            <a:t>In evaluating the overall significance of the model, the output F-value exceeds the critical value. This indicates significant predictability of DEOM by the model.</a:t>
          </a:r>
        </a:p>
        <a:p>
          <a:pPr marL="0" marR="0">
            <a:lnSpc>
              <a:spcPct val="115000"/>
            </a:lnSpc>
            <a:spcBef>
              <a:spcPts val="0"/>
            </a:spcBef>
            <a:spcAft>
              <a:spcPts val="1000"/>
            </a:spcAft>
          </a:pPr>
          <a:r>
            <a:rPr lang="en-US" sz="1100" u="none" strike="noStrike">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r>
            <a:rPr lang="en-US" sz="1100" u="none" strike="noStrike">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r>
            <a:rPr lang="en-US" sz="1100" u="none" strike="noStrike">
              <a:effectLst/>
              <a:latin typeface="Calibri" panose="020F0502020204030204" pitchFamily="34" charset="0"/>
              <a:ea typeface="Calibri" panose="020F0502020204030204" pitchFamily="34" charset="0"/>
              <a:cs typeface="Cordia New" panose="020B0304020202020204" pitchFamily="34" charset="-34"/>
            </a:rPr>
            <a:t> </a:t>
          </a: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endParaRPr lang="en-US" sz="1100">
            <a:effectLst/>
            <a:latin typeface="Calibri" panose="020F0502020204030204" pitchFamily="34" charset="0"/>
            <a:ea typeface="Calibri" panose="020F0502020204030204" pitchFamily="34" charset="0"/>
            <a:cs typeface="Cordia New" panose="020B0304020202020204" pitchFamily="34" charset="-34"/>
          </a:endParaRPr>
        </a:p>
        <a:p>
          <a:pPr marL="0" marR="0">
            <a:lnSpc>
              <a:spcPct val="115000"/>
            </a:lnSpc>
            <a:spcBef>
              <a:spcPts val="0"/>
            </a:spcBef>
            <a:spcAft>
              <a:spcPts val="1000"/>
            </a:spcAft>
          </a:pPr>
          <a:r>
            <a:rPr lang="en-US" sz="1100">
              <a:effectLst/>
              <a:latin typeface="Calibri" panose="020F0502020204030204" pitchFamily="34" charset="0"/>
              <a:ea typeface="Calibri" panose="020F0502020204030204" pitchFamily="34" charset="0"/>
              <a:cs typeface="Cordia New" panose="020B0304020202020204" pitchFamily="34" charset="-34"/>
            </a:rPr>
            <a:t>When observing the standard error distribution of the model, it can be noted that a greater amount of the data compared to the first model is skewed towards the middle, accounting nearly 80% of the standard errors within the first deviation. Since errors could be potentially being underestimated, a Durbin Watson test should be constructed to see if autocorrelation exists.</a:t>
          </a:r>
        </a:p>
        <a:p>
          <a:pPr marL="0" marR="0">
            <a:lnSpc>
              <a:spcPct val="115000"/>
            </a:lnSpc>
            <a:spcBef>
              <a:spcPts val="0"/>
            </a:spcBef>
            <a:spcAft>
              <a:spcPts val="1000"/>
            </a:spcAft>
          </a:pPr>
          <a:r>
            <a:rPr lang="en-US" sz="1100">
              <a:effectLst/>
              <a:latin typeface="Calibri" panose="020F0502020204030204" pitchFamily="34" charset="0"/>
              <a:ea typeface="Calibri" panose="020F0502020204030204" pitchFamily="34" charset="0"/>
              <a:cs typeface="Cordia New" panose="020B0304020202020204" pitchFamily="34" charset="-34"/>
            </a:rPr>
            <a:t> </a:t>
          </a:r>
        </a:p>
        <a:p>
          <a:pPr marL="0" marR="0">
            <a:lnSpc>
              <a:spcPct val="115000"/>
            </a:lnSpc>
            <a:spcBef>
              <a:spcPts val="0"/>
            </a:spcBef>
            <a:spcAft>
              <a:spcPts val="1000"/>
            </a:spcAft>
          </a:pPr>
          <a:r>
            <a:rPr lang="en-US" sz="1100">
              <a:effectLst/>
              <a:latin typeface="Calibri" panose="020F0502020204030204" pitchFamily="34" charset="0"/>
              <a:ea typeface="Calibri" panose="020F0502020204030204" pitchFamily="34" charset="0"/>
              <a:cs typeface="Cordia New" panose="020B0304020202020204" pitchFamily="34" charset="-34"/>
            </a:rPr>
            <a:t> </a:t>
          </a:r>
        </a:p>
        <a:p>
          <a:pPr marL="0" marR="0">
            <a:lnSpc>
              <a:spcPct val="115000"/>
            </a:lnSpc>
            <a:spcBef>
              <a:spcPts val="0"/>
            </a:spcBef>
            <a:spcAft>
              <a:spcPts val="1000"/>
            </a:spcAft>
          </a:pPr>
          <a:r>
            <a:rPr lang="en-US" sz="1100">
              <a:effectLst/>
              <a:latin typeface="Calibri" panose="020F0502020204030204" pitchFamily="34" charset="0"/>
              <a:ea typeface="Calibri" panose="020F0502020204030204" pitchFamily="34" charset="0"/>
              <a:cs typeface="Cordia New" panose="020B0304020202020204" pitchFamily="34" charset="-34"/>
            </a:rPr>
            <a:t> </a:t>
          </a:r>
        </a:p>
        <a:p>
          <a:pPr marL="0" marR="0">
            <a:lnSpc>
              <a:spcPct val="115000"/>
            </a:lnSpc>
            <a:spcBef>
              <a:spcPts val="0"/>
            </a:spcBef>
            <a:spcAft>
              <a:spcPts val="1000"/>
            </a:spcAft>
          </a:pPr>
          <a:r>
            <a:rPr lang="en-US" sz="1100">
              <a:effectLst/>
              <a:latin typeface="Calibri" panose="020F0502020204030204" pitchFamily="34" charset="0"/>
              <a:ea typeface="Calibri" panose="020F0502020204030204" pitchFamily="34" charset="0"/>
              <a:cs typeface="Cordia New" panose="020B0304020202020204" pitchFamily="34" charset="-34"/>
            </a:rPr>
            <a:t> </a:t>
          </a:r>
        </a:p>
        <a:p>
          <a:pPr marL="0" marR="0">
            <a:lnSpc>
              <a:spcPct val="115000"/>
            </a:lnSpc>
            <a:spcBef>
              <a:spcPts val="0"/>
            </a:spcBef>
            <a:spcAft>
              <a:spcPts val="1000"/>
            </a:spcAft>
          </a:pPr>
          <a:r>
            <a:rPr lang="en-US" sz="1100">
              <a:effectLst/>
              <a:latin typeface="Calibri" panose="020F0502020204030204" pitchFamily="34" charset="0"/>
              <a:ea typeface="Calibri" panose="020F0502020204030204" pitchFamily="34" charset="0"/>
              <a:cs typeface="Cordia New" panose="020B0304020202020204" pitchFamily="34" charset="-34"/>
            </a:rPr>
            <a:t>Finally, when looking at the Durbin-Watson test, the D critical value exceeds the upper value. The test fails to reject the null hypothesis, proving no autocorrelation exists. This validates the t-test and F-test results, proving the model possess significant predictability in accounting the variation in DEOM.</a:t>
          </a:r>
        </a:p>
        <a:p>
          <a:endParaRPr lang="en-US" sz="1100"/>
        </a:p>
      </xdr:txBody>
    </xdr:sp>
    <xdr:clientData/>
  </xdr:twoCellAnchor>
  <xdr:twoCellAnchor editAs="oneCell">
    <xdr:from>
      <xdr:col>24</xdr:col>
      <xdr:colOff>401002</xdr:colOff>
      <xdr:row>10</xdr:row>
      <xdr:rowOff>93468</xdr:rowOff>
    </xdr:from>
    <xdr:to>
      <xdr:col>29</xdr:col>
      <xdr:colOff>739253</xdr:colOff>
      <xdr:row>20</xdr:row>
      <xdr:rowOff>122613</xdr:rowOff>
    </xdr:to>
    <xdr:pic>
      <xdr:nvPicPr>
        <xdr:cNvPr id="3" name="Picture 2">
          <a:extLst>
            <a:ext uri="{FF2B5EF4-FFF2-40B4-BE49-F238E27FC236}">
              <a16:creationId xmlns:a16="http://schemas.microsoft.com/office/drawing/2014/main" id="{A13A1AA7-2AE0-C208-B0C2-A0DD97D71226}"/>
            </a:ext>
          </a:extLst>
        </xdr:cNvPr>
        <xdr:cNvPicPr>
          <a:picLocks noChangeAspect="1"/>
        </xdr:cNvPicPr>
      </xdr:nvPicPr>
      <xdr:blipFill>
        <a:blip xmlns:r="http://schemas.openxmlformats.org/officeDocument/2006/relationships" r:embed="rId1"/>
        <a:stretch>
          <a:fillRect/>
        </a:stretch>
      </xdr:blipFill>
      <xdr:spPr>
        <a:xfrm>
          <a:off x="20758912" y="2045856"/>
          <a:ext cx="4508401" cy="1962578"/>
        </a:xfrm>
        <a:prstGeom prst="rect">
          <a:avLst/>
        </a:prstGeom>
      </xdr:spPr>
    </xdr:pic>
    <xdr:clientData/>
  </xdr:twoCellAnchor>
  <xdr:twoCellAnchor editAs="oneCell">
    <xdr:from>
      <xdr:col>24</xdr:col>
      <xdr:colOff>708861</xdr:colOff>
      <xdr:row>23</xdr:row>
      <xdr:rowOff>122556</xdr:rowOff>
    </xdr:from>
    <xdr:to>
      <xdr:col>29</xdr:col>
      <xdr:colOff>189552</xdr:colOff>
      <xdr:row>36</xdr:row>
      <xdr:rowOff>115856</xdr:rowOff>
    </xdr:to>
    <xdr:pic>
      <xdr:nvPicPr>
        <xdr:cNvPr id="4" name="Picture 3">
          <a:extLst>
            <a:ext uri="{FF2B5EF4-FFF2-40B4-BE49-F238E27FC236}">
              <a16:creationId xmlns:a16="http://schemas.microsoft.com/office/drawing/2014/main" id="{D43D1BDC-DAC1-DC1D-25A1-086B4C31C85A}"/>
            </a:ext>
          </a:extLst>
        </xdr:cNvPr>
        <xdr:cNvPicPr>
          <a:picLocks noChangeAspect="1"/>
        </xdr:cNvPicPr>
      </xdr:nvPicPr>
      <xdr:blipFill>
        <a:blip xmlns:r="http://schemas.openxmlformats.org/officeDocument/2006/relationships" r:embed="rId2"/>
        <a:stretch>
          <a:fillRect/>
        </a:stretch>
      </xdr:blipFill>
      <xdr:spPr>
        <a:xfrm>
          <a:off x="21066771" y="4577034"/>
          <a:ext cx="3650841" cy="2514344"/>
        </a:xfrm>
        <a:prstGeom prst="rect">
          <a:avLst/>
        </a:prstGeom>
      </xdr:spPr>
    </xdr:pic>
    <xdr:clientData/>
  </xdr:twoCellAnchor>
  <xdr:twoCellAnchor editAs="oneCell">
    <xdr:from>
      <xdr:col>24</xdr:col>
      <xdr:colOff>234644</xdr:colOff>
      <xdr:row>40</xdr:row>
      <xdr:rowOff>180578</xdr:rowOff>
    </xdr:from>
    <xdr:to>
      <xdr:col>29</xdr:col>
      <xdr:colOff>455800</xdr:colOff>
      <xdr:row>43</xdr:row>
      <xdr:rowOff>18473</xdr:rowOff>
    </xdr:to>
    <xdr:pic>
      <xdr:nvPicPr>
        <xdr:cNvPr id="5" name="Picture 4">
          <a:extLst>
            <a:ext uri="{FF2B5EF4-FFF2-40B4-BE49-F238E27FC236}">
              <a16:creationId xmlns:a16="http://schemas.microsoft.com/office/drawing/2014/main" id="{3A571577-31BA-D25E-24AC-D9D520E844E3}"/>
            </a:ext>
          </a:extLst>
        </xdr:cNvPr>
        <xdr:cNvPicPr>
          <a:picLocks noChangeAspect="1"/>
        </xdr:cNvPicPr>
      </xdr:nvPicPr>
      <xdr:blipFill>
        <a:blip xmlns:r="http://schemas.openxmlformats.org/officeDocument/2006/relationships" r:embed="rId3"/>
        <a:stretch>
          <a:fillRect/>
        </a:stretch>
      </xdr:blipFill>
      <xdr:spPr>
        <a:xfrm>
          <a:off x="20538965" y="7847615"/>
          <a:ext cx="4376094" cy="402339"/>
        </a:xfrm>
        <a:prstGeom prst="rect">
          <a:avLst/>
        </a:prstGeom>
      </xdr:spPr>
    </xdr:pic>
    <xdr:clientData/>
  </xdr:twoCellAnchor>
  <xdr:twoCellAnchor editAs="oneCell">
    <xdr:from>
      <xdr:col>24</xdr:col>
      <xdr:colOff>806117</xdr:colOff>
      <xdr:row>45</xdr:row>
      <xdr:rowOff>183822</xdr:rowOff>
    </xdr:from>
    <xdr:to>
      <xdr:col>28</xdr:col>
      <xdr:colOff>792541</xdr:colOff>
      <xdr:row>54</xdr:row>
      <xdr:rowOff>158741</xdr:rowOff>
    </xdr:to>
    <xdr:pic>
      <xdr:nvPicPr>
        <xdr:cNvPr id="6" name="Picture 5">
          <a:extLst>
            <a:ext uri="{FF2B5EF4-FFF2-40B4-BE49-F238E27FC236}">
              <a16:creationId xmlns:a16="http://schemas.microsoft.com/office/drawing/2014/main" id="{FF87EEA5-7892-671C-068B-26A40006D57C}"/>
            </a:ext>
          </a:extLst>
        </xdr:cNvPr>
        <xdr:cNvPicPr>
          <a:picLocks noChangeAspect="1"/>
        </xdr:cNvPicPr>
      </xdr:nvPicPr>
      <xdr:blipFill>
        <a:blip xmlns:r="http://schemas.openxmlformats.org/officeDocument/2006/relationships" r:embed="rId4"/>
        <a:stretch>
          <a:fillRect/>
        </a:stretch>
      </xdr:blipFill>
      <xdr:spPr>
        <a:xfrm>
          <a:off x="21110438" y="8791600"/>
          <a:ext cx="3310375" cy="1699610"/>
        </a:xfrm>
        <a:prstGeom prst="rect">
          <a:avLst/>
        </a:prstGeom>
      </xdr:spPr>
    </xdr:pic>
    <xdr:clientData/>
  </xdr:twoCellAnchor>
  <xdr:twoCellAnchor editAs="oneCell">
    <xdr:from>
      <xdr:col>25</xdr:col>
      <xdr:colOff>812064</xdr:colOff>
      <xdr:row>58</xdr:row>
      <xdr:rowOff>100019</xdr:rowOff>
    </xdr:from>
    <xdr:to>
      <xdr:col>27</xdr:col>
      <xdr:colOff>811627</xdr:colOff>
      <xdr:row>64</xdr:row>
      <xdr:rowOff>98706</xdr:rowOff>
    </xdr:to>
    <xdr:pic>
      <xdr:nvPicPr>
        <xdr:cNvPr id="7" name="Picture 6">
          <a:extLst>
            <a:ext uri="{FF2B5EF4-FFF2-40B4-BE49-F238E27FC236}">
              <a16:creationId xmlns:a16="http://schemas.microsoft.com/office/drawing/2014/main" id="{21CD7B22-246A-0CDB-FCFE-6DF2FCFB015D}"/>
            </a:ext>
          </a:extLst>
        </xdr:cNvPr>
        <xdr:cNvPicPr>
          <a:picLocks noChangeAspect="1"/>
        </xdr:cNvPicPr>
      </xdr:nvPicPr>
      <xdr:blipFill>
        <a:blip xmlns:r="http://schemas.openxmlformats.org/officeDocument/2006/relationships" r:embed="rId5"/>
        <a:stretch>
          <a:fillRect/>
        </a:stretch>
      </xdr:blipFill>
      <xdr:spPr>
        <a:xfrm>
          <a:off x="21947373" y="11216439"/>
          <a:ext cx="1661538" cy="11275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9</xdr:col>
      <xdr:colOff>279399</xdr:colOff>
      <xdr:row>1</xdr:row>
      <xdr:rowOff>76200</xdr:rowOff>
    </xdr:from>
    <xdr:to>
      <xdr:col>24</xdr:col>
      <xdr:colOff>16932</xdr:colOff>
      <xdr:row>11</xdr:row>
      <xdr:rowOff>76200</xdr:rowOff>
    </xdr:to>
    <xdr:graphicFrame macro="">
      <xdr:nvGraphicFramePr>
        <xdr:cNvPr id="2" name="Chart 1">
          <a:extLst>
            <a:ext uri="{FF2B5EF4-FFF2-40B4-BE49-F238E27FC236}">
              <a16:creationId xmlns:a16="http://schemas.microsoft.com/office/drawing/2014/main" id="{5E189A73-53FE-D354-A7A4-5BC67B76BB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266700</xdr:colOff>
      <xdr:row>12</xdr:row>
      <xdr:rowOff>93132</xdr:rowOff>
    </xdr:from>
    <xdr:to>
      <xdr:col>23</xdr:col>
      <xdr:colOff>806245</xdr:colOff>
      <xdr:row>37</xdr:row>
      <xdr:rowOff>163323</xdr:rowOff>
    </xdr:to>
    <xdr:graphicFrame macro="">
      <xdr:nvGraphicFramePr>
        <xdr:cNvPr id="3" name="Chart 2">
          <a:extLst>
            <a:ext uri="{FF2B5EF4-FFF2-40B4-BE49-F238E27FC236}">
              <a16:creationId xmlns:a16="http://schemas.microsoft.com/office/drawing/2014/main" id="{EA64B009-F288-BD80-6EEF-83526357B8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21525</xdr:colOff>
      <xdr:row>39</xdr:row>
      <xdr:rowOff>150678</xdr:rowOff>
    </xdr:from>
    <xdr:to>
      <xdr:col>25</xdr:col>
      <xdr:colOff>151642</xdr:colOff>
      <xdr:row>69</xdr:row>
      <xdr:rowOff>18955</xdr:rowOff>
    </xdr:to>
    <xdr:sp macro="" textlink="">
      <xdr:nvSpPr>
        <xdr:cNvPr id="5" name="TextBox 4">
          <a:extLst>
            <a:ext uri="{FF2B5EF4-FFF2-40B4-BE49-F238E27FC236}">
              <a16:creationId xmlns:a16="http://schemas.microsoft.com/office/drawing/2014/main" id="{4EE5B32B-71A6-FA44-B26D-514D46F4C364}"/>
            </a:ext>
          </a:extLst>
        </xdr:cNvPr>
        <xdr:cNvSpPr txBox="1"/>
      </xdr:nvSpPr>
      <xdr:spPr>
        <a:xfrm>
          <a:off x="9195853" y="7675902"/>
          <a:ext cx="11806535" cy="5554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600">
              <a:effectLst/>
              <a:latin typeface="Calibri" panose="020F0502020204030204" pitchFamily="34" charset="0"/>
              <a:ea typeface="Calibri" panose="020F0502020204030204" pitchFamily="34" charset="0"/>
              <a:cs typeface="Cordia New" panose="020B0304020202020204" pitchFamily="34" charset="-34"/>
            </a:rPr>
            <a:t>2.1. Create a time-series plot of the Gap Sales. Describe the pattern(s) of the time series you see in the graph.</a:t>
          </a:r>
        </a:p>
        <a:p>
          <a:pPr marL="0" marR="0">
            <a:lnSpc>
              <a:spcPct val="115000"/>
            </a:lnSpc>
            <a:spcBef>
              <a:spcPts val="0"/>
            </a:spcBef>
            <a:spcAft>
              <a:spcPts val="1000"/>
            </a:spcAft>
          </a:pPr>
          <a:r>
            <a:rPr lang="en-US" sz="1600">
              <a:effectLst/>
              <a:latin typeface="Calibri" panose="020F0502020204030204" pitchFamily="34" charset="0"/>
              <a:ea typeface="Calibri" panose="020F0502020204030204" pitchFamily="34" charset="0"/>
              <a:cs typeface="Cordia New" panose="020B0304020202020204" pitchFamily="34" charset="-34"/>
            </a:rPr>
            <a:t>The pattern of the actual data depicts a strong exponential trend with very little variability until t = 60 where</a:t>
          </a:r>
          <a:r>
            <a:rPr lang="en-US" sz="1600" baseline="0">
              <a:effectLst/>
              <a:latin typeface="Calibri" panose="020F0502020204030204" pitchFamily="34" charset="0"/>
              <a:ea typeface="Calibri" panose="020F0502020204030204" pitchFamily="34" charset="0"/>
              <a:cs typeface="Cordia New" panose="020B0304020202020204" pitchFamily="34" charset="-34"/>
            </a:rPr>
            <a:t> random</a:t>
          </a:r>
          <a:r>
            <a:rPr lang="en-US" sz="1600">
              <a:effectLst/>
              <a:latin typeface="Calibri" panose="020F0502020204030204" pitchFamily="34" charset="0"/>
              <a:ea typeface="Calibri" panose="020F0502020204030204" pitchFamily="34" charset="0"/>
              <a:cs typeface="Cordia New" panose="020B0304020202020204" pitchFamily="34" charset="-34"/>
            </a:rPr>
            <a:t> variation begins to</a:t>
          </a:r>
          <a:r>
            <a:rPr lang="en-US" sz="1600" baseline="0">
              <a:effectLst/>
              <a:latin typeface="Calibri" panose="020F0502020204030204" pitchFamily="34" charset="0"/>
              <a:ea typeface="Calibri" panose="020F0502020204030204" pitchFamily="34" charset="0"/>
              <a:cs typeface="Cordia New" panose="020B0304020202020204" pitchFamily="34" charset="-34"/>
            </a:rPr>
            <a:t> be exhibited thereafter</a:t>
          </a:r>
          <a:r>
            <a:rPr lang="en-US" sz="1600">
              <a:effectLst/>
              <a:latin typeface="Calibri" panose="020F0502020204030204" pitchFamily="34" charset="0"/>
              <a:ea typeface="Calibri" panose="020F0502020204030204" pitchFamily="34" charset="0"/>
              <a:cs typeface="Cordia New" panose="020B0304020202020204" pitchFamily="34" charset="-34"/>
            </a:rPr>
            <a:t>. Overall,</a:t>
          </a:r>
          <a:r>
            <a:rPr lang="en-US" sz="1600" baseline="0">
              <a:effectLst/>
              <a:latin typeface="Calibri" panose="020F0502020204030204" pitchFamily="34" charset="0"/>
              <a:ea typeface="Calibri" panose="020F0502020204030204" pitchFamily="34" charset="0"/>
              <a:cs typeface="Cordia New" panose="020B0304020202020204" pitchFamily="34" charset="-34"/>
            </a:rPr>
            <a:t> the graph </a:t>
          </a:r>
          <a:r>
            <a:rPr lang="en-US" sz="1600">
              <a:effectLst/>
              <a:latin typeface="Calibri" panose="020F0502020204030204" pitchFamily="34" charset="0"/>
              <a:ea typeface="Calibri" panose="020F0502020204030204" pitchFamily="34" charset="0"/>
              <a:cs typeface="Cordia New" panose="020B0304020202020204" pitchFamily="34" charset="-34"/>
            </a:rPr>
            <a:t>depicts</a:t>
          </a:r>
          <a:r>
            <a:rPr lang="en-US" sz="1600" baseline="0">
              <a:effectLst/>
              <a:latin typeface="Calibri" panose="020F0502020204030204" pitchFamily="34" charset="0"/>
              <a:ea typeface="Calibri" panose="020F0502020204030204" pitchFamily="34" charset="0"/>
              <a:cs typeface="Cordia New" panose="020B0304020202020204" pitchFamily="34" charset="-34"/>
            </a:rPr>
            <a:t> </a:t>
          </a:r>
          <a:r>
            <a:rPr lang="en-US" sz="1600">
              <a:effectLst/>
              <a:latin typeface="Calibri" panose="020F0502020204030204" pitchFamily="34" charset="0"/>
              <a:ea typeface="Calibri" panose="020F0502020204030204" pitchFamily="34" charset="0"/>
              <a:cs typeface="Cordia New" panose="020B0304020202020204" pitchFamily="34" charset="-34"/>
            </a:rPr>
            <a:t>an S-curve. This could indicate that Gap is suffering from a stagnation in sales growth and increased volatility towards</a:t>
          </a:r>
          <a:r>
            <a:rPr lang="en-US" sz="1600" baseline="0">
              <a:effectLst/>
              <a:latin typeface="Calibri" panose="020F0502020204030204" pitchFamily="34" charset="0"/>
              <a:ea typeface="Calibri" panose="020F0502020204030204" pitchFamily="34" charset="0"/>
              <a:cs typeface="Cordia New" panose="020B0304020202020204" pitchFamily="34" charset="-34"/>
            </a:rPr>
            <a:t> the end of the data</a:t>
          </a:r>
          <a:r>
            <a:rPr lang="en-US" sz="1600">
              <a:effectLst/>
              <a:latin typeface="Calibri" panose="020F0502020204030204" pitchFamily="34" charset="0"/>
              <a:ea typeface="Calibri" panose="020F0502020204030204" pitchFamily="34" charset="0"/>
              <a:cs typeface="Cordia New" panose="020B0304020202020204" pitchFamily="34" charset="-34"/>
            </a:rPr>
            <a:t>. </a:t>
          </a:r>
        </a:p>
        <a:p>
          <a:pPr marL="0" marR="0">
            <a:lnSpc>
              <a:spcPct val="115000"/>
            </a:lnSpc>
            <a:spcBef>
              <a:spcPts val="0"/>
            </a:spcBef>
            <a:spcAft>
              <a:spcPts val="1000"/>
            </a:spcAft>
          </a:pPr>
          <a:r>
            <a:rPr lang="en-US" sz="1600">
              <a:effectLst/>
              <a:latin typeface="Calibri" panose="020F0502020204030204" pitchFamily="34" charset="0"/>
              <a:ea typeface="Calibri" panose="020F0502020204030204" pitchFamily="34" charset="0"/>
              <a:cs typeface="Cordia New" panose="020B0304020202020204" pitchFamily="34" charset="-34"/>
            </a:rPr>
            <a:t>However, the</a:t>
          </a:r>
          <a:r>
            <a:rPr lang="en-US" sz="1600" baseline="0">
              <a:effectLst/>
              <a:latin typeface="Calibri" panose="020F0502020204030204" pitchFamily="34" charset="0"/>
              <a:ea typeface="Calibri" panose="020F0502020204030204" pitchFamily="34" charset="0"/>
              <a:cs typeface="Cordia New" panose="020B0304020202020204" pitchFamily="34" charset="-34"/>
            </a:rPr>
            <a:t> pattern may also be indicative of a seasonal trend. This stems from the cyclical appearance of the data. In conclusion, another test must be conducted to accurately assess if the data is seasonal or not. </a:t>
          </a:r>
        </a:p>
        <a:p>
          <a:pPr marL="0" marR="0">
            <a:lnSpc>
              <a:spcPct val="115000"/>
            </a:lnSpc>
            <a:spcBef>
              <a:spcPts val="0"/>
            </a:spcBef>
            <a:spcAft>
              <a:spcPts val="1000"/>
            </a:spcAft>
          </a:pPr>
          <a:endParaRPr lang="en-US" sz="1600" baseline="0">
            <a:effectLst/>
            <a:latin typeface="Calibri" panose="020F0502020204030204" pitchFamily="34" charset="0"/>
            <a:cs typeface="Cordia New" panose="020B0304020202020204" pitchFamily="34" charset="-34"/>
          </a:endParaRPr>
        </a:p>
        <a:p>
          <a:pPr marL="0" marR="0">
            <a:lnSpc>
              <a:spcPct val="115000"/>
            </a:lnSpc>
            <a:spcBef>
              <a:spcPts val="0"/>
            </a:spcBef>
            <a:spcAft>
              <a:spcPts val="1000"/>
            </a:spcAft>
          </a:pPr>
          <a:endParaRPr lang="en-US" sz="1100"/>
        </a:p>
      </xdr:txBody>
    </xdr:sp>
    <xdr:clientData/>
  </xdr:twoCellAnchor>
  <xdr:twoCellAnchor editAs="oneCell">
    <xdr:from>
      <xdr:col>13</xdr:col>
      <xdr:colOff>381676</xdr:colOff>
      <xdr:row>51</xdr:row>
      <xdr:rowOff>36946</xdr:rowOff>
    </xdr:from>
    <xdr:to>
      <xdr:col>22</xdr:col>
      <xdr:colOff>647807</xdr:colOff>
      <xdr:row>67</xdr:row>
      <xdr:rowOff>119526</xdr:rowOff>
    </xdr:to>
    <xdr:pic>
      <xdr:nvPicPr>
        <xdr:cNvPr id="4" name="Picture 3">
          <a:extLst>
            <a:ext uri="{FF2B5EF4-FFF2-40B4-BE49-F238E27FC236}">
              <a16:creationId xmlns:a16="http://schemas.microsoft.com/office/drawing/2014/main" id="{AAA19DA2-714B-959A-E083-7C0F54656272}"/>
            </a:ext>
          </a:extLst>
        </xdr:cNvPr>
        <xdr:cNvPicPr>
          <a:picLocks noChangeAspect="1"/>
        </xdr:cNvPicPr>
      </xdr:nvPicPr>
      <xdr:blipFill>
        <a:blip xmlns:r="http://schemas.openxmlformats.org/officeDocument/2006/relationships" r:embed="rId3"/>
        <a:stretch>
          <a:fillRect/>
        </a:stretch>
      </xdr:blipFill>
      <xdr:spPr>
        <a:xfrm>
          <a:off x="11224064" y="9836797"/>
          <a:ext cx="7772400" cy="3115416"/>
        </a:xfrm>
        <a:prstGeom prst="rect">
          <a:avLst/>
        </a:prstGeom>
        <a:ln>
          <a:solidFill>
            <a:schemeClr val="tx1"/>
          </a:solid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23</xdr:col>
      <xdr:colOff>343474</xdr:colOff>
      <xdr:row>4</xdr:row>
      <xdr:rowOff>109708</xdr:rowOff>
    </xdr:from>
    <xdr:to>
      <xdr:col>36</xdr:col>
      <xdr:colOff>217838</xdr:colOff>
      <xdr:row>38</xdr:row>
      <xdr:rowOff>86591</xdr:rowOff>
    </xdr:to>
    <xdr:sp macro="" textlink="">
      <xdr:nvSpPr>
        <xdr:cNvPr id="2" name="TextBox 1">
          <a:extLst>
            <a:ext uri="{FF2B5EF4-FFF2-40B4-BE49-F238E27FC236}">
              <a16:creationId xmlns:a16="http://schemas.microsoft.com/office/drawing/2014/main" id="{C79D82DF-64D1-2B91-129A-A8CA238D8FDD}"/>
            </a:ext>
          </a:extLst>
        </xdr:cNvPr>
        <xdr:cNvSpPr txBox="1"/>
      </xdr:nvSpPr>
      <xdr:spPr>
        <a:xfrm>
          <a:off x="24877565" y="917890"/>
          <a:ext cx="8504591" cy="6846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2.2 Calculate the seasonal factors (SI) and then the seasonal indices (S) based on the 1985 Q1-2006 Q4 data. Are they consistent with your expectations? Explain in detail. </a:t>
          </a:r>
        </a:p>
        <a:p>
          <a:r>
            <a:rPr lang="en-US" sz="1600">
              <a:solidFill>
                <a:schemeClr val="dk1"/>
              </a:solidFill>
              <a:effectLst/>
              <a:latin typeface="+mn-lt"/>
              <a:ea typeface="+mn-ea"/>
              <a:cs typeface="+mn-cs"/>
            </a:rPr>
            <a:t> </a:t>
          </a:r>
        </a:p>
        <a:p>
          <a:endParaRPr lang="en-US" sz="1600">
            <a:solidFill>
              <a:schemeClr val="dk1"/>
            </a:solidFill>
            <a:effectLst/>
            <a:latin typeface="+mn-lt"/>
            <a:ea typeface="+mn-ea"/>
            <a:cs typeface="+mn-cs"/>
          </a:endParaRPr>
        </a:p>
        <a:p>
          <a:endParaRPr lang="en-US" sz="1600">
            <a:solidFill>
              <a:schemeClr val="dk1"/>
            </a:solidFill>
            <a:effectLst/>
            <a:latin typeface="+mn-lt"/>
            <a:ea typeface="+mn-ea"/>
            <a:cs typeface="+mn-cs"/>
          </a:endParaRPr>
        </a:p>
        <a:p>
          <a:r>
            <a:rPr lang="en-US" sz="1600">
              <a:solidFill>
                <a:schemeClr val="dk1"/>
              </a:solidFill>
              <a:effectLst/>
              <a:latin typeface="+mn-lt"/>
              <a:ea typeface="+mn-ea"/>
              <a:cs typeface="+mn-cs"/>
            </a:rPr>
            <a:t> </a:t>
          </a:r>
        </a:p>
        <a:p>
          <a:r>
            <a:rPr lang="en-US" sz="1600">
              <a:solidFill>
                <a:schemeClr val="dk1"/>
              </a:solidFill>
              <a:effectLst/>
              <a:latin typeface="+mn-lt"/>
              <a:ea typeface="+mn-ea"/>
              <a:cs typeface="+mn-cs"/>
            </a:rPr>
            <a:t> </a:t>
          </a:r>
        </a:p>
        <a:p>
          <a:endParaRPr lang="en-US" sz="1600">
            <a:solidFill>
              <a:schemeClr val="dk1"/>
            </a:solidFill>
            <a:effectLst/>
            <a:latin typeface="+mn-lt"/>
            <a:ea typeface="+mn-ea"/>
            <a:cs typeface="+mn-cs"/>
          </a:endParaRPr>
        </a:p>
        <a:p>
          <a:endParaRPr lang="en-US" sz="1600">
            <a:solidFill>
              <a:schemeClr val="dk1"/>
            </a:solidFill>
            <a:effectLst/>
            <a:latin typeface="+mn-lt"/>
            <a:ea typeface="+mn-ea"/>
            <a:cs typeface="+mn-cs"/>
          </a:endParaRPr>
        </a:p>
        <a:p>
          <a:endParaRPr lang="en-US" sz="1600">
            <a:solidFill>
              <a:schemeClr val="dk1"/>
            </a:solidFill>
            <a:effectLst/>
            <a:latin typeface="+mn-lt"/>
            <a:ea typeface="+mn-ea"/>
            <a:cs typeface="+mn-cs"/>
          </a:endParaRPr>
        </a:p>
        <a:p>
          <a:r>
            <a:rPr lang="en-US" sz="1600">
              <a:solidFill>
                <a:schemeClr val="dk1"/>
              </a:solidFill>
              <a:effectLst/>
              <a:latin typeface="+mn-lt"/>
              <a:ea typeface="+mn-ea"/>
              <a:cs typeface="+mn-cs"/>
            </a:rPr>
            <a:t>After calculating the seasonal factors, a seasonal index analysis can be performed and generates the following output. As seen in the data, quarters 1 (Jan, Feb, Mar) and 2 (April, May June) are below 1, indicating the sales values in these quarters are significantly lower on a seasonal basis. Quarters 3 (July, Aug, Sep) and 4 (Oct, Nov, Dec) is above 1.0, indicating sales values are significantly higher on a seasonal basis. </a:t>
          </a:r>
        </a:p>
        <a:p>
          <a:endParaRPr lang="en-US" sz="1600">
            <a:solidFill>
              <a:schemeClr val="dk1"/>
            </a:solidFill>
            <a:effectLst/>
            <a:latin typeface="+mn-lt"/>
            <a:ea typeface="+mn-ea"/>
            <a:cs typeface="+mn-cs"/>
          </a:endParaRPr>
        </a:p>
        <a:p>
          <a:r>
            <a:rPr lang="en-US" sz="1600">
              <a:solidFill>
                <a:schemeClr val="dk1"/>
              </a:solidFill>
              <a:effectLst/>
              <a:latin typeface="+mn-lt"/>
              <a:ea typeface="+mn-ea"/>
              <a:cs typeface="+mn-cs"/>
            </a:rPr>
            <a:t>These seasonal indices are expected because Gap operates in the consumer retail sector, which is cyclical. Much more shopping activity occurs in the latter half of the year as opposed to the former. From personal experience working for a company such as Vans, holiday promotions and back to school shopping drives the KPIs for these businesses in the latter half. The beginning of the year is always slow, especially with holiday returns, which can hurt the sales figures for beginning quarters due to loss in sales.</a:t>
          </a:r>
        </a:p>
        <a:p>
          <a:endParaRPr lang="en-US" sz="1100"/>
        </a:p>
      </xdr:txBody>
    </xdr:sp>
    <xdr:clientData/>
  </xdr:twoCellAnchor>
  <xdr:twoCellAnchor editAs="oneCell">
    <xdr:from>
      <xdr:col>28</xdr:col>
      <xdr:colOff>554383</xdr:colOff>
      <xdr:row>8</xdr:row>
      <xdr:rowOff>104417</xdr:rowOff>
    </xdr:from>
    <xdr:to>
      <xdr:col>31</xdr:col>
      <xdr:colOff>297168</xdr:colOff>
      <xdr:row>15</xdr:row>
      <xdr:rowOff>37910</xdr:rowOff>
    </xdr:to>
    <xdr:pic>
      <xdr:nvPicPr>
        <xdr:cNvPr id="3" name="Picture 2">
          <a:extLst>
            <a:ext uri="{FF2B5EF4-FFF2-40B4-BE49-F238E27FC236}">
              <a16:creationId xmlns:a16="http://schemas.microsoft.com/office/drawing/2014/main" id="{EA9B9D07-BB60-902F-8A2E-F804B39A313B}"/>
            </a:ext>
          </a:extLst>
        </xdr:cNvPr>
        <xdr:cNvPicPr>
          <a:picLocks noChangeAspect="1"/>
        </xdr:cNvPicPr>
      </xdr:nvPicPr>
      <xdr:blipFill>
        <a:blip xmlns:r="http://schemas.openxmlformats.org/officeDocument/2006/relationships" r:embed="rId1"/>
        <a:stretch>
          <a:fillRect/>
        </a:stretch>
      </xdr:blipFill>
      <xdr:spPr>
        <a:xfrm>
          <a:off x="28646025" y="1772477"/>
          <a:ext cx="1789949" cy="13930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B5774-2A80-6245-AE90-64306C084F46}">
  <dimension ref="A1:E5"/>
  <sheetViews>
    <sheetView zoomScale="84" workbookViewId="0">
      <selection activeCell="E12" sqref="E12"/>
    </sheetView>
  </sheetViews>
  <sheetFormatPr baseColWidth="10" defaultRowHeight="15" x14ac:dyDescent="0.2"/>
  <cols>
    <col min="1" max="1" width="14.6640625" bestFit="1" customWidth="1"/>
    <col min="2" max="4" width="11.1640625" bestFit="1" customWidth="1"/>
  </cols>
  <sheetData>
    <row r="1" spans="1:5" x14ac:dyDescent="0.2">
      <c r="A1" s="61" t="s">
        <v>82</v>
      </c>
      <c r="B1" s="62" t="s">
        <v>2</v>
      </c>
      <c r="C1" s="62" t="s">
        <v>0</v>
      </c>
      <c r="D1" s="62" t="s">
        <v>3</v>
      </c>
      <c r="E1" s="63" t="s">
        <v>1</v>
      </c>
    </row>
    <row r="2" spans="1:5" x14ac:dyDescent="0.2">
      <c r="A2" s="64" t="s">
        <v>2</v>
      </c>
      <c r="B2" s="65">
        <v>1</v>
      </c>
      <c r="C2" s="65"/>
      <c r="D2" s="65"/>
      <c r="E2" s="66"/>
    </row>
    <row r="3" spans="1:5" x14ac:dyDescent="0.2">
      <c r="A3" s="67" t="s">
        <v>0</v>
      </c>
      <c r="B3" s="68">
        <v>0.2568404811866864</v>
      </c>
      <c r="C3" s="69">
        <v>1</v>
      </c>
      <c r="D3" s="69"/>
      <c r="E3" s="70"/>
    </row>
    <row r="4" spans="1:5" x14ac:dyDescent="0.2">
      <c r="A4" s="71" t="s">
        <v>3</v>
      </c>
      <c r="B4" s="72">
        <v>-0.19467970707265317</v>
      </c>
      <c r="C4" s="72">
        <v>-0.20384943474147002</v>
      </c>
      <c r="D4" s="73">
        <v>1</v>
      </c>
      <c r="E4" s="74"/>
    </row>
    <row r="5" spans="1:5" ht="16" thickBot="1" x14ac:dyDescent="0.25">
      <c r="A5" s="75" t="s">
        <v>1</v>
      </c>
      <c r="B5" s="76">
        <v>-0.39127443077340096</v>
      </c>
      <c r="C5" s="76">
        <v>0.58704697626358426</v>
      </c>
      <c r="D5" s="76">
        <v>-0.20144276105170944</v>
      </c>
      <c r="E5" s="77">
        <v>1</v>
      </c>
    </row>
  </sheetData>
  <conditionalFormatting sqref="B3:B5 C4:C5 D5">
    <cfRule type="cellIs" dxfId="22" priority="1" operator="between">
      <formula>-0.199999</formula>
      <formula>0</formula>
    </cfRule>
    <cfRule type="cellIs" dxfId="21" priority="2" operator="between">
      <formula>-0.79</formula>
      <formula>-0.2</formula>
    </cfRule>
    <cfRule type="cellIs" dxfId="20" priority="3" operator="lessThan">
      <formula>-0.8</formula>
    </cfRule>
    <cfRule type="cellIs" dxfId="19" priority="4" operator="between">
      <formula>0</formula>
      <formula>0.19</formula>
    </cfRule>
    <cfRule type="cellIs" dxfId="18" priority="5" operator="between">
      <formula>0.2</formula>
      <formula>0.799</formula>
    </cfRule>
    <cfRule type="cellIs" dxfId="17" priority="6" operator="greaterThan">
      <formula>0.8</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B9393-1B63-254C-ABF8-3BDD61C99F84}">
  <dimension ref="A1:N79"/>
  <sheetViews>
    <sheetView topLeftCell="E21" zoomScale="64" zoomScaleNormal="308" workbookViewId="0">
      <selection activeCell="AA13" sqref="AA13"/>
    </sheetView>
  </sheetViews>
  <sheetFormatPr baseColWidth="10" defaultRowHeight="15" x14ac:dyDescent="0.2"/>
  <cols>
    <col min="5" max="5" width="14.6640625" customWidth="1"/>
    <col min="7" max="7" width="9.33203125" customWidth="1"/>
  </cols>
  <sheetData>
    <row r="1" spans="1:14" x14ac:dyDescent="0.2">
      <c r="A1" t="s">
        <v>6</v>
      </c>
    </row>
    <row r="2" spans="1:14" ht="16" thickBot="1" x14ac:dyDescent="0.25"/>
    <row r="3" spans="1:14" ht="16" thickBot="1" x14ac:dyDescent="0.25">
      <c r="A3" s="12" t="s">
        <v>7</v>
      </c>
      <c r="B3" s="12"/>
      <c r="J3" s="24"/>
      <c r="K3" s="24" t="s">
        <v>39</v>
      </c>
      <c r="L3" s="24" t="s">
        <v>40</v>
      </c>
      <c r="M3" s="32" t="s">
        <v>41</v>
      </c>
    </row>
    <row r="4" spans="1:14" ht="16" thickTop="1" x14ac:dyDescent="0.2">
      <c r="A4" t="s">
        <v>8</v>
      </c>
      <c r="B4">
        <v>0.74885123313742408</v>
      </c>
      <c r="J4" s="20" t="s">
        <v>45</v>
      </c>
      <c r="K4" s="20">
        <f>B7</f>
        <v>2.1170098770844494</v>
      </c>
      <c r="L4" s="20">
        <f>2*B7</f>
        <v>4.2340197541688989</v>
      </c>
      <c r="M4" s="15">
        <f>3*B7</f>
        <v>6.3510296312533487</v>
      </c>
    </row>
    <row r="5" spans="1:14" x14ac:dyDescent="0.2">
      <c r="A5" t="s">
        <v>9</v>
      </c>
      <c r="B5">
        <v>0.56077816937144065</v>
      </c>
      <c r="J5" s="20"/>
      <c r="K5" s="20">
        <f>-K4</f>
        <v>-2.1170098770844494</v>
      </c>
      <c r="L5" s="20">
        <f>-L4</f>
        <v>-4.2340197541688989</v>
      </c>
      <c r="M5" s="15">
        <f t="shared" ref="M5" si="0">-M4</f>
        <v>-6.3510296312533487</v>
      </c>
    </row>
    <row r="6" spans="1:14" x14ac:dyDescent="0.2">
      <c r="A6" t="s">
        <v>10</v>
      </c>
      <c r="B6">
        <v>0.53388703688397776</v>
      </c>
      <c r="J6" s="20"/>
      <c r="K6" s="20"/>
      <c r="L6" s="20"/>
      <c r="M6" s="15"/>
      <c r="N6" t="s">
        <v>43</v>
      </c>
    </row>
    <row r="7" spans="1:14" x14ac:dyDescent="0.2">
      <c r="A7" t="s">
        <v>11</v>
      </c>
      <c r="B7">
        <v>2.1170098770844494</v>
      </c>
      <c r="J7" s="20" t="s">
        <v>42</v>
      </c>
      <c r="K7" s="20">
        <f>COUNTIFS($C$27:$C$79, "&gt;=" &amp; K5, $C$27:$C$79, "&lt;=" &amp; K4)</f>
        <v>37</v>
      </c>
      <c r="L7" s="20">
        <f>COUNTIFS($C$27:$C$79, "&gt;=" &amp; L5, $C$27:$C$79, "&lt;" &amp; K5) + COUNTIFS($C$27:$C$79, "&lt;=" &amp; L4, $C$27:$C$79,"&gt;" &amp; K4)</f>
        <v>14</v>
      </c>
      <c r="M7" s="15">
        <f>COUNTIFS($C$27:$C$79, "&gt;=" &amp; M5, $C$27:$C$79, "&lt;" &amp; L5) + COUNTIFS($C$27:$C$79, "&lt;=" &amp; M4, $C$27:$C$79,"&gt;" &amp; L4)</f>
        <v>2</v>
      </c>
      <c r="N7">
        <f>SUM(K7:M7)</f>
        <v>53</v>
      </c>
    </row>
    <row r="8" spans="1:14" ht="16" thickBot="1" x14ac:dyDescent="0.25">
      <c r="A8" s="8" t="s">
        <v>12</v>
      </c>
      <c r="B8" s="8">
        <v>53</v>
      </c>
      <c r="J8" s="20"/>
      <c r="K8" s="33">
        <f>K7/$B$8</f>
        <v>0.69811320754716977</v>
      </c>
      <c r="L8" s="33">
        <f>L7/$B$8</f>
        <v>0.26415094339622641</v>
      </c>
      <c r="M8" s="29">
        <f>M7/$B$8</f>
        <v>3.7735849056603772E-2</v>
      </c>
    </row>
    <row r="9" spans="1:14" x14ac:dyDescent="0.2">
      <c r="J9" s="20"/>
      <c r="K9" s="34">
        <f>K8</f>
        <v>0.69811320754716977</v>
      </c>
      <c r="L9" s="34">
        <f>K8+L8</f>
        <v>0.96226415094339623</v>
      </c>
      <c r="M9" s="30">
        <f>K8+L8+M8</f>
        <v>1</v>
      </c>
    </row>
    <row r="10" spans="1:14" ht="16" thickBot="1" x14ac:dyDescent="0.25">
      <c r="A10" t="s">
        <v>13</v>
      </c>
      <c r="J10" s="20"/>
      <c r="K10" s="35">
        <v>0.68</v>
      </c>
      <c r="L10" s="35">
        <v>0.95</v>
      </c>
      <c r="M10" s="30">
        <v>0.997</v>
      </c>
    </row>
    <row r="11" spans="1:14" x14ac:dyDescent="0.2">
      <c r="A11" s="9"/>
      <c r="B11" s="9" t="s">
        <v>18</v>
      </c>
      <c r="C11" s="9" t="s">
        <v>19</v>
      </c>
      <c r="D11" s="9" t="s">
        <v>20</v>
      </c>
      <c r="E11" s="9" t="s">
        <v>21</v>
      </c>
      <c r="F11" s="9" t="s">
        <v>22</v>
      </c>
      <c r="J11" s="21" t="s">
        <v>44</v>
      </c>
      <c r="K11" s="36">
        <f>K9-K10</f>
        <v>1.8113207547169718E-2</v>
      </c>
      <c r="L11" s="36">
        <f>L9-L10</f>
        <v>1.2264150943396279E-2</v>
      </c>
      <c r="M11" s="31">
        <f t="shared" ref="M11" si="1">M9-M10</f>
        <v>3.0000000000000027E-3</v>
      </c>
    </row>
    <row r="12" spans="1:14" x14ac:dyDescent="0.2">
      <c r="A12" t="s">
        <v>14</v>
      </c>
      <c r="B12">
        <v>3</v>
      </c>
      <c r="C12">
        <v>280.38128991148881</v>
      </c>
      <c r="D12">
        <v>93.460429970496264</v>
      </c>
      <c r="E12">
        <v>20.853646443967602</v>
      </c>
      <c r="F12">
        <v>7.5905586303475095E-9</v>
      </c>
    </row>
    <row r="13" spans="1:14" x14ac:dyDescent="0.2">
      <c r="A13" t="s">
        <v>15</v>
      </c>
      <c r="B13">
        <v>49</v>
      </c>
      <c r="C13">
        <v>219.60481016398262</v>
      </c>
      <c r="D13">
        <v>4.4817308196731149</v>
      </c>
    </row>
    <row r="14" spans="1:14" ht="16" thickBot="1" x14ac:dyDescent="0.25">
      <c r="A14" s="8" t="s">
        <v>16</v>
      </c>
      <c r="B14" s="8">
        <v>52</v>
      </c>
      <c r="C14" s="8">
        <v>499.98610007547143</v>
      </c>
      <c r="D14" s="8"/>
      <c r="E14" s="8"/>
      <c r="F14" s="8"/>
    </row>
    <row r="15" spans="1:14" ht="16" thickBot="1" x14ac:dyDescent="0.25"/>
    <row r="16" spans="1:14" x14ac:dyDescent="0.2">
      <c r="A16" s="9"/>
      <c r="B16" s="9" t="s">
        <v>23</v>
      </c>
      <c r="C16" s="9" t="s">
        <v>11</v>
      </c>
      <c r="D16" s="9" t="s">
        <v>24</v>
      </c>
      <c r="E16" s="9" t="s">
        <v>25</v>
      </c>
      <c r="F16" s="9" t="s">
        <v>26</v>
      </c>
      <c r="G16" s="9" t="s">
        <v>27</v>
      </c>
      <c r="H16" s="9" t="s">
        <v>28</v>
      </c>
      <c r="I16" s="9" t="s">
        <v>29</v>
      </c>
    </row>
    <row r="17" spans="1:9" x14ac:dyDescent="0.2">
      <c r="A17" t="s">
        <v>17</v>
      </c>
      <c r="B17">
        <v>-4.3390786637956005</v>
      </c>
      <c r="C17">
        <v>3.2590452233728331</v>
      </c>
      <c r="D17">
        <v>-1.3313956592799363</v>
      </c>
      <c r="E17">
        <v>0.18922001542860439</v>
      </c>
      <c r="F17">
        <v>-10.888375241369975</v>
      </c>
      <c r="G17">
        <v>2.2102179137787736</v>
      </c>
      <c r="H17">
        <v>-10.888375241369975</v>
      </c>
      <c r="I17">
        <v>2.2102179137787736</v>
      </c>
    </row>
    <row r="18" spans="1:9" x14ac:dyDescent="0.2">
      <c r="A18" t="s">
        <v>0</v>
      </c>
      <c r="B18">
        <v>3.37216937565328</v>
      </c>
      <c r="C18">
        <v>0.55601007727438323</v>
      </c>
      <c r="D18">
        <v>6.0649429092796128</v>
      </c>
      <c r="E18">
        <v>1.8586628653447626E-7</v>
      </c>
      <c r="F18">
        <v>2.254825292768365</v>
      </c>
      <c r="G18">
        <v>4.4895134585381946</v>
      </c>
      <c r="H18">
        <v>2.254825292768365</v>
      </c>
      <c r="I18">
        <v>4.4895134585381946</v>
      </c>
    </row>
    <row r="19" spans="1:9" x14ac:dyDescent="0.2">
      <c r="A19" t="s">
        <v>3</v>
      </c>
      <c r="B19">
        <v>-1.9647601667571124</v>
      </c>
      <c r="C19">
        <v>0.86274702952438442</v>
      </c>
      <c r="D19">
        <v>-2.2773305494198528</v>
      </c>
      <c r="E19">
        <v>2.7168030292615161E-2</v>
      </c>
      <c r="F19">
        <v>-3.6985152331961233</v>
      </c>
      <c r="G19">
        <v>-0.23100510031810129</v>
      </c>
      <c r="H19">
        <v>-3.6985152331961233</v>
      </c>
      <c r="I19">
        <v>-0.23100510031810129</v>
      </c>
    </row>
    <row r="20" spans="1:9" ht="16" thickBot="1" x14ac:dyDescent="0.25">
      <c r="A20" s="8" t="s">
        <v>1</v>
      </c>
      <c r="B20" s="8">
        <v>-2.8315542444027262</v>
      </c>
      <c r="C20" s="8">
        <v>0.38951806749933143</v>
      </c>
      <c r="D20" s="8">
        <v>-7.2693784465019364</v>
      </c>
      <c r="E20" s="8">
        <v>2.540489653733151E-9</v>
      </c>
      <c r="F20" s="8">
        <v>-3.614320107263818</v>
      </c>
      <c r="G20" s="8">
        <v>-2.0487883815416343</v>
      </c>
      <c r="H20" s="8">
        <v>-3.614320107263818</v>
      </c>
      <c r="I20" s="8">
        <v>-2.0487883815416343</v>
      </c>
    </row>
    <row r="24" spans="1:9" x14ac:dyDescent="0.2">
      <c r="A24" t="s">
        <v>30</v>
      </c>
    </row>
    <row r="25" spans="1:9" ht="16" thickBot="1" x14ac:dyDescent="0.25">
      <c r="E25" s="24"/>
      <c r="F25" s="25" t="s">
        <v>24</v>
      </c>
      <c r="G25" s="24" t="s">
        <v>34</v>
      </c>
      <c r="H25" s="26"/>
      <c r="I25" s="24" t="s">
        <v>35</v>
      </c>
    </row>
    <row r="26" spans="1:9" ht="16" thickTop="1" x14ac:dyDescent="0.2">
      <c r="A26" s="9" t="s">
        <v>31</v>
      </c>
      <c r="B26" s="9" t="s">
        <v>32</v>
      </c>
      <c r="C26" s="9" t="s">
        <v>33</v>
      </c>
      <c r="E26" s="20" t="s">
        <v>17</v>
      </c>
      <c r="F26" s="20">
        <v>-1.3313956592799363</v>
      </c>
      <c r="G26" s="22">
        <f>ABS(F26)</f>
        <v>1.3313956592799363</v>
      </c>
      <c r="H26" s="13" t="s">
        <v>36</v>
      </c>
      <c r="I26" s="20">
        <v>5.8410000000000002</v>
      </c>
    </row>
    <row r="27" spans="1:9" x14ac:dyDescent="0.2">
      <c r="A27">
        <v>1</v>
      </c>
      <c r="B27">
        <v>8.6273941446846081E-2</v>
      </c>
      <c r="C27">
        <v>1.0597260585531121</v>
      </c>
      <c r="E27" s="20" t="s">
        <v>0</v>
      </c>
      <c r="F27" s="20">
        <v>6.0649429092796128</v>
      </c>
      <c r="G27" s="22">
        <f t="shared" ref="G27:G29" si="2">ABS(F27)</f>
        <v>6.0649429092796128</v>
      </c>
      <c r="H27" s="13" t="s">
        <v>37</v>
      </c>
      <c r="I27" s="20">
        <v>5.8410000000000002</v>
      </c>
    </row>
    <row r="28" spans="1:9" x14ac:dyDescent="0.2">
      <c r="A28">
        <v>2</v>
      </c>
      <c r="B28">
        <v>0.25335743981209546</v>
      </c>
      <c r="C28">
        <v>-2.6963574398120791</v>
      </c>
      <c r="E28" s="20" t="s">
        <v>3</v>
      </c>
      <c r="F28" s="20">
        <v>-2.2773305494198528</v>
      </c>
      <c r="G28" s="22">
        <f t="shared" si="2"/>
        <v>2.2773305494198528</v>
      </c>
      <c r="H28" s="13" t="s">
        <v>36</v>
      </c>
      <c r="I28" s="20">
        <v>5.8410000000000002</v>
      </c>
    </row>
    <row r="29" spans="1:9" x14ac:dyDescent="0.2">
      <c r="A29">
        <v>3</v>
      </c>
      <c r="B29">
        <v>9.4026867106702383E-3</v>
      </c>
      <c r="C29">
        <v>1.4875973132893439</v>
      </c>
      <c r="E29" s="21" t="s">
        <v>1</v>
      </c>
      <c r="F29" s="21">
        <v>-7.2693784465019364</v>
      </c>
      <c r="G29" s="23">
        <f t="shared" si="2"/>
        <v>7.2693784465019364</v>
      </c>
      <c r="H29" s="18" t="s">
        <v>37</v>
      </c>
      <c r="I29" s="21">
        <v>5.8410000000000002</v>
      </c>
    </row>
    <row r="30" spans="1:9" x14ac:dyDescent="0.2">
      <c r="A30">
        <v>4</v>
      </c>
      <c r="B30">
        <v>0.41749619813317196</v>
      </c>
      <c r="C30">
        <v>-0.54949619813317696</v>
      </c>
    </row>
    <row r="31" spans="1:9" ht="16" thickBot="1" x14ac:dyDescent="0.25">
      <c r="A31">
        <v>5</v>
      </c>
      <c r="B31">
        <v>1.1293928466460876</v>
      </c>
      <c r="C31">
        <v>0.89560715335388963</v>
      </c>
      <c r="E31" s="24"/>
      <c r="F31" s="25"/>
      <c r="G31" s="24" t="s">
        <v>34</v>
      </c>
      <c r="H31" s="26"/>
      <c r="I31" s="24" t="s">
        <v>35</v>
      </c>
    </row>
    <row r="32" spans="1:9" ht="16" thickTop="1" x14ac:dyDescent="0.2">
      <c r="A32">
        <v>6</v>
      </c>
      <c r="B32">
        <v>1.4236548384946186</v>
      </c>
      <c r="C32">
        <v>-0.68665483849459541</v>
      </c>
      <c r="E32" s="21" t="s">
        <v>38</v>
      </c>
      <c r="F32" s="21">
        <f>E12</f>
        <v>20.853646443967602</v>
      </c>
      <c r="G32" s="23">
        <f>F32</f>
        <v>20.853646443967602</v>
      </c>
      <c r="H32" s="18" t="s">
        <v>37</v>
      </c>
      <c r="I32" s="21">
        <v>4.218</v>
      </c>
    </row>
    <row r="33" spans="1:9" x14ac:dyDescent="0.2">
      <c r="A33">
        <v>7</v>
      </c>
      <c r="B33">
        <v>0.77943664450657479</v>
      </c>
      <c r="C33">
        <v>-1.8024366445065994</v>
      </c>
    </row>
    <row r="34" spans="1:9" x14ac:dyDescent="0.2">
      <c r="A34">
        <v>8</v>
      </c>
      <c r="B34">
        <v>0.45116828400258058</v>
      </c>
      <c r="C34">
        <v>-1.407168284002541</v>
      </c>
    </row>
    <row r="35" spans="1:9" x14ac:dyDescent="0.2">
      <c r="A35">
        <v>9</v>
      </c>
      <c r="B35">
        <v>0.99051161270609711</v>
      </c>
      <c r="C35">
        <v>-0.60551161270610621</v>
      </c>
    </row>
    <row r="36" spans="1:9" ht="16" thickBot="1" x14ac:dyDescent="0.25">
      <c r="A36">
        <v>10</v>
      </c>
      <c r="B36">
        <v>0.68401754860580155</v>
      </c>
      <c r="C36">
        <v>0.29898245139420254</v>
      </c>
    </row>
    <row r="37" spans="1:9" x14ac:dyDescent="0.2">
      <c r="A37">
        <v>11</v>
      </c>
      <c r="B37">
        <v>1.379577992802222</v>
      </c>
      <c r="C37">
        <v>3.7124220071977625</v>
      </c>
      <c r="E37" s="61" t="s">
        <v>82</v>
      </c>
      <c r="F37" s="62" t="s">
        <v>2</v>
      </c>
      <c r="G37" s="62" t="s">
        <v>0</v>
      </c>
      <c r="H37" s="62" t="s">
        <v>3</v>
      </c>
      <c r="I37" s="63" t="s">
        <v>1</v>
      </c>
    </row>
    <row r="38" spans="1:9" x14ac:dyDescent="0.2">
      <c r="A38">
        <v>12</v>
      </c>
      <c r="B38">
        <v>1.5010060285564784</v>
      </c>
      <c r="C38">
        <v>2.1479939714435226</v>
      </c>
      <c r="E38" s="64" t="s">
        <v>2</v>
      </c>
      <c r="F38" s="65">
        <v>1</v>
      </c>
      <c r="G38" s="65"/>
      <c r="H38" s="65"/>
      <c r="I38" s="66"/>
    </row>
    <row r="39" spans="1:9" x14ac:dyDescent="0.2">
      <c r="A39">
        <v>13</v>
      </c>
      <c r="B39">
        <v>1.2781914730191914</v>
      </c>
      <c r="C39">
        <v>1.4248085269807831</v>
      </c>
      <c r="E39" s="67" t="s">
        <v>0</v>
      </c>
      <c r="F39" s="68">
        <v>0.2568404811866864</v>
      </c>
      <c r="G39" s="69">
        <v>1</v>
      </c>
      <c r="H39" s="69"/>
      <c r="I39" s="70"/>
    </row>
    <row r="40" spans="1:9" x14ac:dyDescent="0.2">
      <c r="A40">
        <v>14</v>
      </c>
      <c r="B40">
        <v>2.1335927957014178</v>
      </c>
      <c r="C40">
        <v>-2.404592795701376</v>
      </c>
      <c r="E40" s="71" t="s">
        <v>3</v>
      </c>
      <c r="F40" s="72">
        <v>-0.19467970707265317</v>
      </c>
      <c r="G40" s="72">
        <v>-0.20384943474147002</v>
      </c>
      <c r="H40" s="73">
        <v>1</v>
      </c>
      <c r="I40" s="74"/>
    </row>
    <row r="41" spans="1:9" ht="16" thickBot="1" x14ac:dyDescent="0.25">
      <c r="A41">
        <v>15</v>
      </c>
      <c r="B41">
        <v>2.3126748119628271</v>
      </c>
      <c r="C41">
        <v>-0.25767481196287711</v>
      </c>
      <c r="E41" s="75" t="s">
        <v>1</v>
      </c>
      <c r="F41" s="76">
        <v>-0.39127443077340096</v>
      </c>
      <c r="G41" s="76">
        <v>0.58704697626358426</v>
      </c>
      <c r="H41" s="76">
        <v>-0.20144276105170944</v>
      </c>
      <c r="I41" s="77">
        <v>1</v>
      </c>
    </row>
    <row r="42" spans="1:9" x14ac:dyDescent="0.2">
      <c r="A42">
        <v>16</v>
      </c>
      <c r="B42">
        <v>1.3974979315614284</v>
      </c>
      <c r="C42">
        <v>-2.1114979315614271</v>
      </c>
    </row>
    <row r="43" spans="1:9" x14ac:dyDescent="0.2">
      <c r="A43">
        <v>17</v>
      </c>
      <c r="B43">
        <v>0.80615611433734102</v>
      </c>
      <c r="C43">
        <v>-0.15315611433732101</v>
      </c>
    </row>
    <row r="44" spans="1:9" x14ac:dyDescent="0.2">
      <c r="A44">
        <v>18</v>
      </c>
      <c r="B44">
        <v>0.42256827807738517</v>
      </c>
      <c r="C44">
        <v>-0.45656827807737699</v>
      </c>
    </row>
    <row r="45" spans="1:9" x14ac:dyDescent="0.2">
      <c r="A45">
        <v>19</v>
      </c>
      <c r="B45">
        <v>-0.48237523938119153</v>
      </c>
      <c r="C45">
        <v>-0.57562476061880119</v>
      </c>
    </row>
    <row r="46" spans="1:9" x14ac:dyDescent="0.2">
      <c r="A46">
        <v>20</v>
      </c>
      <c r="B46">
        <v>-0.51400261292244309</v>
      </c>
      <c r="C46">
        <v>-1.5369973870775446</v>
      </c>
    </row>
    <row r="47" spans="1:9" x14ac:dyDescent="0.2">
      <c r="A47">
        <v>21</v>
      </c>
      <c r="B47">
        <v>-0.50926589467435335</v>
      </c>
      <c r="C47">
        <v>1.9602658946743183</v>
      </c>
    </row>
    <row r="48" spans="1:9" x14ac:dyDescent="0.2">
      <c r="A48">
        <v>22</v>
      </c>
      <c r="B48">
        <v>-1.4635882872572239</v>
      </c>
      <c r="C48">
        <v>0.474588287257248</v>
      </c>
    </row>
    <row r="49" spans="1:3" x14ac:dyDescent="0.2">
      <c r="A49">
        <v>23</v>
      </c>
      <c r="B49">
        <v>-1.1036929869581158</v>
      </c>
      <c r="C49">
        <v>2.4616929869581199</v>
      </c>
    </row>
    <row r="50" spans="1:3" x14ac:dyDescent="0.2">
      <c r="A50">
        <v>24</v>
      </c>
      <c r="B50">
        <v>-0.6191170175789793</v>
      </c>
      <c r="C50">
        <v>1.3651170175789602</v>
      </c>
    </row>
    <row r="51" spans="1:3" x14ac:dyDescent="0.2">
      <c r="A51">
        <v>25</v>
      </c>
      <c r="B51">
        <v>0.84401193453095757</v>
      </c>
      <c r="C51">
        <v>1.0109880654690606</v>
      </c>
    </row>
    <row r="52" spans="1:3" x14ac:dyDescent="0.2">
      <c r="A52">
        <v>26</v>
      </c>
      <c r="B52">
        <v>1.1902775324241652</v>
      </c>
      <c r="C52">
        <v>-3.0842775324241707</v>
      </c>
    </row>
    <row r="53" spans="1:3" x14ac:dyDescent="0.2">
      <c r="A53">
        <v>27</v>
      </c>
      <c r="B53">
        <v>0.3382917289736227</v>
      </c>
      <c r="C53">
        <v>0.44270827102638322</v>
      </c>
    </row>
    <row r="54" spans="1:3" x14ac:dyDescent="0.2">
      <c r="A54">
        <v>28</v>
      </c>
      <c r="B54">
        <v>0.48112697007851679</v>
      </c>
      <c r="C54">
        <v>-0.64212697007851816</v>
      </c>
    </row>
    <row r="55" spans="1:3" x14ac:dyDescent="0.2">
      <c r="A55">
        <v>29</v>
      </c>
      <c r="B55">
        <v>1.6460450406991356</v>
      </c>
      <c r="C55">
        <v>0.5869549593008685</v>
      </c>
    </row>
    <row r="56" spans="1:3" x14ac:dyDescent="0.2">
      <c r="A56">
        <v>30</v>
      </c>
      <c r="B56">
        <v>2.1796975431912138</v>
      </c>
      <c r="C56">
        <v>0.24530245680879759</v>
      </c>
    </row>
    <row r="57" spans="1:3" x14ac:dyDescent="0.2">
      <c r="A57">
        <v>31</v>
      </c>
      <c r="B57">
        <v>2.4104514086691005</v>
      </c>
      <c r="C57">
        <v>-0.24145140866911774</v>
      </c>
    </row>
    <row r="58" spans="1:3" x14ac:dyDescent="0.2">
      <c r="A58">
        <v>32</v>
      </c>
      <c r="B58">
        <v>2.8907118311005355</v>
      </c>
      <c r="C58">
        <v>-1.9087118311005646</v>
      </c>
    </row>
    <row r="59" spans="1:3" x14ac:dyDescent="0.2">
      <c r="A59">
        <v>33</v>
      </c>
      <c r="B59">
        <v>4.1012721695799215</v>
      </c>
      <c r="C59">
        <v>0.60672783042010536</v>
      </c>
    </row>
    <row r="60" spans="1:3" x14ac:dyDescent="0.2">
      <c r="A60">
        <v>34</v>
      </c>
      <c r="B60">
        <v>5.5163570740803323</v>
      </c>
      <c r="C60">
        <v>0.54664292591965591</v>
      </c>
    </row>
    <row r="61" spans="1:3" x14ac:dyDescent="0.2">
      <c r="A61">
        <v>35</v>
      </c>
      <c r="B61">
        <v>5.0190959203743333</v>
      </c>
      <c r="C61">
        <v>4.3629040796256717</v>
      </c>
    </row>
    <row r="62" spans="1:3" x14ac:dyDescent="0.2">
      <c r="A62">
        <v>36</v>
      </c>
      <c r="B62">
        <v>5.7315123107979851</v>
      </c>
      <c r="C62">
        <v>3.5724876892019886</v>
      </c>
    </row>
    <row r="63" spans="1:3" x14ac:dyDescent="0.2">
      <c r="A63">
        <v>37</v>
      </c>
      <c r="B63">
        <v>7.4945495906048727</v>
      </c>
      <c r="C63">
        <v>3.195450409395125</v>
      </c>
    </row>
    <row r="64" spans="1:3" x14ac:dyDescent="0.2">
      <c r="A64">
        <v>38</v>
      </c>
      <c r="B64">
        <v>7.4715780419979048</v>
      </c>
      <c r="C64">
        <v>-0.94057804199789885</v>
      </c>
    </row>
    <row r="65" spans="1:3" x14ac:dyDescent="0.2">
      <c r="A65">
        <v>39</v>
      </c>
      <c r="B65">
        <v>5.6464089939941662</v>
      </c>
      <c r="C65">
        <v>2.2265910060058811</v>
      </c>
    </row>
    <row r="66" spans="1:3" x14ac:dyDescent="0.2">
      <c r="A66">
        <v>40</v>
      </c>
      <c r="B66">
        <v>4.6120521278215261</v>
      </c>
      <c r="C66">
        <v>-0.73005212782157791</v>
      </c>
    </row>
    <row r="67" spans="1:3" x14ac:dyDescent="0.2">
      <c r="A67">
        <v>41</v>
      </c>
      <c r="B67">
        <v>3.8830274077707614</v>
      </c>
      <c r="C67">
        <v>1.076972592229275</v>
      </c>
    </row>
    <row r="68" spans="1:3" x14ac:dyDescent="0.2">
      <c r="A68">
        <v>42</v>
      </c>
      <c r="B68">
        <v>4.1352248917342003</v>
      </c>
      <c r="C68">
        <v>-2.8342248917342125</v>
      </c>
    </row>
    <row r="69" spans="1:3" x14ac:dyDescent="0.2">
      <c r="A69">
        <v>43</v>
      </c>
      <c r="B69">
        <v>4.9925399816133798</v>
      </c>
      <c r="C69">
        <v>-3.8385399816133834</v>
      </c>
    </row>
    <row r="70" spans="1:3" x14ac:dyDescent="0.2">
      <c r="A70">
        <v>44</v>
      </c>
      <c r="B70">
        <v>5.6960629541330867</v>
      </c>
      <c r="C70">
        <v>-5.5800629541331013</v>
      </c>
    </row>
    <row r="71" spans="1:3" x14ac:dyDescent="0.2">
      <c r="A71">
        <v>45</v>
      </c>
      <c r="B71">
        <v>6.1418189717248008</v>
      </c>
      <c r="C71">
        <v>-1.2138189717248036</v>
      </c>
    </row>
    <row r="72" spans="1:3" x14ac:dyDescent="0.2">
      <c r="A72">
        <v>46</v>
      </c>
      <c r="B72">
        <v>5.2335868415516842</v>
      </c>
      <c r="C72">
        <v>-2.7035868415516546</v>
      </c>
    </row>
    <row r="73" spans="1:3" x14ac:dyDescent="0.2">
      <c r="A73">
        <v>47</v>
      </c>
      <c r="B73">
        <v>4.7793843216969503</v>
      </c>
      <c r="C73">
        <v>3.6456156783030611</v>
      </c>
    </row>
    <row r="74" spans="1:3" x14ac:dyDescent="0.2">
      <c r="A74">
        <v>48</v>
      </c>
      <c r="B74">
        <v>4.117237677975444</v>
      </c>
      <c r="C74">
        <v>1.1737623220245528</v>
      </c>
    </row>
    <row r="75" spans="1:3" x14ac:dyDescent="0.2">
      <c r="A75">
        <v>49</v>
      </c>
      <c r="B75">
        <v>3.7738546626509599</v>
      </c>
      <c r="C75">
        <v>1.4181453373490474</v>
      </c>
    </row>
    <row r="76" spans="1:3" x14ac:dyDescent="0.2">
      <c r="A76">
        <v>50</v>
      </c>
      <c r="B76">
        <v>3.1827706970752097</v>
      </c>
      <c r="C76">
        <v>-2.9257706970752047</v>
      </c>
    </row>
    <row r="77" spans="1:3" x14ac:dyDescent="0.2">
      <c r="A77">
        <v>51</v>
      </c>
      <c r="B77">
        <v>4.1241091681877755</v>
      </c>
      <c r="C77">
        <v>0.2778908318122113</v>
      </c>
    </row>
    <row r="78" spans="1:3" x14ac:dyDescent="0.2">
      <c r="A78">
        <v>52</v>
      </c>
      <c r="B78">
        <v>4.2092191151719049</v>
      </c>
      <c r="C78">
        <v>-1.0362191151719031</v>
      </c>
    </row>
    <row r="79" spans="1:3" ht="16" thickBot="1" x14ac:dyDescent="0.25">
      <c r="A79" s="8">
        <v>53</v>
      </c>
      <c r="B79" s="8">
        <v>3.8587876614846692</v>
      </c>
      <c r="C79" s="8">
        <v>1.2452123385153158</v>
      </c>
    </row>
  </sheetData>
  <conditionalFormatting sqref="F39:F41 G40:G41 H41">
    <cfRule type="cellIs" dxfId="16" priority="1" operator="between">
      <formula>-0.199999</formula>
      <formula>0</formula>
    </cfRule>
    <cfRule type="cellIs" dxfId="15" priority="2" operator="between">
      <formula>-0.79</formula>
      <formula>-0.2</formula>
    </cfRule>
    <cfRule type="cellIs" dxfId="14" priority="3" operator="lessThan">
      <formula>-0.8</formula>
    </cfRule>
    <cfRule type="cellIs" dxfId="13" priority="4" operator="between">
      <formula>0</formula>
      <formula>0.19</formula>
    </cfRule>
    <cfRule type="cellIs" dxfId="12" priority="5" operator="between">
      <formula>0.2</formula>
      <formula>0.799</formula>
    </cfRule>
    <cfRule type="cellIs" dxfId="11" priority="6" operator="greaterThan">
      <formula>0.8</formula>
    </cfRule>
  </conditionalFormatting>
  <conditionalFormatting sqref="G26:G29">
    <cfRule type="cellIs" dxfId="10" priority="9" operator="lessThan">
      <formula>$I$26</formula>
    </cfRule>
    <cfRule type="cellIs" dxfId="9" priority="10" operator="greaterThan">
      <formula>$I$26</formula>
    </cfRule>
  </conditionalFormatting>
  <conditionalFormatting sqref="G32">
    <cfRule type="cellIs" dxfId="8" priority="7" operator="lessThan">
      <formula>$I$32</formula>
    </cfRule>
    <cfRule type="cellIs" dxfId="7" priority="8" operator="greaterThan">
      <formula>$I$32</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
  <sheetViews>
    <sheetView topLeftCell="M4" zoomScale="176" zoomScaleNormal="36" workbookViewId="0">
      <selection activeCell="L6" sqref="L6"/>
    </sheetView>
  </sheetViews>
  <sheetFormatPr baseColWidth="10" defaultColWidth="8.83203125" defaultRowHeight="16" x14ac:dyDescent="0.2"/>
  <cols>
    <col min="1" max="8" width="8.83203125" style="2"/>
    <col min="9" max="9" width="10.33203125" style="2" customWidth="1"/>
    <col min="10" max="16384" width="8.83203125" style="2"/>
  </cols>
  <sheetData>
    <row r="1" spans="1:13" x14ac:dyDescent="0.2">
      <c r="A1" s="1" t="s">
        <v>4</v>
      </c>
      <c r="B1" s="1" t="s">
        <v>2</v>
      </c>
      <c r="C1" s="1" t="s">
        <v>0</v>
      </c>
      <c r="D1" s="1" t="s">
        <v>3</v>
      </c>
      <c r="E1" s="5" t="s">
        <v>1</v>
      </c>
      <c r="F1" s="1" t="s">
        <v>46</v>
      </c>
      <c r="G1" s="1" t="s">
        <v>47</v>
      </c>
      <c r="H1" s="1" t="s">
        <v>49</v>
      </c>
      <c r="I1" s="1" t="s">
        <v>50</v>
      </c>
      <c r="J1" s="1"/>
      <c r="K1" s="1"/>
      <c r="L1" s="1"/>
      <c r="M1" s="1"/>
    </row>
    <row r="2" spans="1:13" x14ac:dyDescent="0.2">
      <c r="A2" s="6">
        <v>37288</v>
      </c>
      <c r="B2" s="2">
        <v>1.1459999999999582</v>
      </c>
      <c r="C2" s="2">
        <v>5.94</v>
      </c>
      <c r="D2" s="2">
        <v>0.29000000000000004</v>
      </c>
      <c r="E2" s="2">
        <v>5.31</v>
      </c>
      <c r="F2" s="10">
        <v>1.0597260585531101</v>
      </c>
      <c r="G2" s="37">
        <f>F2^2</f>
        <v>1.1230193191765097</v>
      </c>
      <c r="H2" s="39" t="s">
        <v>48</v>
      </c>
      <c r="I2" s="39" t="s">
        <v>48</v>
      </c>
    </row>
    <row r="3" spans="1:13" x14ac:dyDescent="0.2">
      <c r="A3" s="6">
        <v>37316</v>
      </c>
      <c r="B3" s="2">
        <v>-2.4429999999999836</v>
      </c>
      <c r="C3" s="2">
        <v>6</v>
      </c>
      <c r="D3" s="2">
        <v>-0.10999999999999943</v>
      </c>
      <c r="E3" s="2">
        <v>5.6</v>
      </c>
      <c r="F3" s="10">
        <v>-2.69635743981208</v>
      </c>
      <c r="G3" s="37">
        <f t="shared" ref="G3:G54" si="0">F3^2</f>
        <v>7.2703434432299545</v>
      </c>
      <c r="H3" s="37">
        <f>G3-G2</f>
        <v>6.1473241240534451</v>
      </c>
      <c r="I3" s="37">
        <f>H3^2</f>
        <v>37.789593886169456</v>
      </c>
      <c r="K3" s="78" t="s">
        <v>54</v>
      </c>
      <c r="L3" s="79"/>
    </row>
    <row r="4" spans="1:13" ht="17" thickBot="1" x14ac:dyDescent="0.25">
      <c r="A4" s="6">
        <v>37347</v>
      </c>
      <c r="B4" s="2">
        <v>1.4970000000000141</v>
      </c>
      <c r="C4" s="2">
        <v>6.08</v>
      </c>
      <c r="D4" s="2">
        <v>0.30999999999999961</v>
      </c>
      <c r="E4" s="2">
        <v>5.49</v>
      </c>
      <c r="F4" s="10">
        <v>1.4875973132893439</v>
      </c>
      <c r="G4" s="37">
        <f t="shared" si="0"/>
        <v>2.2129457665056744</v>
      </c>
      <c r="H4" s="37">
        <f t="shared" ref="H4:H53" si="1">G4-G3</f>
        <v>-5.0573976767242801</v>
      </c>
      <c r="I4" s="37">
        <f t="shared" ref="I4:I54" si="2">H4^2</f>
        <v>25.577271260536147</v>
      </c>
      <c r="K4" s="80"/>
      <c r="L4" s="81"/>
    </row>
    <row r="5" spans="1:13" ht="17" thickTop="1" x14ac:dyDescent="0.2">
      <c r="A5" s="6">
        <v>37377</v>
      </c>
      <c r="B5" s="2">
        <v>-0.132000000000005</v>
      </c>
      <c r="C5" s="2">
        <v>6.17</v>
      </c>
      <c r="D5" s="2">
        <v>-0.1899999999999995</v>
      </c>
      <c r="E5" s="2">
        <v>5.8</v>
      </c>
      <c r="F5" s="10">
        <v>-0.54949619813317696</v>
      </c>
      <c r="G5" s="37">
        <f t="shared" si="0"/>
        <v>0.30194607176281568</v>
      </c>
      <c r="H5" s="37">
        <f t="shared" si="1"/>
        <v>-1.9109996947428587</v>
      </c>
      <c r="I5" s="37">
        <f t="shared" si="2"/>
        <v>3.6519198333072991</v>
      </c>
      <c r="K5" s="42" t="s">
        <v>51</v>
      </c>
      <c r="L5" s="40">
        <f>I55/G55</f>
        <v>12.693331129425303</v>
      </c>
    </row>
    <row r="6" spans="1:13" x14ac:dyDescent="0.2">
      <c r="A6" s="6">
        <v>37408</v>
      </c>
      <c r="B6" s="2">
        <v>2.0249999999999773</v>
      </c>
      <c r="C6" s="2">
        <v>6.14</v>
      </c>
      <c r="D6" s="2">
        <v>-0.33000000000000007</v>
      </c>
      <c r="E6" s="2">
        <v>5.61</v>
      </c>
      <c r="F6" s="10">
        <v>0.89560715335388963</v>
      </c>
      <c r="G6" s="37">
        <f t="shared" si="0"/>
        <v>0.80211217313865757</v>
      </c>
      <c r="H6" s="37">
        <f t="shared" si="1"/>
        <v>0.50016610137584183</v>
      </c>
      <c r="I6" s="37">
        <f t="shared" si="2"/>
        <v>0.25016612896550888</v>
      </c>
      <c r="K6" s="43"/>
      <c r="L6" s="40"/>
    </row>
    <row r="7" spans="1:13" x14ac:dyDescent="0.2">
      <c r="A7" s="6">
        <v>37438</v>
      </c>
      <c r="B7" s="2">
        <v>0.73700000000002319</v>
      </c>
      <c r="C7" s="2">
        <v>6.09</v>
      </c>
      <c r="D7" s="2">
        <v>-8.9999999999999858E-2</v>
      </c>
      <c r="E7" s="2">
        <v>5.28</v>
      </c>
      <c r="F7" s="10">
        <v>-0.68665483849459541</v>
      </c>
      <c r="G7" s="37">
        <f t="shared" si="0"/>
        <v>0.47149486722803891</v>
      </c>
      <c r="H7" s="37">
        <f t="shared" si="1"/>
        <v>-0.33061730591061866</v>
      </c>
      <c r="I7" s="37">
        <f t="shared" si="2"/>
        <v>0.1093078029675956</v>
      </c>
      <c r="K7" s="44" t="s">
        <v>52</v>
      </c>
      <c r="L7" s="40">
        <v>1.5049999999999999</v>
      </c>
    </row>
    <row r="8" spans="1:13" x14ac:dyDescent="0.2">
      <c r="A8" s="6">
        <v>37469</v>
      </c>
      <c r="B8" s="2">
        <v>-1.0230000000000246</v>
      </c>
      <c r="C8" s="2">
        <v>5.87</v>
      </c>
      <c r="D8" s="2">
        <v>-1.0000000000000675E-2</v>
      </c>
      <c r="E8" s="2">
        <v>5.19</v>
      </c>
      <c r="F8" s="10">
        <v>-1.8024366445065994</v>
      </c>
      <c r="G8" s="37">
        <f t="shared" si="0"/>
        <v>3.2487778574602091</v>
      </c>
      <c r="H8" s="37">
        <f t="shared" si="1"/>
        <v>2.7772829902321701</v>
      </c>
      <c r="I8" s="37">
        <f t="shared" si="2"/>
        <v>7.7133008078329439</v>
      </c>
      <c r="K8" s="45" t="s">
        <v>53</v>
      </c>
      <c r="L8" s="41">
        <v>1.284</v>
      </c>
    </row>
    <row r="9" spans="1:13" x14ac:dyDescent="0.2">
      <c r="A9" s="6">
        <v>37500</v>
      </c>
      <c r="B9" s="2">
        <v>-0.95599999999996044</v>
      </c>
      <c r="C9" s="2">
        <v>5.84</v>
      </c>
      <c r="D9" s="2">
        <v>0.12000000000000011</v>
      </c>
      <c r="E9" s="2">
        <v>5.18</v>
      </c>
      <c r="F9" s="10">
        <v>-1.407168284002541</v>
      </c>
      <c r="G9" s="37">
        <f t="shared" si="0"/>
        <v>1.980122579502656</v>
      </c>
      <c r="H9" s="37">
        <f t="shared" si="1"/>
        <v>-1.2686552779575531</v>
      </c>
      <c r="I9" s="37">
        <f t="shared" si="2"/>
        <v>1.6094862142895563</v>
      </c>
    </row>
    <row r="10" spans="1:13" x14ac:dyDescent="0.2">
      <c r="A10" s="6">
        <v>37530</v>
      </c>
      <c r="B10" s="2">
        <v>0.38499999999999091</v>
      </c>
      <c r="C10" s="2">
        <v>5.99</v>
      </c>
      <c r="D10" s="2">
        <v>-6.9999999999999396E-2</v>
      </c>
      <c r="E10" s="2">
        <v>5.3</v>
      </c>
      <c r="F10" s="10">
        <v>-0.60551161270610621</v>
      </c>
      <c r="G10" s="37">
        <f t="shared" si="0"/>
        <v>0.36664431312194956</v>
      </c>
      <c r="H10" s="37">
        <f t="shared" si="1"/>
        <v>-1.6134782663807066</v>
      </c>
      <c r="I10" s="37">
        <f t="shared" si="2"/>
        <v>2.6033121160828903</v>
      </c>
    </row>
    <row r="11" spans="1:13" x14ac:dyDescent="0.2">
      <c r="A11" s="6">
        <v>37561</v>
      </c>
      <c r="B11" s="2">
        <v>0.98300000000000409</v>
      </c>
      <c r="C11" s="2">
        <v>6.12</v>
      </c>
      <c r="D11" s="2">
        <v>0.40999999999999925</v>
      </c>
      <c r="E11" s="2">
        <v>5.23</v>
      </c>
      <c r="F11" s="10">
        <v>0.29898245139420254</v>
      </c>
      <c r="G11" s="37">
        <f t="shared" si="0"/>
        <v>8.9390506241686679E-2</v>
      </c>
      <c r="H11" s="37">
        <f t="shared" si="1"/>
        <v>-0.27725380688026291</v>
      </c>
      <c r="I11" s="37">
        <f t="shared" si="2"/>
        <v>7.686967342959812E-2</v>
      </c>
      <c r="K11" s="1"/>
    </row>
    <row r="12" spans="1:13" x14ac:dyDescent="0.2">
      <c r="A12" s="6">
        <v>37591</v>
      </c>
      <c r="B12" s="2">
        <v>5.0919999999999845</v>
      </c>
      <c r="C12" s="2">
        <v>6.42</v>
      </c>
      <c r="D12" s="2">
        <v>-1.9999999999999574E-2</v>
      </c>
      <c r="E12" s="2">
        <v>5.64</v>
      </c>
      <c r="F12" s="10">
        <v>3.7124220071977625</v>
      </c>
      <c r="G12" s="37">
        <f t="shared" si="0"/>
        <v>13.782077159526263</v>
      </c>
      <c r="H12" s="37">
        <f t="shared" si="1"/>
        <v>13.692686653284577</v>
      </c>
      <c r="I12" s="37">
        <f t="shared" si="2"/>
        <v>187.4896677850376</v>
      </c>
    </row>
    <row r="13" spans="1:13" x14ac:dyDescent="0.2">
      <c r="A13" s="6">
        <v>37622</v>
      </c>
      <c r="B13" s="2">
        <v>3.6490000000000009</v>
      </c>
      <c r="C13" s="2">
        <v>6.48</v>
      </c>
      <c r="D13" s="2">
        <v>4.9999999999999822E-2</v>
      </c>
      <c r="E13" s="2">
        <v>5.62</v>
      </c>
      <c r="F13" s="10">
        <v>2.1479939714435226</v>
      </c>
      <c r="G13" s="37">
        <f t="shared" si="0"/>
        <v>4.6138781013577166</v>
      </c>
      <c r="H13" s="37">
        <f t="shared" si="1"/>
        <v>-9.1681990581685469</v>
      </c>
      <c r="I13" s="37">
        <f t="shared" si="2"/>
        <v>84.055873970202626</v>
      </c>
    </row>
    <row r="14" spans="1:13" x14ac:dyDescent="0.2">
      <c r="A14" s="6">
        <v>37653</v>
      </c>
      <c r="B14" s="2">
        <v>2.7029999999999745</v>
      </c>
      <c r="C14" s="2">
        <v>6.52</v>
      </c>
      <c r="D14" s="2">
        <v>0.16000000000000014</v>
      </c>
      <c r="E14" s="2">
        <v>5.67</v>
      </c>
      <c r="F14" s="10">
        <v>1.4248085269807831</v>
      </c>
      <c r="G14" s="37">
        <f t="shared" si="0"/>
        <v>2.0300793385571487</v>
      </c>
      <c r="H14" s="37">
        <f t="shared" si="1"/>
        <v>-2.5837987628005679</v>
      </c>
      <c r="I14" s="37">
        <f t="shared" si="2"/>
        <v>6.6760160466497451</v>
      </c>
    </row>
    <row r="15" spans="1:13" x14ac:dyDescent="0.2">
      <c r="A15" s="6">
        <v>37681</v>
      </c>
      <c r="B15" s="2">
        <v>-0.27099999999995816</v>
      </c>
      <c r="C15" s="2">
        <v>6.64</v>
      </c>
      <c r="D15" s="2">
        <v>-0.29999999999999982</v>
      </c>
      <c r="E15" s="2">
        <v>5.83</v>
      </c>
      <c r="F15" s="10">
        <v>-2.404592795701376</v>
      </c>
      <c r="G15" s="37">
        <f t="shared" si="0"/>
        <v>5.7820665131389593</v>
      </c>
      <c r="H15" s="37">
        <f t="shared" si="1"/>
        <v>3.7519871745818105</v>
      </c>
      <c r="I15" s="37">
        <f t="shared" si="2"/>
        <v>14.077407758226398</v>
      </c>
    </row>
    <row r="16" spans="1:13" x14ac:dyDescent="0.2">
      <c r="A16" s="6">
        <v>37712</v>
      </c>
      <c r="B16" s="2">
        <v>2.05499999999995</v>
      </c>
      <c r="C16" s="2">
        <v>6.75</v>
      </c>
      <c r="D16" s="2">
        <v>0.22999999999999954</v>
      </c>
      <c r="E16" s="2">
        <v>5.53</v>
      </c>
      <c r="F16" s="10">
        <v>-0.25767481196287711</v>
      </c>
      <c r="G16" s="37">
        <f t="shared" si="0"/>
        <v>6.6396308720104075E-2</v>
      </c>
      <c r="H16" s="37">
        <f t="shared" si="1"/>
        <v>-5.7156702044188554</v>
      </c>
      <c r="I16" s="37">
        <f t="shared" si="2"/>
        <v>32.668885885681483</v>
      </c>
    </row>
    <row r="17" spans="1:9" x14ac:dyDescent="0.2">
      <c r="A17" s="6">
        <v>37742</v>
      </c>
      <c r="B17" s="2">
        <v>-0.71399999999999864</v>
      </c>
      <c r="C17" s="2">
        <v>6.73</v>
      </c>
      <c r="D17" s="2">
        <v>0.33000000000000007</v>
      </c>
      <c r="E17" s="2">
        <v>5.76</v>
      </c>
      <c r="F17" s="10">
        <v>-2.1114979315614271</v>
      </c>
      <c r="G17" s="37">
        <f t="shared" si="0"/>
        <v>4.4584235149881852</v>
      </c>
      <c r="H17" s="37">
        <f t="shared" si="1"/>
        <v>4.3920272062680814</v>
      </c>
      <c r="I17" s="37">
        <f t="shared" si="2"/>
        <v>19.28990298059901</v>
      </c>
    </row>
    <row r="18" spans="1:9" x14ac:dyDescent="0.2">
      <c r="A18" s="6">
        <v>37773</v>
      </c>
      <c r="B18" s="2">
        <v>0.65300000000002001</v>
      </c>
      <c r="C18" s="2">
        <v>6.89</v>
      </c>
      <c r="D18" s="2">
        <v>0.42999999999999972</v>
      </c>
      <c r="E18" s="2">
        <v>6.09</v>
      </c>
      <c r="F18" s="10">
        <v>-0.15315611433732101</v>
      </c>
      <c r="G18" s="37">
        <f t="shared" si="0"/>
        <v>2.3456795358906546E-2</v>
      </c>
      <c r="H18" s="37">
        <f t="shared" si="1"/>
        <v>-4.434966719629279</v>
      </c>
      <c r="I18" s="37">
        <f t="shared" si="2"/>
        <v>19.668929804219289</v>
      </c>
    </row>
    <row r="19" spans="1:9" x14ac:dyDescent="0.2">
      <c r="A19" s="6">
        <v>37803</v>
      </c>
      <c r="B19" s="2">
        <v>-3.3999999999991815E-2</v>
      </c>
      <c r="C19" s="2">
        <v>6.98</v>
      </c>
      <c r="D19" s="2">
        <v>0.16000000000000014</v>
      </c>
      <c r="E19" s="2">
        <v>6.52</v>
      </c>
      <c r="F19" s="10">
        <v>-0.45656827807737699</v>
      </c>
      <c r="G19" s="37">
        <f t="shared" si="0"/>
        <v>0.20845459254654103</v>
      </c>
      <c r="H19" s="37">
        <f t="shared" si="1"/>
        <v>0.18499779718763448</v>
      </c>
      <c r="I19" s="37">
        <f t="shared" si="2"/>
        <v>3.4224184964277142E-2</v>
      </c>
    </row>
    <row r="20" spans="1:9" x14ac:dyDescent="0.2">
      <c r="A20" s="6">
        <v>37834</v>
      </c>
      <c r="B20" s="2">
        <v>-1.0579999999999927</v>
      </c>
      <c r="C20" s="2">
        <v>6.98</v>
      </c>
      <c r="D20" s="2">
        <v>0.39000000000000057</v>
      </c>
      <c r="E20" s="2">
        <v>6.68</v>
      </c>
      <c r="F20" s="10">
        <v>-0.57562476061880119</v>
      </c>
      <c r="G20" s="37">
        <f t="shared" si="0"/>
        <v>0.33134386503745217</v>
      </c>
      <c r="H20" s="37">
        <f t="shared" si="1"/>
        <v>0.12288927249091114</v>
      </c>
      <c r="I20" s="37">
        <f t="shared" si="2"/>
        <v>1.5101773293345409E-2</v>
      </c>
    </row>
    <row r="21" spans="1:9" x14ac:dyDescent="0.2">
      <c r="A21" s="6">
        <v>37865</v>
      </c>
      <c r="B21" s="2">
        <v>-2.0509999999999877</v>
      </c>
      <c r="C21" s="2">
        <v>7.1</v>
      </c>
      <c r="D21" s="2">
        <v>4.9999999999999822E-2</v>
      </c>
      <c r="E21" s="2">
        <v>7.07</v>
      </c>
      <c r="F21" s="10">
        <v>-1.5369973870775446</v>
      </c>
      <c r="G21" s="37">
        <f t="shared" si="0"/>
        <v>2.3623609678831996</v>
      </c>
      <c r="H21" s="37">
        <f t="shared" si="1"/>
        <v>2.0310171028457473</v>
      </c>
      <c r="I21" s="37">
        <f t="shared" si="2"/>
        <v>4.1250304720519333</v>
      </c>
    </row>
    <row r="22" spans="1:9" x14ac:dyDescent="0.2">
      <c r="A22" s="6">
        <v>37895</v>
      </c>
      <c r="B22" s="2">
        <v>1.450999999999965</v>
      </c>
      <c r="C22" s="2">
        <v>7.19</v>
      </c>
      <c r="D22" s="2">
        <v>0.12999999999999989</v>
      </c>
      <c r="E22" s="2">
        <v>7.12</v>
      </c>
      <c r="F22" s="10">
        <v>1.9602658946743183</v>
      </c>
      <c r="G22" s="37">
        <f t="shared" si="0"/>
        <v>3.8426423778233056</v>
      </c>
      <c r="H22" s="37">
        <f t="shared" si="1"/>
        <v>1.480281409940106</v>
      </c>
      <c r="I22" s="37">
        <f t="shared" si="2"/>
        <v>2.1912330526142685</v>
      </c>
    </row>
    <row r="23" spans="1:9" x14ac:dyDescent="0.2">
      <c r="A23" s="6">
        <v>37926</v>
      </c>
      <c r="B23" s="2">
        <v>-0.9889999999999759</v>
      </c>
      <c r="C23" s="2">
        <v>7.29</v>
      </c>
      <c r="D23" s="2">
        <v>0.59999999999999964</v>
      </c>
      <c r="E23" s="2">
        <v>7.25</v>
      </c>
      <c r="F23" s="10">
        <v>0.474588287257248</v>
      </c>
      <c r="G23" s="37">
        <f t="shared" si="0"/>
        <v>0.22523404240176814</v>
      </c>
      <c r="H23" s="37">
        <f t="shared" si="1"/>
        <v>-3.6174083354215374</v>
      </c>
      <c r="I23" s="37">
        <f t="shared" si="2"/>
        <v>13.085643065177218</v>
      </c>
    </row>
    <row r="24" spans="1:9" x14ac:dyDescent="0.2">
      <c r="A24" s="6">
        <v>37956</v>
      </c>
      <c r="B24" s="2">
        <v>1.3580000000000041</v>
      </c>
      <c r="C24" s="2">
        <v>7.65</v>
      </c>
      <c r="D24" s="2">
        <v>0.16999999999999993</v>
      </c>
      <c r="E24" s="2">
        <v>7.85</v>
      </c>
      <c r="F24" s="10">
        <v>2.4616929869581199</v>
      </c>
      <c r="G24" s="37">
        <f t="shared" si="0"/>
        <v>6.0599323620387899</v>
      </c>
      <c r="H24" s="37">
        <f t="shared" si="1"/>
        <v>5.8346983196370221</v>
      </c>
      <c r="I24" s="37">
        <f t="shared" si="2"/>
        <v>34.043704481175091</v>
      </c>
    </row>
    <row r="25" spans="1:9" x14ac:dyDescent="0.2">
      <c r="A25" s="6">
        <v>37987</v>
      </c>
      <c r="B25" s="2">
        <v>0.7459999999999809</v>
      </c>
      <c r="C25" s="2">
        <v>7.75</v>
      </c>
      <c r="D25" s="2">
        <v>-0.14999999999999947</v>
      </c>
      <c r="E25" s="2">
        <v>8.02</v>
      </c>
      <c r="F25" s="10">
        <v>1.3651170175789602</v>
      </c>
      <c r="G25" s="37">
        <f t="shared" si="0"/>
        <v>1.8635444716836751</v>
      </c>
      <c r="H25" s="37">
        <f t="shared" si="1"/>
        <v>-4.1963878903551146</v>
      </c>
      <c r="I25" s="37">
        <f t="shared" si="2"/>
        <v>17.609671326319049</v>
      </c>
    </row>
    <row r="26" spans="1:9" x14ac:dyDescent="0.2">
      <c r="A26" s="6">
        <v>38018</v>
      </c>
      <c r="B26" s="2">
        <v>1.8550000000000182</v>
      </c>
      <c r="C26" s="2">
        <v>7.72</v>
      </c>
      <c r="D26" s="2">
        <v>-0.73000000000000043</v>
      </c>
      <c r="E26" s="2">
        <v>7.87</v>
      </c>
      <c r="F26" s="10">
        <v>1.0109880654690606</v>
      </c>
      <c r="G26" s="37">
        <f t="shared" si="0"/>
        <v>1.0220968685208736</v>
      </c>
      <c r="H26" s="37">
        <f t="shared" si="1"/>
        <v>-0.84144760316280154</v>
      </c>
      <c r="I26" s="37">
        <f t="shared" si="2"/>
        <v>0.70803406886842357</v>
      </c>
    </row>
    <row r="27" spans="1:9" x14ac:dyDescent="0.2">
      <c r="A27" s="6">
        <v>38047</v>
      </c>
      <c r="B27" s="2">
        <v>-1.8940000000000055</v>
      </c>
      <c r="C27" s="2">
        <v>7.67</v>
      </c>
      <c r="D27" s="2">
        <v>6.0000000000000497E-2</v>
      </c>
      <c r="E27" s="2">
        <v>7.14</v>
      </c>
      <c r="F27" s="10">
        <v>-3.0842775324241707</v>
      </c>
      <c r="G27" s="37">
        <f t="shared" si="0"/>
        <v>9.5127678970165306</v>
      </c>
      <c r="H27" s="37">
        <f t="shared" si="1"/>
        <v>8.4906710284956564</v>
      </c>
      <c r="I27" s="37">
        <f t="shared" si="2"/>
        <v>72.091494514135491</v>
      </c>
    </row>
    <row r="28" spans="1:9" x14ac:dyDescent="0.2">
      <c r="A28" s="6">
        <v>38078</v>
      </c>
      <c r="B28" s="2">
        <v>0.78100000000000591</v>
      </c>
      <c r="C28" s="2">
        <v>7.66</v>
      </c>
      <c r="D28" s="2">
        <v>0.38999999999999968</v>
      </c>
      <c r="E28" s="2">
        <v>7.2</v>
      </c>
      <c r="F28" s="10">
        <v>0.44270827102638322</v>
      </c>
      <c r="G28" s="37">
        <f t="shared" si="0"/>
        <v>0.19599061323516959</v>
      </c>
      <c r="H28" s="37">
        <f t="shared" si="1"/>
        <v>-9.3167772837813612</v>
      </c>
      <c r="I28" s="37">
        <f t="shared" si="2"/>
        <v>86.802338955584403</v>
      </c>
    </row>
    <row r="29" spans="1:9" x14ac:dyDescent="0.2">
      <c r="A29" s="6">
        <v>38108</v>
      </c>
      <c r="B29" s="2">
        <v>-0.16100000000000136</v>
      </c>
      <c r="C29" s="2">
        <v>7.89</v>
      </c>
      <c r="D29" s="2">
        <v>0.15000000000000036</v>
      </c>
      <c r="E29" s="2">
        <v>7.59</v>
      </c>
      <c r="F29" s="10">
        <v>-0.64212697007851816</v>
      </c>
      <c r="G29" s="37">
        <f t="shared" si="0"/>
        <v>0.41232704570221818</v>
      </c>
      <c r="H29" s="37">
        <f t="shared" si="1"/>
        <v>0.21633643246704859</v>
      </c>
      <c r="I29" s="37">
        <f t="shared" si="2"/>
        <v>4.6801452012569876E-2</v>
      </c>
    </row>
    <row r="30" spans="1:9" x14ac:dyDescent="0.2">
      <c r="A30" s="6">
        <v>38139</v>
      </c>
      <c r="B30" s="2">
        <v>2.2330000000000041</v>
      </c>
      <c r="C30" s="2">
        <v>8.14</v>
      </c>
      <c r="D30" s="2">
        <v>-0.23000000000000043</v>
      </c>
      <c r="E30" s="2">
        <v>7.74</v>
      </c>
      <c r="F30" s="10">
        <v>0.5869549593008685</v>
      </c>
      <c r="G30" s="37">
        <f t="shared" si="0"/>
        <v>0.34451612424788419</v>
      </c>
      <c r="H30" s="37">
        <f t="shared" si="1"/>
        <v>-6.7810921454333983E-2</v>
      </c>
      <c r="I30" s="37">
        <f t="shared" si="2"/>
        <v>4.5983210684858531E-3</v>
      </c>
    </row>
    <row r="31" spans="1:9" x14ac:dyDescent="0.2">
      <c r="A31" s="6">
        <v>38169</v>
      </c>
      <c r="B31" s="2">
        <v>2.4250000000000114</v>
      </c>
      <c r="C31" s="2">
        <v>8.2100000000000009</v>
      </c>
      <c r="D31" s="2">
        <v>-4.9999999999999822E-2</v>
      </c>
      <c r="E31" s="2">
        <v>7.51</v>
      </c>
      <c r="F31" s="10">
        <v>0.24530245680879759</v>
      </c>
      <c r="G31" s="37">
        <f t="shared" si="0"/>
        <v>6.0173295316432007E-2</v>
      </c>
      <c r="H31" s="37">
        <f t="shared" si="1"/>
        <v>-0.28434282893145219</v>
      </c>
      <c r="I31" s="37">
        <f t="shared" si="2"/>
        <v>8.0850844364741076E-2</v>
      </c>
    </row>
    <row r="32" spans="1:9" x14ac:dyDescent="0.2">
      <c r="A32" s="6">
        <v>38200</v>
      </c>
      <c r="B32" s="2">
        <v>2.1689999999999827</v>
      </c>
      <c r="C32" s="2">
        <v>8.0500000000000007</v>
      </c>
      <c r="D32" s="2">
        <v>-0.37000000000000011</v>
      </c>
      <c r="E32" s="2">
        <v>7.46</v>
      </c>
      <c r="F32" s="10">
        <v>-0.24145140866911774</v>
      </c>
      <c r="G32" s="37">
        <f t="shared" si="0"/>
        <v>5.8298782748301303E-2</v>
      </c>
      <c r="H32" s="37">
        <f t="shared" si="1"/>
        <v>-1.874512568130704E-3</v>
      </c>
      <c r="I32" s="37">
        <f t="shared" si="2"/>
        <v>3.513797368079967E-6</v>
      </c>
    </row>
    <row r="33" spans="1:9" x14ac:dyDescent="0.2">
      <c r="A33" s="6">
        <v>38231</v>
      </c>
      <c r="B33" s="2">
        <v>0.9819999999999709</v>
      </c>
      <c r="C33" s="2">
        <v>7.94</v>
      </c>
      <c r="D33" s="2">
        <v>-0.26999999999999957</v>
      </c>
      <c r="E33" s="2">
        <v>7.09</v>
      </c>
      <c r="F33" s="10">
        <v>-1.9087118311005646</v>
      </c>
      <c r="G33" s="37">
        <f t="shared" si="0"/>
        <v>3.6431808541832704</v>
      </c>
      <c r="H33" s="37">
        <f t="shared" si="1"/>
        <v>3.584882071434969</v>
      </c>
      <c r="I33" s="37">
        <f t="shared" si="2"/>
        <v>12.851379466095874</v>
      </c>
    </row>
    <row r="34" spans="1:9" x14ac:dyDescent="0.2">
      <c r="A34" s="6">
        <v>38261</v>
      </c>
      <c r="B34" s="2">
        <v>4.7080000000000268</v>
      </c>
      <c r="C34" s="2">
        <v>7.88</v>
      </c>
      <c r="D34" s="2">
        <v>-0.60000000000000053</v>
      </c>
      <c r="E34" s="2">
        <v>6.82</v>
      </c>
      <c r="F34" s="10">
        <v>0.60672783042010536</v>
      </c>
      <c r="G34" s="37">
        <f t="shared" si="0"/>
        <v>0.36811866020628814</v>
      </c>
      <c r="H34" s="37">
        <f t="shared" si="1"/>
        <v>-3.2750621939769822</v>
      </c>
      <c r="I34" s="37">
        <f t="shared" si="2"/>
        <v>10.726032374417324</v>
      </c>
    </row>
    <row r="35" spans="1:9" x14ac:dyDescent="0.2">
      <c r="A35" s="6">
        <v>38292</v>
      </c>
      <c r="B35" s="2">
        <v>6.0629999999999882</v>
      </c>
      <c r="C35" s="2">
        <v>7.79</v>
      </c>
      <c r="D35" s="2">
        <v>-0.60999999999999943</v>
      </c>
      <c r="E35" s="2">
        <v>6.22</v>
      </c>
      <c r="F35" s="10">
        <v>0.54664292591965591</v>
      </c>
      <c r="G35" s="37">
        <f t="shared" si="0"/>
        <v>0.29881848845800241</v>
      </c>
      <c r="H35" s="37">
        <f t="shared" si="1"/>
        <v>-6.9300171748285733E-2</v>
      </c>
      <c r="I35" s="37">
        <f t="shared" si="2"/>
        <v>4.8025138043419E-3</v>
      </c>
    </row>
    <row r="36" spans="1:9" x14ac:dyDescent="0.2">
      <c r="A36" s="6">
        <v>38322</v>
      </c>
      <c r="B36" s="2">
        <v>9.382000000000005</v>
      </c>
      <c r="C36" s="2">
        <v>7.41</v>
      </c>
      <c r="D36" s="2">
        <v>-0.12999999999999989</v>
      </c>
      <c r="E36" s="2">
        <v>5.61</v>
      </c>
      <c r="F36" s="10">
        <v>4.3629040796256717</v>
      </c>
      <c r="G36" s="37">
        <f t="shared" si="0"/>
        <v>19.03493200801433</v>
      </c>
      <c r="H36" s="37">
        <f t="shared" si="1"/>
        <v>18.736113519556326</v>
      </c>
      <c r="I36" s="37">
        <f t="shared" si="2"/>
        <v>351.04194981770138</v>
      </c>
    </row>
    <row r="37" spans="1:9" x14ac:dyDescent="0.2">
      <c r="A37" s="6">
        <v>38353</v>
      </c>
      <c r="B37" s="2">
        <v>9.3039999999999736</v>
      </c>
      <c r="C37" s="2">
        <v>7.18</v>
      </c>
      <c r="D37" s="2">
        <v>-0.70000000000000018</v>
      </c>
      <c r="E37" s="2">
        <v>5.48</v>
      </c>
      <c r="F37" s="10">
        <v>3.5724876892019886</v>
      </c>
      <c r="G37" s="37">
        <f t="shared" si="0"/>
        <v>12.762668289499764</v>
      </c>
      <c r="H37" s="37">
        <f t="shared" si="1"/>
        <v>-6.2722637185145658</v>
      </c>
      <c r="I37" s="37">
        <f t="shared" si="2"/>
        <v>39.341292154594171</v>
      </c>
    </row>
    <row r="38" spans="1:9" x14ac:dyDescent="0.2">
      <c r="A38" s="6">
        <v>38384</v>
      </c>
      <c r="B38" s="2">
        <v>10.689999999999998</v>
      </c>
      <c r="C38" s="2">
        <v>7.15</v>
      </c>
      <c r="D38" s="2">
        <v>-0.64000000000000057</v>
      </c>
      <c r="E38" s="2">
        <v>4.78</v>
      </c>
      <c r="F38" s="10">
        <v>3.195450409395125</v>
      </c>
      <c r="G38" s="37">
        <f t="shared" si="0"/>
        <v>10.210903318903473</v>
      </c>
      <c r="H38" s="37">
        <f t="shared" si="1"/>
        <v>-2.5517649705962917</v>
      </c>
      <c r="I38" s="37">
        <f t="shared" si="2"/>
        <v>6.5115044651622931</v>
      </c>
    </row>
    <row r="39" spans="1:9" x14ac:dyDescent="0.2">
      <c r="A39" s="6">
        <v>38412</v>
      </c>
      <c r="B39" s="2">
        <v>6.5310000000000059</v>
      </c>
      <c r="C39" s="2">
        <v>7.27</v>
      </c>
      <c r="D39" s="2">
        <v>0.5</v>
      </c>
      <c r="E39" s="2">
        <v>4.1399999999999997</v>
      </c>
      <c r="F39" s="10">
        <v>-0.94057804199789885</v>
      </c>
      <c r="G39" s="37">
        <f t="shared" si="0"/>
        <v>0.88468705308860118</v>
      </c>
      <c r="H39" s="37">
        <f t="shared" si="1"/>
        <v>-9.3262162658148711</v>
      </c>
      <c r="I39" s="37">
        <f t="shared" si="2"/>
        <v>86.978309836749872</v>
      </c>
    </row>
    <row r="40" spans="1:9" x14ac:dyDescent="0.2">
      <c r="A40" s="6">
        <v>38443</v>
      </c>
      <c r="B40" s="2">
        <v>7.8730000000000473</v>
      </c>
      <c r="C40" s="2">
        <v>7.37</v>
      </c>
      <c r="D40" s="2">
        <v>0.87999999999999989</v>
      </c>
      <c r="E40" s="2">
        <v>4.6399999999999997</v>
      </c>
      <c r="F40" s="10">
        <v>2.2265910060058811</v>
      </c>
      <c r="G40" s="37">
        <f t="shared" si="0"/>
        <v>4.9577075080262816</v>
      </c>
      <c r="H40" s="37">
        <f t="shared" si="1"/>
        <v>4.0730204549376801</v>
      </c>
      <c r="I40" s="37">
        <f t="shared" si="2"/>
        <v>16.589495626340746</v>
      </c>
    </row>
    <row r="41" spans="1:9" x14ac:dyDescent="0.2">
      <c r="A41" s="6">
        <v>38473</v>
      </c>
      <c r="B41" s="2">
        <v>3.8819999999999482</v>
      </c>
      <c r="C41" s="2">
        <v>7.54</v>
      </c>
      <c r="D41" s="2">
        <v>0.4300000000000006</v>
      </c>
      <c r="E41" s="2">
        <v>5.52</v>
      </c>
      <c r="F41" s="10">
        <v>-0.73005212782157791</v>
      </c>
      <c r="G41" s="37">
        <f t="shared" si="0"/>
        <v>0.5329761093368135</v>
      </c>
      <c r="H41" s="37">
        <f t="shared" si="1"/>
        <v>-4.4247313986894685</v>
      </c>
      <c r="I41" s="37">
        <f t="shared" si="2"/>
        <v>19.578247950548459</v>
      </c>
    </row>
    <row r="42" spans="1:9" x14ac:dyDescent="0.2">
      <c r="A42" s="6">
        <v>38504</v>
      </c>
      <c r="B42" s="2">
        <v>4.9600000000000364</v>
      </c>
      <c r="C42" s="2">
        <v>7.58</v>
      </c>
      <c r="D42" s="2">
        <v>0.25</v>
      </c>
      <c r="E42" s="2">
        <v>5.95</v>
      </c>
      <c r="F42" s="10">
        <v>1.076972592229275</v>
      </c>
      <c r="G42" s="37">
        <f t="shared" si="0"/>
        <v>1.1598699644130441</v>
      </c>
      <c r="H42" s="37">
        <f t="shared" si="1"/>
        <v>0.62689385507623063</v>
      </c>
      <c r="I42" s="37">
        <f t="shared" si="2"/>
        <v>0.39299590553233804</v>
      </c>
    </row>
    <row r="43" spans="1:9" x14ac:dyDescent="0.2">
      <c r="A43" s="6">
        <v>38534</v>
      </c>
      <c r="B43" s="2">
        <v>1.3009999999999877</v>
      </c>
      <c r="C43" s="2">
        <v>7.62</v>
      </c>
      <c r="D43" s="2">
        <v>-0.16999999999999993</v>
      </c>
      <c r="E43" s="2">
        <v>6.2</v>
      </c>
      <c r="F43" s="10">
        <v>-2.8342248917342125</v>
      </c>
      <c r="G43" s="37">
        <f t="shared" si="0"/>
        <v>8.0328307369258081</v>
      </c>
      <c r="H43" s="37">
        <f t="shared" si="1"/>
        <v>6.8729607725127639</v>
      </c>
      <c r="I43" s="37">
        <f t="shared" si="2"/>
        <v>47.237589780499249</v>
      </c>
    </row>
    <row r="44" spans="1:9" x14ac:dyDescent="0.2">
      <c r="A44" s="6">
        <v>38565</v>
      </c>
      <c r="B44" s="2">
        <v>1.1539999999999964</v>
      </c>
      <c r="C44" s="2">
        <v>7.58</v>
      </c>
      <c r="D44" s="2">
        <v>-0.4300000000000006</v>
      </c>
      <c r="E44" s="2">
        <v>6.03</v>
      </c>
      <c r="F44" s="10">
        <v>-3.8385399816133834</v>
      </c>
      <c r="G44" s="37">
        <f t="shared" si="0"/>
        <v>14.734389190444473</v>
      </c>
      <c r="H44" s="37">
        <f t="shared" si="1"/>
        <v>6.7015584535186647</v>
      </c>
      <c r="I44" s="37">
        <f t="shared" si="2"/>
        <v>44.910885705927477</v>
      </c>
    </row>
    <row r="45" spans="1:9" x14ac:dyDescent="0.2">
      <c r="A45" s="6">
        <v>38596</v>
      </c>
      <c r="B45" s="2">
        <v>0.11599999999998545</v>
      </c>
      <c r="C45" s="2">
        <v>7.48</v>
      </c>
      <c r="D45" s="2">
        <v>-0.33999999999999986</v>
      </c>
      <c r="E45" s="2">
        <v>5.6</v>
      </c>
      <c r="F45" s="10">
        <v>-5.5800629541331013</v>
      </c>
      <c r="G45" s="37">
        <f t="shared" si="0"/>
        <v>31.137102572088633</v>
      </c>
      <c r="H45" s="37">
        <f t="shared" si="1"/>
        <v>16.402713381644162</v>
      </c>
      <c r="I45" s="37">
        <f t="shared" si="2"/>
        <v>269.04900628036847</v>
      </c>
    </row>
    <row r="46" spans="1:9" x14ac:dyDescent="0.2">
      <c r="A46" s="6">
        <v>38626</v>
      </c>
      <c r="B46" s="2">
        <v>4.9279999999999973</v>
      </c>
      <c r="C46" s="2">
        <v>7.35</v>
      </c>
      <c r="D46" s="2">
        <v>-0.29999999999999982</v>
      </c>
      <c r="E46" s="2">
        <v>5.26</v>
      </c>
      <c r="F46" s="10">
        <v>-1.2138189717248036</v>
      </c>
      <c r="G46" s="37">
        <f t="shared" si="0"/>
        <v>1.4733564961190595</v>
      </c>
      <c r="H46" s="37">
        <f t="shared" si="1"/>
        <v>-29.663746075969573</v>
      </c>
      <c r="I46" s="37">
        <f t="shared" si="2"/>
        <v>879.93783125960022</v>
      </c>
    </row>
    <row r="47" spans="1:9" x14ac:dyDescent="0.2">
      <c r="A47" s="6">
        <v>38657</v>
      </c>
      <c r="B47" s="2">
        <v>2.5300000000000296</v>
      </c>
      <c r="C47" s="2">
        <v>7.19</v>
      </c>
      <c r="D47" s="2">
        <v>0.32000000000000028</v>
      </c>
      <c r="E47" s="2">
        <v>4.96</v>
      </c>
      <c r="F47" s="10">
        <v>-2.7035868415516546</v>
      </c>
      <c r="G47" s="37">
        <f t="shared" si="0"/>
        <v>7.309381809811252</v>
      </c>
      <c r="H47" s="37">
        <f t="shared" si="1"/>
        <v>5.8360253136921925</v>
      </c>
      <c r="I47" s="37">
        <f t="shared" si="2"/>
        <v>34.059191462056056</v>
      </c>
    </row>
    <row r="48" spans="1:9" x14ac:dyDescent="0.2">
      <c r="A48" s="6">
        <v>38687</v>
      </c>
      <c r="B48" s="2">
        <v>8.4250000000000114</v>
      </c>
      <c r="C48" s="2">
        <v>7.19</v>
      </c>
      <c r="D48" s="2">
        <v>8.9999999999999858E-2</v>
      </c>
      <c r="E48" s="2">
        <v>5.28</v>
      </c>
      <c r="F48" s="10">
        <v>3.6456156783030611</v>
      </c>
      <c r="G48" s="37">
        <f t="shared" si="0"/>
        <v>13.290513673889087</v>
      </c>
      <c r="H48" s="37">
        <f t="shared" si="1"/>
        <v>5.9811318640778355</v>
      </c>
      <c r="I48" s="37">
        <f t="shared" si="2"/>
        <v>35.773938375487205</v>
      </c>
    </row>
    <row r="49" spans="1:9" x14ac:dyDescent="0.2">
      <c r="A49" s="6">
        <v>38718</v>
      </c>
      <c r="B49" s="2">
        <v>5.2909999999999968</v>
      </c>
      <c r="C49" s="2">
        <v>7.11</v>
      </c>
      <c r="D49" s="2">
        <v>0.16000000000000014</v>
      </c>
      <c r="E49" s="2">
        <v>5.37</v>
      </c>
      <c r="F49" s="10">
        <v>1.1737623220245528</v>
      </c>
      <c r="G49" s="37">
        <f t="shared" si="0"/>
        <v>1.3777179886044699</v>
      </c>
      <c r="H49" s="37">
        <f t="shared" si="1"/>
        <v>-11.912795685284618</v>
      </c>
      <c r="I49" s="37">
        <f t="shared" si="2"/>
        <v>141.9147010393358</v>
      </c>
    </row>
    <row r="50" spans="1:9" x14ac:dyDescent="0.2">
      <c r="A50" s="6">
        <v>38749</v>
      </c>
      <c r="B50" s="2">
        <v>5.1920000000000073</v>
      </c>
      <c r="C50" s="2">
        <v>7.16</v>
      </c>
      <c r="D50" s="2">
        <v>0.1899999999999995</v>
      </c>
      <c r="E50" s="2">
        <v>5.53</v>
      </c>
      <c r="F50" s="10">
        <v>1.4181453373490474</v>
      </c>
      <c r="G50" s="37">
        <f t="shared" si="0"/>
        <v>2.0111361978448432</v>
      </c>
      <c r="H50" s="37">
        <f t="shared" si="1"/>
        <v>0.63341820924037329</v>
      </c>
      <c r="I50" s="37">
        <f t="shared" si="2"/>
        <v>0.40121862779728129</v>
      </c>
    </row>
    <row r="51" spans="1:9" x14ac:dyDescent="0.2">
      <c r="A51" s="6">
        <v>38777</v>
      </c>
      <c r="B51" s="2">
        <v>0.257000000000005</v>
      </c>
      <c r="C51" s="2">
        <v>7.22</v>
      </c>
      <c r="D51" s="2">
        <v>0.32000000000000028</v>
      </c>
      <c r="E51" s="2">
        <v>5.72</v>
      </c>
      <c r="F51" s="10">
        <v>-2.9257706970752047</v>
      </c>
      <c r="G51" s="37">
        <f t="shared" si="0"/>
        <v>8.560134171863929</v>
      </c>
      <c r="H51" s="37">
        <f t="shared" si="1"/>
        <v>6.5489979740190858</v>
      </c>
      <c r="I51" s="37">
        <f t="shared" si="2"/>
        <v>42.889374463706091</v>
      </c>
    </row>
    <row r="52" spans="1:9" x14ac:dyDescent="0.2">
      <c r="A52" s="6">
        <v>38808</v>
      </c>
      <c r="B52" s="2">
        <v>4.4019999999999868</v>
      </c>
      <c r="C52" s="2">
        <v>7.36</v>
      </c>
      <c r="D52" s="2">
        <v>-0.37999999999999989</v>
      </c>
      <c r="E52" s="2">
        <v>6.04</v>
      </c>
      <c r="F52" s="10">
        <v>0.2778908318122113</v>
      </c>
      <c r="G52" s="37">
        <f t="shared" si="0"/>
        <v>7.7223314405282711E-2</v>
      </c>
      <c r="H52" s="37">
        <f t="shared" si="1"/>
        <v>-8.4829108574586467</v>
      </c>
      <c r="I52" s="37">
        <f t="shared" si="2"/>
        <v>71.959776615589789</v>
      </c>
    </row>
    <row r="53" spans="1:9" x14ac:dyDescent="0.2">
      <c r="A53" s="6">
        <v>38838</v>
      </c>
      <c r="B53" s="2">
        <v>3.1730000000000018</v>
      </c>
      <c r="C53" s="2">
        <v>7.34</v>
      </c>
      <c r="D53" s="2">
        <v>8.9999999999999858E-2</v>
      </c>
      <c r="E53" s="2">
        <v>5.66</v>
      </c>
      <c r="F53" s="10">
        <v>-1.0362191151719031</v>
      </c>
      <c r="G53" s="37">
        <f t="shared" si="0"/>
        <v>1.0737500546476417</v>
      </c>
      <c r="H53" s="37">
        <f t="shared" si="1"/>
        <v>0.99652674024235899</v>
      </c>
      <c r="I53" s="37">
        <f t="shared" si="2"/>
        <v>0.99306554401806202</v>
      </c>
    </row>
    <row r="54" spans="1:9" ht="17" thickBot="1" x14ac:dyDescent="0.25">
      <c r="A54" s="6">
        <v>38869</v>
      </c>
      <c r="B54" s="2">
        <v>5.103999999999985</v>
      </c>
      <c r="C54" s="2">
        <v>7.3</v>
      </c>
      <c r="D54" s="2">
        <v>7.0000000000000284E-2</v>
      </c>
      <c r="E54" s="2">
        <v>5.75</v>
      </c>
      <c r="F54" s="11">
        <v>1.2452123385153158</v>
      </c>
      <c r="G54" s="37">
        <f t="shared" si="0"/>
        <v>1.5505537679907813</v>
      </c>
      <c r="H54" s="37">
        <f>G54-G53</f>
        <v>0.47680371334313953</v>
      </c>
      <c r="I54" s="37">
        <f t="shared" si="2"/>
        <v>0.22734178105780678</v>
      </c>
    </row>
    <row r="55" spans="1:9" x14ac:dyDescent="0.2">
      <c r="A55" s="6"/>
      <c r="F55" s="38" t="s">
        <v>43</v>
      </c>
      <c r="G55" s="37">
        <f>SUM(G2:G54)</f>
        <v>219.60481016398262</v>
      </c>
      <c r="H55" s="38" t="s">
        <v>43</v>
      </c>
      <c r="I55" s="37">
        <f>SUM(I3:I54)</f>
        <v>2787.5165730260146</v>
      </c>
    </row>
    <row r="56" spans="1:9" x14ac:dyDescent="0.2">
      <c r="A56" s="6"/>
    </row>
    <row r="57" spans="1:9" x14ac:dyDescent="0.2">
      <c r="A57" s="6"/>
    </row>
    <row r="58" spans="1:9" x14ac:dyDescent="0.2">
      <c r="A58" s="6"/>
    </row>
    <row r="59" spans="1:9" x14ac:dyDescent="0.2">
      <c r="A59" s="6"/>
    </row>
    <row r="60" spans="1:9" x14ac:dyDescent="0.2">
      <c r="A60" s="6"/>
      <c r="E60" s="7"/>
    </row>
  </sheetData>
  <sortState xmlns:xlrd2="http://schemas.microsoft.com/office/spreadsheetml/2017/richdata2" ref="A2:Q54">
    <sortCondition ref="A2:A54"/>
  </sortState>
  <mergeCells count="1">
    <mergeCell ref="K3:L4"/>
  </mergeCells>
  <conditionalFormatting sqref="L5">
    <cfRule type="cellIs" dxfId="6" priority="1" operator="between">
      <formula>$L$7</formula>
      <formula>$L$8</formula>
    </cfRule>
    <cfRule type="cellIs" dxfId="5" priority="2" operator="lessThan">
      <formula>$L$8</formula>
    </cfRule>
    <cfRule type="cellIs" dxfId="4" priority="3" operator="greaterThan">
      <formula>$L$7</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FC95-9A7B-E648-985F-3EC2F67F8164}">
  <dimension ref="A1:Q91"/>
  <sheetViews>
    <sheetView topLeftCell="M7" zoomScale="62" workbookViewId="0">
      <selection activeCell="AD33" sqref="AD33"/>
    </sheetView>
  </sheetViews>
  <sheetFormatPr baseColWidth="10" defaultRowHeight="15" x14ac:dyDescent="0.2"/>
  <cols>
    <col min="6" max="6" width="14" customWidth="1"/>
    <col min="12" max="13" width="11.6640625" bestFit="1" customWidth="1"/>
  </cols>
  <sheetData>
    <row r="1" spans="1:11" x14ac:dyDescent="0.2">
      <c r="A1" t="s">
        <v>6</v>
      </c>
    </row>
    <row r="3" spans="1:11" ht="16" thickBot="1" x14ac:dyDescent="0.25">
      <c r="A3" s="46" t="s">
        <v>7</v>
      </c>
      <c r="B3" s="47"/>
      <c r="H3" s="24"/>
      <c r="I3" s="24" t="s">
        <v>39</v>
      </c>
      <c r="J3" s="24" t="s">
        <v>40</v>
      </c>
      <c r="K3" s="32" t="s">
        <v>41</v>
      </c>
    </row>
    <row r="4" spans="1:11" ht="16" thickTop="1" x14ac:dyDescent="0.2">
      <c r="A4" s="14" t="s">
        <v>8</v>
      </c>
      <c r="B4" s="15">
        <v>0.9417196071980134</v>
      </c>
      <c r="H4" s="20" t="s">
        <v>45</v>
      </c>
      <c r="I4" s="20">
        <f>B7</f>
        <v>1.2202298935233979</v>
      </c>
      <c r="J4" s="20">
        <f>2*I4</f>
        <v>2.4404597870467959</v>
      </c>
      <c r="K4" s="15">
        <f>3*B7</f>
        <v>3.6606896805701936</v>
      </c>
    </row>
    <row r="5" spans="1:11" x14ac:dyDescent="0.2">
      <c r="A5" s="14" t="s">
        <v>9</v>
      </c>
      <c r="B5" s="15">
        <v>0.88683581858118055</v>
      </c>
      <c r="H5" s="20"/>
      <c r="I5" s="20">
        <f>-1*B7</f>
        <v>-1.2202298935233979</v>
      </c>
      <c r="J5" s="20">
        <f>-2*B7</f>
        <v>-2.4404597870467959</v>
      </c>
      <c r="K5" s="15">
        <f>-3*B7</f>
        <v>-3.6606896805701936</v>
      </c>
    </row>
    <row r="6" spans="1:11" x14ac:dyDescent="0.2">
      <c r="A6" s="14" t="s">
        <v>10</v>
      </c>
      <c r="B6" s="15">
        <v>0.84514375174266809</v>
      </c>
      <c r="H6" s="20"/>
      <c r="I6" s="20"/>
      <c r="J6" s="20"/>
      <c r="K6" s="15"/>
    </row>
    <row r="7" spans="1:11" x14ac:dyDescent="0.2">
      <c r="A7" s="14" t="s">
        <v>11</v>
      </c>
      <c r="B7" s="15">
        <v>1.2202298935233979</v>
      </c>
      <c r="H7" s="20" t="s">
        <v>42</v>
      </c>
      <c r="I7" s="20">
        <f>COUNTIFS($C$38:$C$90, "&gt;=" &amp; I5, $C$38:$C$90, "&lt;=" &amp; I4)</f>
        <v>41</v>
      </c>
      <c r="J7" s="20">
        <f>COUNTIFS($C$38:$C$90, "&gt;=" &amp; J5, $C$38:$C$90, "&lt;" &amp; I5) + COUNTIFS($C$38:$C$90, "&lt;=" &amp; J4, $C$38:$C$90,"&gt;" &amp; I4)</f>
        <v>11</v>
      </c>
      <c r="K7" s="20">
        <f>COUNTIFS($C$38:$C$90, "&gt;=" &amp; K5, $C$38:$C$90, "&lt;" &amp; J5) + COUNTIFS($C$38:$C$90, "&lt;=" &amp; K4, $C$38:$C$90,"&gt;" &amp; J4)</f>
        <v>1</v>
      </c>
    </row>
    <row r="8" spans="1:11" x14ac:dyDescent="0.2">
      <c r="A8" s="16" t="s">
        <v>12</v>
      </c>
      <c r="B8" s="19">
        <v>53</v>
      </c>
      <c r="H8" s="20"/>
      <c r="I8" s="33">
        <f>I7/$B$8</f>
        <v>0.77358490566037741</v>
      </c>
      <c r="J8" s="33">
        <f>J7/$B$8</f>
        <v>0.20754716981132076</v>
      </c>
      <c r="K8" s="29">
        <f>K7/$B$8</f>
        <v>1.8867924528301886E-2</v>
      </c>
    </row>
    <row r="9" spans="1:11" x14ac:dyDescent="0.2">
      <c r="H9" s="20"/>
      <c r="I9" s="34">
        <f>I8</f>
        <v>0.77358490566037741</v>
      </c>
      <c r="J9" s="34">
        <f>I8+J8</f>
        <v>0.98113207547169812</v>
      </c>
      <c r="K9" s="30">
        <f>I8+J8+K8</f>
        <v>1</v>
      </c>
    </row>
    <row r="10" spans="1:11" ht="16" thickBot="1" x14ac:dyDescent="0.25">
      <c r="A10" t="s">
        <v>13</v>
      </c>
      <c r="H10" s="20"/>
      <c r="I10" s="35">
        <v>0.68</v>
      </c>
      <c r="J10" s="35">
        <v>0.95</v>
      </c>
      <c r="K10" s="30">
        <v>0.997</v>
      </c>
    </row>
    <row r="11" spans="1:11" x14ac:dyDescent="0.2">
      <c r="A11" s="9"/>
      <c r="B11" s="9" t="s">
        <v>18</v>
      </c>
      <c r="C11" s="9" t="s">
        <v>19</v>
      </c>
      <c r="D11" s="9" t="s">
        <v>20</v>
      </c>
      <c r="E11" s="9" t="s">
        <v>21</v>
      </c>
      <c r="F11" s="9" t="s">
        <v>22</v>
      </c>
      <c r="H11" s="21" t="s">
        <v>44</v>
      </c>
      <c r="I11" s="36">
        <f>I9-I10</f>
        <v>9.358490566037736E-2</v>
      </c>
      <c r="J11" s="36">
        <f>J9-J10</f>
        <v>3.1132075471698162E-2</v>
      </c>
      <c r="K11" s="31">
        <f t="shared" ref="K11" si="0">K9-K10</f>
        <v>3.0000000000000027E-3</v>
      </c>
    </row>
    <row r="12" spans="1:11" x14ac:dyDescent="0.2">
      <c r="A12" t="s">
        <v>14</v>
      </c>
      <c r="B12">
        <v>14</v>
      </c>
      <c r="C12">
        <v>443.40558233964276</v>
      </c>
      <c r="D12">
        <v>31.671827309974482</v>
      </c>
      <c r="E12">
        <v>21.271092700110007</v>
      </c>
      <c r="F12">
        <v>9.3877470430900579E-14</v>
      </c>
    </row>
    <row r="13" spans="1:11" x14ac:dyDescent="0.2">
      <c r="A13" t="s">
        <v>15</v>
      </c>
      <c r="B13">
        <v>38</v>
      </c>
      <c r="C13">
        <v>56.580517735828685</v>
      </c>
      <c r="D13">
        <v>1.4889609930481233</v>
      </c>
    </row>
    <row r="14" spans="1:11" ht="16" thickBot="1" x14ac:dyDescent="0.25">
      <c r="A14" s="8" t="s">
        <v>16</v>
      </c>
      <c r="B14" s="8">
        <v>52</v>
      </c>
      <c r="C14" s="8">
        <v>499.98610007547143</v>
      </c>
      <c r="D14" s="8"/>
      <c r="E14" s="8"/>
      <c r="F14" s="8"/>
    </row>
    <row r="15" spans="1:11" ht="16" thickBot="1" x14ac:dyDescent="0.25"/>
    <row r="16" spans="1:11" x14ac:dyDescent="0.2">
      <c r="A16" s="9"/>
      <c r="B16" s="9" t="s">
        <v>23</v>
      </c>
      <c r="C16" s="9" t="s">
        <v>11</v>
      </c>
      <c r="D16" s="9" t="s">
        <v>24</v>
      </c>
      <c r="E16" s="9" t="s">
        <v>25</v>
      </c>
      <c r="F16" s="9" t="s">
        <v>26</v>
      </c>
      <c r="G16" s="9" t="s">
        <v>27</v>
      </c>
      <c r="H16" s="9" t="s">
        <v>28</v>
      </c>
      <c r="I16" s="9" t="s">
        <v>29</v>
      </c>
    </row>
    <row r="17" spans="1:9" x14ac:dyDescent="0.2">
      <c r="A17" t="s">
        <v>17</v>
      </c>
      <c r="B17">
        <v>-0.75644178186811728</v>
      </c>
      <c r="C17">
        <v>2.0195116869055578</v>
      </c>
      <c r="D17">
        <v>-0.37456667706993674</v>
      </c>
      <c r="E17">
        <v>0.71006501705852543</v>
      </c>
      <c r="F17">
        <v>-4.8447294547917465</v>
      </c>
      <c r="G17">
        <v>3.3318458910555115</v>
      </c>
      <c r="H17">
        <v>-4.8447294547917465</v>
      </c>
      <c r="I17">
        <v>3.3318458910555115</v>
      </c>
    </row>
    <row r="18" spans="1:9" x14ac:dyDescent="0.2">
      <c r="A18" t="s">
        <v>0</v>
      </c>
      <c r="B18">
        <v>3.298837907587338</v>
      </c>
      <c r="C18">
        <v>0.32475409267421446</v>
      </c>
      <c r="D18">
        <v>10.157956379926683</v>
      </c>
      <c r="E18">
        <v>2.2045627810843593E-12</v>
      </c>
      <c r="F18">
        <v>2.6414076176711312</v>
      </c>
      <c r="G18">
        <v>3.9562681975035447</v>
      </c>
      <c r="H18">
        <v>2.6414076176711312</v>
      </c>
      <c r="I18">
        <v>3.9562681975035447</v>
      </c>
    </row>
    <row r="19" spans="1:9" x14ac:dyDescent="0.2">
      <c r="A19" t="s">
        <v>3</v>
      </c>
      <c r="B19">
        <v>-1.730766024653998</v>
      </c>
      <c r="C19">
        <v>0.55347731538399392</v>
      </c>
      <c r="D19">
        <v>-3.127076713980987</v>
      </c>
      <c r="E19">
        <v>3.3798794710330599E-3</v>
      </c>
      <c r="F19">
        <v>-2.8512222717750202</v>
      </c>
      <c r="G19">
        <v>-0.61030977753297577</v>
      </c>
      <c r="H19">
        <v>-2.8512222717750202</v>
      </c>
      <c r="I19">
        <v>-0.61030977753297577</v>
      </c>
    </row>
    <row r="20" spans="1:9" x14ac:dyDescent="0.2">
      <c r="A20" t="s">
        <v>1</v>
      </c>
      <c r="B20">
        <v>-2.7524418137959223</v>
      </c>
      <c r="C20">
        <v>0.22889345482911638</v>
      </c>
      <c r="D20">
        <v>-12.024991347396965</v>
      </c>
      <c r="E20">
        <v>1.6010393768898917E-14</v>
      </c>
      <c r="F20">
        <v>-3.2158123879096339</v>
      </c>
      <c r="G20">
        <v>-2.2890712396822108</v>
      </c>
      <c r="H20">
        <v>-3.2158123879096339</v>
      </c>
      <c r="I20">
        <v>-2.2890712396822108</v>
      </c>
    </row>
    <row r="21" spans="1:9" x14ac:dyDescent="0.2">
      <c r="A21" t="s">
        <v>55</v>
      </c>
      <c r="B21">
        <v>-1.441870058208726</v>
      </c>
      <c r="C21">
        <v>0.86940176452900697</v>
      </c>
      <c r="D21">
        <v>-1.6584623094132438</v>
      </c>
      <c r="E21">
        <v>0.10545750987568721</v>
      </c>
      <c r="F21">
        <v>-3.201881916416017</v>
      </c>
      <c r="G21">
        <v>0.31814179999856473</v>
      </c>
      <c r="H21">
        <v>-3.201881916416017</v>
      </c>
      <c r="I21">
        <v>0.31814179999856473</v>
      </c>
    </row>
    <row r="22" spans="1:9" x14ac:dyDescent="0.2">
      <c r="A22" t="s">
        <v>56</v>
      </c>
      <c r="B22">
        <v>-1.8821932862110187</v>
      </c>
      <c r="C22">
        <v>0.82938317437876852</v>
      </c>
      <c r="D22">
        <v>-2.2693892815233858</v>
      </c>
      <c r="E22">
        <v>2.9004996959530609E-2</v>
      </c>
      <c r="F22">
        <v>-3.5611917440701815</v>
      </c>
      <c r="G22">
        <v>-0.20319482835185565</v>
      </c>
      <c r="H22">
        <v>-3.5611917440701815</v>
      </c>
      <c r="I22">
        <v>-0.20319482835185565</v>
      </c>
    </row>
    <row r="23" spans="1:9" x14ac:dyDescent="0.2">
      <c r="A23" t="s">
        <v>57</v>
      </c>
      <c r="B23">
        <v>-5.9543938953786579</v>
      </c>
      <c r="C23">
        <v>0.82243663658507216</v>
      </c>
      <c r="D23">
        <v>-7.2399424229233498</v>
      </c>
      <c r="E23">
        <v>1.1672916811197342E-8</v>
      </c>
      <c r="F23">
        <v>-7.6193298226688677</v>
      </c>
      <c r="G23">
        <v>-4.2894579680884481</v>
      </c>
      <c r="H23">
        <v>-7.6193298226688677</v>
      </c>
      <c r="I23">
        <v>-4.2894579680884481</v>
      </c>
    </row>
    <row r="24" spans="1:9" x14ac:dyDescent="0.2">
      <c r="A24" t="s">
        <v>58</v>
      </c>
      <c r="B24">
        <v>-2.754859672385622</v>
      </c>
      <c r="C24">
        <v>0.8313336339545746</v>
      </c>
      <c r="D24">
        <v>-3.3137834918106441</v>
      </c>
      <c r="E24">
        <v>2.0292506140424157E-3</v>
      </c>
      <c r="F24">
        <v>-4.4378066292269933</v>
      </c>
      <c r="G24">
        <v>-1.0719127155442509</v>
      </c>
      <c r="H24">
        <v>-4.4378066292269933</v>
      </c>
      <c r="I24">
        <v>-1.0719127155442509</v>
      </c>
    </row>
    <row r="25" spans="1:9" x14ac:dyDescent="0.2">
      <c r="A25" t="s">
        <v>59</v>
      </c>
      <c r="B25">
        <v>-4.5911717123799578</v>
      </c>
      <c r="C25">
        <v>0.82179312053304543</v>
      </c>
      <c r="D25">
        <v>-5.5867731156011065</v>
      </c>
      <c r="E25">
        <v>2.099810655462884E-6</v>
      </c>
      <c r="F25">
        <v>-6.2548049095300611</v>
      </c>
      <c r="G25">
        <v>-2.9275385152298545</v>
      </c>
      <c r="H25">
        <v>-6.2548049095300611</v>
      </c>
      <c r="I25">
        <v>-2.9275385152298545</v>
      </c>
    </row>
    <row r="26" spans="1:9" x14ac:dyDescent="0.2">
      <c r="A26" t="s">
        <v>60</v>
      </c>
      <c r="B26">
        <v>-2.8252028065787336</v>
      </c>
      <c r="C26">
        <v>0.81899493359379572</v>
      </c>
      <c r="D26">
        <v>-3.449597415922447</v>
      </c>
      <c r="E26">
        <v>1.3891877735148341E-3</v>
      </c>
      <c r="F26">
        <v>-4.4831713704194858</v>
      </c>
      <c r="G26">
        <v>-1.1672342427379818</v>
      </c>
      <c r="H26">
        <v>-4.4831713704194858</v>
      </c>
      <c r="I26">
        <v>-1.1672342427379818</v>
      </c>
    </row>
    <row r="27" spans="1:9" x14ac:dyDescent="0.2">
      <c r="A27" t="s">
        <v>61</v>
      </c>
      <c r="B27">
        <v>-4.481618158891429</v>
      </c>
      <c r="C27">
        <v>0.86514661886574007</v>
      </c>
      <c r="D27">
        <v>-5.1801834060995393</v>
      </c>
      <c r="E27">
        <v>7.5524268449304838E-6</v>
      </c>
      <c r="F27">
        <v>-6.233015925051407</v>
      </c>
      <c r="G27">
        <v>-2.730220392731451</v>
      </c>
      <c r="H27">
        <v>-6.233015925051407</v>
      </c>
      <c r="I27">
        <v>-2.730220392731451</v>
      </c>
    </row>
    <row r="28" spans="1:9" x14ac:dyDescent="0.2">
      <c r="A28" t="s">
        <v>62</v>
      </c>
      <c r="B28">
        <v>-5.1520334532762657</v>
      </c>
      <c r="C28">
        <v>0.86841581579585292</v>
      </c>
      <c r="D28">
        <v>-5.9326803583773113</v>
      </c>
      <c r="E28">
        <v>7.0417908151736031E-7</v>
      </c>
      <c r="F28">
        <v>-6.9100493626222432</v>
      </c>
      <c r="G28">
        <v>-3.3940175439302882</v>
      </c>
      <c r="H28">
        <v>-6.9100493626222432</v>
      </c>
      <c r="I28">
        <v>-3.3940175439302882</v>
      </c>
    </row>
    <row r="29" spans="1:9" x14ac:dyDescent="0.2">
      <c r="A29" t="s">
        <v>63</v>
      </c>
      <c r="B29">
        <v>-6.1384785366204779</v>
      </c>
      <c r="C29">
        <v>0.86787007707668973</v>
      </c>
      <c r="D29">
        <v>-7.0730385788817198</v>
      </c>
      <c r="E29">
        <v>1.9592682979578287E-8</v>
      </c>
      <c r="F29">
        <v>-7.8953896556883603</v>
      </c>
      <c r="G29">
        <v>-4.3815674175525956</v>
      </c>
      <c r="H29">
        <v>-7.8953896556883603</v>
      </c>
      <c r="I29">
        <v>-4.3815674175525956</v>
      </c>
    </row>
    <row r="30" spans="1:9" x14ac:dyDescent="0.2">
      <c r="A30" t="s">
        <v>64</v>
      </c>
      <c r="B30">
        <v>-3.3103092124482769</v>
      </c>
      <c r="C30">
        <v>0.87361744896271332</v>
      </c>
      <c r="D30">
        <v>-3.7891976818672304</v>
      </c>
      <c r="E30">
        <v>5.2497277353788724E-4</v>
      </c>
      <c r="F30">
        <v>-5.0788552776200575</v>
      </c>
      <c r="G30">
        <v>-1.5417631472764965</v>
      </c>
      <c r="H30">
        <v>-5.0788552776200575</v>
      </c>
      <c r="I30">
        <v>-1.5417631472764965</v>
      </c>
    </row>
    <row r="31" spans="1:9" ht="16" thickBot="1" x14ac:dyDescent="0.25">
      <c r="A31" s="8" t="s">
        <v>65</v>
      </c>
      <c r="B31" s="8">
        <v>-3.918079054192408</v>
      </c>
      <c r="C31" s="8">
        <v>0.86705199600307914</v>
      </c>
      <c r="D31" s="8">
        <v>-4.5188513171688651</v>
      </c>
      <c r="E31" s="8">
        <v>5.8926683708842639E-5</v>
      </c>
      <c r="F31" s="8">
        <v>-5.6733340547092661</v>
      </c>
      <c r="G31" s="8">
        <v>-2.1628240536755499</v>
      </c>
      <c r="H31" s="8">
        <v>-5.6733340547092661</v>
      </c>
      <c r="I31" s="8">
        <v>-2.1628240536755499</v>
      </c>
    </row>
    <row r="35" spans="1:17" ht="16" thickBot="1" x14ac:dyDescent="0.25">
      <c r="A35" t="s">
        <v>30</v>
      </c>
      <c r="J35" s="49"/>
      <c r="K35" s="48" t="s">
        <v>24</v>
      </c>
      <c r="L35" s="26" t="s">
        <v>67</v>
      </c>
      <c r="M35" s="28"/>
      <c r="N35" s="50" t="s">
        <v>35</v>
      </c>
    </row>
    <row r="36" spans="1:17" ht="17" thickTop="1" thickBot="1" x14ac:dyDescent="0.25">
      <c r="J36" s="14" t="s">
        <v>17</v>
      </c>
      <c r="K36">
        <v>-0.37456667706993674</v>
      </c>
      <c r="L36">
        <f>ABS(K36)</f>
        <v>0.37456667706993674</v>
      </c>
      <c r="M36" s="13" t="s">
        <v>36</v>
      </c>
      <c r="N36" s="15">
        <v>2.9769999999999999</v>
      </c>
      <c r="O36" t="s">
        <v>69</v>
      </c>
      <c r="P36">
        <f>COUNTIFS(L37:L50, "&gt;=" &amp; N36)</f>
        <v>12</v>
      </c>
      <c r="Q36">
        <f>COUNTIFS(L37:L50, "&lt;=" &amp; N36)</f>
        <v>2</v>
      </c>
    </row>
    <row r="37" spans="1:17" x14ac:dyDescent="0.2">
      <c r="A37" s="9" t="s">
        <v>31</v>
      </c>
      <c r="B37" s="9" t="s">
        <v>32</v>
      </c>
      <c r="C37" s="9" t="s">
        <v>33</v>
      </c>
      <c r="D37" s="51" t="s">
        <v>47</v>
      </c>
      <c r="E37" s="51" t="s">
        <v>71</v>
      </c>
      <c r="F37" s="51" t="s">
        <v>72</v>
      </c>
      <c r="J37" s="14" t="s">
        <v>0</v>
      </c>
      <c r="K37">
        <v>10.157956379926683</v>
      </c>
      <c r="L37">
        <f t="shared" ref="L37:L50" si="1">ABS(K37)</f>
        <v>10.157956379926683</v>
      </c>
      <c r="M37" s="13" t="s">
        <v>37</v>
      </c>
      <c r="N37" s="15">
        <v>2.9769999999999999</v>
      </c>
      <c r="O37" t="s">
        <v>70</v>
      </c>
      <c r="P37" s="27">
        <f>P36/14</f>
        <v>0.8571428571428571</v>
      </c>
      <c r="Q37" s="27">
        <f>Q36/14</f>
        <v>0.14285714285714285</v>
      </c>
    </row>
    <row r="38" spans="1:17" x14ac:dyDescent="0.2">
      <c r="A38">
        <v>1</v>
      </c>
      <c r="B38">
        <v>1.8390739245836494</v>
      </c>
      <c r="C38">
        <v>-0.69307392458369121</v>
      </c>
      <c r="D38">
        <f>C38^2</f>
        <v>0.48035146493784009</v>
      </c>
      <c r="E38" s="13" t="s">
        <v>48</v>
      </c>
      <c r="F38" s="13" t="s">
        <v>48</v>
      </c>
      <c r="J38" s="14" t="s">
        <v>3</v>
      </c>
      <c r="K38">
        <v>-3.127076713980987</v>
      </c>
      <c r="L38">
        <f t="shared" si="1"/>
        <v>3.127076713980987</v>
      </c>
      <c r="M38" s="13" t="s">
        <v>37</v>
      </c>
      <c r="N38" s="15">
        <v>2.9769999999999999</v>
      </c>
    </row>
    <row r="39" spans="1:17" x14ac:dyDescent="0.2">
      <c r="A39">
        <v>2</v>
      </c>
      <c r="B39">
        <v>-2.1410981262679716</v>
      </c>
      <c r="C39">
        <v>-0.30190187373201205</v>
      </c>
      <c r="D39">
        <f t="shared" ref="D39:D90" si="2">C39^2</f>
        <v>9.1144741362899753E-2</v>
      </c>
      <c r="E39">
        <f>D39-D38</f>
        <v>-0.38920672357494035</v>
      </c>
      <c r="F39">
        <f>E39^2</f>
        <v>0.15148187367594002</v>
      </c>
      <c r="J39" s="14" t="s">
        <v>1</v>
      </c>
      <c r="K39">
        <v>-12.024991347396965</v>
      </c>
      <c r="L39">
        <f t="shared" si="1"/>
        <v>12.024991347396965</v>
      </c>
      <c r="M39" s="13" t="s">
        <v>37</v>
      </c>
      <c r="N39" s="15">
        <v>2.9769999999999999</v>
      </c>
    </row>
    <row r="40" spans="1:17" x14ac:dyDescent="0.2">
      <c r="A40">
        <v>3</v>
      </c>
      <c r="B40">
        <v>0.89818999849492664</v>
      </c>
      <c r="C40">
        <v>0.59881000150508745</v>
      </c>
      <c r="D40">
        <f t="shared" si="2"/>
        <v>0.35857341790252284</v>
      </c>
      <c r="E40">
        <f t="shared" ref="E40:E90" si="3">D40-D39</f>
        <v>0.2674286765396231</v>
      </c>
      <c r="F40">
        <f t="shared" ref="F40:F90" si="4">E40^2</f>
        <v>7.1518097035734363E-2</v>
      </c>
      <c r="J40" s="14" t="s">
        <v>55</v>
      </c>
      <c r="K40">
        <v>-1.6584623094132438</v>
      </c>
      <c r="L40">
        <f t="shared" si="1"/>
        <v>1.6584623094132438</v>
      </c>
      <c r="M40" s="13" t="s">
        <v>36</v>
      </c>
      <c r="N40" s="15">
        <v>2.9769999999999999</v>
      </c>
    </row>
    <row r="41" spans="1:17" x14ac:dyDescent="0.2">
      <c r="A41">
        <v>4</v>
      </c>
      <c r="B41">
        <v>-0.6291005797662903</v>
      </c>
      <c r="C41">
        <v>0.4971005797662853</v>
      </c>
      <c r="D41">
        <f t="shared" si="2"/>
        <v>0.24710898640397697</v>
      </c>
      <c r="E41">
        <f t="shared" si="3"/>
        <v>-0.11146443149854587</v>
      </c>
      <c r="F41">
        <f t="shared" si="4"/>
        <v>1.2424319489294025E-2</v>
      </c>
      <c r="J41" s="14" t="s">
        <v>56</v>
      </c>
      <c r="K41">
        <v>-2.2693892815233858</v>
      </c>
      <c r="L41">
        <f t="shared" si="1"/>
        <v>2.2693892815233858</v>
      </c>
      <c r="M41" s="13" t="s">
        <v>36</v>
      </c>
      <c r="N41" s="15">
        <v>2.9769999999999999</v>
      </c>
    </row>
    <row r="42" spans="1:17" x14ac:dyDescent="0.2">
      <c r="A42">
        <v>5</v>
      </c>
      <c r="B42">
        <v>1.803174376880099</v>
      </c>
      <c r="C42">
        <v>0.2218256231198783</v>
      </c>
      <c r="D42">
        <f t="shared" si="2"/>
        <v>4.9206607072522286E-2</v>
      </c>
      <c r="E42">
        <f t="shared" si="3"/>
        <v>-0.19790237933145469</v>
      </c>
      <c r="F42">
        <f t="shared" si="4"/>
        <v>3.916535174505098E-2</v>
      </c>
      <c r="J42" s="14" t="s">
        <v>57</v>
      </c>
      <c r="K42">
        <v>-7.2399424229233498</v>
      </c>
      <c r="L42">
        <f t="shared" si="1"/>
        <v>7.2399424229233498</v>
      </c>
      <c r="M42" s="13" t="s">
        <v>37</v>
      </c>
      <c r="N42" s="15">
        <v>2.9769999999999999</v>
      </c>
    </row>
    <row r="43" spans="1:17" x14ac:dyDescent="0.2">
      <c r="A43">
        <v>6</v>
      </c>
      <c r="B43">
        <v>0.47473908182373137</v>
      </c>
      <c r="C43">
        <v>0.26226091817629182</v>
      </c>
      <c r="D43">
        <f t="shared" si="2"/>
        <v>6.8780789202671638E-2</v>
      </c>
      <c r="E43">
        <f t="shared" si="3"/>
        <v>1.9574182130149352E-2</v>
      </c>
      <c r="F43">
        <f t="shared" si="4"/>
        <v>3.8314860606425823E-4</v>
      </c>
      <c r="J43" s="14" t="s">
        <v>58</v>
      </c>
      <c r="K43">
        <v>-3.3137834918106441</v>
      </c>
      <c r="L43">
        <f t="shared" si="1"/>
        <v>3.3137834918106441</v>
      </c>
      <c r="M43" s="13" t="s">
        <v>37</v>
      </c>
      <c r="N43" s="15">
        <v>2.9769999999999999</v>
      </c>
    </row>
    <row r="44" spans="1:17" x14ac:dyDescent="0.2">
      <c r="A44">
        <v>7</v>
      </c>
      <c r="B44">
        <v>-0.8121620709610049</v>
      </c>
      <c r="C44">
        <v>-0.21083792903901966</v>
      </c>
      <c r="D44">
        <f t="shared" si="2"/>
        <v>4.4452632321462689E-2</v>
      </c>
      <c r="E44">
        <f t="shared" si="3"/>
        <v>-2.432815688120895E-2</v>
      </c>
      <c r="F44">
        <f t="shared" si="4"/>
        <v>5.9185921723671432E-4</v>
      </c>
      <c r="J44" s="14" t="s">
        <v>59</v>
      </c>
      <c r="K44">
        <v>-5.5867731156011065</v>
      </c>
      <c r="L44">
        <f t="shared" si="1"/>
        <v>5.5867731156011065</v>
      </c>
      <c r="M44" s="13" t="s">
        <v>37</v>
      </c>
      <c r="N44" s="15">
        <v>2.9769999999999999</v>
      </c>
    </row>
    <row r="45" spans="1:17" x14ac:dyDescent="0.2">
      <c r="A45">
        <v>8</v>
      </c>
      <c r="B45">
        <v>-2.0950474565998976</v>
      </c>
      <c r="C45">
        <v>1.1390474565999371</v>
      </c>
      <c r="D45">
        <f t="shared" si="2"/>
        <v>1.2974291083867857</v>
      </c>
      <c r="E45">
        <f t="shared" si="3"/>
        <v>1.252976476065323</v>
      </c>
      <c r="F45">
        <f t="shared" si="4"/>
        <v>1.5699500495730749</v>
      </c>
      <c r="J45" s="14" t="s">
        <v>60</v>
      </c>
      <c r="K45">
        <v>-3.449597415922447</v>
      </c>
      <c r="L45">
        <f t="shared" si="1"/>
        <v>3.449597415922447</v>
      </c>
      <c r="M45" s="13" t="s">
        <v>37</v>
      </c>
      <c r="N45" s="15">
        <v>2.9769999999999999</v>
      </c>
    </row>
    <row r="46" spans="1:17" x14ac:dyDescent="0.2">
      <c r="A46">
        <v>9</v>
      </c>
      <c r="B46">
        <v>1.2265000807391511</v>
      </c>
      <c r="C46">
        <v>-0.84150008073916016</v>
      </c>
      <c r="D46">
        <f t="shared" si="2"/>
        <v>0.70812238588401311</v>
      </c>
      <c r="E46">
        <f t="shared" si="3"/>
        <v>-0.58930672250277261</v>
      </c>
      <c r="F46">
        <f t="shared" si="4"/>
        <v>0.34728241318695985</v>
      </c>
      <c r="J46" s="14" t="s">
        <v>61</v>
      </c>
      <c r="K46">
        <v>-5.1801834060995393</v>
      </c>
      <c r="L46">
        <f t="shared" si="1"/>
        <v>5.1801834060995393</v>
      </c>
      <c r="M46" s="13" t="s">
        <v>37</v>
      </c>
      <c r="N46" s="15">
        <v>2.9769999999999999</v>
      </c>
    </row>
    <row r="47" spans="1:17" x14ac:dyDescent="0.2">
      <c r="A47">
        <v>10</v>
      </c>
      <c r="B47">
        <v>0.40948240211317311</v>
      </c>
      <c r="C47">
        <v>0.57351759788683099</v>
      </c>
      <c r="D47">
        <f t="shared" si="2"/>
        <v>0.32892243508588076</v>
      </c>
      <c r="E47">
        <f t="shared" si="3"/>
        <v>-0.37919995079813235</v>
      </c>
      <c r="F47">
        <f t="shared" si="4"/>
        <v>0.143792602685306</v>
      </c>
      <c r="J47" s="14" t="s">
        <v>62</v>
      </c>
      <c r="K47">
        <v>-5.9326803583773113</v>
      </c>
      <c r="L47">
        <f t="shared" si="1"/>
        <v>5.9326803583773113</v>
      </c>
      <c r="M47" s="13" t="s">
        <v>37</v>
      </c>
      <c r="N47" s="15">
        <v>2.9769999999999999</v>
      </c>
    </row>
    <row r="48" spans="1:17" x14ac:dyDescent="0.2">
      <c r="A48">
        <v>11</v>
      </c>
      <c r="B48">
        <v>4.9329410755266689</v>
      </c>
      <c r="C48">
        <v>0.1590589244733156</v>
      </c>
      <c r="D48">
        <f t="shared" si="2"/>
        <v>2.5299741454607914E-2</v>
      </c>
      <c r="E48">
        <f t="shared" si="3"/>
        <v>-0.30362269363127287</v>
      </c>
      <c r="F48">
        <f t="shared" si="4"/>
        <v>9.218674008790978E-2</v>
      </c>
      <c r="J48" s="14" t="s">
        <v>63</v>
      </c>
      <c r="K48">
        <v>-7.0730385788817198</v>
      </c>
      <c r="L48">
        <f t="shared" si="1"/>
        <v>7.0730385788817198</v>
      </c>
      <c r="M48" s="13" t="s">
        <v>37</v>
      </c>
      <c r="N48" s="15">
        <v>2.9769999999999999</v>
      </c>
    </row>
    <row r="49" spans="1:14" x14ac:dyDescent="0.2">
      <c r="A49">
        <v>12</v>
      </c>
      <c r="B49">
        <v>3.6228965063233258</v>
      </c>
      <c r="C49">
        <v>2.6103493676675082E-2</v>
      </c>
      <c r="D49">
        <f t="shared" si="2"/>
        <v>6.8139238212821596E-4</v>
      </c>
      <c r="E49">
        <f t="shared" si="3"/>
        <v>-2.4618349072479697E-2</v>
      </c>
      <c r="F49">
        <f t="shared" si="4"/>
        <v>6.0606311105446196E-4</v>
      </c>
      <c r="J49" s="14" t="s">
        <v>64</v>
      </c>
      <c r="K49">
        <v>-3.7891976818672304</v>
      </c>
      <c r="L49">
        <f t="shared" si="1"/>
        <v>3.7891976818672304</v>
      </c>
      <c r="M49" s="13" t="s">
        <v>37</v>
      </c>
      <c r="N49" s="15">
        <v>2.9769999999999999</v>
      </c>
    </row>
    <row r="50" spans="1:14" x14ac:dyDescent="0.2">
      <c r="A50">
        <v>13</v>
      </c>
      <c r="B50">
        <v>2.986520441222785</v>
      </c>
      <c r="C50">
        <v>-0.2835204412228105</v>
      </c>
      <c r="D50">
        <f t="shared" si="2"/>
        <v>8.0383840591177147E-2</v>
      </c>
      <c r="E50">
        <f t="shared" si="3"/>
        <v>7.9702448209048926E-2</v>
      </c>
      <c r="F50">
        <f t="shared" si="4"/>
        <v>6.3524802505161267E-3</v>
      </c>
      <c r="J50" s="16" t="s">
        <v>65</v>
      </c>
      <c r="K50" s="17">
        <v>-4.5188513171688651</v>
      </c>
      <c r="L50" s="17">
        <f t="shared" si="1"/>
        <v>4.5188513171688651</v>
      </c>
      <c r="M50" s="18" t="s">
        <v>37</v>
      </c>
      <c r="N50" s="19">
        <v>2.9769999999999999</v>
      </c>
    </row>
    <row r="51" spans="1:14" x14ac:dyDescent="0.2">
      <c r="A51">
        <v>14</v>
      </c>
      <c r="B51">
        <v>-0.33405793790087657</v>
      </c>
      <c r="C51">
        <v>6.3057937900918404E-2</v>
      </c>
      <c r="D51">
        <f t="shared" si="2"/>
        <v>3.9763035323160814E-3</v>
      </c>
      <c r="E51">
        <f t="shared" si="3"/>
        <v>-7.6407537058861066E-2</v>
      </c>
      <c r="F51">
        <f t="shared" si="4"/>
        <v>5.838111719401227E-3</v>
      </c>
    </row>
    <row r="52" spans="1:14" ht="16" thickBot="1" x14ac:dyDescent="0.25">
      <c r="A52">
        <v>15</v>
      </c>
      <c r="B52">
        <v>3.1367750059989228</v>
      </c>
      <c r="C52">
        <v>-1.0817750059989728</v>
      </c>
      <c r="D52">
        <f t="shared" si="2"/>
        <v>1.1702371636040776</v>
      </c>
      <c r="E52">
        <f t="shared" si="3"/>
        <v>1.1662608600717614</v>
      </c>
      <c r="F52">
        <f t="shared" si="4"/>
        <v>1.3601643937353247</v>
      </c>
      <c r="J52" s="24"/>
      <c r="K52" s="25"/>
      <c r="L52" s="24" t="s">
        <v>68</v>
      </c>
      <c r="M52" s="26"/>
      <c r="N52" s="24" t="s">
        <v>35</v>
      </c>
    </row>
    <row r="53" spans="1:14" ht="16" thickTop="1" x14ac:dyDescent="0.2">
      <c r="A53">
        <v>16</v>
      </c>
      <c r="B53">
        <v>0.42834798821438103</v>
      </c>
      <c r="C53">
        <v>-1.1423479882143797</v>
      </c>
      <c r="D53">
        <f t="shared" si="2"/>
        <v>1.3049589261774406</v>
      </c>
      <c r="E53">
        <f t="shared" si="3"/>
        <v>0.13472176257336299</v>
      </c>
      <c r="F53">
        <f t="shared" si="4"/>
        <v>1.8149953310873591E-2</v>
      </c>
      <c r="J53" s="21" t="s">
        <v>38</v>
      </c>
      <c r="K53" s="21">
        <f>F32</f>
        <v>0</v>
      </c>
      <c r="L53" s="23">
        <f>E12</f>
        <v>21.271092700110007</v>
      </c>
      <c r="M53" s="18" t="s">
        <v>37</v>
      </c>
      <c r="N53" s="21">
        <v>2.6059999999999999</v>
      </c>
    </row>
    <row r="54" spans="1:14" x14ac:dyDescent="0.2">
      <c r="A54">
        <v>17</v>
      </c>
      <c r="B54">
        <v>1.64074855821152</v>
      </c>
      <c r="C54">
        <v>-0.98774855821149998</v>
      </c>
      <c r="D54">
        <f t="shared" si="2"/>
        <v>0.975647214248897</v>
      </c>
      <c r="E54">
        <f t="shared" si="3"/>
        <v>-0.32931171192854358</v>
      </c>
      <c r="F54">
        <f t="shared" si="4"/>
        <v>0.10844620361330808</v>
      </c>
      <c r="H54" s="82" t="s">
        <v>54</v>
      </c>
      <c r="I54" s="83"/>
    </row>
    <row r="55" spans="1:14" ht="16" thickBot="1" x14ac:dyDescent="0.25">
      <c r="A55">
        <v>18</v>
      </c>
      <c r="B55">
        <v>-0.43501453569397697</v>
      </c>
      <c r="C55">
        <v>0.40101453569398515</v>
      </c>
      <c r="D55">
        <f t="shared" si="2"/>
        <v>0.1608126578378625</v>
      </c>
      <c r="E55">
        <f t="shared" si="3"/>
        <v>-0.81483455641103453</v>
      </c>
      <c r="F55">
        <f t="shared" si="4"/>
        <v>0.66395535432156738</v>
      </c>
      <c r="H55" s="84"/>
      <c r="I55" s="85"/>
    </row>
    <row r="56" spans="1:14" ht="16" thickTop="1" x14ac:dyDescent="0.2">
      <c r="A56">
        <v>19</v>
      </c>
      <c r="B56">
        <v>-1.9438967059565808</v>
      </c>
      <c r="C56">
        <v>0.88589670595658809</v>
      </c>
      <c r="D56">
        <f t="shared" si="2"/>
        <v>0.78481297362473346</v>
      </c>
      <c r="E56">
        <f t="shared" si="3"/>
        <v>0.62400031578687098</v>
      </c>
      <c r="F56">
        <f t="shared" si="4"/>
        <v>0.38937639410211472</v>
      </c>
      <c r="H56" s="52" t="s">
        <v>51</v>
      </c>
      <c r="I56" s="15">
        <f>F91/D91</f>
        <v>2.433639460812381</v>
      </c>
    </row>
    <row r="57" spans="1:14" x14ac:dyDescent="0.2">
      <c r="A57">
        <v>20</v>
      </c>
      <c r="B57">
        <v>-3.0194730993883665</v>
      </c>
      <c r="C57">
        <v>0.96847309938837878</v>
      </c>
      <c r="D57">
        <f t="shared" si="2"/>
        <v>0.93794014423893257</v>
      </c>
      <c r="E57">
        <f t="shared" si="3"/>
        <v>0.15312717061419912</v>
      </c>
      <c r="F57">
        <f t="shared" si="4"/>
        <v>2.3447930380310046E-2</v>
      </c>
      <c r="H57" s="20"/>
      <c r="I57" s="15"/>
    </row>
    <row r="58" spans="1:14" x14ac:dyDescent="0.2">
      <c r="A58">
        <v>21</v>
      </c>
      <c r="B58">
        <v>-0.17049173619541502</v>
      </c>
      <c r="C58">
        <v>1.62149173619538</v>
      </c>
      <c r="D58">
        <f t="shared" si="2"/>
        <v>2.629235450549908</v>
      </c>
      <c r="E58">
        <f t="shared" si="3"/>
        <v>1.6912953063109755</v>
      </c>
      <c r="F58">
        <f t="shared" si="4"/>
        <v>2.8604798131495364</v>
      </c>
      <c r="H58" s="20" t="s">
        <v>52</v>
      </c>
      <c r="I58" s="15">
        <v>2.0590000000000002</v>
      </c>
    </row>
    <row r="59" spans="1:14" x14ac:dyDescent="0.2">
      <c r="A59">
        <v>22</v>
      </c>
      <c r="B59">
        <v>-1.6196552545616645</v>
      </c>
      <c r="C59">
        <v>0.63065525456168858</v>
      </c>
      <c r="D59">
        <f t="shared" si="2"/>
        <v>0.39772605010626821</v>
      </c>
      <c r="E59">
        <f t="shared" si="3"/>
        <v>-2.23150940044364</v>
      </c>
      <c r="F59">
        <f t="shared" si="4"/>
        <v>4.9796342042683337</v>
      </c>
      <c r="H59" s="21" t="s">
        <v>53</v>
      </c>
      <c r="I59" s="19">
        <v>0.86299999999999999</v>
      </c>
    </row>
    <row r="60" spans="1:14" x14ac:dyDescent="0.2">
      <c r="A60">
        <v>23</v>
      </c>
      <c r="B60">
        <v>2.5787697486858541</v>
      </c>
      <c r="C60">
        <v>-1.22076974868585</v>
      </c>
      <c r="D60">
        <f t="shared" si="2"/>
        <v>1.4902787793065133</v>
      </c>
      <c r="E60">
        <f t="shared" si="3"/>
        <v>1.092552729200245</v>
      </c>
      <c r="F60">
        <f t="shared" si="4"/>
        <v>1.193671466082904</v>
      </c>
    </row>
    <row r="61" spans="1:14" x14ac:dyDescent="0.2">
      <c r="A61">
        <v>24</v>
      </c>
      <c r="B61">
        <v>1.5527135007798294</v>
      </c>
      <c r="C61">
        <v>-0.80671350077984849</v>
      </c>
      <c r="D61">
        <f t="shared" si="2"/>
        <v>0.6507866723404786</v>
      </c>
      <c r="E61">
        <f t="shared" si="3"/>
        <v>-0.83949210696603471</v>
      </c>
      <c r="F61">
        <f t="shared" si="4"/>
        <v>0.70474699765827231</v>
      </c>
    </row>
    <row r="62" spans="1:14" x14ac:dyDescent="0.2">
      <c r="A62">
        <v>25</v>
      </c>
      <c r="B62">
        <v>2.430135701918628</v>
      </c>
      <c r="C62">
        <v>-0.57513570191860985</v>
      </c>
      <c r="D62">
        <f t="shared" si="2"/>
        <v>0.33078107562141207</v>
      </c>
      <c r="E62">
        <f t="shared" si="3"/>
        <v>-0.32000559671906653</v>
      </c>
      <c r="F62">
        <f t="shared" si="4"/>
        <v>0.10240358193152585</v>
      </c>
    </row>
    <row r="63" spans="1:14" x14ac:dyDescent="0.2">
      <c r="A63">
        <v>26</v>
      </c>
      <c r="B63">
        <v>-1.1650294380340185</v>
      </c>
      <c r="C63">
        <v>-0.72897056196598697</v>
      </c>
      <c r="D63">
        <f t="shared" si="2"/>
        <v>0.53139808021300683</v>
      </c>
      <c r="E63">
        <f t="shared" si="3"/>
        <v>0.20061700459159476</v>
      </c>
      <c r="F63">
        <f t="shared" si="4"/>
        <v>4.0247182531303952E-2</v>
      </c>
    </row>
    <row r="64" spans="1:14" x14ac:dyDescent="0.2">
      <c r="A64">
        <v>27</v>
      </c>
      <c r="B64">
        <v>1.2652171089195705</v>
      </c>
      <c r="C64">
        <v>-0.4842171089195646</v>
      </c>
      <c r="D64">
        <f t="shared" si="2"/>
        <v>0.2344662085704215</v>
      </c>
      <c r="E64">
        <f t="shared" si="3"/>
        <v>-0.29693187164258533</v>
      </c>
      <c r="F64">
        <f t="shared" si="4"/>
        <v>8.8168536397168776E-2</v>
      </c>
    </row>
    <row r="65" spans="1:6" x14ac:dyDescent="0.2">
      <c r="A65">
        <v>28</v>
      </c>
      <c r="B65">
        <v>-0.47043067379312919</v>
      </c>
      <c r="C65">
        <v>0.30943067379312783</v>
      </c>
      <c r="D65">
        <f t="shared" si="2"/>
        <v>9.5747341884069082E-2</v>
      </c>
      <c r="E65">
        <f t="shared" si="3"/>
        <v>-0.13871886668635242</v>
      </c>
      <c r="F65">
        <f t="shared" si="4"/>
        <v>1.9242923974746015E-2</v>
      </c>
    </row>
    <row r="66" spans="1:6" x14ac:dyDescent="0.2">
      <c r="A66">
        <v>29</v>
      </c>
      <c r="B66">
        <v>2.3650725262040631</v>
      </c>
      <c r="C66">
        <v>-0.13207252620405896</v>
      </c>
      <c r="D66">
        <f t="shared" si="2"/>
        <v>1.744315217792184E-2</v>
      </c>
      <c r="E66">
        <f t="shared" si="3"/>
        <v>-7.8304189706147248E-2</v>
      </c>
      <c r="F66">
        <f t="shared" si="4"/>
        <v>6.1315461255362965E-3</v>
      </c>
    </row>
    <row r="67" spans="1:6" x14ac:dyDescent="0.2">
      <c r="A67">
        <v>30</v>
      </c>
      <c r="B67">
        <v>1.2610995601578274</v>
      </c>
      <c r="C67">
        <v>1.1639004398421839</v>
      </c>
      <c r="D67">
        <f t="shared" si="2"/>
        <v>1.3546642338648291</v>
      </c>
      <c r="E67">
        <f t="shared" si="3"/>
        <v>1.3372210816869072</v>
      </c>
      <c r="F67">
        <f t="shared" si="4"/>
        <v>1.7881602213079022</v>
      </c>
    </row>
    <row r="68" spans="1:6" x14ac:dyDescent="0.2">
      <c r="A68">
        <v>31</v>
      </c>
      <c r="B68">
        <v>0.75433741913808738</v>
      </c>
      <c r="C68">
        <v>1.4146625808618953</v>
      </c>
      <c r="D68">
        <f t="shared" si="2"/>
        <v>2.0012702176908386</v>
      </c>
      <c r="E68">
        <f t="shared" si="3"/>
        <v>0.64660598382600942</v>
      </c>
      <c r="F68">
        <f t="shared" si="4"/>
        <v>0.41809929831960158</v>
      </c>
    </row>
    <row r="69" spans="1:6" x14ac:dyDescent="0.2">
      <c r="A69">
        <v>32</v>
      </c>
      <c r="B69">
        <v>0.25034703459836027</v>
      </c>
      <c r="C69">
        <v>0.73165296540161062</v>
      </c>
      <c r="D69">
        <f t="shared" si="2"/>
        <v>0.53531606178097046</v>
      </c>
      <c r="E69">
        <f t="shared" si="3"/>
        <v>-1.4659541559098681</v>
      </c>
      <c r="F69">
        <f t="shared" si="4"/>
        <v>2.1490215872294138</v>
      </c>
    </row>
    <row r="70" spans="1:6" x14ac:dyDescent="0.2">
      <c r="A70">
        <v>33</v>
      </c>
      <c r="B70">
        <v>4.1948981621760391</v>
      </c>
      <c r="C70">
        <v>0.51310183782398777</v>
      </c>
      <c r="D70">
        <f t="shared" si="2"/>
        <v>0.26327349597835387</v>
      </c>
      <c r="E70">
        <f t="shared" si="3"/>
        <v>-0.2720425658026166</v>
      </c>
      <c r="F70">
        <f t="shared" si="4"/>
        <v>7.4007157608470986E-2</v>
      </c>
    </row>
    <row r="71" spans="1:6" x14ac:dyDescent="0.2">
      <c r="A71">
        <v>34</v>
      </c>
      <c r="B71">
        <v>4.959005657273142</v>
      </c>
      <c r="C71">
        <v>1.1039943427268462</v>
      </c>
      <c r="D71">
        <f t="shared" si="2"/>
        <v>1.218803508772881</v>
      </c>
      <c r="E71">
        <f t="shared" si="3"/>
        <v>0.95553001279452721</v>
      </c>
      <c r="F71">
        <f t="shared" si="4"/>
        <v>0.91303760535110934</v>
      </c>
    </row>
    <row r="72" spans="1:6" x14ac:dyDescent="0.2">
      <c r="A72">
        <v>35</v>
      </c>
      <c r="B72">
        <v>8.4717481211639534</v>
      </c>
      <c r="C72">
        <v>0.91025187883605163</v>
      </c>
      <c r="D72">
        <f t="shared" si="2"/>
        <v>0.82855848292456202</v>
      </c>
      <c r="E72">
        <f t="shared" si="3"/>
        <v>-0.39024502584831899</v>
      </c>
      <c r="F72">
        <f t="shared" si="4"/>
        <v>0.15229118019935517</v>
      </c>
    </row>
    <row r="73" spans="1:6" x14ac:dyDescent="0.2">
      <c r="A73">
        <v>36</v>
      </c>
      <c r="B73">
        <v>7.6154994140563854</v>
      </c>
      <c r="C73">
        <v>1.6885005859435882</v>
      </c>
      <c r="D73">
        <f t="shared" si="2"/>
        <v>2.8510342287318409</v>
      </c>
      <c r="E73">
        <f t="shared" si="3"/>
        <v>2.0224757458072791</v>
      </c>
      <c r="F73">
        <f t="shared" si="4"/>
        <v>4.0904081423787098</v>
      </c>
    </row>
    <row r="74" spans="1:6" x14ac:dyDescent="0.2">
      <c r="A74">
        <v>37</v>
      </c>
      <c r="B74">
        <v>8.899074357004384</v>
      </c>
      <c r="C74">
        <v>1.7909256429956137</v>
      </c>
      <c r="D74">
        <f t="shared" si="2"/>
        <v>3.2074146587392525</v>
      </c>
      <c r="E74">
        <f t="shared" si="3"/>
        <v>0.3563804300074116</v>
      </c>
      <c r="F74">
        <f t="shared" si="4"/>
        <v>0.1270070108922676</v>
      </c>
    </row>
    <row r="75" spans="1:6" x14ac:dyDescent="0.2">
      <c r="A75">
        <v>38</v>
      </c>
      <c r="B75">
        <v>5.0112237894710567</v>
      </c>
      <c r="C75">
        <v>1.5197762105289492</v>
      </c>
      <c r="D75">
        <f t="shared" si="2"/>
        <v>2.309719730089733</v>
      </c>
      <c r="E75">
        <f t="shared" si="3"/>
        <v>-0.8976949286495195</v>
      </c>
      <c r="F75">
        <f t="shared" si="4"/>
        <v>0.80585618492306588</v>
      </c>
    </row>
    <row r="76" spans="1:6" x14ac:dyDescent="0.2">
      <c r="A76">
        <v>39</v>
      </c>
      <c r="B76">
        <v>6.5067298069563471</v>
      </c>
      <c r="C76">
        <v>1.3662701930437002</v>
      </c>
      <c r="D76">
        <f t="shared" si="2"/>
        <v>1.8666942403996698</v>
      </c>
      <c r="E76">
        <f t="shared" si="3"/>
        <v>-0.44302548969006317</v>
      </c>
      <c r="F76">
        <f t="shared" si="4"/>
        <v>0.19627158451512028</v>
      </c>
    </row>
    <row r="77" spans="1:6" x14ac:dyDescent="0.2">
      <c r="A77">
        <v>40</v>
      </c>
      <c r="B77">
        <v>3.5879161262057435</v>
      </c>
      <c r="C77">
        <v>0.29408387379420464</v>
      </c>
      <c r="D77">
        <f t="shared" si="2"/>
        <v>8.648532482580569E-2</v>
      </c>
      <c r="E77">
        <f t="shared" si="3"/>
        <v>-1.7802089155738641</v>
      </c>
      <c r="F77">
        <f t="shared" si="4"/>
        <v>3.1691437830886731</v>
      </c>
    </row>
    <row r="78" spans="1:6" x14ac:dyDescent="0.2">
      <c r="A78">
        <v>41</v>
      </c>
      <c r="B78">
        <v>4.6138264528159354</v>
      </c>
      <c r="C78">
        <v>0.34617354718410098</v>
      </c>
      <c r="D78">
        <f t="shared" si="2"/>
        <v>0.11983612477002299</v>
      </c>
      <c r="E78">
        <f t="shared" si="3"/>
        <v>3.3350799944217302E-2</v>
      </c>
      <c r="F78">
        <f t="shared" si="4"/>
        <v>1.1122758569192049E-3</v>
      </c>
    </row>
    <row r="79" spans="1:6" x14ac:dyDescent="0.2">
      <c r="A79">
        <v>42</v>
      </c>
      <c r="B79">
        <v>3.1281758937124309</v>
      </c>
      <c r="C79">
        <v>-1.8271758937124432</v>
      </c>
      <c r="D79">
        <f t="shared" si="2"/>
        <v>3.3385717465638654</v>
      </c>
      <c r="E79">
        <f t="shared" si="3"/>
        <v>3.2187356217938423</v>
      </c>
      <c r="F79">
        <f t="shared" si="4"/>
        <v>10.360259003004593</v>
      </c>
    </row>
    <row r="80" spans="1:6" x14ac:dyDescent="0.2">
      <c r="A80">
        <v>43</v>
      </c>
      <c r="B80">
        <v>3.2437213577794513</v>
      </c>
      <c r="C80">
        <v>-2.0897213577794549</v>
      </c>
      <c r="D80">
        <f t="shared" si="2"/>
        <v>4.3669353531596089</v>
      </c>
      <c r="E80">
        <f t="shared" si="3"/>
        <v>1.0283636065957436</v>
      </c>
      <c r="F80">
        <f t="shared" si="4"/>
        <v>1.0575317073706052</v>
      </c>
    </row>
    <row r="81" spans="1:6" x14ac:dyDescent="0.2">
      <c r="A81">
        <v>44</v>
      </c>
      <c r="B81">
        <v>2.9551735213898906</v>
      </c>
      <c r="C81">
        <v>-2.8391735213899052</v>
      </c>
      <c r="D81">
        <f t="shared" si="2"/>
        <v>8.060906284561554</v>
      </c>
      <c r="E81">
        <f t="shared" si="3"/>
        <v>3.6939709314019451</v>
      </c>
      <c r="F81">
        <f t="shared" si="4"/>
        <v>13.645421242042554</v>
      </c>
    </row>
    <row r="82" spans="1:6" x14ac:dyDescent="0.2">
      <c r="A82">
        <v>45</v>
      </c>
      <c r="B82">
        <v>6.2210934932801907</v>
      </c>
      <c r="C82">
        <v>-1.2930934932801934</v>
      </c>
      <c r="D82">
        <f t="shared" si="2"/>
        <v>1.6720907823635736</v>
      </c>
      <c r="E82">
        <f t="shared" si="3"/>
        <v>-6.3888155021979802</v>
      </c>
      <c r="F82">
        <f t="shared" si="4"/>
        <v>40.816963521125231</v>
      </c>
    </row>
    <row r="83" spans="1:6" x14ac:dyDescent="0.2">
      <c r="A83">
        <v>46</v>
      </c>
      <c r="B83">
        <v>4.8381671951753855</v>
      </c>
      <c r="C83">
        <v>-2.308167195175356</v>
      </c>
      <c r="D83">
        <f t="shared" si="2"/>
        <v>5.3276358008836695</v>
      </c>
      <c r="E83">
        <f t="shared" si="3"/>
        <v>3.6555450185200957</v>
      </c>
      <c r="F83">
        <f t="shared" si="4"/>
        <v>13.363009382427087</v>
      </c>
    </row>
    <row r="84" spans="1:6" x14ac:dyDescent="0.2">
      <c r="A84">
        <v>47</v>
      </c>
      <c r="B84">
        <v>8.273541054623518</v>
      </c>
      <c r="C84">
        <v>0.1514589453764934</v>
      </c>
      <c r="D84">
        <f t="shared" si="2"/>
        <v>2.2939812134559614E-2</v>
      </c>
      <c r="E84">
        <f t="shared" si="3"/>
        <v>-5.3046959887491099</v>
      </c>
      <c r="F84">
        <f t="shared" si="4"/>
        <v>28.139799533050898</v>
      </c>
    </row>
    <row r="85" spans="1:6" x14ac:dyDescent="0.2">
      <c r="A85">
        <v>48</v>
      </c>
      <c r="B85">
        <v>6.1988905788403859</v>
      </c>
      <c r="C85">
        <v>-0.90789057884038904</v>
      </c>
      <c r="D85">
        <f t="shared" si="2"/>
        <v>0.82426530314713664</v>
      </c>
      <c r="E85">
        <f t="shared" si="3"/>
        <v>0.801325491012577</v>
      </c>
      <c r="F85">
        <f t="shared" si="4"/>
        <v>0.64212254254654766</v>
      </c>
    </row>
    <row r="86" spans="1:6" x14ac:dyDescent="0.2">
      <c r="A86">
        <v>49</v>
      </c>
      <c r="B86">
        <v>5.431195575270495</v>
      </c>
      <c r="C86">
        <v>-0.23919557527048774</v>
      </c>
      <c r="D86">
        <f t="shared" si="2"/>
        <v>5.7214523228979568E-2</v>
      </c>
      <c r="E86">
        <f t="shared" si="3"/>
        <v>-0.76705077991815707</v>
      </c>
      <c r="F86">
        <f t="shared" si="4"/>
        <v>0.58836689897305305</v>
      </c>
    </row>
    <row r="87" spans="1:6" x14ac:dyDescent="0.2">
      <c r="A87">
        <v>50</v>
      </c>
      <c r="B87">
        <v>0.80896171273185047</v>
      </c>
      <c r="C87">
        <v>-0.55196171273184547</v>
      </c>
      <c r="D87">
        <f t="shared" si="2"/>
        <v>0.30466173232187233</v>
      </c>
      <c r="E87">
        <f t="shared" si="3"/>
        <v>0.24744720909289275</v>
      </c>
      <c r="F87">
        <f t="shared" si="4"/>
        <v>6.1230121287861781E-2</v>
      </c>
    </row>
    <row r="88" spans="1:6" x14ac:dyDescent="0.2">
      <c r="A88">
        <v>51</v>
      </c>
      <c r="B88">
        <v>4.8010880796302171</v>
      </c>
      <c r="C88">
        <v>-0.3990880796302303</v>
      </c>
      <c r="D88">
        <f t="shared" si="2"/>
        <v>0.15927129530294504</v>
      </c>
      <c r="E88">
        <f t="shared" si="3"/>
        <v>-0.14539043701892729</v>
      </c>
      <c r="F88">
        <f t="shared" si="4"/>
        <v>2.1138379176554662E-2</v>
      </c>
    </row>
    <row r="89" spans="1:6" x14ac:dyDescent="0.2">
      <c r="A89">
        <v>52</v>
      </c>
      <c r="B89">
        <v>3.1312671391392053</v>
      </c>
      <c r="C89">
        <v>4.1732860860796528E-2</v>
      </c>
      <c r="D89">
        <f t="shared" si="2"/>
        <v>1.7416316756266026E-3</v>
      </c>
      <c r="E89">
        <f t="shared" si="3"/>
        <v>-0.15752966362731843</v>
      </c>
      <c r="F89">
        <f t="shared" si="4"/>
        <v>2.4815594922536093E-2</v>
      </c>
    </row>
    <row r="90" spans="1:6" ht="16" thickBot="1" x14ac:dyDescent="0.25">
      <c r="A90" s="8">
        <v>53</v>
      </c>
      <c r="B90" s="8">
        <v>4.5521780858883822</v>
      </c>
      <c r="C90" s="8">
        <v>0.55182191411160275</v>
      </c>
      <c r="D90">
        <f t="shared" si="2"/>
        <v>0.30450742489379307</v>
      </c>
      <c r="E90">
        <f t="shared" si="3"/>
        <v>0.30276579321816649</v>
      </c>
      <c r="F90">
        <f t="shared" si="4"/>
        <v>9.1667125543025543E-2</v>
      </c>
    </row>
    <row r="91" spans="1:6" x14ac:dyDescent="0.2">
      <c r="C91" t="s">
        <v>43</v>
      </c>
      <c r="D91">
        <f>SUM(D38:D90)</f>
        <v>56.5805177358287</v>
      </c>
      <c r="E91" t="s">
        <v>43</v>
      </c>
      <c r="F91">
        <f>SUM(F39:F90)</f>
        <v>137.69658067510753</v>
      </c>
    </row>
  </sheetData>
  <mergeCells count="1">
    <mergeCell ref="H54:I55"/>
  </mergeCells>
  <conditionalFormatting sqref="L36:L50">
    <cfRule type="cellIs" dxfId="3" priority="9" operator="lessThan">
      <formula>$N$36</formula>
    </cfRule>
    <cfRule type="cellIs" dxfId="2" priority="10" operator="greaterThan">
      <formula>$N$36</formula>
    </cfRule>
  </conditionalFormatting>
  <conditionalFormatting sqref="L53">
    <cfRule type="cellIs" dxfId="1" priority="1" operator="lessThan">
      <formula>$N$53</formula>
    </cfRule>
    <cfRule type="cellIs" dxfId="0" priority="2" operator="greaterThan">
      <formula>$N$53</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F24FA-8152-7E40-8788-AD090AB080F4}">
  <dimension ref="A1:Q60"/>
  <sheetViews>
    <sheetView tabSelected="1" zoomScale="68" zoomScaleNormal="36" workbookViewId="0">
      <selection activeCell="F2" sqref="F2"/>
    </sheetView>
  </sheetViews>
  <sheetFormatPr baseColWidth="10" defaultColWidth="8.83203125" defaultRowHeight="16" x14ac:dyDescent="0.2"/>
  <cols>
    <col min="1" max="8" width="8.83203125" style="2"/>
    <col min="9" max="9" width="10.33203125" style="2" customWidth="1"/>
    <col min="10" max="16384" width="8.83203125" style="2"/>
  </cols>
  <sheetData>
    <row r="1" spans="1:17" x14ac:dyDescent="0.2">
      <c r="A1" s="1" t="s">
        <v>4</v>
      </c>
      <c r="B1" s="1" t="s">
        <v>2</v>
      </c>
      <c r="C1" s="1" t="s">
        <v>0</v>
      </c>
      <c r="D1" s="1" t="s">
        <v>3</v>
      </c>
      <c r="E1" s="5" t="s">
        <v>1</v>
      </c>
      <c r="F1" s="1" t="s">
        <v>55</v>
      </c>
      <c r="G1" s="1" t="s">
        <v>56</v>
      </c>
      <c r="H1" s="1" t="s">
        <v>57</v>
      </c>
      <c r="I1" s="1" t="s">
        <v>58</v>
      </c>
      <c r="J1" s="1" t="s">
        <v>59</v>
      </c>
      <c r="K1" s="1" t="s">
        <v>60</v>
      </c>
      <c r="L1" s="1" t="s">
        <v>61</v>
      </c>
      <c r="M1" s="1" t="s">
        <v>62</v>
      </c>
      <c r="N1" s="1" t="s">
        <v>63</v>
      </c>
      <c r="O1" s="1" t="s">
        <v>64</v>
      </c>
      <c r="P1" s="1" t="s">
        <v>65</v>
      </c>
      <c r="Q1" s="1" t="s">
        <v>66</v>
      </c>
    </row>
    <row r="2" spans="1:17" x14ac:dyDescent="0.2">
      <c r="A2" s="6">
        <v>37288</v>
      </c>
      <c r="B2" s="2">
        <v>1.1459999999999582</v>
      </c>
      <c r="C2" s="2">
        <v>5.94</v>
      </c>
      <c r="D2" s="2">
        <v>0.29000000000000004</v>
      </c>
      <c r="E2" s="2">
        <v>5.31</v>
      </c>
      <c r="F2" s="2">
        <f>IF(MONTH($A2) = F$56, 1, 0)</f>
        <v>0</v>
      </c>
      <c r="G2" s="2">
        <f t="shared" ref="G2:Q2" si="0">IF(MONTH($A2) = G$56, 1, 0)</f>
        <v>1</v>
      </c>
      <c r="H2" s="2">
        <f t="shared" si="0"/>
        <v>0</v>
      </c>
      <c r="I2" s="2">
        <f t="shared" si="0"/>
        <v>0</v>
      </c>
      <c r="J2" s="2">
        <f t="shared" si="0"/>
        <v>0</v>
      </c>
      <c r="K2" s="2">
        <f t="shared" si="0"/>
        <v>0</v>
      </c>
      <c r="L2" s="2">
        <f t="shared" si="0"/>
        <v>0</v>
      </c>
      <c r="M2" s="2">
        <f t="shared" si="0"/>
        <v>0</v>
      </c>
      <c r="N2" s="2">
        <f t="shared" si="0"/>
        <v>0</v>
      </c>
      <c r="O2" s="2">
        <f t="shared" si="0"/>
        <v>0</v>
      </c>
      <c r="P2" s="2">
        <f t="shared" si="0"/>
        <v>0</v>
      </c>
      <c r="Q2" s="2">
        <f t="shared" si="0"/>
        <v>0</v>
      </c>
    </row>
    <row r="3" spans="1:17" x14ac:dyDescent="0.2">
      <c r="A3" s="6">
        <v>37316</v>
      </c>
      <c r="B3" s="2">
        <v>-2.4429999999999836</v>
      </c>
      <c r="C3" s="2">
        <v>6</v>
      </c>
      <c r="D3" s="2">
        <v>-0.10999999999999943</v>
      </c>
      <c r="E3" s="2">
        <v>5.6</v>
      </c>
      <c r="F3" s="2">
        <f t="shared" ref="F3:Q54" si="1">IF(MONTH($A3) = F$56, 1, 0)</f>
        <v>0</v>
      </c>
      <c r="G3" s="2">
        <f t="shared" si="1"/>
        <v>0</v>
      </c>
      <c r="H3" s="2">
        <f t="shared" si="1"/>
        <v>1</v>
      </c>
      <c r="I3" s="2">
        <f t="shared" si="1"/>
        <v>0</v>
      </c>
      <c r="J3" s="2">
        <f t="shared" si="1"/>
        <v>0</v>
      </c>
      <c r="K3" s="2">
        <f t="shared" si="1"/>
        <v>0</v>
      </c>
      <c r="L3" s="2">
        <f t="shared" si="1"/>
        <v>0</v>
      </c>
      <c r="M3" s="2">
        <f t="shared" si="1"/>
        <v>0</v>
      </c>
      <c r="N3" s="2">
        <f t="shared" si="1"/>
        <v>0</v>
      </c>
      <c r="O3" s="2">
        <f t="shared" si="1"/>
        <v>0</v>
      </c>
      <c r="P3" s="2">
        <f t="shared" si="1"/>
        <v>0</v>
      </c>
      <c r="Q3" s="2">
        <f t="shared" si="1"/>
        <v>0</v>
      </c>
    </row>
    <row r="4" spans="1:17" x14ac:dyDescent="0.2">
      <c r="A4" s="6">
        <v>37347</v>
      </c>
      <c r="B4" s="2">
        <v>1.4970000000000141</v>
      </c>
      <c r="C4" s="2">
        <v>6.08</v>
      </c>
      <c r="D4" s="2">
        <v>0.30999999999999961</v>
      </c>
      <c r="E4" s="2">
        <v>5.49</v>
      </c>
      <c r="F4" s="2">
        <f t="shared" si="1"/>
        <v>0</v>
      </c>
      <c r="G4" s="2">
        <f t="shared" si="1"/>
        <v>0</v>
      </c>
      <c r="H4" s="2">
        <f t="shared" si="1"/>
        <v>0</v>
      </c>
      <c r="I4" s="2">
        <f t="shared" si="1"/>
        <v>1</v>
      </c>
      <c r="J4" s="2">
        <f t="shared" si="1"/>
        <v>0</v>
      </c>
      <c r="K4" s="2">
        <f t="shared" si="1"/>
        <v>0</v>
      </c>
      <c r="L4" s="2">
        <f t="shared" si="1"/>
        <v>0</v>
      </c>
      <c r="M4" s="2">
        <f t="shared" si="1"/>
        <v>0</v>
      </c>
      <c r="N4" s="2">
        <f t="shared" si="1"/>
        <v>0</v>
      </c>
      <c r="O4" s="2">
        <f t="shared" si="1"/>
        <v>0</v>
      </c>
      <c r="P4" s="2">
        <f t="shared" si="1"/>
        <v>0</v>
      </c>
      <c r="Q4" s="2">
        <f t="shared" si="1"/>
        <v>0</v>
      </c>
    </row>
    <row r="5" spans="1:17" x14ac:dyDescent="0.2">
      <c r="A5" s="6">
        <v>37377</v>
      </c>
      <c r="B5" s="2">
        <v>-0.132000000000005</v>
      </c>
      <c r="C5" s="2">
        <v>6.17</v>
      </c>
      <c r="D5" s="2">
        <v>-0.1899999999999995</v>
      </c>
      <c r="E5" s="2">
        <v>5.8</v>
      </c>
      <c r="F5" s="2">
        <f t="shared" si="1"/>
        <v>0</v>
      </c>
      <c r="G5" s="2">
        <f t="shared" si="1"/>
        <v>0</v>
      </c>
      <c r="H5" s="2">
        <f t="shared" si="1"/>
        <v>0</v>
      </c>
      <c r="I5" s="2">
        <f t="shared" si="1"/>
        <v>0</v>
      </c>
      <c r="J5" s="2">
        <f t="shared" si="1"/>
        <v>1</v>
      </c>
      <c r="K5" s="2">
        <f t="shared" si="1"/>
        <v>0</v>
      </c>
      <c r="L5" s="2">
        <f t="shared" si="1"/>
        <v>0</v>
      </c>
      <c r="M5" s="2">
        <f t="shared" si="1"/>
        <v>0</v>
      </c>
      <c r="N5" s="2">
        <f t="shared" si="1"/>
        <v>0</v>
      </c>
      <c r="O5" s="2">
        <f t="shared" si="1"/>
        <v>0</v>
      </c>
      <c r="P5" s="2">
        <f t="shared" si="1"/>
        <v>0</v>
      </c>
      <c r="Q5" s="2">
        <f t="shared" si="1"/>
        <v>0</v>
      </c>
    </row>
    <row r="6" spans="1:17" x14ac:dyDescent="0.2">
      <c r="A6" s="6">
        <v>37408</v>
      </c>
      <c r="B6" s="2">
        <v>2.0249999999999773</v>
      </c>
      <c r="C6" s="2">
        <v>6.14</v>
      </c>
      <c r="D6" s="2">
        <v>-0.33000000000000007</v>
      </c>
      <c r="E6" s="2">
        <v>5.61</v>
      </c>
      <c r="F6" s="2">
        <f t="shared" si="1"/>
        <v>0</v>
      </c>
      <c r="G6" s="2">
        <f t="shared" si="1"/>
        <v>0</v>
      </c>
      <c r="H6" s="2">
        <f t="shared" si="1"/>
        <v>0</v>
      </c>
      <c r="I6" s="2">
        <f t="shared" si="1"/>
        <v>0</v>
      </c>
      <c r="J6" s="2">
        <f t="shared" si="1"/>
        <v>0</v>
      </c>
      <c r="K6" s="2">
        <f t="shared" si="1"/>
        <v>1</v>
      </c>
      <c r="L6" s="2">
        <f t="shared" si="1"/>
        <v>0</v>
      </c>
      <c r="M6" s="2">
        <f t="shared" si="1"/>
        <v>0</v>
      </c>
      <c r="N6" s="2">
        <f t="shared" si="1"/>
        <v>0</v>
      </c>
      <c r="O6" s="2">
        <f t="shared" si="1"/>
        <v>0</v>
      </c>
      <c r="P6" s="2">
        <f t="shared" si="1"/>
        <v>0</v>
      </c>
      <c r="Q6" s="2">
        <f t="shared" si="1"/>
        <v>0</v>
      </c>
    </row>
    <row r="7" spans="1:17" x14ac:dyDescent="0.2">
      <c r="A7" s="6">
        <v>37438</v>
      </c>
      <c r="B7" s="2">
        <v>0.73700000000002319</v>
      </c>
      <c r="C7" s="2">
        <v>6.09</v>
      </c>
      <c r="D7" s="2">
        <v>-8.9999999999999858E-2</v>
      </c>
      <c r="E7" s="2">
        <v>5.28</v>
      </c>
      <c r="F7" s="2">
        <f t="shared" si="1"/>
        <v>0</v>
      </c>
      <c r="G7" s="2">
        <f t="shared" si="1"/>
        <v>0</v>
      </c>
      <c r="H7" s="2">
        <f t="shared" si="1"/>
        <v>0</v>
      </c>
      <c r="I7" s="2">
        <f t="shared" si="1"/>
        <v>0</v>
      </c>
      <c r="J7" s="2">
        <f t="shared" si="1"/>
        <v>0</v>
      </c>
      <c r="K7" s="2">
        <f t="shared" si="1"/>
        <v>0</v>
      </c>
      <c r="L7" s="2">
        <f t="shared" si="1"/>
        <v>1</v>
      </c>
      <c r="M7" s="2">
        <f t="shared" si="1"/>
        <v>0</v>
      </c>
      <c r="N7" s="2">
        <f t="shared" si="1"/>
        <v>0</v>
      </c>
      <c r="O7" s="2">
        <f t="shared" si="1"/>
        <v>0</v>
      </c>
      <c r="P7" s="2">
        <f t="shared" si="1"/>
        <v>0</v>
      </c>
      <c r="Q7" s="2">
        <f t="shared" si="1"/>
        <v>0</v>
      </c>
    </row>
    <row r="8" spans="1:17" x14ac:dyDescent="0.2">
      <c r="A8" s="6">
        <v>37469</v>
      </c>
      <c r="B8" s="2">
        <v>-1.0230000000000246</v>
      </c>
      <c r="C8" s="2">
        <v>5.87</v>
      </c>
      <c r="D8" s="2">
        <v>-1.0000000000000675E-2</v>
      </c>
      <c r="E8" s="2">
        <v>5.19</v>
      </c>
      <c r="F8" s="2">
        <f t="shared" si="1"/>
        <v>0</v>
      </c>
      <c r="G8" s="2">
        <f t="shared" si="1"/>
        <v>0</v>
      </c>
      <c r="H8" s="2">
        <f t="shared" si="1"/>
        <v>0</v>
      </c>
      <c r="I8" s="2">
        <f t="shared" si="1"/>
        <v>0</v>
      </c>
      <c r="J8" s="2">
        <f t="shared" si="1"/>
        <v>0</v>
      </c>
      <c r="K8" s="2">
        <f t="shared" si="1"/>
        <v>0</v>
      </c>
      <c r="L8" s="2">
        <f t="shared" si="1"/>
        <v>0</v>
      </c>
      <c r="M8" s="2">
        <f t="shared" si="1"/>
        <v>1</v>
      </c>
      <c r="N8" s="2">
        <f t="shared" si="1"/>
        <v>0</v>
      </c>
      <c r="O8" s="2">
        <f t="shared" si="1"/>
        <v>0</v>
      </c>
      <c r="P8" s="2">
        <f t="shared" si="1"/>
        <v>0</v>
      </c>
      <c r="Q8" s="2">
        <f t="shared" si="1"/>
        <v>0</v>
      </c>
    </row>
    <row r="9" spans="1:17" x14ac:dyDescent="0.2">
      <c r="A9" s="6">
        <v>37500</v>
      </c>
      <c r="B9" s="2">
        <v>-0.95599999999996044</v>
      </c>
      <c r="C9" s="2">
        <v>5.84</v>
      </c>
      <c r="D9" s="2">
        <v>0.12000000000000011</v>
      </c>
      <c r="E9" s="2">
        <v>5.18</v>
      </c>
      <c r="F9" s="2">
        <f t="shared" si="1"/>
        <v>0</v>
      </c>
      <c r="G9" s="2">
        <f t="shared" si="1"/>
        <v>0</v>
      </c>
      <c r="H9" s="2">
        <f t="shared" si="1"/>
        <v>0</v>
      </c>
      <c r="I9" s="2">
        <f t="shared" si="1"/>
        <v>0</v>
      </c>
      <c r="J9" s="2">
        <f t="shared" si="1"/>
        <v>0</v>
      </c>
      <c r="K9" s="2">
        <f t="shared" si="1"/>
        <v>0</v>
      </c>
      <c r="L9" s="2">
        <f t="shared" si="1"/>
        <v>0</v>
      </c>
      <c r="M9" s="2">
        <f t="shared" si="1"/>
        <v>0</v>
      </c>
      <c r="N9" s="2">
        <f t="shared" si="1"/>
        <v>1</v>
      </c>
      <c r="O9" s="2">
        <f t="shared" si="1"/>
        <v>0</v>
      </c>
      <c r="P9" s="2">
        <f t="shared" si="1"/>
        <v>0</v>
      </c>
      <c r="Q9" s="2">
        <f t="shared" si="1"/>
        <v>0</v>
      </c>
    </row>
    <row r="10" spans="1:17" x14ac:dyDescent="0.2">
      <c r="A10" s="6">
        <v>37530</v>
      </c>
      <c r="B10" s="2">
        <v>0.38499999999999091</v>
      </c>
      <c r="C10" s="2">
        <v>5.99</v>
      </c>
      <c r="D10" s="2">
        <v>-6.9999999999999396E-2</v>
      </c>
      <c r="E10" s="2">
        <v>5.3</v>
      </c>
      <c r="F10" s="2">
        <f t="shared" si="1"/>
        <v>0</v>
      </c>
      <c r="G10" s="2">
        <f t="shared" si="1"/>
        <v>0</v>
      </c>
      <c r="H10" s="2">
        <f t="shared" si="1"/>
        <v>0</v>
      </c>
      <c r="I10" s="2">
        <f t="shared" si="1"/>
        <v>0</v>
      </c>
      <c r="J10" s="2">
        <f t="shared" si="1"/>
        <v>0</v>
      </c>
      <c r="K10" s="2">
        <f t="shared" si="1"/>
        <v>0</v>
      </c>
      <c r="L10" s="2">
        <f t="shared" si="1"/>
        <v>0</v>
      </c>
      <c r="M10" s="2">
        <f t="shared" si="1"/>
        <v>0</v>
      </c>
      <c r="N10" s="2">
        <f t="shared" si="1"/>
        <v>0</v>
      </c>
      <c r="O10" s="2">
        <f t="shared" si="1"/>
        <v>1</v>
      </c>
      <c r="P10" s="2">
        <f t="shared" si="1"/>
        <v>0</v>
      </c>
      <c r="Q10" s="2">
        <f t="shared" si="1"/>
        <v>0</v>
      </c>
    </row>
    <row r="11" spans="1:17" x14ac:dyDescent="0.2">
      <c r="A11" s="6">
        <v>37561</v>
      </c>
      <c r="B11" s="2">
        <v>0.98300000000000409</v>
      </c>
      <c r="C11" s="2">
        <v>6.12</v>
      </c>
      <c r="D11" s="2">
        <v>0.40999999999999925</v>
      </c>
      <c r="E11" s="2">
        <v>5.23</v>
      </c>
      <c r="F11" s="2">
        <f t="shared" si="1"/>
        <v>0</v>
      </c>
      <c r="G11" s="2">
        <f t="shared" si="1"/>
        <v>0</v>
      </c>
      <c r="H11" s="2">
        <f t="shared" si="1"/>
        <v>0</v>
      </c>
      <c r="I11" s="2">
        <f t="shared" si="1"/>
        <v>0</v>
      </c>
      <c r="J11" s="2">
        <f t="shared" si="1"/>
        <v>0</v>
      </c>
      <c r="K11" s="2">
        <f t="shared" si="1"/>
        <v>0</v>
      </c>
      <c r="L11" s="2">
        <f t="shared" si="1"/>
        <v>0</v>
      </c>
      <c r="M11" s="2">
        <f t="shared" si="1"/>
        <v>0</v>
      </c>
      <c r="N11" s="2">
        <f t="shared" si="1"/>
        <v>0</v>
      </c>
      <c r="O11" s="2">
        <f t="shared" si="1"/>
        <v>0</v>
      </c>
      <c r="P11" s="2">
        <f t="shared" si="1"/>
        <v>1</v>
      </c>
      <c r="Q11" s="2">
        <f t="shared" si="1"/>
        <v>0</v>
      </c>
    </row>
    <row r="12" spans="1:17" x14ac:dyDescent="0.2">
      <c r="A12" s="6">
        <v>37591</v>
      </c>
      <c r="B12" s="2">
        <v>5.0919999999999845</v>
      </c>
      <c r="C12" s="2">
        <v>6.42</v>
      </c>
      <c r="D12" s="2">
        <v>-1.9999999999999574E-2</v>
      </c>
      <c r="E12" s="2">
        <v>5.64</v>
      </c>
      <c r="F12" s="2">
        <f t="shared" si="1"/>
        <v>0</v>
      </c>
      <c r="G12" s="2">
        <f t="shared" si="1"/>
        <v>0</v>
      </c>
      <c r="H12" s="2">
        <f t="shared" si="1"/>
        <v>0</v>
      </c>
      <c r="I12" s="2">
        <f t="shared" si="1"/>
        <v>0</v>
      </c>
      <c r="J12" s="2">
        <f t="shared" si="1"/>
        <v>0</v>
      </c>
      <c r="K12" s="2">
        <f t="shared" si="1"/>
        <v>0</v>
      </c>
      <c r="L12" s="2">
        <f t="shared" si="1"/>
        <v>0</v>
      </c>
      <c r="M12" s="2">
        <f t="shared" si="1"/>
        <v>0</v>
      </c>
      <c r="N12" s="2">
        <f t="shared" si="1"/>
        <v>0</v>
      </c>
      <c r="O12" s="2">
        <f t="shared" si="1"/>
        <v>0</v>
      </c>
      <c r="P12" s="2">
        <f t="shared" si="1"/>
        <v>0</v>
      </c>
      <c r="Q12" s="2">
        <f t="shared" si="1"/>
        <v>1</v>
      </c>
    </row>
    <row r="13" spans="1:17" x14ac:dyDescent="0.2">
      <c r="A13" s="6">
        <v>37622</v>
      </c>
      <c r="B13" s="2">
        <v>3.6490000000000009</v>
      </c>
      <c r="C13" s="2">
        <v>6.48</v>
      </c>
      <c r="D13" s="2">
        <v>4.9999999999999822E-2</v>
      </c>
      <c r="E13" s="2">
        <v>5.62</v>
      </c>
      <c r="F13" s="2">
        <f t="shared" si="1"/>
        <v>1</v>
      </c>
      <c r="G13" s="2">
        <f t="shared" si="1"/>
        <v>0</v>
      </c>
      <c r="H13" s="2">
        <f t="shared" si="1"/>
        <v>0</v>
      </c>
      <c r="I13" s="2">
        <f t="shared" si="1"/>
        <v>0</v>
      </c>
      <c r="J13" s="2">
        <f t="shared" si="1"/>
        <v>0</v>
      </c>
      <c r="K13" s="2">
        <f t="shared" si="1"/>
        <v>0</v>
      </c>
      <c r="L13" s="2">
        <f t="shared" si="1"/>
        <v>0</v>
      </c>
      <c r="M13" s="2">
        <f t="shared" si="1"/>
        <v>0</v>
      </c>
      <c r="N13" s="2">
        <f t="shared" si="1"/>
        <v>0</v>
      </c>
      <c r="O13" s="2">
        <f t="shared" si="1"/>
        <v>0</v>
      </c>
      <c r="P13" s="2">
        <f t="shared" si="1"/>
        <v>0</v>
      </c>
      <c r="Q13" s="2">
        <f t="shared" si="1"/>
        <v>0</v>
      </c>
    </row>
    <row r="14" spans="1:17" x14ac:dyDescent="0.2">
      <c r="A14" s="6">
        <v>37653</v>
      </c>
      <c r="B14" s="2">
        <v>2.7029999999999745</v>
      </c>
      <c r="C14" s="2">
        <v>6.52</v>
      </c>
      <c r="D14" s="2">
        <v>0.16000000000000014</v>
      </c>
      <c r="E14" s="2">
        <v>5.67</v>
      </c>
      <c r="F14" s="2">
        <f t="shared" si="1"/>
        <v>0</v>
      </c>
      <c r="G14" s="2">
        <f t="shared" si="1"/>
        <v>1</v>
      </c>
      <c r="H14" s="2">
        <f t="shared" si="1"/>
        <v>0</v>
      </c>
      <c r="I14" s="2">
        <f t="shared" si="1"/>
        <v>0</v>
      </c>
      <c r="J14" s="2">
        <f t="shared" si="1"/>
        <v>0</v>
      </c>
      <c r="K14" s="2">
        <f t="shared" si="1"/>
        <v>0</v>
      </c>
      <c r="L14" s="2">
        <f t="shared" si="1"/>
        <v>0</v>
      </c>
      <c r="M14" s="2">
        <f t="shared" si="1"/>
        <v>0</v>
      </c>
      <c r="N14" s="2">
        <f t="shared" si="1"/>
        <v>0</v>
      </c>
      <c r="O14" s="2">
        <f t="shared" si="1"/>
        <v>0</v>
      </c>
      <c r="P14" s="2">
        <f t="shared" si="1"/>
        <v>0</v>
      </c>
      <c r="Q14" s="2">
        <f t="shared" si="1"/>
        <v>0</v>
      </c>
    </row>
    <row r="15" spans="1:17" x14ac:dyDescent="0.2">
      <c r="A15" s="6">
        <v>37681</v>
      </c>
      <c r="B15" s="2">
        <v>-0.27099999999995816</v>
      </c>
      <c r="C15" s="2">
        <v>6.64</v>
      </c>
      <c r="D15" s="2">
        <v>-0.29999999999999982</v>
      </c>
      <c r="E15" s="2">
        <v>5.83</v>
      </c>
      <c r="F15" s="2">
        <f t="shared" si="1"/>
        <v>0</v>
      </c>
      <c r="G15" s="2">
        <f t="shared" si="1"/>
        <v>0</v>
      </c>
      <c r="H15" s="2">
        <f t="shared" si="1"/>
        <v>1</v>
      </c>
      <c r="I15" s="2">
        <f t="shared" si="1"/>
        <v>0</v>
      </c>
      <c r="J15" s="2">
        <f t="shared" si="1"/>
        <v>0</v>
      </c>
      <c r="K15" s="2">
        <f t="shared" si="1"/>
        <v>0</v>
      </c>
      <c r="L15" s="2">
        <f t="shared" si="1"/>
        <v>0</v>
      </c>
      <c r="M15" s="2">
        <f t="shared" si="1"/>
        <v>0</v>
      </c>
      <c r="N15" s="2">
        <f t="shared" si="1"/>
        <v>0</v>
      </c>
      <c r="O15" s="2">
        <f t="shared" si="1"/>
        <v>0</v>
      </c>
      <c r="P15" s="2">
        <f t="shared" si="1"/>
        <v>0</v>
      </c>
      <c r="Q15" s="2">
        <f t="shared" si="1"/>
        <v>0</v>
      </c>
    </row>
    <row r="16" spans="1:17" x14ac:dyDescent="0.2">
      <c r="A16" s="6">
        <v>37712</v>
      </c>
      <c r="B16" s="2">
        <v>2.05499999999995</v>
      </c>
      <c r="C16" s="2">
        <v>6.75</v>
      </c>
      <c r="D16" s="2">
        <v>0.22999999999999954</v>
      </c>
      <c r="E16" s="2">
        <v>5.53</v>
      </c>
      <c r="F16" s="2">
        <f t="shared" si="1"/>
        <v>0</v>
      </c>
      <c r="G16" s="2">
        <f t="shared" si="1"/>
        <v>0</v>
      </c>
      <c r="H16" s="2">
        <f t="shared" si="1"/>
        <v>0</v>
      </c>
      <c r="I16" s="2">
        <f t="shared" si="1"/>
        <v>1</v>
      </c>
      <c r="J16" s="2">
        <f t="shared" si="1"/>
        <v>0</v>
      </c>
      <c r="K16" s="2">
        <f t="shared" si="1"/>
        <v>0</v>
      </c>
      <c r="L16" s="2">
        <f t="shared" si="1"/>
        <v>0</v>
      </c>
      <c r="M16" s="2">
        <f t="shared" si="1"/>
        <v>0</v>
      </c>
      <c r="N16" s="2">
        <f t="shared" si="1"/>
        <v>0</v>
      </c>
      <c r="O16" s="2">
        <f t="shared" si="1"/>
        <v>0</v>
      </c>
      <c r="P16" s="2">
        <f t="shared" si="1"/>
        <v>0</v>
      </c>
      <c r="Q16" s="2">
        <f t="shared" si="1"/>
        <v>0</v>
      </c>
    </row>
    <row r="17" spans="1:17" x14ac:dyDescent="0.2">
      <c r="A17" s="6">
        <v>37742</v>
      </c>
      <c r="B17" s="2">
        <v>-0.71399999999999864</v>
      </c>
      <c r="C17" s="2">
        <v>6.73</v>
      </c>
      <c r="D17" s="2">
        <v>0.33000000000000007</v>
      </c>
      <c r="E17" s="2">
        <v>5.76</v>
      </c>
      <c r="F17" s="2">
        <f t="shared" si="1"/>
        <v>0</v>
      </c>
      <c r="G17" s="2">
        <f t="shared" si="1"/>
        <v>0</v>
      </c>
      <c r="H17" s="2">
        <f t="shared" si="1"/>
        <v>0</v>
      </c>
      <c r="I17" s="2">
        <f t="shared" si="1"/>
        <v>0</v>
      </c>
      <c r="J17" s="2">
        <f t="shared" si="1"/>
        <v>1</v>
      </c>
      <c r="K17" s="2">
        <f t="shared" si="1"/>
        <v>0</v>
      </c>
      <c r="L17" s="2">
        <f t="shared" si="1"/>
        <v>0</v>
      </c>
      <c r="M17" s="2">
        <f t="shared" si="1"/>
        <v>0</v>
      </c>
      <c r="N17" s="2">
        <f t="shared" si="1"/>
        <v>0</v>
      </c>
      <c r="O17" s="2">
        <f t="shared" si="1"/>
        <v>0</v>
      </c>
      <c r="P17" s="2">
        <f t="shared" si="1"/>
        <v>0</v>
      </c>
      <c r="Q17" s="2">
        <f t="shared" si="1"/>
        <v>0</v>
      </c>
    </row>
    <row r="18" spans="1:17" x14ac:dyDescent="0.2">
      <c r="A18" s="6">
        <v>37773</v>
      </c>
      <c r="B18" s="2">
        <v>0.65300000000002001</v>
      </c>
      <c r="C18" s="2">
        <v>6.89</v>
      </c>
      <c r="D18" s="2">
        <v>0.42999999999999972</v>
      </c>
      <c r="E18" s="2">
        <v>6.09</v>
      </c>
      <c r="F18" s="2">
        <f t="shared" si="1"/>
        <v>0</v>
      </c>
      <c r="G18" s="2">
        <f t="shared" si="1"/>
        <v>0</v>
      </c>
      <c r="H18" s="2">
        <f t="shared" si="1"/>
        <v>0</v>
      </c>
      <c r="I18" s="2">
        <f t="shared" si="1"/>
        <v>0</v>
      </c>
      <c r="J18" s="2">
        <f t="shared" si="1"/>
        <v>0</v>
      </c>
      <c r="K18" s="2">
        <f t="shared" si="1"/>
        <v>1</v>
      </c>
      <c r="L18" s="2">
        <f t="shared" si="1"/>
        <v>0</v>
      </c>
      <c r="M18" s="2">
        <f t="shared" si="1"/>
        <v>0</v>
      </c>
      <c r="N18" s="2">
        <f t="shared" si="1"/>
        <v>0</v>
      </c>
      <c r="O18" s="2">
        <f t="shared" si="1"/>
        <v>0</v>
      </c>
      <c r="P18" s="2">
        <f t="shared" si="1"/>
        <v>0</v>
      </c>
      <c r="Q18" s="2">
        <f t="shared" si="1"/>
        <v>0</v>
      </c>
    </row>
    <row r="19" spans="1:17" x14ac:dyDescent="0.2">
      <c r="A19" s="6">
        <v>37803</v>
      </c>
      <c r="B19" s="2">
        <v>-3.3999999999991815E-2</v>
      </c>
      <c r="C19" s="2">
        <v>6.98</v>
      </c>
      <c r="D19" s="2">
        <v>0.16000000000000014</v>
      </c>
      <c r="E19" s="2">
        <v>6.52</v>
      </c>
      <c r="F19" s="2">
        <f t="shared" si="1"/>
        <v>0</v>
      </c>
      <c r="G19" s="2">
        <f t="shared" si="1"/>
        <v>0</v>
      </c>
      <c r="H19" s="2">
        <f t="shared" si="1"/>
        <v>0</v>
      </c>
      <c r="I19" s="2">
        <f t="shared" si="1"/>
        <v>0</v>
      </c>
      <c r="J19" s="2">
        <f t="shared" si="1"/>
        <v>0</v>
      </c>
      <c r="K19" s="2">
        <f t="shared" si="1"/>
        <v>0</v>
      </c>
      <c r="L19" s="2">
        <f t="shared" si="1"/>
        <v>1</v>
      </c>
      <c r="M19" s="2">
        <f t="shared" si="1"/>
        <v>0</v>
      </c>
      <c r="N19" s="2">
        <f t="shared" si="1"/>
        <v>0</v>
      </c>
      <c r="O19" s="2">
        <f t="shared" si="1"/>
        <v>0</v>
      </c>
      <c r="P19" s="2">
        <f t="shared" si="1"/>
        <v>0</v>
      </c>
      <c r="Q19" s="2">
        <f t="shared" si="1"/>
        <v>0</v>
      </c>
    </row>
    <row r="20" spans="1:17" x14ac:dyDescent="0.2">
      <c r="A20" s="6">
        <v>37834</v>
      </c>
      <c r="B20" s="2">
        <v>-1.0579999999999927</v>
      </c>
      <c r="C20" s="2">
        <v>6.98</v>
      </c>
      <c r="D20" s="2">
        <v>0.39000000000000057</v>
      </c>
      <c r="E20" s="2">
        <v>6.68</v>
      </c>
      <c r="F20" s="2">
        <f t="shared" si="1"/>
        <v>0</v>
      </c>
      <c r="G20" s="2">
        <f t="shared" si="1"/>
        <v>0</v>
      </c>
      <c r="H20" s="2">
        <f t="shared" si="1"/>
        <v>0</v>
      </c>
      <c r="I20" s="2">
        <f t="shared" si="1"/>
        <v>0</v>
      </c>
      <c r="J20" s="2">
        <f t="shared" si="1"/>
        <v>0</v>
      </c>
      <c r="K20" s="2">
        <f t="shared" si="1"/>
        <v>0</v>
      </c>
      <c r="L20" s="2">
        <f t="shared" si="1"/>
        <v>0</v>
      </c>
      <c r="M20" s="2">
        <f t="shared" si="1"/>
        <v>1</v>
      </c>
      <c r="N20" s="2">
        <f t="shared" si="1"/>
        <v>0</v>
      </c>
      <c r="O20" s="2">
        <f t="shared" si="1"/>
        <v>0</v>
      </c>
      <c r="P20" s="2">
        <f t="shared" si="1"/>
        <v>0</v>
      </c>
      <c r="Q20" s="2">
        <f t="shared" si="1"/>
        <v>0</v>
      </c>
    </row>
    <row r="21" spans="1:17" x14ac:dyDescent="0.2">
      <c r="A21" s="6">
        <v>37865</v>
      </c>
      <c r="B21" s="2">
        <v>-2.0509999999999877</v>
      </c>
      <c r="C21" s="2">
        <v>7.1</v>
      </c>
      <c r="D21" s="2">
        <v>4.9999999999999822E-2</v>
      </c>
      <c r="E21" s="2">
        <v>7.07</v>
      </c>
      <c r="F21" s="2">
        <f t="shared" si="1"/>
        <v>0</v>
      </c>
      <c r="G21" s="2">
        <f t="shared" si="1"/>
        <v>0</v>
      </c>
      <c r="H21" s="2">
        <f t="shared" si="1"/>
        <v>0</v>
      </c>
      <c r="I21" s="2">
        <f t="shared" si="1"/>
        <v>0</v>
      </c>
      <c r="J21" s="2">
        <f t="shared" si="1"/>
        <v>0</v>
      </c>
      <c r="K21" s="2">
        <f t="shared" si="1"/>
        <v>0</v>
      </c>
      <c r="L21" s="2">
        <f t="shared" ref="G21:Q36" si="2">IF(MONTH($A21) = L$56, 1, 0)</f>
        <v>0</v>
      </c>
      <c r="M21" s="2">
        <f t="shared" si="2"/>
        <v>0</v>
      </c>
      <c r="N21" s="2">
        <f t="shared" si="2"/>
        <v>1</v>
      </c>
      <c r="O21" s="2">
        <f t="shared" si="2"/>
        <v>0</v>
      </c>
      <c r="P21" s="2">
        <f t="shared" si="2"/>
        <v>0</v>
      </c>
      <c r="Q21" s="2">
        <f t="shared" si="2"/>
        <v>0</v>
      </c>
    </row>
    <row r="22" spans="1:17" x14ac:dyDescent="0.2">
      <c r="A22" s="6">
        <v>37895</v>
      </c>
      <c r="B22" s="2">
        <v>1.450999999999965</v>
      </c>
      <c r="C22" s="2">
        <v>7.19</v>
      </c>
      <c r="D22" s="2">
        <v>0.12999999999999989</v>
      </c>
      <c r="E22" s="2">
        <v>7.12</v>
      </c>
      <c r="F22" s="2">
        <f t="shared" si="1"/>
        <v>0</v>
      </c>
      <c r="G22" s="2">
        <f t="shared" si="2"/>
        <v>0</v>
      </c>
      <c r="H22" s="2">
        <f t="shared" si="2"/>
        <v>0</v>
      </c>
      <c r="I22" s="2">
        <f t="shared" si="2"/>
        <v>0</v>
      </c>
      <c r="J22" s="2">
        <f t="shared" si="2"/>
        <v>0</v>
      </c>
      <c r="K22" s="2">
        <f t="shared" si="2"/>
        <v>0</v>
      </c>
      <c r="L22" s="2">
        <f t="shared" si="2"/>
        <v>0</v>
      </c>
      <c r="M22" s="2">
        <f t="shared" si="2"/>
        <v>0</v>
      </c>
      <c r="N22" s="2">
        <f t="shared" si="2"/>
        <v>0</v>
      </c>
      <c r="O22" s="2">
        <f t="shared" si="2"/>
        <v>1</v>
      </c>
      <c r="P22" s="2">
        <f t="shared" si="2"/>
        <v>0</v>
      </c>
      <c r="Q22" s="2">
        <f t="shared" si="2"/>
        <v>0</v>
      </c>
    </row>
    <row r="23" spans="1:17" x14ac:dyDescent="0.2">
      <c r="A23" s="6">
        <v>37926</v>
      </c>
      <c r="B23" s="2">
        <v>-0.9889999999999759</v>
      </c>
      <c r="C23" s="2">
        <v>7.29</v>
      </c>
      <c r="D23" s="2">
        <v>0.59999999999999964</v>
      </c>
      <c r="E23" s="2">
        <v>7.25</v>
      </c>
      <c r="F23" s="2">
        <f t="shared" si="1"/>
        <v>0</v>
      </c>
      <c r="G23" s="2">
        <f t="shared" si="2"/>
        <v>0</v>
      </c>
      <c r="H23" s="2">
        <f t="shared" si="2"/>
        <v>0</v>
      </c>
      <c r="I23" s="2">
        <f t="shared" si="2"/>
        <v>0</v>
      </c>
      <c r="J23" s="2">
        <f t="shared" si="2"/>
        <v>0</v>
      </c>
      <c r="K23" s="2">
        <f t="shared" si="2"/>
        <v>0</v>
      </c>
      <c r="L23" s="2">
        <f t="shared" si="2"/>
        <v>0</v>
      </c>
      <c r="M23" s="2">
        <f t="shared" si="2"/>
        <v>0</v>
      </c>
      <c r="N23" s="2">
        <f t="shared" si="2"/>
        <v>0</v>
      </c>
      <c r="O23" s="2">
        <f t="shared" si="2"/>
        <v>0</v>
      </c>
      <c r="P23" s="2">
        <f t="shared" si="2"/>
        <v>1</v>
      </c>
      <c r="Q23" s="2">
        <f t="shared" si="2"/>
        <v>0</v>
      </c>
    </row>
    <row r="24" spans="1:17" x14ac:dyDescent="0.2">
      <c r="A24" s="6">
        <v>37956</v>
      </c>
      <c r="B24" s="2">
        <v>1.3580000000000041</v>
      </c>
      <c r="C24" s="2">
        <v>7.65</v>
      </c>
      <c r="D24" s="2">
        <v>0.16999999999999993</v>
      </c>
      <c r="E24" s="2">
        <v>7.85</v>
      </c>
      <c r="F24" s="2">
        <f t="shared" si="1"/>
        <v>0</v>
      </c>
      <c r="G24" s="2">
        <f t="shared" si="2"/>
        <v>0</v>
      </c>
      <c r="H24" s="2">
        <f t="shared" si="2"/>
        <v>0</v>
      </c>
      <c r="I24" s="2">
        <f t="shared" si="2"/>
        <v>0</v>
      </c>
      <c r="J24" s="2">
        <f t="shared" si="2"/>
        <v>0</v>
      </c>
      <c r="K24" s="2">
        <f t="shared" si="2"/>
        <v>0</v>
      </c>
      <c r="L24" s="2">
        <f t="shared" si="2"/>
        <v>0</v>
      </c>
      <c r="M24" s="2">
        <f t="shared" si="2"/>
        <v>0</v>
      </c>
      <c r="N24" s="2">
        <f t="shared" si="2"/>
        <v>0</v>
      </c>
      <c r="O24" s="2">
        <f t="shared" si="2"/>
        <v>0</v>
      </c>
      <c r="P24" s="2">
        <f t="shared" si="2"/>
        <v>0</v>
      </c>
      <c r="Q24" s="2">
        <f t="shared" si="2"/>
        <v>1</v>
      </c>
    </row>
    <row r="25" spans="1:17" x14ac:dyDescent="0.2">
      <c r="A25" s="6">
        <v>37987</v>
      </c>
      <c r="B25" s="2">
        <v>0.7459999999999809</v>
      </c>
      <c r="C25" s="2">
        <v>7.75</v>
      </c>
      <c r="D25" s="2">
        <v>-0.14999999999999947</v>
      </c>
      <c r="E25" s="2">
        <v>8.02</v>
      </c>
      <c r="F25" s="2">
        <f t="shared" si="1"/>
        <v>1</v>
      </c>
      <c r="G25" s="2">
        <f t="shared" si="2"/>
        <v>0</v>
      </c>
      <c r="H25" s="2">
        <f t="shared" si="2"/>
        <v>0</v>
      </c>
      <c r="I25" s="2">
        <f t="shared" si="2"/>
        <v>0</v>
      </c>
      <c r="J25" s="2">
        <f t="shared" si="2"/>
        <v>0</v>
      </c>
      <c r="K25" s="2">
        <f t="shared" si="2"/>
        <v>0</v>
      </c>
      <c r="L25" s="2">
        <f t="shared" si="2"/>
        <v>0</v>
      </c>
      <c r="M25" s="2">
        <f t="shared" si="2"/>
        <v>0</v>
      </c>
      <c r="N25" s="2">
        <f t="shared" si="2"/>
        <v>0</v>
      </c>
      <c r="O25" s="2">
        <f t="shared" si="2"/>
        <v>0</v>
      </c>
      <c r="P25" s="2">
        <f t="shared" si="2"/>
        <v>0</v>
      </c>
      <c r="Q25" s="2">
        <f t="shared" si="2"/>
        <v>0</v>
      </c>
    </row>
    <row r="26" spans="1:17" x14ac:dyDescent="0.2">
      <c r="A26" s="6">
        <v>38018</v>
      </c>
      <c r="B26" s="2">
        <v>1.8550000000000182</v>
      </c>
      <c r="C26" s="2">
        <v>7.72</v>
      </c>
      <c r="D26" s="2">
        <v>-0.73000000000000043</v>
      </c>
      <c r="E26" s="2">
        <v>7.87</v>
      </c>
      <c r="F26" s="2">
        <f t="shared" si="1"/>
        <v>0</v>
      </c>
      <c r="G26" s="2">
        <f t="shared" si="2"/>
        <v>1</v>
      </c>
      <c r="H26" s="2">
        <f t="shared" si="2"/>
        <v>0</v>
      </c>
      <c r="I26" s="2">
        <f t="shared" si="2"/>
        <v>0</v>
      </c>
      <c r="J26" s="2">
        <f t="shared" si="2"/>
        <v>0</v>
      </c>
      <c r="K26" s="2">
        <f t="shared" si="2"/>
        <v>0</v>
      </c>
      <c r="L26" s="2">
        <f t="shared" si="2"/>
        <v>0</v>
      </c>
      <c r="M26" s="2">
        <f t="shared" si="2"/>
        <v>0</v>
      </c>
      <c r="N26" s="2">
        <f t="shared" si="2"/>
        <v>0</v>
      </c>
      <c r="O26" s="2">
        <f t="shared" si="2"/>
        <v>0</v>
      </c>
      <c r="P26" s="2">
        <f t="shared" si="2"/>
        <v>0</v>
      </c>
      <c r="Q26" s="2">
        <f t="shared" si="2"/>
        <v>0</v>
      </c>
    </row>
    <row r="27" spans="1:17" x14ac:dyDescent="0.2">
      <c r="A27" s="6">
        <v>38047</v>
      </c>
      <c r="B27" s="2">
        <v>-1.8940000000000055</v>
      </c>
      <c r="C27" s="2">
        <v>7.67</v>
      </c>
      <c r="D27" s="2">
        <v>6.0000000000000497E-2</v>
      </c>
      <c r="E27" s="2">
        <v>7.14</v>
      </c>
      <c r="F27" s="2">
        <f t="shared" si="1"/>
        <v>0</v>
      </c>
      <c r="G27" s="2">
        <f t="shared" si="2"/>
        <v>0</v>
      </c>
      <c r="H27" s="2">
        <f t="shared" si="2"/>
        <v>1</v>
      </c>
      <c r="I27" s="2">
        <f t="shared" si="2"/>
        <v>0</v>
      </c>
      <c r="J27" s="2">
        <f t="shared" si="2"/>
        <v>0</v>
      </c>
      <c r="K27" s="2">
        <f t="shared" si="2"/>
        <v>0</v>
      </c>
      <c r="L27" s="2">
        <f t="shared" si="2"/>
        <v>0</v>
      </c>
      <c r="M27" s="2">
        <f t="shared" si="2"/>
        <v>0</v>
      </c>
      <c r="N27" s="2">
        <f t="shared" si="2"/>
        <v>0</v>
      </c>
      <c r="O27" s="2">
        <f t="shared" si="2"/>
        <v>0</v>
      </c>
      <c r="P27" s="2">
        <f t="shared" si="2"/>
        <v>0</v>
      </c>
      <c r="Q27" s="2">
        <f t="shared" si="2"/>
        <v>0</v>
      </c>
    </row>
    <row r="28" spans="1:17" x14ac:dyDescent="0.2">
      <c r="A28" s="6">
        <v>38078</v>
      </c>
      <c r="B28" s="2">
        <v>0.78100000000000591</v>
      </c>
      <c r="C28" s="2">
        <v>7.66</v>
      </c>
      <c r="D28" s="2">
        <v>0.38999999999999968</v>
      </c>
      <c r="E28" s="2">
        <v>7.2</v>
      </c>
      <c r="F28" s="2">
        <f t="shared" si="1"/>
        <v>0</v>
      </c>
      <c r="G28" s="2">
        <f t="shared" si="2"/>
        <v>0</v>
      </c>
      <c r="H28" s="2">
        <f t="shared" si="2"/>
        <v>0</v>
      </c>
      <c r="I28" s="2">
        <f t="shared" si="2"/>
        <v>1</v>
      </c>
      <c r="J28" s="2">
        <f t="shared" si="2"/>
        <v>0</v>
      </c>
      <c r="K28" s="2">
        <f t="shared" si="2"/>
        <v>0</v>
      </c>
      <c r="L28" s="2">
        <f t="shared" si="2"/>
        <v>0</v>
      </c>
      <c r="M28" s="2">
        <f t="shared" si="2"/>
        <v>0</v>
      </c>
      <c r="N28" s="2">
        <f t="shared" si="2"/>
        <v>0</v>
      </c>
      <c r="O28" s="2">
        <f t="shared" si="2"/>
        <v>0</v>
      </c>
      <c r="P28" s="2">
        <f t="shared" si="2"/>
        <v>0</v>
      </c>
      <c r="Q28" s="2">
        <f t="shared" si="2"/>
        <v>0</v>
      </c>
    </row>
    <row r="29" spans="1:17" x14ac:dyDescent="0.2">
      <c r="A29" s="6">
        <v>38108</v>
      </c>
      <c r="B29" s="2">
        <v>-0.16100000000000136</v>
      </c>
      <c r="C29" s="2">
        <v>7.89</v>
      </c>
      <c r="D29" s="2">
        <v>0.15000000000000036</v>
      </c>
      <c r="E29" s="2">
        <v>7.59</v>
      </c>
      <c r="F29" s="2">
        <f t="shared" si="1"/>
        <v>0</v>
      </c>
      <c r="G29" s="2">
        <f t="shared" si="2"/>
        <v>0</v>
      </c>
      <c r="H29" s="2">
        <f t="shared" si="2"/>
        <v>0</v>
      </c>
      <c r="I29" s="2">
        <f t="shared" si="2"/>
        <v>0</v>
      </c>
      <c r="J29" s="2">
        <f t="shared" si="2"/>
        <v>1</v>
      </c>
      <c r="K29" s="2">
        <f t="shared" si="2"/>
        <v>0</v>
      </c>
      <c r="L29" s="2">
        <f t="shared" si="2"/>
        <v>0</v>
      </c>
      <c r="M29" s="2">
        <f t="shared" si="2"/>
        <v>0</v>
      </c>
      <c r="N29" s="2">
        <f t="shared" si="2"/>
        <v>0</v>
      </c>
      <c r="O29" s="2">
        <f t="shared" si="2"/>
        <v>0</v>
      </c>
      <c r="P29" s="2">
        <f t="shared" si="2"/>
        <v>0</v>
      </c>
      <c r="Q29" s="2">
        <f t="shared" si="2"/>
        <v>0</v>
      </c>
    </row>
    <row r="30" spans="1:17" x14ac:dyDescent="0.2">
      <c r="A30" s="6">
        <v>38139</v>
      </c>
      <c r="B30" s="2">
        <v>2.2330000000000041</v>
      </c>
      <c r="C30" s="2">
        <v>8.14</v>
      </c>
      <c r="D30" s="2">
        <v>-0.23000000000000043</v>
      </c>
      <c r="E30" s="2">
        <v>7.74</v>
      </c>
      <c r="F30" s="2">
        <f t="shared" si="1"/>
        <v>0</v>
      </c>
      <c r="G30" s="2">
        <f t="shared" si="2"/>
        <v>0</v>
      </c>
      <c r="H30" s="2">
        <f t="shared" si="2"/>
        <v>0</v>
      </c>
      <c r="I30" s="2">
        <f t="shared" si="2"/>
        <v>0</v>
      </c>
      <c r="J30" s="2">
        <f t="shared" si="2"/>
        <v>0</v>
      </c>
      <c r="K30" s="2">
        <f t="shared" si="2"/>
        <v>1</v>
      </c>
      <c r="L30" s="2">
        <f t="shared" si="2"/>
        <v>0</v>
      </c>
      <c r="M30" s="2">
        <f t="shared" si="2"/>
        <v>0</v>
      </c>
      <c r="N30" s="2">
        <f t="shared" si="2"/>
        <v>0</v>
      </c>
      <c r="O30" s="2">
        <f t="shared" si="2"/>
        <v>0</v>
      </c>
      <c r="P30" s="2">
        <f t="shared" si="2"/>
        <v>0</v>
      </c>
      <c r="Q30" s="2">
        <f t="shared" si="2"/>
        <v>0</v>
      </c>
    </row>
    <row r="31" spans="1:17" x14ac:dyDescent="0.2">
      <c r="A31" s="6">
        <v>38169</v>
      </c>
      <c r="B31" s="2">
        <v>2.4250000000000114</v>
      </c>
      <c r="C31" s="2">
        <v>8.2100000000000009</v>
      </c>
      <c r="D31" s="2">
        <v>-4.9999999999999822E-2</v>
      </c>
      <c r="E31" s="2">
        <v>7.51</v>
      </c>
      <c r="F31" s="2">
        <f t="shared" si="1"/>
        <v>0</v>
      </c>
      <c r="G31" s="2">
        <f t="shared" si="2"/>
        <v>0</v>
      </c>
      <c r="H31" s="2">
        <f t="shared" si="2"/>
        <v>0</v>
      </c>
      <c r="I31" s="2">
        <f t="shared" si="2"/>
        <v>0</v>
      </c>
      <c r="J31" s="2">
        <f t="shared" si="2"/>
        <v>0</v>
      </c>
      <c r="K31" s="2">
        <f t="shared" si="2"/>
        <v>0</v>
      </c>
      <c r="L31" s="2">
        <f t="shared" si="2"/>
        <v>1</v>
      </c>
      <c r="M31" s="2">
        <f t="shared" si="2"/>
        <v>0</v>
      </c>
      <c r="N31" s="2">
        <f t="shared" si="2"/>
        <v>0</v>
      </c>
      <c r="O31" s="2">
        <f t="shared" si="2"/>
        <v>0</v>
      </c>
      <c r="P31" s="2">
        <f t="shared" si="2"/>
        <v>0</v>
      </c>
      <c r="Q31" s="2">
        <f t="shared" si="2"/>
        <v>0</v>
      </c>
    </row>
    <row r="32" spans="1:17" x14ac:dyDescent="0.2">
      <c r="A32" s="6">
        <v>38200</v>
      </c>
      <c r="B32" s="2">
        <v>2.1689999999999827</v>
      </c>
      <c r="C32" s="2">
        <v>8.0500000000000007</v>
      </c>
      <c r="D32" s="2">
        <v>-0.37000000000000011</v>
      </c>
      <c r="E32" s="2">
        <v>7.46</v>
      </c>
      <c r="F32" s="2">
        <f t="shared" si="1"/>
        <v>0</v>
      </c>
      <c r="G32" s="2">
        <f t="shared" si="2"/>
        <v>0</v>
      </c>
      <c r="H32" s="2">
        <f t="shared" si="2"/>
        <v>0</v>
      </c>
      <c r="I32" s="2">
        <f t="shared" si="2"/>
        <v>0</v>
      </c>
      <c r="J32" s="2">
        <f t="shared" si="2"/>
        <v>0</v>
      </c>
      <c r="K32" s="2">
        <f t="shared" si="2"/>
        <v>0</v>
      </c>
      <c r="L32" s="2">
        <f t="shared" si="2"/>
        <v>0</v>
      </c>
      <c r="M32" s="2">
        <f t="shared" si="2"/>
        <v>1</v>
      </c>
      <c r="N32" s="2">
        <f t="shared" si="2"/>
        <v>0</v>
      </c>
      <c r="O32" s="2">
        <f t="shared" si="2"/>
        <v>0</v>
      </c>
      <c r="P32" s="2">
        <f t="shared" si="2"/>
        <v>0</v>
      </c>
      <c r="Q32" s="2">
        <f t="shared" si="2"/>
        <v>0</v>
      </c>
    </row>
    <row r="33" spans="1:17" x14ac:dyDescent="0.2">
      <c r="A33" s="6">
        <v>38231</v>
      </c>
      <c r="B33" s="2">
        <v>0.9819999999999709</v>
      </c>
      <c r="C33" s="2">
        <v>7.94</v>
      </c>
      <c r="D33" s="2">
        <v>-0.26999999999999957</v>
      </c>
      <c r="E33" s="2">
        <v>7.09</v>
      </c>
      <c r="F33" s="2">
        <f t="shared" si="1"/>
        <v>0</v>
      </c>
      <c r="G33" s="2">
        <f t="shared" si="2"/>
        <v>0</v>
      </c>
      <c r="H33" s="2">
        <f t="shared" si="2"/>
        <v>0</v>
      </c>
      <c r="I33" s="2">
        <f t="shared" si="2"/>
        <v>0</v>
      </c>
      <c r="J33" s="2">
        <f t="shared" si="2"/>
        <v>0</v>
      </c>
      <c r="K33" s="2">
        <f t="shared" si="2"/>
        <v>0</v>
      </c>
      <c r="L33" s="2">
        <f t="shared" si="2"/>
        <v>0</v>
      </c>
      <c r="M33" s="2">
        <f t="shared" si="2"/>
        <v>0</v>
      </c>
      <c r="N33" s="2">
        <f t="shared" si="2"/>
        <v>1</v>
      </c>
      <c r="O33" s="2">
        <f t="shared" si="2"/>
        <v>0</v>
      </c>
      <c r="P33" s="2">
        <f t="shared" si="2"/>
        <v>0</v>
      </c>
      <c r="Q33" s="2">
        <f t="shared" si="2"/>
        <v>0</v>
      </c>
    </row>
    <row r="34" spans="1:17" x14ac:dyDescent="0.2">
      <c r="A34" s="6">
        <v>38261</v>
      </c>
      <c r="B34" s="2">
        <v>4.7080000000000268</v>
      </c>
      <c r="C34" s="2">
        <v>7.88</v>
      </c>
      <c r="D34" s="2">
        <v>-0.60000000000000053</v>
      </c>
      <c r="E34" s="2">
        <v>6.82</v>
      </c>
      <c r="F34" s="2">
        <f t="shared" si="1"/>
        <v>0</v>
      </c>
      <c r="G34" s="2">
        <f t="shared" si="2"/>
        <v>0</v>
      </c>
      <c r="H34" s="2">
        <f t="shared" si="2"/>
        <v>0</v>
      </c>
      <c r="I34" s="2">
        <f t="shared" si="2"/>
        <v>0</v>
      </c>
      <c r="J34" s="2">
        <f t="shared" si="2"/>
        <v>0</v>
      </c>
      <c r="K34" s="2">
        <f t="shared" si="2"/>
        <v>0</v>
      </c>
      <c r="L34" s="2">
        <f t="shared" si="2"/>
        <v>0</v>
      </c>
      <c r="M34" s="2">
        <f t="shared" si="2"/>
        <v>0</v>
      </c>
      <c r="N34" s="2">
        <f t="shared" si="2"/>
        <v>0</v>
      </c>
      <c r="O34" s="2">
        <f t="shared" si="2"/>
        <v>1</v>
      </c>
      <c r="P34" s="2">
        <f t="shared" si="2"/>
        <v>0</v>
      </c>
      <c r="Q34" s="2">
        <f t="shared" si="2"/>
        <v>0</v>
      </c>
    </row>
    <row r="35" spans="1:17" x14ac:dyDescent="0.2">
      <c r="A35" s="6">
        <v>38292</v>
      </c>
      <c r="B35" s="2">
        <v>6.0629999999999882</v>
      </c>
      <c r="C35" s="2">
        <v>7.79</v>
      </c>
      <c r="D35" s="2">
        <v>-0.60999999999999943</v>
      </c>
      <c r="E35" s="2">
        <v>6.22</v>
      </c>
      <c r="F35" s="2">
        <f t="shared" si="1"/>
        <v>0</v>
      </c>
      <c r="G35" s="2">
        <f t="shared" si="2"/>
        <v>0</v>
      </c>
      <c r="H35" s="2">
        <f t="shared" si="2"/>
        <v>0</v>
      </c>
      <c r="I35" s="2">
        <f t="shared" si="2"/>
        <v>0</v>
      </c>
      <c r="J35" s="2">
        <f t="shared" si="2"/>
        <v>0</v>
      </c>
      <c r="K35" s="2">
        <f t="shared" si="2"/>
        <v>0</v>
      </c>
      <c r="L35" s="2">
        <f t="shared" si="2"/>
        <v>0</v>
      </c>
      <c r="M35" s="2">
        <f t="shared" si="2"/>
        <v>0</v>
      </c>
      <c r="N35" s="2">
        <f t="shared" si="2"/>
        <v>0</v>
      </c>
      <c r="O35" s="2">
        <f t="shared" si="2"/>
        <v>0</v>
      </c>
      <c r="P35" s="2">
        <f t="shared" si="2"/>
        <v>1</v>
      </c>
      <c r="Q35" s="2">
        <f t="shared" si="2"/>
        <v>0</v>
      </c>
    </row>
    <row r="36" spans="1:17" x14ac:dyDescent="0.2">
      <c r="A36" s="6">
        <v>38322</v>
      </c>
      <c r="B36" s="2">
        <v>9.382000000000005</v>
      </c>
      <c r="C36" s="2">
        <v>7.41</v>
      </c>
      <c r="D36" s="2">
        <v>-0.12999999999999989</v>
      </c>
      <c r="E36" s="2">
        <v>5.61</v>
      </c>
      <c r="F36" s="2">
        <f t="shared" si="1"/>
        <v>0</v>
      </c>
      <c r="G36" s="2">
        <f t="shared" si="2"/>
        <v>0</v>
      </c>
      <c r="H36" s="2">
        <f t="shared" si="2"/>
        <v>0</v>
      </c>
      <c r="I36" s="2">
        <f t="shared" si="2"/>
        <v>0</v>
      </c>
      <c r="J36" s="2">
        <f t="shared" si="2"/>
        <v>0</v>
      </c>
      <c r="K36" s="2">
        <f t="shared" si="2"/>
        <v>0</v>
      </c>
      <c r="L36" s="2">
        <f t="shared" si="2"/>
        <v>0</v>
      </c>
      <c r="M36" s="2">
        <f t="shared" si="2"/>
        <v>0</v>
      </c>
      <c r="N36" s="2">
        <f t="shared" si="2"/>
        <v>0</v>
      </c>
      <c r="O36" s="2">
        <f t="shared" si="2"/>
        <v>0</v>
      </c>
      <c r="P36" s="2">
        <f t="shared" si="2"/>
        <v>0</v>
      </c>
      <c r="Q36" s="2">
        <f t="shared" si="2"/>
        <v>1</v>
      </c>
    </row>
    <row r="37" spans="1:17" x14ac:dyDescent="0.2">
      <c r="A37" s="6">
        <v>38353</v>
      </c>
      <c r="B37" s="2">
        <v>9.3039999999999736</v>
      </c>
      <c r="C37" s="2">
        <v>7.18</v>
      </c>
      <c r="D37" s="2">
        <v>-0.70000000000000018</v>
      </c>
      <c r="E37" s="2">
        <v>5.48</v>
      </c>
      <c r="F37" s="2">
        <f t="shared" si="1"/>
        <v>1</v>
      </c>
      <c r="G37" s="2">
        <f t="shared" ref="G37:Q52" si="3">IF(MONTH($A37) = G$56, 1, 0)</f>
        <v>0</v>
      </c>
      <c r="H37" s="2">
        <f t="shared" si="3"/>
        <v>0</v>
      </c>
      <c r="I37" s="2">
        <f t="shared" si="3"/>
        <v>0</v>
      </c>
      <c r="J37" s="2">
        <f t="shared" si="3"/>
        <v>0</v>
      </c>
      <c r="K37" s="2">
        <f t="shared" si="3"/>
        <v>0</v>
      </c>
      <c r="L37" s="2">
        <f t="shared" si="3"/>
        <v>0</v>
      </c>
      <c r="M37" s="2">
        <f t="shared" si="3"/>
        <v>0</v>
      </c>
      <c r="N37" s="2">
        <f t="shared" si="3"/>
        <v>0</v>
      </c>
      <c r="O37" s="2">
        <f t="shared" si="3"/>
        <v>0</v>
      </c>
      <c r="P37" s="2">
        <f t="shared" si="3"/>
        <v>0</v>
      </c>
      <c r="Q37" s="2">
        <f t="shared" si="3"/>
        <v>0</v>
      </c>
    </row>
    <row r="38" spans="1:17" x14ac:dyDescent="0.2">
      <c r="A38" s="6">
        <v>38384</v>
      </c>
      <c r="B38" s="2">
        <v>10.689999999999998</v>
      </c>
      <c r="C38" s="2">
        <v>7.15</v>
      </c>
      <c r="D38" s="2">
        <v>-0.64000000000000057</v>
      </c>
      <c r="E38" s="2">
        <v>4.78</v>
      </c>
      <c r="F38" s="2">
        <f t="shared" si="1"/>
        <v>0</v>
      </c>
      <c r="G38" s="2">
        <f t="shared" si="3"/>
        <v>1</v>
      </c>
      <c r="H38" s="2">
        <f t="shared" si="3"/>
        <v>0</v>
      </c>
      <c r="I38" s="2">
        <f t="shared" si="3"/>
        <v>0</v>
      </c>
      <c r="J38" s="2">
        <f t="shared" si="3"/>
        <v>0</v>
      </c>
      <c r="K38" s="2">
        <f t="shared" si="3"/>
        <v>0</v>
      </c>
      <c r="L38" s="2">
        <f t="shared" si="3"/>
        <v>0</v>
      </c>
      <c r="M38" s="2">
        <f t="shared" si="3"/>
        <v>0</v>
      </c>
      <c r="N38" s="2">
        <f t="shared" si="3"/>
        <v>0</v>
      </c>
      <c r="O38" s="2">
        <f t="shared" si="3"/>
        <v>0</v>
      </c>
      <c r="P38" s="2">
        <f t="shared" si="3"/>
        <v>0</v>
      </c>
      <c r="Q38" s="2">
        <f t="shared" si="3"/>
        <v>0</v>
      </c>
    </row>
    <row r="39" spans="1:17" x14ac:dyDescent="0.2">
      <c r="A39" s="6">
        <v>38412</v>
      </c>
      <c r="B39" s="2">
        <v>6.5310000000000059</v>
      </c>
      <c r="C39" s="2">
        <v>7.27</v>
      </c>
      <c r="D39" s="2">
        <v>0.5</v>
      </c>
      <c r="E39" s="2">
        <v>4.1399999999999997</v>
      </c>
      <c r="F39" s="2">
        <f t="shared" si="1"/>
        <v>0</v>
      </c>
      <c r="G39" s="2">
        <f t="shared" si="3"/>
        <v>0</v>
      </c>
      <c r="H39" s="2">
        <f t="shared" si="3"/>
        <v>1</v>
      </c>
      <c r="I39" s="2">
        <f t="shared" si="3"/>
        <v>0</v>
      </c>
      <c r="J39" s="2">
        <f t="shared" si="3"/>
        <v>0</v>
      </c>
      <c r="K39" s="2">
        <f t="shared" si="3"/>
        <v>0</v>
      </c>
      <c r="L39" s="2">
        <f t="shared" si="3"/>
        <v>0</v>
      </c>
      <c r="M39" s="2">
        <f t="shared" si="3"/>
        <v>0</v>
      </c>
      <c r="N39" s="2">
        <f t="shared" si="3"/>
        <v>0</v>
      </c>
      <c r="O39" s="2">
        <f t="shared" si="3"/>
        <v>0</v>
      </c>
      <c r="P39" s="2">
        <f t="shared" si="3"/>
        <v>0</v>
      </c>
      <c r="Q39" s="2">
        <f t="shared" si="3"/>
        <v>0</v>
      </c>
    </row>
    <row r="40" spans="1:17" x14ac:dyDescent="0.2">
      <c r="A40" s="6">
        <v>38443</v>
      </c>
      <c r="B40" s="2">
        <v>7.8730000000000473</v>
      </c>
      <c r="C40" s="2">
        <v>7.37</v>
      </c>
      <c r="D40" s="2">
        <v>0.87999999999999989</v>
      </c>
      <c r="E40" s="2">
        <v>4.6399999999999997</v>
      </c>
      <c r="F40" s="2">
        <f t="shared" si="1"/>
        <v>0</v>
      </c>
      <c r="G40" s="2">
        <f t="shared" si="3"/>
        <v>0</v>
      </c>
      <c r="H40" s="2">
        <f t="shared" si="3"/>
        <v>0</v>
      </c>
      <c r="I40" s="2">
        <f t="shared" si="3"/>
        <v>1</v>
      </c>
      <c r="J40" s="2">
        <f t="shared" si="3"/>
        <v>0</v>
      </c>
      <c r="K40" s="2">
        <f t="shared" si="3"/>
        <v>0</v>
      </c>
      <c r="L40" s="2">
        <f t="shared" si="3"/>
        <v>0</v>
      </c>
      <c r="M40" s="2">
        <f t="shared" si="3"/>
        <v>0</v>
      </c>
      <c r="N40" s="2">
        <f t="shared" si="3"/>
        <v>0</v>
      </c>
      <c r="O40" s="2">
        <f t="shared" si="3"/>
        <v>0</v>
      </c>
      <c r="P40" s="2">
        <f t="shared" si="3"/>
        <v>0</v>
      </c>
      <c r="Q40" s="2">
        <f t="shared" si="3"/>
        <v>0</v>
      </c>
    </row>
    <row r="41" spans="1:17" x14ac:dyDescent="0.2">
      <c r="A41" s="6">
        <v>38473</v>
      </c>
      <c r="B41" s="2">
        <v>3.8819999999999482</v>
      </c>
      <c r="C41" s="2">
        <v>7.54</v>
      </c>
      <c r="D41" s="2">
        <v>0.4300000000000006</v>
      </c>
      <c r="E41" s="2">
        <v>5.52</v>
      </c>
      <c r="F41" s="2">
        <f t="shared" si="1"/>
        <v>0</v>
      </c>
      <c r="G41" s="2">
        <f t="shared" si="3"/>
        <v>0</v>
      </c>
      <c r="H41" s="2">
        <f t="shared" si="3"/>
        <v>0</v>
      </c>
      <c r="I41" s="2">
        <f t="shared" si="3"/>
        <v>0</v>
      </c>
      <c r="J41" s="2">
        <f t="shared" si="3"/>
        <v>1</v>
      </c>
      <c r="K41" s="2">
        <f t="shared" si="3"/>
        <v>0</v>
      </c>
      <c r="L41" s="2">
        <f t="shared" si="3"/>
        <v>0</v>
      </c>
      <c r="M41" s="2">
        <f t="shared" si="3"/>
        <v>0</v>
      </c>
      <c r="N41" s="2">
        <f t="shared" si="3"/>
        <v>0</v>
      </c>
      <c r="O41" s="2">
        <f t="shared" si="3"/>
        <v>0</v>
      </c>
      <c r="P41" s="2">
        <f t="shared" si="3"/>
        <v>0</v>
      </c>
      <c r="Q41" s="2">
        <f t="shared" si="3"/>
        <v>0</v>
      </c>
    </row>
    <row r="42" spans="1:17" x14ac:dyDescent="0.2">
      <c r="A42" s="6">
        <v>38504</v>
      </c>
      <c r="B42" s="2">
        <v>4.9600000000000364</v>
      </c>
      <c r="C42" s="2">
        <v>7.58</v>
      </c>
      <c r="D42" s="2">
        <v>0.25</v>
      </c>
      <c r="E42" s="2">
        <v>5.95</v>
      </c>
      <c r="F42" s="2">
        <f t="shared" si="1"/>
        <v>0</v>
      </c>
      <c r="G42" s="2">
        <f t="shared" si="3"/>
        <v>0</v>
      </c>
      <c r="H42" s="2">
        <f t="shared" si="3"/>
        <v>0</v>
      </c>
      <c r="I42" s="2">
        <f t="shared" si="3"/>
        <v>0</v>
      </c>
      <c r="J42" s="2">
        <f t="shared" si="3"/>
        <v>0</v>
      </c>
      <c r="K42" s="2">
        <f t="shared" si="3"/>
        <v>1</v>
      </c>
      <c r="L42" s="2">
        <f t="shared" si="3"/>
        <v>0</v>
      </c>
      <c r="M42" s="2">
        <f t="shared" si="3"/>
        <v>0</v>
      </c>
      <c r="N42" s="2">
        <f t="shared" si="3"/>
        <v>0</v>
      </c>
      <c r="O42" s="2">
        <f t="shared" si="3"/>
        <v>0</v>
      </c>
      <c r="P42" s="2">
        <f t="shared" si="3"/>
        <v>0</v>
      </c>
      <c r="Q42" s="2">
        <f t="shared" si="3"/>
        <v>0</v>
      </c>
    </row>
    <row r="43" spans="1:17" x14ac:dyDescent="0.2">
      <c r="A43" s="6">
        <v>38534</v>
      </c>
      <c r="B43" s="2">
        <v>1.3009999999999877</v>
      </c>
      <c r="C43" s="2">
        <v>7.62</v>
      </c>
      <c r="D43" s="2">
        <v>-0.16999999999999993</v>
      </c>
      <c r="E43" s="2">
        <v>6.2</v>
      </c>
      <c r="F43" s="2">
        <f t="shared" si="1"/>
        <v>0</v>
      </c>
      <c r="G43" s="2">
        <f t="shared" si="3"/>
        <v>0</v>
      </c>
      <c r="H43" s="2">
        <f t="shared" si="3"/>
        <v>0</v>
      </c>
      <c r="I43" s="2">
        <f t="shared" si="3"/>
        <v>0</v>
      </c>
      <c r="J43" s="2">
        <f t="shared" si="3"/>
        <v>0</v>
      </c>
      <c r="K43" s="2">
        <f t="shared" si="3"/>
        <v>0</v>
      </c>
      <c r="L43" s="2">
        <f t="shared" si="3"/>
        <v>1</v>
      </c>
      <c r="M43" s="2">
        <f t="shared" si="3"/>
        <v>0</v>
      </c>
      <c r="N43" s="2">
        <f t="shared" si="3"/>
        <v>0</v>
      </c>
      <c r="O43" s="2">
        <f t="shared" si="3"/>
        <v>0</v>
      </c>
      <c r="P43" s="2">
        <f t="shared" si="3"/>
        <v>0</v>
      </c>
      <c r="Q43" s="2">
        <f t="shared" si="3"/>
        <v>0</v>
      </c>
    </row>
    <row r="44" spans="1:17" x14ac:dyDescent="0.2">
      <c r="A44" s="6">
        <v>38565</v>
      </c>
      <c r="B44" s="2">
        <v>1.1539999999999964</v>
      </c>
      <c r="C44" s="2">
        <v>7.58</v>
      </c>
      <c r="D44" s="2">
        <v>-0.4300000000000006</v>
      </c>
      <c r="E44" s="2">
        <v>6.03</v>
      </c>
      <c r="F44" s="2">
        <f t="shared" si="1"/>
        <v>0</v>
      </c>
      <c r="G44" s="2">
        <f t="shared" si="3"/>
        <v>0</v>
      </c>
      <c r="H44" s="2">
        <f t="shared" si="3"/>
        <v>0</v>
      </c>
      <c r="I44" s="2">
        <f t="shared" si="3"/>
        <v>0</v>
      </c>
      <c r="J44" s="2">
        <f t="shared" si="3"/>
        <v>0</v>
      </c>
      <c r="K44" s="2">
        <f t="shared" si="3"/>
        <v>0</v>
      </c>
      <c r="L44" s="2">
        <f t="shared" si="3"/>
        <v>0</v>
      </c>
      <c r="M44" s="2">
        <f t="shared" si="3"/>
        <v>1</v>
      </c>
      <c r="N44" s="2">
        <f t="shared" si="3"/>
        <v>0</v>
      </c>
      <c r="O44" s="2">
        <f t="shared" si="3"/>
        <v>0</v>
      </c>
      <c r="P44" s="2">
        <f t="shared" si="3"/>
        <v>0</v>
      </c>
      <c r="Q44" s="2">
        <f t="shared" si="3"/>
        <v>0</v>
      </c>
    </row>
    <row r="45" spans="1:17" x14ac:dyDescent="0.2">
      <c r="A45" s="6">
        <v>38596</v>
      </c>
      <c r="B45" s="2">
        <v>0.11599999999998545</v>
      </c>
      <c r="C45" s="2">
        <v>7.48</v>
      </c>
      <c r="D45" s="2">
        <v>-0.33999999999999986</v>
      </c>
      <c r="E45" s="2">
        <v>5.6</v>
      </c>
      <c r="F45" s="2">
        <f t="shared" si="1"/>
        <v>0</v>
      </c>
      <c r="G45" s="2">
        <f t="shared" si="3"/>
        <v>0</v>
      </c>
      <c r="H45" s="2">
        <f t="shared" si="3"/>
        <v>0</v>
      </c>
      <c r="I45" s="2">
        <f t="shared" si="3"/>
        <v>0</v>
      </c>
      <c r="J45" s="2">
        <f t="shared" si="3"/>
        <v>0</v>
      </c>
      <c r="K45" s="2">
        <f t="shared" si="3"/>
        <v>0</v>
      </c>
      <c r="L45" s="2">
        <f t="shared" si="3"/>
        <v>0</v>
      </c>
      <c r="M45" s="2">
        <f t="shared" si="3"/>
        <v>0</v>
      </c>
      <c r="N45" s="2">
        <f t="shared" si="3"/>
        <v>1</v>
      </c>
      <c r="O45" s="2">
        <f t="shared" si="3"/>
        <v>0</v>
      </c>
      <c r="P45" s="2">
        <f t="shared" si="3"/>
        <v>0</v>
      </c>
      <c r="Q45" s="2">
        <f t="shared" si="3"/>
        <v>0</v>
      </c>
    </row>
    <row r="46" spans="1:17" x14ac:dyDescent="0.2">
      <c r="A46" s="6">
        <v>38626</v>
      </c>
      <c r="B46" s="2">
        <v>4.9279999999999973</v>
      </c>
      <c r="C46" s="2">
        <v>7.35</v>
      </c>
      <c r="D46" s="2">
        <v>-0.29999999999999982</v>
      </c>
      <c r="E46" s="2">
        <v>5.26</v>
      </c>
      <c r="F46" s="2">
        <f t="shared" si="1"/>
        <v>0</v>
      </c>
      <c r="G46" s="2">
        <f t="shared" si="3"/>
        <v>0</v>
      </c>
      <c r="H46" s="2">
        <f t="shared" si="3"/>
        <v>0</v>
      </c>
      <c r="I46" s="2">
        <f t="shared" si="3"/>
        <v>0</v>
      </c>
      <c r="J46" s="2">
        <f t="shared" si="3"/>
        <v>0</v>
      </c>
      <c r="K46" s="2">
        <f t="shared" si="3"/>
        <v>0</v>
      </c>
      <c r="L46" s="2">
        <f t="shared" si="3"/>
        <v>0</v>
      </c>
      <c r="M46" s="2">
        <f t="shared" si="3"/>
        <v>0</v>
      </c>
      <c r="N46" s="2">
        <f t="shared" si="3"/>
        <v>0</v>
      </c>
      <c r="O46" s="2">
        <f t="shared" si="3"/>
        <v>1</v>
      </c>
      <c r="P46" s="2">
        <f t="shared" si="3"/>
        <v>0</v>
      </c>
      <c r="Q46" s="2">
        <f t="shared" si="3"/>
        <v>0</v>
      </c>
    </row>
    <row r="47" spans="1:17" x14ac:dyDescent="0.2">
      <c r="A47" s="6">
        <v>38657</v>
      </c>
      <c r="B47" s="2">
        <v>2.5300000000000296</v>
      </c>
      <c r="C47" s="2">
        <v>7.19</v>
      </c>
      <c r="D47" s="2">
        <v>0.32000000000000028</v>
      </c>
      <c r="E47" s="2">
        <v>4.96</v>
      </c>
      <c r="F47" s="2">
        <f t="shared" si="1"/>
        <v>0</v>
      </c>
      <c r="G47" s="2">
        <f t="shared" si="3"/>
        <v>0</v>
      </c>
      <c r="H47" s="2">
        <f t="shared" si="3"/>
        <v>0</v>
      </c>
      <c r="I47" s="2">
        <f t="shared" si="3"/>
        <v>0</v>
      </c>
      <c r="J47" s="2">
        <f t="shared" si="3"/>
        <v>0</v>
      </c>
      <c r="K47" s="2">
        <f t="shared" si="3"/>
        <v>0</v>
      </c>
      <c r="L47" s="2">
        <f t="shared" si="3"/>
        <v>0</v>
      </c>
      <c r="M47" s="2">
        <f t="shared" si="3"/>
        <v>0</v>
      </c>
      <c r="N47" s="2">
        <f t="shared" si="3"/>
        <v>0</v>
      </c>
      <c r="O47" s="2">
        <f t="shared" si="3"/>
        <v>0</v>
      </c>
      <c r="P47" s="2">
        <f t="shared" si="3"/>
        <v>1</v>
      </c>
      <c r="Q47" s="2">
        <f t="shared" si="3"/>
        <v>0</v>
      </c>
    </row>
    <row r="48" spans="1:17" x14ac:dyDescent="0.2">
      <c r="A48" s="6">
        <v>38687</v>
      </c>
      <c r="B48" s="2">
        <v>8.4250000000000114</v>
      </c>
      <c r="C48" s="2">
        <v>7.19</v>
      </c>
      <c r="D48" s="2">
        <v>8.9999999999999858E-2</v>
      </c>
      <c r="E48" s="2">
        <v>5.28</v>
      </c>
      <c r="F48" s="2">
        <f t="shared" si="1"/>
        <v>0</v>
      </c>
      <c r="G48" s="2">
        <f t="shared" si="3"/>
        <v>0</v>
      </c>
      <c r="H48" s="2">
        <f t="shared" si="3"/>
        <v>0</v>
      </c>
      <c r="I48" s="2">
        <f t="shared" si="3"/>
        <v>0</v>
      </c>
      <c r="J48" s="2">
        <f t="shared" si="3"/>
        <v>0</v>
      </c>
      <c r="K48" s="2">
        <f t="shared" si="3"/>
        <v>0</v>
      </c>
      <c r="L48" s="2">
        <f t="shared" si="3"/>
        <v>0</v>
      </c>
      <c r="M48" s="2">
        <f t="shared" si="3"/>
        <v>0</v>
      </c>
      <c r="N48" s="2">
        <f t="shared" si="3"/>
        <v>0</v>
      </c>
      <c r="O48" s="2">
        <f t="shared" si="3"/>
        <v>0</v>
      </c>
      <c r="P48" s="2">
        <f t="shared" si="3"/>
        <v>0</v>
      </c>
      <c r="Q48" s="2">
        <f t="shared" si="3"/>
        <v>1</v>
      </c>
    </row>
    <row r="49" spans="1:17" x14ac:dyDescent="0.2">
      <c r="A49" s="6">
        <v>38718</v>
      </c>
      <c r="B49" s="2">
        <v>5.2909999999999968</v>
      </c>
      <c r="C49" s="2">
        <v>7.11</v>
      </c>
      <c r="D49" s="2">
        <v>0.16000000000000014</v>
      </c>
      <c r="E49" s="2">
        <v>5.37</v>
      </c>
      <c r="F49" s="2">
        <f t="shared" si="1"/>
        <v>1</v>
      </c>
      <c r="G49" s="2">
        <f t="shared" si="3"/>
        <v>0</v>
      </c>
      <c r="H49" s="2">
        <f t="shared" si="3"/>
        <v>0</v>
      </c>
      <c r="I49" s="2">
        <f t="shared" si="3"/>
        <v>0</v>
      </c>
      <c r="J49" s="2">
        <f t="shared" si="3"/>
        <v>0</v>
      </c>
      <c r="K49" s="2">
        <f t="shared" si="3"/>
        <v>0</v>
      </c>
      <c r="L49" s="2">
        <f t="shared" si="3"/>
        <v>0</v>
      </c>
      <c r="M49" s="2">
        <f t="shared" si="3"/>
        <v>0</v>
      </c>
      <c r="N49" s="2">
        <f t="shared" si="3"/>
        <v>0</v>
      </c>
      <c r="O49" s="2">
        <f t="shared" si="3"/>
        <v>0</v>
      </c>
      <c r="P49" s="2">
        <f t="shared" si="3"/>
        <v>0</v>
      </c>
      <c r="Q49" s="2">
        <f t="shared" si="3"/>
        <v>0</v>
      </c>
    </row>
    <row r="50" spans="1:17" x14ac:dyDescent="0.2">
      <c r="A50" s="6">
        <v>38749</v>
      </c>
      <c r="B50" s="2">
        <v>5.1920000000000073</v>
      </c>
      <c r="C50" s="2">
        <v>7.16</v>
      </c>
      <c r="D50" s="2">
        <v>0.1899999999999995</v>
      </c>
      <c r="E50" s="2">
        <v>5.53</v>
      </c>
      <c r="F50" s="2">
        <f t="shared" si="1"/>
        <v>0</v>
      </c>
      <c r="G50" s="2">
        <f t="shared" si="3"/>
        <v>1</v>
      </c>
      <c r="H50" s="2">
        <f t="shared" si="3"/>
        <v>0</v>
      </c>
      <c r="I50" s="2">
        <f t="shared" si="3"/>
        <v>0</v>
      </c>
      <c r="J50" s="2">
        <f t="shared" si="3"/>
        <v>0</v>
      </c>
      <c r="K50" s="2">
        <f t="shared" si="3"/>
        <v>0</v>
      </c>
      <c r="L50" s="2">
        <f t="shared" si="3"/>
        <v>0</v>
      </c>
      <c r="M50" s="2">
        <f t="shared" si="3"/>
        <v>0</v>
      </c>
      <c r="N50" s="2">
        <f t="shared" si="3"/>
        <v>0</v>
      </c>
      <c r="O50" s="2">
        <f t="shared" si="3"/>
        <v>0</v>
      </c>
      <c r="P50" s="2">
        <f t="shared" si="3"/>
        <v>0</v>
      </c>
      <c r="Q50" s="2">
        <f t="shared" si="3"/>
        <v>0</v>
      </c>
    </row>
    <row r="51" spans="1:17" x14ac:dyDescent="0.2">
      <c r="A51" s="6">
        <v>38777</v>
      </c>
      <c r="B51" s="2">
        <v>0.257000000000005</v>
      </c>
      <c r="C51" s="2">
        <v>7.22</v>
      </c>
      <c r="D51" s="2">
        <v>0.32000000000000028</v>
      </c>
      <c r="E51" s="2">
        <v>5.72</v>
      </c>
      <c r="F51" s="2">
        <f t="shared" si="1"/>
        <v>0</v>
      </c>
      <c r="G51" s="2">
        <f t="shared" si="3"/>
        <v>0</v>
      </c>
      <c r="H51" s="2">
        <f t="shared" si="3"/>
        <v>1</v>
      </c>
      <c r="I51" s="2">
        <f t="shared" si="3"/>
        <v>0</v>
      </c>
      <c r="J51" s="2">
        <f t="shared" si="3"/>
        <v>0</v>
      </c>
      <c r="K51" s="2">
        <f t="shared" si="3"/>
        <v>0</v>
      </c>
      <c r="L51" s="2">
        <f t="shared" si="3"/>
        <v>0</v>
      </c>
      <c r="M51" s="2">
        <f t="shared" si="3"/>
        <v>0</v>
      </c>
      <c r="N51" s="2">
        <f t="shared" si="3"/>
        <v>0</v>
      </c>
      <c r="O51" s="2">
        <f t="shared" si="3"/>
        <v>0</v>
      </c>
      <c r="P51" s="2">
        <f t="shared" si="3"/>
        <v>0</v>
      </c>
      <c r="Q51" s="2">
        <f t="shared" si="3"/>
        <v>0</v>
      </c>
    </row>
    <row r="52" spans="1:17" x14ac:dyDescent="0.2">
      <c r="A52" s="6">
        <v>38808</v>
      </c>
      <c r="B52" s="2">
        <v>4.4019999999999868</v>
      </c>
      <c r="C52" s="2">
        <v>7.36</v>
      </c>
      <c r="D52" s="2">
        <v>-0.37999999999999989</v>
      </c>
      <c r="E52" s="2">
        <v>6.04</v>
      </c>
      <c r="F52" s="2">
        <f t="shared" si="1"/>
        <v>0</v>
      </c>
      <c r="G52" s="2">
        <f t="shared" si="3"/>
        <v>0</v>
      </c>
      <c r="H52" s="2">
        <f t="shared" si="3"/>
        <v>0</v>
      </c>
      <c r="I52" s="2">
        <f t="shared" si="3"/>
        <v>1</v>
      </c>
      <c r="J52" s="2">
        <f t="shared" si="3"/>
        <v>0</v>
      </c>
      <c r="K52" s="2">
        <f t="shared" si="3"/>
        <v>0</v>
      </c>
      <c r="L52" s="2">
        <f t="shared" si="3"/>
        <v>0</v>
      </c>
      <c r="M52" s="2">
        <f t="shared" si="3"/>
        <v>0</v>
      </c>
      <c r="N52" s="2">
        <f t="shared" si="3"/>
        <v>0</v>
      </c>
      <c r="O52" s="2">
        <f t="shared" si="3"/>
        <v>0</v>
      </c>
      <c r="P52" s="2">
        <f t="shared" si="3"/>
        <v>0</v>
      </c>
      <c r="Q52" s="2">
        <f t="shared" si="3"/>
        <v>0</v>
      </c>
    </row>
    <row r="53" spans="1:17" x14ac:dyDescent="0.2">
      <c r="A53" s="6">
        <v>38838</v>
      </c>
      <c r="B53" s="2">
        <v>3.1730000000000018</v>
      </c>
      <c r="C53" s="2">
        <v>7.34</v>
      </c>
      <c r="D53" s="2">
        <v>8.9999999999999858E-2</v>
      </c>
      <c r="E53" s="2">
        <v>5.66</v>
      </c>
      <c r="F53" s="2">
        <f t="shared" si="1"/>
        <v>0</v>
      </c>
      <c r="G53" s="2">
        <f t="shared" ref="G53:Q54" si="4">IF(MONTH($A53) = G$56, 1, 0)</f>
        <v>0</v>
      </c>
      <c r="H53" s="2">
        <f t="shared" si="4"/>
        <v>0</v>
      </c>
      <c r="I53" s="2">
        <f t="shared" si="4"/>
        <v>0</v>
      </c>
      <c r="J53" s="2">
        <f t="shared" si="4"/>
        <v>1</v>
      </c>
      <c r="K53" s="2">
        <f t="shared" si="4"/>
        <v>0</v>
      </c>
      <c r="L53" s="2">
        <f t="shared" si="4"/>
        <v>0</v>
      </c>
      <c r="M53" s="2">
        <f t="shared" si="4"/>
        <v>0</v>
      </c>
      <c r="N53" s="2">
        <f t="shared" si="4"/>
        <v>0</v>
      </c>
      <c r="O53" s="2">
        <f t="shared" si="4"/>
        <v>0</v>
      </c>
      <c r="P53" s="2">
        <f t="shared" si="4"/>
        <v>0</v>
      </c>
      <c r="Q53" s="2">
        <f t="shared" si="4"/>
        <v>0</v>
      </c>
    </row>
    <row r="54" spans="1:17" x14ac:dyDescent="0.2">
      <c r="A54" s="6">
        <v>38869</v>
      </c>
      <c r="B54" s="2">
        <v>5.103999999999985</v>
      </c>
      <c r="C54" s="2">
        <v>7.3</v>
      </c>
      <c r="D54" s="2">
        <v>7.0000000000000284E-2</v>
      </c>
      <c r="E54" s="2">
        <v>5.75</v>
      </c>
      <c r="F54" s="2">
        <f t="shared" si="1"/>
        <v>0</v>
      </c>
      <c r="G54" s="2">
        <f t="shared" si="4"/>
        <v>0</v>
      </c>
      <c r="H54" s="2">
        <f t="shared" si="4"/>
        <v>0</v>
      </c>
      <c r="I54" s="2">
        <f t="shared" si="4"/>
        <v>0</v>
      </c>
      <c r="J54" s="2">
        <f t="shared" si="4"/>
        <v>0</v>
      </c>
      <c r="K54" s="2">
        <f t="shared" si="4"/>
        <v>1</v>
      </c>
      <c r="L54" s="2">
        <f t="shared" si="4"/>
        <v>0</v>
      </c>
      <c r="M54" s="2">
        <f t="shared" si="4"/>
        <v>0</v>
      </c>
      <c r="N54" s="2">
        <f t="shared" si="4"/>
        <v>0</v>
      </c>
      <c r="O54" s="2">
        <f t="shared" si="4"/>
        <v>0</v>
      </c>
      <c r="P54" s="2">
        <f t="shared" si="4"/>
        <v>0</v>
      </c>
      <c r="Q54" s="2">
        <f t="shared" si="4"/>
        <v>0</v>
      </c>
    </row>
    <row r="55" spans="1:17" x14ac:dyDescent="0.2">
      <c r="A55" s="6"/>
    </row>
    <row r="56" spans="1:17" x14ac:dyDescent="0.2">
      <c r="A56" s="6"/>
      <c r="F56" s="2">
        <v>1</v>
      </c>
      <c r="G56" s="2">
        <v>2</v>
      </c>
      <c r="H56" s="2">
        <v>3</v>
      </c>
      <c r="I56" s="2">
        <v>4</v>
      </c>
      <c r="J56" s="2">
        <v>5</v>
      </c>
      <c r="K56" s="2">
        <v>6</v>
      </c>
      <c r="L56" s="2">
        <v>7</v>
      </c>
      <c r="M56" s="2">
        <v>8</v>
      </c>
      <c r="N56" s="2">
        <v>9</v>
      </c>
      <c r="O56" s="2">
        <v>10</v>
      </c>
      <c r="P56" s="2">
        <v>11</v>
      </c>
      <c r="Q56" s="2">
        <v>12</v>
      </c>
    </row>
    <row r="57" spans="1:17" x14ac:dyDescent="0.2">
      <c r="A57" s="6"/>
    </row>
    <row r="58" spans="1:17" x14ac:dyDescent="0.2">
      <c r="A58" s="6"/>
    </row>
    <row r="59" spans="1:17" x14ac:dyDescent="0.2">
      <c r="A59" s="6"/>
    </row>
    <row r="60" spans="1:17" x14ac:dyDescent="0.2">
      <c r="A60" s="6"/>
      <c r="E60" s="7"/>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B6A4C-3427-E14C-A53F-5C3325884FDF}">
  <dimension ref="A1:I112"/>
  <sheetViews>
    <sheetView topLeftCell="E34" zoomScale="67" workbookViewId="0">
      <selection activeCell="J61" sqref="J61"/>
    </sheetView>
  </sheetViews>
  <sheetFormatPr baseColWidth="10" defaultRowHeight="15" x14ac:dyDescent="0.2"/>
  <sheetData>
    <row r="1" spans="1:9" x14ac:dyDescent="0.2">
      <c r="A1" t="s">
        <v>6</v>
      </c>
    </row>
    <row r="2" spans="1:9" ht="16" thickBot="1" x14ac:dyDescent="0.25"/>
    <row r="3" spans="1:9" x14ac:dyDescent="0.2">
      <c r="A3" s="12" t="s">
        <v>7</v>
      </c>
      <c r="B3" s="12"/>
    </row>
    <row r="4" spans="1:9" x14ac:dyDescent="0.2">
      <c r="A4" t="s">
        <v>8</v>
      </c>
      <c r="B4">
        <v>0.9380369004366389</v>
      </c>
    </row>
    <row r="5" spans="1:9" x14ac:dyDescent="0.2">
      <c r="A5" t="s">
        <v>9</v>
      </c>
      <c r="B5">
        <v>0.87991322658077686</v>
      </c>
    </row>
    <row r="6" spans="1:9" x14ac:dyDescent="0.2">
      <c r="A6" t="s">
        <v>10</v>
      </c>
      <c r="B6">
        <v>0.87851686875032076</v>
      </c>
    </row>
    <row r="7" spans="1:9" x14ac:dyDescent="0.2">
      <c r="A7" t="s">
        <v>11</v>
      </c>
      <c r="B7">
        <v>534623.47311097244</v>
      </c>
    </row>
    <row r="8" spans="1:9" ht="16" thickBot="1" x14ac:dyDescent="0.25">
      <c r="A8" s="8" t="s">
        <v>12</v>
      </c>
      <c r="B8" s="8">
        <v>88</v>
      </c>
    </row>
    <row r="10" spans="1:9" ht="16" thickBot="1" x14ac:dyDescent="0.25">
      <c r="A10" t="s">
        <v>13</v>
      </c>
    </row>
    <row r="11" spans="1:9" x14ac:dyDescent="0.2">
      <c r="A11" s="9"/>
      <c r="B11" s="9" t="s">
        <v>18</v>
      </c>
      <c r="C11" s="9" t="s">
        <v>19</v>
      </c>
      <c r="D11" s="9" t="s">
        <v>20</v>
      </c>
      <c r="E11" s="9" t="s">
        <v>21</v>
      </c>
      <c r="F11" s="9" t="s">
        <v>22</v>
      </c>
    </row>
    <row r="12" spans="1:9" x14ac:dyDescent="0.2">
      <c r="A12" t="s">
        <v>14</v>
      </c>
      <c r="B12">
        <v>1</v>
      </c>
      <c r="C12">
        <v>180110556034428.34</v>
      </c>
      <c r="D12">
        <v>180110556034428.34</v>
      </c>
      <c r="E12">
        <v>630.148810991647</v>
      </c>
      <c r="F12">
        <v>2.3923792129679429E-41</v>
      </c>
    </row>
    <row r="13" spans="1:9" x14ac:dyDescent="0.2">
      <c r="A13" t="s">
        <v>15</v>
      </c>
      <c r="B13">
        <v>86</v>
      </c>
      <c r="C13">
        <v>24580714188106.531</v>
      </c>
      <c r="D13">
        <v>285822258001.23871</v>
      </c>
    </row>
    <row r="14" spans="1:9" ht="16" thickBot="1" x14ac:dyDescent="0.25">
      <c r="A14" s="8" t="s">
        <v>16</v>
      </c>
      <c r="B14" s="8">
        <v>87</v>
      </c>
      <c r="C14" s="8">
        <v>204691270222534.88</v>
      </c>
      <c r="D14" s="8"/>
      <c r="E14" s="8"/>
      <c r="F14" s="8"/>
    </row>
    <row r="15" spans="1:9" ht="16" thickBot="1" x14ac:dyDescent="0.25"/>
    <row r="16" spans="1:9" x14ac:dyDescent="0.2">
      <c r="A16" s="9"/>
      <c r="B16" s="9" t="s">
        <v>23</v>
      </c>
      <c r="C16" s="9" t="s">
        <v>11</v>
      </c>
      <c r="D16" s="9" t="s">
        <v>24</v>
      </c>
      <c r="E16" s="9" t="s">
        <v>25</v>
      </c>
      <c r="F16" s="9" t="s">
        <v>26</v>
      </c>
      <c r="G16" s="9" t="s">
        <v>27</v>
      </c>
      <c r="H16" s="9" t="s">
        <v>28</v>
      </c>
      <c r="I16" s="9" t="s">
        <v>29</v>
      </c>
    </row>
    <row r="17" spans="1:9" x14ac:dyDescent="0.2">
      <c r="A17" t="s">
        <v>17</v>
      </c>
      <c r="B17">
        <v>-656619.23667711625</v>
      </c>
      <c r="C17">
        <v>114960.51258164838</v>
      </c>
      <c r="D17">
        <v>-5.7116937105753225</v>
      </c>
      <c r="E17">
        <v>1.569190951934307E-7</v>
      </c>
      <c r="F17">
        <v>-885153.17200494604</v>
      </c>
      <c r="G17">
        <v>-428085.30134928646</v>
      </c>
      <c r="H17">
        <v>-885153.17200494604</v>
      </c>
      <c r="I17">
        <v>-428085.30134928646</v>
      </c>
    </row>
    <row r="18" spans="1:9" ht="16" thickBot="1" x14ac:dyDescent="0.25">
      <c r="A18" s="8" t="s">
        <v>74</v>
      </c>
      <c r="B18" s="8">
        <v>56320.206799690051</v>
      </c>
      <c r="C18" s="8">
        <v>2243.5857876297346</v>
      </c>
      <c r="D18" s="8">
        <v>25.102765006900079</v>
      </c>
      <c r="E18" s="8">
        <v>2.3923792129679429E-41</v>
      </c>
      <c r="F18" s="8">
        <v>51860.105867829196</v>
      </c>
      <c r="G18" s="8">
        <v>60780.307731550907</v>
      </c>
      <c r="H18" s="8">
        <v>51860.105867829196</v>
      </c>
      <c r="I18" s="8">
        <v>60780.307731550907</v>
      </c>
    </row>
    <row r="22" spans="1:9" x14ac:dyDescent="0.2">
      <c r="A22" t="s">
        <v>30</v>
      </c>
    </row>
    <row r="23" spans="1:9" ht="16" thickBot="1" x14ac:dyDescent="0.25"/>
    <row r="24" spans="1:9" x14ac:dyDescent="0.2">
      <c r="A24" s="9" t="s">
        <v>31</v>
      </c>
      <c r="B24" s="9" t="s">
        <v>73</v>
      </c>
      <c r="C24" s="9" t="s">
        <v>33</v>
      </c>
    </row>
    <row r="25" spans="1:9" x14ac:dyDescent="0.2">
      <c r="A25">
        <v>1</v>
      </c>
      <c r="B25">
        <v>-600299.02987742622</v>
      </c>
      <c r="C25">
        <v>706014.02987742622</v>
      </c>
    </row>
    <row r="26" spans="1:9" x14ac:dyDescent="0.2">
      <c r="A26">
        <v>2</v>
      </c>
      <c r="B26">
        <v>-543978.82307773619</v>
      </c>
      <c r="C26">
        <v>664114.82307773619</v>
      </c>
    </row>
    <row r="27" spans="1:9" x14ac:dyDescent="0.2">
      <c r="A27">
        <v>3</v>
      </c>
      <c r="B27">
        <v>-487658.6162780461</v>
      </c>
      <c r="C27">
        <v>669327.61627804604</v>
      </c>
    </row>
    <row r="28" spans="1:9" x14ac:dyDescent="0.2">
      <c r="A28">
        <v>4</v>
      </c>
      <c r="B28">
        <v>-431338.40947835601</v>
      </c>
      <c r="C28">
        <v>671151.40947835601</v>
      </c>
    </row>
    <row r="29" spans="1:9" x14ac:dyDescent="0.2">
      <c r="A29">
        <v>5</v>
      </c>
      <c r="B29">
        <v>-375018.20267866598</v>
      </c>
      <c r="C29">
        <v>534998.20267866598</v>
      </c>
    </row>
    <row r="30" spans="1:9" x14ac:dyDescent="0.2">
      <c r="A30">
        <v>6</v>
      </c>
      <c r="B30">
        <v>-318697.99587897595</v>
      </c>
      <c r="C30">
        <v>483457.99587897595</v>
      </c>
    </row>
    <row r="31" spans="1:9" x14ac:dyDescent="0.2">
      <c r="A31">
        <v>7</v>
      </c>
      <c r="B31">
        <v>-262377.78907928587</v>
      </c>
      <c r="C31">
        <v>487177.78907928587</v>
      </c>
    </row>
    <row r="32" spans="1:9" x14ac:dyDescent="0.2">
      <c r="A32">
        <v>8</v>
      </c>
      <c r="B32">
        <v>-206057.58227959584</v>
      </c>
      <c r="C32">
        <v>504526.58227959584</v>
      </c>
    </row>
    <row r="33" spans="1:3" x14ac:dyDescent="0.2">
      <c r="A33">
        <v>9</v>
      </c>
      <c r="B33">
        <v>-149737.37547990581</v>
      </c>
      <c r="C33">
        <v>360797.37547990581</v>
      </c>
    </row>
    <row r="34" spans="1:3" x14ac:dyDescent="0.2">
      <c r="A34">
        <v>10</v>
      </c>
      <c r="B34">
        <v>-93417.16868021572</v>
      </c>
      <c r="C34">
        <v>311170.16868021572</v>
      </c>
    </row>
    <row r="35" spans="1:3" x14ac:dyDescent="0.2">
      <c r="A35">
        <v>11</v>
      </c>
      <c r="B35">
        <v>-37096.961880525691</v>
      </c>
      <c r="C35">
        <v>310712.96188052569</v>
      </c>
    </row>
    <row r="36" spans="1:3" x14ac:dyDescent="0.2">
      <c r="A36">
        <v>12</v>
      </c>
      <c r="B36">
        <v>19223.244919164339</v>
      </c>
      <c r="C36">
        <v>340368.75508083566</v>
      </c>
    </row>
    <row r="37" spans="1:3" x14ac:dyDescent="0.2">
      <c r="A37">
        <v>13</v>
      </c>
      <c r="B37">
        <v>75543.451718854369</v>
      </c>
      <c r="C37">
        <v>165804.54828114563</v>
      </c>
    </row>
    <row r="38" spans="1:3" x14ac:dyDescent="0.2">
      <c r="A38">
        <v>14</v>
      </c>
      <c r="B38">
        <v>131863.65851854451</v>
      </c>
      <c r="C38">
        <v>132464.34148145549</v>
      </c>
    </row>
    <row r="39" spans="1:3" x14ac:dyDescent="0.2">
      <c r="A39">
        <v>15</v>
      </c>
      <c r="B39">
        <v>188183.86531823454</v>
      </c>
      <c r="C39">
        <v>134568.13468176546</v>
      </c>
    </row>
    <row r="40" spans="1:3" x14ac:dyDescent="0.2">
      <c r="A40">
        <v>16</v>
      </c>
      <c r="B40">
        <v>244504.07211792457</v>
      </c>
      <c r="C40">
        <v>179164.92788207543</v>
      </c>
    </row>
    <row r="41" spans="1:3" x14ac:dyDescent="0.2">
      <c r="A41">
        <v>17</v>
      </c>
      <c r="B41">
        <v>300824.2789176146</v>
      </c>
      <c r="C41">
        <v>9100.7210823853966</v>
      </c>
    </row>
    <row r="42" spans="1:3" x14ac:dyDescent="0.2">
      <c r="A42">
        <v>18</v>
      </c>
      <c r="B42">
        <v>357144.48571730463</v>
      </c>
      <c r="C42">
        <v>-31205.485717304633</v>
      </c>
    </row>
    <row r="43" spans="1:3" x14ac:dyDescent="0.2">
      <c r="A43">
        <v>19</v>
      </c>
      <c r="B43">
        <v>413464.69251699466</v>
      </c>
      <c r="C43">
        <v>-7863.6925169946626</v>
      </c>
    </row>
    <row r="44" spans="1:3" x14ac:dyDescent="0.2">
      <c r="A44">
        <v>20</v>
      </c>
      <c r="B44">
        <v>469784.89931668481</v>
      </c>
      <c r="C44">
        <v>75346.100683315191</v>
      </c>
    </row>
    <row r="45" spans="1:3" x14ac:dyDescent="0.2">
      <c r="A45">
        <v>21</v>
      </c>
      <c r="B45">
        <v>526105.10611637472</v>
      </c>
      <c r="C45">
        <v>-123737.10611637472</v>
      </c>
    </row>
    <row r="46" spans="1:3" x14ac:dyDescent="0.2">
      <c r="A46">
        <v>22</v>
      </c>
      <c r="B46">
        <v>582425.31291606487</v>
      </c>
      <c r="C46">
        <v>-177429.31291606487</v>
      </c>
    </row>
    <row r="47" spans="1:3" x14ac:dyDescent="0.2">
      <c r="A47">
        <v>23</v>
      </c>
      <c r="B47">
        <v>638745.51971575501</v>
      </c>
      <c r="C47">
        <v>-137055.51971575501</v>
      </c>
    </row>
    <row r="48" spans="1:3" x14ac:dyDescent="0.2">
      <c r="A48">
        <v>24</v>
      </c>
      <c r="B48">
        <v>695065.72651544493</v>
      </c>
      <c r="C48">
        <v>-70339.726515444927</v>
      </c>
    </row>
    <row r="49" spans="1:3" x14ac:dyDescent="0.2">
      <c r="A49">
        <v>25</v>
      </c>
      <c r="B49">
        <v>751385.93331513507</v>
      </c>
      <c r="C49">
        <v>-261085.93331513507</v>
      </c>
    </row>
    <row r="50" spans="1:3" x14ac:dyDescent="0.2">
      <c r="A50">
        <v>26</v>
      </c>
      <c r="B50">
        <v>807706.14011482499</v>
      </c>
      <c r="C50">
        <v>-284650.14011482499</v>
      </c>
    </row>
    <row r="51" spans="1:3" x14ac:dyDescent="0.2">
      <c r="A51">
        <v>27</v>
      </c>
      <c r="B51">
        <v>864026.34691451513</v>
      </c>
      <c r="C51">
        <v>-161974.34691451513</v>
      </c>
    </row>
    <row r="52" spans="1:3" x14ac:dyDescent="0.2">
      <c r="A52">
        <v>28</v>
      </c>
      <c r="B52">
        <v>920346.55371420528</v>
      </c>
      <c r="C52">
        <v>-116861.55371420528</v>
      </c>
    </row>
    <row r="53" spans="1:3" x14ac:dyDescent="0.2">
      <c r="A53">
        <v>29</v>
      </c>
      <c r="B53">
        <v>976666.76051389519</v>
      </c>
      <c r="C53">
        <v>-387802.76051389519</v>
      </c>
    </row>
    <row r="54" spans="1:3" x14ac:dyDescent="0.2">
      <c r="A54">
        <v>30</v>
      </c>
      <c r="B54">
        <v>1032986.9673135853</v>
      </c>
      <c r="C54">
        <v>-418872.96731358534</v>
      </c>
    </row>
    <row r="55" spans="1:3" x14ac:dyDescent="0.2">
      <c r="A55">
        <v>31</v>
      </c>
      <c r="B55">
        <v>1089307.1741132753</v>
      </c>
      <c r="C55">
        <v>-262085.17411327525</v>
      </c>
    </row>
    <row r="56" spans="1:3" x14ac:dyDescent="0.2">
      <c r="A56">
        <v>32</v>
      </c>
      <c r="B56">
        <v>1145627.3809129654</v>
      </c>
      <c r="C56">
        <v>-215418.3809129654</v>
      </c>
    </row>
    <row r="57" spans="1:3" x14ac:dyDescent="0.2">
      <c r="A57">
        <v>33</v>
      </c>
      <c r="B57">
        <v>1201947.5877126555</v>
      </c>
      <c r="C57">
        <v>-558367.58771265554</v>
      </c>
    </row>
    <row r="58" spans="1:3" x14ac:dyDescent="0.2">
      <c r="A58">
        <v>34</v>
      </c>
      <c r="B58">
        <v>1258267.7945123455</v>
      </c>
      <c r="C58">
        <v>-565075.79451234546</v>
      </c>
    </row>
    <row r="59" spans="1:3" x14ac:dyDescent="0.2">
      <c r="A59">
        <v>35</v>
      </c>
      <c r="B59">
        <v>1314588.0013120356</v>
      </c>
      <c r="C59">
        <v>-415911.0013120356</v>
      </c>
    </row>
    <row r="60" spans="1:3" x14ac:dyDescent="0.2">
      <c r="A60">
        <v>36</v>
      </c>
      <c r="B60">
        <v>1370908.2081117255</v>
      </c>
      <c r="C60">
        <v>-310678.20811172551</v>
      </c>
    </row>
    <row r="61" spans="1:3" x14ac:dyDescent="0.2">
      <c r="A61">
        <v>37</v>
      </c>
      <c r="B61">
        <v>1427228.4149114157</v>
      </c>
      <c r="C61">
        <v>-675558.41491141566</v>
      </c>
    </row>
    <row r="62" spans="1:3" x14ac:dyDescent="0.2">
      <c r="A62">
        <v>38</v>
      </c>
      <c r="B62">
        <v>1483548.6217111056</v>
      </c>
      <c r="C62">
        <v>-710417.62171110557</v>
      </c>
    </row>
    <row r="63" spans="1:3" x14ac:dyDescent="0.2">
      <c r="A63">
        <v>39</v>
      </c>
      <c r="B63">
        <v>1539868.8285107957</v>
      </c>
      <c r="C63">
        <v>-551522.82851079572</v>
      </c>
    </row>
    <row r="64" spans="1:3" x14ac:dyDescent="0.2">
      <c r="A64">
        <v>40</v>
      </c>
      <c r="B64">
        <v>1596189.0353104859</v>
      </c>
      <c r="C64">
        <v>-386399.03531048587</v>
      </c>
    </row>
    <row r="65" spans="1:3" x14ac:dyDescent="0.2">
      <c r="A65">
        <v>41</v>
      </c>
      <c r="B65">
        <v>1652509.242110176</v>
      </c>
      <c r="C65">
        <v>-803821.24211017601</v>
      </c>
    </row>
    <row r="66" spans="1:3" x14ac:dyDescent="0.2">
      <c r="A66">
        <v>42</v>
      </c>
      <c r="B66">
        <v>1708829.4489098657</v>
      </c>
      <c r="C66">
        <v>-840315.44890986569</v>
      </c>
    </row>
    <row r="67" spans="1:3" x14ac:dyDescent="0.2">
      <c r="A67">
        <v>43</v>
      </c>
      <c r="B67">
        <v>1765149.6557095558</v>
      </c>
      <c r="C67">
        <v>-609219.65570955584</v>
      </c>
    </row>
    <row r="68" spans="1:3" x14ac:dyDescent="0.2">
      <c r="A68">
        <v>44</v>
      </c>
      <c r="B68">
        <v>1821469.862509246</v>
      </c>
      <c r="C68">
        <v>-299349.86250924598</v>
      </c>
    </row>
    <row r="69" spans="1:3" x14ac:dyDescent="0.2">
      <c r="A69">
        <v>45</v>
      </c>
      <c r="B69">
        <v>1877790.0693089361</v>
      </c>
      <c r="C69">
        <v>-764640.06930893613</v>
      </c>
    </row>
    <row r="70" spans="1:3" x14ac:dyDescent="0.2">
      <c r="A70">
        <v>46</v>
      </c>
      <c r="B70">
        <v>1934110.2761086263</v>
      </c>
      <c r="C70">
        <v>-813770.27610862628</v>
      </c>
    </row>
    <row r="71" spans="1:3" x14ac:dyDescent="0.2">
      <c r="A71">
        <v>47</v>
      </c>
      <c r="B71">
        <v>1990430.482908316</v>
      </c>
      <c r="C71">
        <v>-607430.48290831596</v>
      </c>
    </row>
    <row r="72" spans="1:3" x14ac:dyDescent="0.2">
      <c r="A72">
        <v>48</v>
      </c>
      <c r="B72">
        <v>2046750.6897080061</v>
      </c>
      <c r="C72">
        <v>-378850.6897080061</v>
      </c>
    </row>
    <row r="73" spans="1:3" x14ac:dyDescent="0.2">
      <c r="A73">
        <v>49</v>
      </c>
      <c r="B73">
        <v>2103070.8965076962</v>
      </c>
      <c r="C73">
        <v>-871884.89650769625</v>
      </c>
    </row>
    <row r="74" spans="1:3" x14ac:dyDescent="0.2">
      <c r="A74">
        <v>50</v>
      </c>
      <c r="B74">
        <v>2159391.1033073864</v>
      </c>
      <c r="C74">
        <v>-814170.10330738639</v>
      </c>
    </row>
    <row r="75" spans="1:3" x14ac:dyDescent="0.2">
      <c r="A75">
        <v>51</v>
      </c>
      <c r="B75">
        <v>2215711.3101070765</v>
      </c>
      <c r="C75">
        <v>-449772.31010707654</v>
      </c>
    </row>
    <row r="76" spans="1:3" x14ac:dyDescent="0.2">
      <c r="A76">
        <v>52</v>
      </c>
      <c r="B76">
        <v>2272031.5169067662</v>
      </c>
      <c r="C76">
        <v>-106552.51690676622</v>
      </c>
    </row>
    <row r="77" spans="1:3" x14ac:dyDescent="0.2">
      <c r="A77">
        <v>53</v>
      </c>
      <c r="B77">
        <v>2328351.7237064564</v>
      </c>
      <c r="C77">
        <v>-608639.72370645637</v>
      </c>
    </row>
    <row r="78" spans="1:3" x14ac:dyDescent="0.2">
      <c r="A78">
        <v>54</v>
      </c>
      <c r="B78">
        <v>2384671.9305061465</v>
      </c>
      <c r="C78">
        <v>-479701.93050614651</v>
      </c>
    </row>
    <row r="79" spans="1:3" x14ac:dyDescent="0.2">
      <c r="A79">
        <v>55</v>
      </c>
      <c r="B79">
        <v>2440992.1373058367</v>
      </c>
      <c r="C79">
        <v>-41092.137305836659</v>
      </c>
    </row>
    <row r="80" spans="1:3" x14ac:dyDescent="0.2">
      <c r="A80">
        <v>56</v>
      </c>
      <c r="B80">
        <v>2497312.3441055268</v>
      </c>
      <c r="C80">
        <v>532587.6558944732</v>
      </c>
    </row>
    <row r="81" spans="1:3" x14ac:dyDescent="0.2">
      <c r="A81">
        <v>57</v>
      </c>
      <c r="B81">
        <v>2553632.5509052165</v>
      </c>
      <c r="C81">
        <v>-275898.55090521649</v>
      </c>
    </row>
    <row r="82" spans="1:3" x14ac:dyDescent="0.2">
      <c r="A82">
        <v>58</v>
      </c>
      <c r="B82">
        <v>2609952.7577049066</v>
      </c>
      <c r="C82">
        <v>-156613.75770490663</v>
      </c>
    </row>
    <row r="83" spans="1:3" x14ac:dyDescent="0.2">
      <c r="A83">
        <v>59</v>
      </c>
      <c r="B83">
        <v>2666272.9645045968</v>
      </c>
      <c r="C83">
        <v>379113.03549540322</v>
      </c>
    </row>
    <row r="84" spans="1:3" x14ac:dyDescent="0.2">
      <c r="A84">
        <v>60</v>
      </c>
      <c r="B84">
        <v>2722593.1713042869</v>
      </c>
      <c r="C84">
        <v>1136345.8286957131</v>
      </c>
    </row>
    <row r="85" spans="1:3" x14ac:dyDescent="0.2">
      <c r="A85">
        <v>61</v>
      </c>
      <c r="B85">
        <v>2778913.3781039771</v>
      </c>
      <c r="C85">
        <v>-46923.378103977069</v>
      </c>
    </row>
    <row r="86" spans="1:3" x14ac:dyDescent="0.2">
      <c r="A86">
        <v>62</v>
      </c>
      <c r="B86">
        <v>2835233.5849036667</v>
      </c>
      <c r="C86">
        <v>112480.41509633325</v>
      </c>
    </row>
    <row r="87" spans="1:3" x14ac:dyDescent="0.2">
      <c r="A87">
        <v>63</v>
      </c>
      <c r="B87">
        <v>2891553.7917033569</v>
      </c>
      <c r="C87">
        <v>523114.2082966431</v>
      </c>
    </row>
    <row r="88" spans="1:3" x14ac:dyDescent="0.2">
      <c r="A88">
        <v>64</v>
      </c>
      <c r="B88">
        <v>2947873.998503047</v>
      </c>
      <c r="C88">
        <v>1631214.001496953</v>
      </c>
    </row>
    <row r="89" spans="1:3" x14ac:dyDescent="0.2">
      <c r="A89">
        <v>65</v>
      </c>
      <c r="B89">
        <v>3004194.2053027372</v>
      </c>
      <c r="C89">
        <v>175461.79469726281</v>
      </c>
    </row>
    <row r="90" spans="1:3" x14ac:dyDescent="0.2">
      <c r="A90">
        <v>66</v>
      </c>
      <c r="B90">
        <v>3060514.4121024273</v>
      </c>
      <c r="C90">
        <v>184704.58789757267</v>
      </c>
    </row>
    <row r="91" spans="1:3" x14ac:dyDescent="0.2">
      <c r="A91">
        <v>67</v>
      </c>
      <c r="B91">
        <v>3116834.618902117</v>
      </c>
      <c r="C91">
        <v>216538.38109788299</v>
      </c>
    </row>
    <row r="92" spans="1:3" x14ac:dyDescent="0.2">
      <c r="A92">
        <v>68</v>
      </c>
      <c r="B92">
        <v>3173154.8257018072</v>
      </c>
      <c r="C92">
        <v>916470.17429819284</v>
      </c>
    </row>
    <row r="93" spans="1:3" x14ac:dyDescent="0.2">
      <c r="A93">
        <v>69</v>
      </c>
      <c r="B93">
        <v>3229475.0325014973</v>
      </c>
      <c r="C93">
        <v>-338635.03250149731</v>
      </c>
    </row>
    <row r="94" spans="1:3" x14ac:dyDescent="0.2">
      <c r="A94">
        <v>70</v>
      </c>
      <c r="B94">
        <v>3285795.2393011875</v>
      </c>
      <c r="C94">
        <v>-17486.239301187452</v>
      </c>
    </row>
    <row r="95" spans="1:3" x14ac:dyDescent="0.2">
      <c r="A95">
        <v>71</v>
      </c>
      <c r="B95">
        <v>3342115.4461008776</v>
      </c>
      <c r="C95">
        <v>302840.5538991224</v>
      </c>
    </row>
    <row r="96" spans="1:3" x14ac:dyDescent="0.2">
      <c r="A96">
        <v>72</v>
      </c>
      <c r="B96">
        <v>3398435.6529005673</v>
      </c>
      <c r="C96">
        <v>1252168.3470994327</v>
      </c>
    </row>
    <row r="97" spans="1:3" x14ac:dyDescent="0.2">
      <c r="A97">
        <v>73</v>
      </c>
      <c r="B97">
        <v>3454755.8597002574</v>
      </c>
      <c r="C97">
        <v>-101984.85970025742</v>
      </c>
    </row>
    <row r="98" spans="1:3" x14ac:dyDescent="0.2">
      <c r="A98">
        <v>74</v>
      </c>
      <c r="B98">
        <v>3511076.0664999476</v>
      </c>
      <c r="C98">
        <v>174222.93350005243</v>
      </c>
    </row>
    <row r="99" spans="1:3" x14ac:dyDescent="0.2">
      <c r="A99">
        <v>75</v>
      </c>
      <c r="B99">
        <v>3567396.2732996377</v>
      </c>
      <c r="C99">
        <v>362059.72670036228</v>
      </c>
    </row>
    <row r="100" spans="1:3" x14ac:dyDescent="0.2">
      <c r="A100">
        <v>76</v>
      </c>
      <c r="B100">
        <v>3623716.4800993274</v>
      </c>
      <c r="C100">
        <v>1262547.5199006726</v>
      </c>
    </row>
    <row r="101" spans="1:3" x14ac:dyDescent="0.2">
      <c r="A101">
        <v>77</v>
      </c>
      <c r="B101">
        <v>3680036.686899018</v>
      </c>
      <c r="C101">
        <v>-12471.686899018008</v>
      </c>
    </row>
    <row r="102" spans="1:3" x14ac:dyDescent="0.2">
      <c r="A102">
        <v>78</v>
      </c>
      <c r="B102">
        <v>3736356.8936987077</v>
      </c>
      <c r="C102">
        <v>-15567.893698707689</v>
      </c>
    </row>
    <row r="103" spans="1:3" x14ac:dyDescent="0.2">
      <c r="A103">
        <v>79</v>
      </c>
      <c r="B103">
        <v>3792677.1004983974</v>
      </c>
      <c r="C103">
        <v>187472.89950160263</v>
      </c>
    </row>
    <row r="104" spans="1:3" x14ac:dyDescent="0.2">
      <c r="A104">
        <v>80</v>
      </c>
      <c r="B104">
        <v>3848997.307298088</v>
      </c>
      <c r="C104">
        <v>1049002.692701912</v>
      </c>
    </row>
    <row r="105" spans="1:3" x14ac:dyDescent="0.2">
      <c r="A105">
        <v>81</v>
      </c>
      <c r="B105">
        <v>3905317.5140977777</v>
      </c>
      <c r="C105">
        <v>-279317.51409777766</v>
      </c>
    </row>
    <row r="106" spans="1:3" x14ac:dyDescent="0.2">
      <c r="A106">
        <v>82</v>
      </c>
      <c r="B106">
        <v>3961637.7208974683</v>
      </c>
      <c r="C106">
        <v>-245637.72089746827</v>
      </c>
    </row>
    <row r="107" spans="1:3" x14ac:dyDescent="0.2">
      <c r="A107">
        <v>83</v>
      </c>
      <c r="B107">
        <v>4017957.927697158</v>
      </c>
      <c r="C107">
        <v>-157957.92769715795</v>
      </c>
    </row>
    <row r="108" spans="1:3" x14ac:dyDescent="0.2">
      <c r="A108">
        <v>84</v>
      </c>
      <c r="B108">
        <v>4074278.1344968476</v>
      </c>
      <c r="C108">
        <v>746721.86550315237</v>
      </c>
    </row>
    <row r="109" spans="1:3" x14ac:dyDescent="0.2">
      <c r="A109">
        <v>85</v>
      </c>
      <c r="B109">
        <v>4130598.3412965382</v>
      </c>
      <c r="C109">
        <v>-689598.34129653824</v>
      </c>
    </row>
    <row r="110" spans="1:3" x14ac:dyDescent="0.2">
      <c r="A110">
        <v>86</v>
      </c>
      <c r="B110">
        <v>4186918.5480962279</v>
      </c>
      <c r="C110">
        <v>-470918.54809622793</v>
      </c>
    </row>
    <row r="111" spans="1:3" x14ac:dyDescent="0.2">
      <c r="A111">
        <v>87</v>
      </c>
      <c r="B111">
        <v>4243238.7548959181</v>
      </c>
      <c r="C111">
        <v>-387238.75489591807</v>
      </c>
    </row>
    <row r="112" spans="1:3" ht="16" thickBot="1" x14ac:dyDescent="0.25">
      <c r="A112" s="8">
        <v>88</v>
      </c>
      <c r="B112" s="8">
        <v>4299558.9616956078</v>
      </c>
      <c r="C112" s="8">
        <v>630441.03830439225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E4884-2882-4441-960E-C252B8F563FD}">
  <dimension ref="A1:T89"/>
  <sheetViews>
    <sheetView topLeftCell="K1" zoomScale="69" zoomScaleNormal="100" workbookViewId="0">
      <selection activeCell="AH3" sqref="AH3"/>
    </sheetView>
  </sheetViews>
  <sheetFormatPr baseColWidth="10" defaultColWidth="8.83203125" defaultRowHeight="16" x14ac:dyDescent="0.2"/>
  <cols>
    <col min="1" max="1" width="11.33203125" style="2" customWidth="1"/>
    <col min="2" max="2" width="19.1640625" style="2" customWidth="1"/>
    <col min="3" max="3" width="14.6640625" style="2" customWidth="1"/>
    <col min="4" max="4" width="17" style="2" customWidth="1"/>
    <col min="5" max="5" width="15.33203125" style="2" customWidth="1"/>
    <col min="6" max="6" width="14.83203125" style="2" customWidth="1"/>
    <col min="7" max="7" width="22.33203125" style="2" customWidth="1"/>
    <col min="8" max="8" width="18.83203125" style="2" customWidth="1"/>
    <col min="9" max="9" width="17" style="2" customWidth="1"/>
    <col min="10" max="10" width="18.83203125" style="2" customWidth="1"/>
    <col min="11" max="11" width="23.5" style="2" customWidth="1"/>
    <col min="12" max="13" width="8.83203125" style="2"/>
    <col min="14" max="14" width="16.6640625" style="2" customWidth="1"/>
    <col min="15" max="15" width="18" style="2" customWidth="1"/>
    <col min="16" max="16" width="15.6640625" style="2" customWidth="1"/>
    <col min="17" max="16384" width="8.83203125" style="2"/>
  </cols>
  <sheetData>
    <row r="1" spans="1:20" ht="17" thickBot="1" x14ac:dyDescent="0.25">
      <c r="A1" s="38" t="s">
        <v>74</v>
      </c>
      <c r="B1" s="38" t="s">
        <v>75</v>
      </c>
      <c r="C1" s="1" t="s">
        <v>4</v>
      </c>
      <c r="D1" s="1" t="s">
        <v>5</v>
      </c>
      <c r="F1" s="38" t="s">
        <v>76</v>
      </c>
      <c r="G1" s="38" t="s">
        <v>77</v>
      </c>
      <c r="H1" s="38" t="s">
        <v>81</v>
      </c>
      <c r="I1" s="38" t="s">
        <v>80</v>
      </c>
      <c r="L1" s="59" t="s">
        <v>79</v>
      </c>
      <c r="M1" s="58" t="s">
        <v>78</v>
      </c>
      <c r="N1" s="54" t="s">
        <v>75</v>
      </c>
      <c r="O1" s="55" t="s">
        <v>5</v>
      </c>
      <c r="P1" s="54" t="s">
        <v>77</v>
      </c>
      <c r="Q1" s="54"/>
      <c r="R1" s="54"/>
      <c r="S1" s="54"/>
      <c r="T1" s="54"/>
    </row>
    <row r="2" spans="1:20" ht="17" thickTop="1" x14ac:dyDescent="0.2">
      <c r="A2" s="2">
        <v>1</v>
      </c>
      <c r="B2" s="2">
        <f>ROUNDUP(MONTH(C2)/3, 0)</f>
        <v>1</v>
      </c>
      <c r="C2" s="3">
        <v>31107</v>
      </c>
      <c r="D2" s="4">
        <v>105715</v>
      </c>
      <c r="H2" s="2" cm="1">
        <f t="array" ref="H2">(_xlfn.IFS(B2=$L$2,$M$2,B2=$L$3,$M$3,B2=$L$4,$M$4,B2=$L$5,$M$5))</f>
        <v>0.86351607763667149</v>
      </c>
      <c r="I2" s="57">
        <f>D2/H2</f>
        <v>122423.89312463976</v>
      </c>
      <c r="L2" s="43">
        <v>1</v>
      </c>
      <c r="M2" s="40">
        <f>T2/100</f>
        <v>0.86351607763667149</v>
      </c>
      <c r="N2" s="2">
        <v>1</v>
      </c>
      <c r="O2" s="4">
        <v>105715</v>
      </c>
      <c r="Q2" s="2">
        <f>COUNT(P2:P23)</f>
        <v>21</v>
      </c>
      <c r="R2" s="2">
        <f>MIN(P2:P23)</f>
        <v>82.248471651367339</v>
      </c>
      <c r="S2" s="2">
        <f>MAX(P2:P23)</f>
        <v>90.392996768030116</v>
      </c>
      <c r="T2" s="2">
        <f>((SUM(P2:P23)-R2-S2)/(Q2-2))</f>
        <v>86.351607763667147</v>
      </c>
    </row>
    <row r="3" spans="1:20" x14ac:dyDescent="0.2">
      <c r="A3" s="2">
        <v>2</v>
      </c>
      <c r="B3" s="2">
        <f t="shared" ref="B3:B66" si="0">ROUNDUP(MONTH(C3)/3, 0)</f>
        <v>2</v>
      </c>
      <c r="C3" s="3">
        <v>31199</v>
      </c>
      <c r="D3" s="4">
        <v>120136</v>
      </c>
      <c r="E3" s="53">
        <f>AVERAGE(D2:D5)</f>
        <v>161833.25</v>
      </c>
      <c r="H3" s="2" cm="1">
        <f t="array" ref="H3">(_xlfn.IFS(B3=$L$2,$M$2,B3=$L$3,$M$3,B3=$L$4,$M$4,B3=$L$5,$M$5))</f>
        <v>0.87571728418620021</v>
      </c>
      <c r="I3" s="57">
        <f t="shared" ref="I3:I66" si="1">D3/H3</f>
        <v>137185.82717211274</v>
      </c>
      <c r="L3" s="43">
        <v>2</v>
      </c>
      <c r="M3" s="40">
        <f>T24/100</f>
        <v>0.87571728418620021</v>
      </c>
      <c r="N3" s="2">
        <v>1</v>
      </c>
      <c r="O3" s="4">
        <v>159980</v>
      </c>
      <c r="P3" s="2">
        <v>83.345977891018023</v>
      </c>
    </row>
    <row r="4" spans="1:20" x14ac:dyDescent="0.2">
      <c r="A4" s="2">
        <v>3</v>
      </c>
      <c r="B4" s="2">
        <f t="shared" si="0"/>
        <v>3</v>
      </c>
      <c r="C4" s="3">
        <v>31291</v>
      </c>
      <c r="D4" s="4">
        <v>181669</v>
      </c>
      <c r="E4" s="53">
        <f t="shared" ref="E4:E67" si="2">AVERAGE(D3:D6)</f>
        <v>175399.5</v>
      </c>
      <c r="F4" s="53">
        <f>AVERAGE(E3:E4)</f>
        <v>168616.375</v>
      </c>
      <c r="G4" s="2">
        <f>(D4/F4)*100</f>
        <v>107.74101862882534</v>
      </c>
      <c r="H4" s="2" cm="1">
        <f t="array" ref="H4">(_xlfn.IFS(B4=$L$2,$M$2,B4=$L$3,$M$3,B4=$L$4,$M$4,B4=$L$5,$M$5))</f>
        <v>1.0219980247878204</v>
      </c>
      <c r="I4" s="57">
        <f t="shared" si="1"/>
        <v>177758.66057834774</v>
      </c>
      <c r="L4" s="43">
        <v>3</v>
      </c>
      <c r="M4" s="40">
        <f>T46/100</f>
        <v>1.0219980247878204</v>
      </c>
      <c r="N4" s="2">
        <v>1</v>
      </c>
      <c r="O4" s="4">
        <v>211060</v>
      </c>
      <c r="P4" s="2">
        <v>86.456594537578468</v>
      </c>
    </row>
    <row r="5" spans="1:20" x14ac:dyDescent="0.2">
      <c r="A5" s="2">
        <v>4</v>
      </c>
      <c r="B5" s="2">
        <f t="shared" si="0"/>
        <v>4</v>
      </c>
      <c r="C5" s="3">
        <v>31382</v>
      </c>
      <c r="D5" s="4">
        <v>239813</v>
      </c>
      <c r="E5" s="53">
        <f t="shared" si="2"/>
        <v>186555.5</v>
      </c>
      <c r="F5" s="53">
        <f t="shared" ref="F5:F68" si="3">AVERAGE(E4:E5)</f>
        <v>180977.5</v>
      </c>
      <c r="G5" s="2">
        <f t="shared" ref="G5:G68" si="4">(D5/F5)*100</f>
        <v>132.50984238372175</v>
      </c>
      <c r="H5" s="2" cm="1">
        <f t="array" ref="H5">(_xlfn.IFS(B5=$L$2,$M$2,B5=$L$3,$M$3,B5=$L$4,$M$4,B5=$L$5,$M$5))</f>
        <v>1.237961846405663</v>
      </c>
      <c r="I5" s="57">
        <f t="shared" si="1"/>
        <v>193715.98623679765</v>
      </c>
      <c r="L5" s="60">
        <v>4</v>
      </c>
      <c r="M5" s="41">
        <f>T68/100</f>
        <v>1.237961846405663</v>
      </c>
      <c r="N5" s="2">
        <v>1</v>
      </c>
      <c r="O5" s="4">
        <v>241348</v>
      </c>
      <c r="P5" s="2">
        <v>82.976521592639827</v>
      </c>
    </row>
    <row r="6" spans="1:20" x14ac:dyDescent="0.2">
      <c r="A6" s="2">
        <v>5</v>
      </c>
      <c r="B6" s="2">
        <f t="shared" si="0"/>
        <v>1</v>
      </c>
      <c r="C6" s="3">
        <v>31472</v>
      </c>
      <c r="D6" s="4">
        <v>159980</v>
      </c>
      <c r="E6" s="53">
        <f t="shared" si="2"/>
        <v>197338.25</v>
      </c>
      <c r="F6" s="53">
        <f t="shared" si="3"/>
        <v>191946.875</v>
      </c>
      <c r="G6" s="2">
        <f t="shared" si="4"/>
        <v>83.345977891018023</v>
      </c>
      <c r="H6" s="2" cm="1">
        <f t="array" ref="H6">(_xlfn.IFS(B6=$L$2,$M$2,B6=$L$3,$M$3,B6=$L$4,$M$4,B6=$L$5,$M$5))</f>
        <v>0.86351607763667149</v>
      </c>
      <c r="I6" s="57">
        <f t="shared" si="1"/>
        <v>185265.80354802884</v>
      </c>
      <c r="N6" s="2">
        <v>1</v>
      </c>
      <c r="O6" s="4">
        <v>309925</v>
      </c>
      <c r="P6" s="2">
        <v>87.075347885225185</v>
      </c>
    </row>
    <row r="7" spans="1:20" x14ac:dyDescent="0.2">
      <c r="A7" s="2">
        <v>6</v>
      </c>
      <c r="B7" s="2">
        <f t="shared" si="0"/>
        <v>2</v>
      </c>
      <c r="C7" s="3">
        <v>31564</v>
      </c>
      <c r="D7" s="4">
        <v>164760</v>
      </c>
      <c r="E7" s="53">
        <f t="shared" si="2"/>
        <v>212002.25</v>
      </c>
      <c r="F7" s="53">
        <f t="shared" si="3"/>
        <v>204670.25</v>
      </c>
      <c r="G7" s="2">
        <f t="shared" si="4"/>
        <v>80.500219255118907</v>
      </c>
      <c r="H7" s="2" cm="1">
        <f t="array" ref="H7">(_xlfn.IFS(B7=$L$2,$M$2,B7=$L$3,$M$3,B7=$L$4,$M$4,B7=$L$5,$M$5))</f>
        <v>0.87571728418620021</v>
      </c>
      <c r="I7" s="57">
        <f t="shared" si="1"/>
        <v>188142.91207362735</v>
      </c>
      <c r="N7" s="2">
        <v>1</v>
      </c>
      <c r="O7" s="4">
        <v>402368</v>
      </c>
      <c r="P7" s="2">
        <v>89.111118431816351</v>
      </c>
    </row>
    <row r="8" spans="1:20" x14ac:dyDescent="0.2">
      <c r="A8" s="2">
        <v>7</v>
      </c>
      <c r="B8" s="2">
        <f t="shared" si="0"/>
        <v>3</v>
      </c>
      <c r="C8" s="3">
        <v>31656</v>
      </c>
      <c r="D8" s="4">
        <v>224800</v>
      </c>
      <c r="E8" s="53">
        <f t="shared" si="2"/>
        <v>224772.25</v>
      </c>
      <c r="F8" s="53">
        <f t="shared" si="3"/>
        <v>218387.25</v>
      </c>
      <c r="G8" s="2">
        <f t="shared" si="4"/>
        <v>102.93641226765757</v>
      </c>
      <c r="H8" s="2" cm="1">
        <f t="array" ref="H8">(_xlfn.IFS(B8=$L$2,$M$2,B8=$L$3,$M$3,B8=$L$4,$M$4,B8=$L$5,$M$5))</f>
        <v>1.0219980247878204</v>
      </c>
      <c r="I8" s="57">
        <f t="shared" si="1"/>
        <v>219961.28617437524</v>
      </c>
      <c r="N8" s="2">
        <v>1</v>
      </c>
      <c r="O8" s="4">
        <v>490300</v>
      </c>
      <c r="P8" s="2">
        <v>87.55540852866109</v>
      </c>
    </row>
    <row r="9" spans="1:20" x14ac:dyDescent="0.2">
      <c r="A9" s="2">
        <v>8</v>
      </c>
      <c r="B9" s="2">
        <f t="shared" si="0"/>
        <v>4</v>
      </c>
      <c r="C9" s="3">
        <v>31747</v>
      </c>
      <c r="D9" s="4">
        <v>298469</v>
      </c>
      <c r="E9" s="53">
        <f t="shared" si="2"/>
        <v>238020.5</v>
      </c>
      <c r="F9" s="53">
        <f t="shared" si="3"/>
        <v>231396.375</v>
      </c>
      <c r="G9" s="2">
        <f t="shared" si="4"/>
        <v>128.986031004159</v>
      </c>
      <c r="H9" s="2" cm="1">
        <f t="array" ref="H9">(_xlfn.IFS(B9=$L$2,$M$2,B9=$L$3,$M$3,B9=$L$4,$M$4,B9=$L$5,$M$5))</f>
        <v>1.237961846405663</v>
      </c>
      <c r="I9" s="57">
        <f t="shared" si="1"/>
        <v>241097.0910505717</v>
      </c>
      <c r="N9" s="2">
        <v>1</v>
      </c>
      <c r="O9" s="4">
        <v>588864</v>
      </c>
      <c r="P9" s="2">
        <v>85.000757821803617</v>
      </c>
    </row>
    <row r="10" spans="1:20" x14ac:dyDescent="0.2">
      <c r="A10" s="2">
        <v>9</v>
      </c>
      <c r="B10" s="2">
        <f t="shared" si="0"/>
        <v>1</v>
      </c>
      <c r="C10" s="3">
        <v>31837</v>
      </c>
      <c r="D10" s="4">
        <v>211060</v>
      </c>
      <c r="E10" s="53">
        <f t="shared" si="2"/>
        <v>250224.5</v>
      </c>
      <c r="F10" s="53">
        <f t="shared" si="3"/>
        <v>244122.5</v>
      </c>
      <c r="G10" s="2">
        <f t="shared" si="4"/>
        <v>86.456594537578468</v>
      </c>
      <c r="H10" s="2" cm="1">
        <f t="array" ref="H10">(_xlfn.IFS(B10=$L$2,$M$2,B10=$L$3,$M$3,B10=$L$4,$M$4,B10=$L$5,$M$5))</f>
        <v>0.86351607763667149</v>
      </c>
      <c r="I10" s="57">
        <f t="shared" si="1"/>
        <v>244419.30551848336</v>
      </c>
      <c r="N10" s="2">
        <v>1</v>
      </c>
      <c r="O10" s="4">
        <v>643580</v>
      </c>
      <c r="P10" s="2">
        <v>82.248471651367339</v>
      </c>
    </row>
    <row r="11" spans="1:20" x14ac:dyDescent="0.2">
      <c r="A11" s="2">
        <v>10</v>
      </c>
      <c r="B11" s="2">
        <f t="shared" si="0"/>
        <v>2</v>
      </c>
      <c r="C11" s="3">
        <v>31929</v>
      </c>
      <c r="D11" s="4">
        <v>217753</v>
      </c>
      <c r="E11" s="53">
        <f t="shared" si="2"/>
        <v>265505.25</v>
      </c>
      <c r="F11" s="53">
        <f t="shared" si="3"/>
        <v>257864.875</v>
      </c>
      <c r="G11" s="2">
        <f t="shared" si="4"/>
        <v>84.444614645558076</v>
      </c>
      <c r="H11" s="2" cm="1">
        <f t="array" ref="H11">(_xlfn.IFS(B11=$L$2,$M$2,B11=$L$3,$M$3,B11=$L$4,$M$4,B11=$L$5,$M$5))</f>
        <v>0.87571728418620021</v>
      </c>
      <c r="I11" s="57">
        <f t="shared" si="1"/>
        <v>248656.73423627444</v>
      </c>
      <c r="N11" s="2">
        <v>1</v>
      </c>
      <c r="O11" s="4">
        <v>751670</v>
      </c>
      <c r="P11" s="2">
        <v>85.210253241954717</v>
      </c>
    </row>
    <row r="12" spans="1:20" x14ac:dyDescent="0.2">
      <c r="A12" s="2">
        <v>11</v>
      </c>
      <c r="B12" s="2">
        <f t="shared" si="0"/>
        <v>3</v>
      </c>
      <c r="C12" s="3">
        <v>32021</v>
      </c>
      <c r="D12" s="4">
        <v>273616</v>
      </c>
      <c r="E12" s="53">
        <f t="shared" si="2"/>
        <v>273077.25</v>
      </c>
      <c r="F12" s="53">
        <f t="shared" si="3"/>
        <v>269291.25</v>
      </c>
      <c r="G12" s="2">
        <f t="shared" si="4"/>
        <v>101.6059749434859</v>
      </c>
      <c r="H12" s="2" cm="1">
        <f t="array" ref="H12">(_xlfn.IFS(B12=$L$2,$M$2,B12=$L$3,$M$3,B12=$L$4,$M$4,B12=$L$5,$M$5))</f>
        <v>1.0219980247878204</v>
      </c>
      <c r="I12" s="57">
        <f t="shared" si="1"/>
        <v>267726.54483046196</v>
      </c>
      <c r="N12" s="2">
        <v>1</v>
      </c>
      <c r="O12" s="4">
        <v>848688</v>
      </c>
      <c r="P12" s="2">
        <v>84.887262979698079</v>
      </c>
    </row>
    <row r="13" spans="1:20" x14ac:dyDescent="0.2">
      <c r="A13" s="2">
        <v>12</v>
      </c>
      <c r="B13" s="2">
        <f t="shared" si="0"/>
        <v>4</v>
      </c>
      <c r="C13" s="3">
        <v>32112</v>
      </c>
      <c r="D13" s="4">
        <v>359592</v>
      </c>
      <c r="E13" s="53">
        <f t="shared" si="2"/>
        <v>284721</v>
      </c>
      <c r="F13" s="53">
        <f t="shared" si="3"/>
        <v>278899.125</v>
      </c>
      <c r="G13" s="2">
        <f t="shared" si="4"/>
        <v>128.93263827916277</v>
      </c>
      <c r="H13" s="2" cm="1">
        <f t="array" ref="H13">(_xlfn.IFS(B13=$L$2,$M$2,B13=$L$3,$M$3,B13=$L$4,$M$4,B13=$L$5,$M$5))</f>
        <v>1.237961846405663</v>
      </c>
      <c r="I13" s="57">
        <f t="shared" si="1"/>
        <v>290470.9874896796</v>
      </c>
      <c r="N13" s="2">
        <v>1</v>
      </c>
      <c r="O13" s="4">
        <v>1113150</v>
      </c>
      <c r="P13" s="2">
        <v>88.607632721899677</v>
      </c>
    </row>
    <row r="14" spans="1:20" x14ac:dyDescent="0.2">
      <c r="A14" s="2">
        <v>13</v>
      </c>
      <c r="B14" s="2">
        <f t="shared" si="0"/>
        <v>1</v>
      </c>
      <c r="C14" s="3">
        <v>32203</v>
      </c>
      <c r="D14" s="4">
        <v>241348</v>
      </c>
      <c r="E14" s="53">
        <f t="shared" si="2"/>
        <v>297005</v>
      </c>
      <c r="F14" s="53">
        <f t="shared" si="3"/>
        <v>290863</v>
      </c>
      <c r="G14" s="2">
        <f t="shared" si="4"/>
        <v>82.976521592639827</v>
      </c>
      <c r="H14" s="2" cm="1">
        <f t="array" ref="H14">(_xlfn.IFS(B14=$L$2,$M$2,B14=$L$3,$M$3,B14=$L$4,$M$4,B14=$L$5,$M$5))</f>
        <v>0.86351607763667149</v>
      </c>
      <c r="I14" s="57">
        <f t="shared" si="1"/>
        <v>279494.5065302517</v>
      </c>
      <c r="N14" s="2">
        <v>1</v>
      </c>
      <c r="O14" s="4">
        <v>1231186</v>
      </c>
      <c r="P14" s="2">
        <v>84.635386837765637</v>
      </c>
    </row>
    <row r="15" spans="1:20" x14ac:dyDescent="0.2">
      <c r="A15" s="2">
        <v>14</v>
      </c>
      <c r="B15" s="2">
        <f t="shared" si="0"/>
        <v>2</v>
      </c>
      <c r="C15" s="3">
        <v>32295</v>
      </c>
      <c r="D15" s="4">
        <v>264328</v>
      </c>
      <c r="E15" s="53">
        <f t="shared" si="2"/>
        <v>313024.25</v>
      </c>
      <c r="F15" s="53">
        <f t="shared" si="3"/>
        <v>305014.625</v>
      </c>
      <c r="G15" s="2">
        <f t="shared" si="4"/>
        <v>86.660762578187843</v>
      </c>
      <c r="H15" s="2" cm="1">
        <f t="array" ref="H15">(_xlfn.IFS(B15=$L$2,$M$2,B15=$L$3,$M$3,B15=$L$4,$M$4,B15=$L$5,$M$5))</f>
        <v>0.87571728418620021</v>
      </c>
      <c r="I15" s="57">
        <f t="shared" si="1"/>
        <v>301841.70710486628</v>
      </c>
      <c r="N15" s="2">
        <v>1</v>
      </c>
      <c r="O15" s="4">
        <v>1719712</v>
      </c>
      <c r="P15" s="2">
        <v>87.371747310344404</v>
      </c>
    </row>
    <row r="16" spans="1:20" x14ac:dyDescent="0.2">
      <c r="A16" s="2">
        <v>15</v>
      </c>
      <c r="B16" s="2">
        <f t="shared" si="0"/>
        <v>3</v>
      </c>
      <c r="C16" s="3">
        <v>32387</v>
      </c>
      <c r="D16" s="4">
        <v>322752</v>
      </c>
      <c r="E16" s="53">
        <f t="shared" si="2"/>
        <v>330168.5</v>
      </c>
      <c r="F16" s="53">
        <f t="shared" si="3"/>
        <v>321596.375</v>
      </c>
      <c r="G16" s="2">
        <f t="shared" si="4"/>
        <v>100.35934018223931</v>
      </c>
      <c r="H16" s="2" cm="1">
        <f t="array" ref="H16">(_xlfn.IFS(B16=$L$2,$M$2,B16=$L$3,$M$3,B16=$L$4,$M$4,B16=$L$5,$M$5))</f>
        <v>1.0219980247878204</v>
      </c>
      <c r="I16" s="57">
        <f t="shared" si="1"/>
        <v>315804.91563768662</v>
      </c>
      <c r="N16" s="2">
        <v>1</v>
      </c>
      <c r="O16" s="4">
        <v>2277734</v>
      </c>
      <c r="P16" s="2">
        <v>86.90642617966931</v>
      </c>
    </row>
    <row r="17" spans="1:20" x14ac:dyDescent="0.2">
      <c r="A17" s="2">
        <v>16</v>
      </c>
      <c r="B17" s="2">
        <f t="shared" si="0"/>
        <v>4</v>
      </c>
      <c r="C17" s="3">
        <v>32478</v>
      </c>
      <c r="D17" s="4">
        <v>423669</v>
      </c>
      <c r="E17" s="53">
        <f t="shared" si="2"/>
        <v>345571.25</v>
      </c>
      <c r="F17" s="53">
        <f t="shared" si="3"/>
        <v>337869.875</v>
      </c>
      <c r="G17" s="2">
        <f t="shared" si="4"/>
        <v>125.39413287437952</v>
      </c>
      <c r="H17" s="2" cm="1">
        <f t="array" ref="H17">(_xlfn.IFS(B17=$L$2,$M$2,B17=$L$3,$M$3,B17=$L$4,$M$4,B17=$L$5,$M$5))</f>
        <v>1.237961846405663</v>
      </c>
      <c r="I17" s="57">
        <f t="shared" si="1"/>
        <v>342231.06409142882</v>
      </c>
      <c r="N17" s="2">
        <v>1</v>
      </c>
      <c r="O17" s="4">
        <v>2731990</v>
      </c>
      <c r="P17" s="2">
        <v>85.584168124009778</v>
      </c>
    </row>
    <row r="18" spans="1:20" x14ac:dyDescent="0.2">
      <c r="A18" s="2">
        <v>17</v>
      </c>
      <c r="B18" s="2">
        <f t="shared" si="0"/>
        <v>1</v>
      </c>
      <c r="C18" s="3">
        <v>32568</v>
      </c>
      <c r="D18" s="4">
        <v>309925</v>
      </c>
      <c r="E18" s="53">
        <f t="shared" si="2"/>
        <v>366283.5</v>
      </c>
      <c r="F18" s="53">
        <f t="shared" si="3"/>
        <v>355927.375</v>
      </c>
      <c r="G18" s="2">
        <f t="shared" si="4"/>
        <v>87.075347885225185</v>
      </c>
      <c r="H18" s="2" cm="1">
        <f t="array" ref="H18">(_xlfn.IFS(B18=$L$2,$M$2,B18=$L$3,$M$3,B18=$L$4,$M$4,B18=$L$5,$M$5))</f>
        <v>0.86351607763667149</v>
      </c>
      <c r="I18" s="57">
        <f t="shared" si="1"/>
        <v>358910.51484324812</v>
      </c>
      <c r="N18" s="2">
        <v>1</v>
      </c>
      <c r="O18" s="4">
        <v>3179656</v>
      </c>
      <c r="P18" s="2">
        <v>88.459024869516639</v>
      </c>
    </row>
    <row r="19" spans="1:20" x14ac:dyDescent="0.2">
      <c r="A19" s="2">
        <v>18</v>
      </c>
      <c r="B19" s="2">
        <f t="shared" si="0"/>
        <v>2</v>
      </c>
      <c r="C19" s="3">
        <v>32660</v>
      </c>
      <c r="D19" s="4">
        <v>325939</v>
      </c>
      <c r="E19" s="53">
        <f t="shared" si="2"/>
        <v>396649</v>
      </c>
      <c r="F19" s="53">
        <f t="shared" si="3"/>
        <v>381466.25</v>
      </c>
      <c r="G19" s="2">
        <f t="shared" si="4"/>
        <v>85.443731915995187</v>
      </c>
      <c r="H19" s="2" cm="1">
        <f t="array" ref="H19">(_xlfn.IFS(B19=$L$2,$M$2,B19=$L$3,$M$3,B19=$L$4,$M$4,B19=$L$5,$M$5))</f>
        <v>0.87571728418620021</v>
      </c>
      <c r="I19" s="57">
        <f t="shared" si="1"/>
        <v>372196.6048699079</v>
      </c>
      <c r="N19" s="2">
        <v>1</v>
      </c>
      <c r="O19" s="4">
        <v>2890840</v>
      </c>
      <c r="P19" s="2">
        <v>84.170998436191866</v>
      </c>
    </row>
    <row r="20" spans="1:20" x14ac:dyDescent="0.2">
      <c r="A20" s="2">
        <v>19</v>
      </c>
      <c r="B20" s="2">
        <f t="shared" si="0"/>
        <v>3</v>
      </c>
      <c r="C20" s="3">
        <v>32752</v>
      </c>
      <c r="D20" s="4">
        <v>405601</v>
      </c>
      <c r="E20" s="53">
        <f t="shared" si="2"/>
        <v>419759.75</v>
      </c>
      <c r="F20" s="53">
        <f t="shared" si="3"/>
        <v>408204.375</v>
      </c>
      <c r="G20" s="2">
        <f t="shared" si="4"/>
        <v>99.362237359655936</v>
      </c>
      <c r="H20" s="2" cm="1">
        <f t="array" ref="H20">(_xlfn.IFS(B20=$L$2,$M$2,B20=$L$3,$M$3,B20=$L$4,$M$4,B20=$L$5,$M$5))</f>
        <v>1.0219980247878204</v>
      </c>
      <c r="I20" s="57">
        <f t="shared" si="1"/>
        <v>396870.63004276145</v>
      </c>
      <c r="N20" s="2">
        <v>1</v>
      </c>
      <c r="O20" s="4">
        <v>3352771</v>
      </c>
      <c r="P20" s="2">
        <v>86.657973569192833</v>
      </c>
    </row>
    <row r="21" spans="1:20" x14ac:dyDescent="0.2">
      <c r="A21" s="2">
        <v>20</v>
      </c>
      <c r="B21" s="2">
        <f t="shared" si="0"/>
        <v>4</v>
      </c>
      <c r="C21" s="3">
        <v>32843</v>
      </c>
      <c r="D21" s="4">
        <v>545131</v>
      </c>
      <c r="E21" s="53">
        <f t="shared" si="2"/>
        <v>439524</v>
      </c>
      <c r="F21" s="53">
        <f t="shared" si="3"/>
        <v>429641.875</v>
      </c>
      <c r="G21" s="2">
        <f t="shared" si="4"/>
        <v>126.8803232925096</v>
      </c>
      <c r="H21" s="2" cm="1">
        <f t="array" ref="H21">(_xlfn.IFS(B21=$L$2,$M$2,B21=$L$3,$M$3,B21=$L$4,$M$4,B21=$L$5,$M$5))</f>
        <v>1.237961846405663</v>
      </c>
      <c r="I21" s="57">
        <f t="shared" si="1"/>
        <v>440345.5579691332</v>
      </c>
      <c r="N21" s="2">
        <v>1</v>
      </c>
      <c r="O21" s="4">
        <v>3667565</v>
      </c>
      <c r="P21" s="2">
        <v>90.392996768030116</v>
      </c>
    </row>
    <row r="22" spans="1:20" x14ac:dyDescent="0.2">
      <c r="A22" s="2">
        <v>21</v>
      </c>
      <c r="B22" s="2">
        <f t="shared" si="0"/>
        <v>1</v>
      </c>
      <c r="C22" s="3">
        <v>32933</v>
      </c>
      <c r="D22" s="4">
        <v>402368</v>
      </c>
      <c r="E22" s="53">
        <f t="shared" si="2"/>
        <v>463546.25</v>
      </c>
      <c r="F22" s="53">
        <f t="shared" si="3"/>
        <v>451535.125</v>
      </c>
      <c r="G22" s="2">
        <f t="shared" si="4"/>
        <v>89.111118431816351</v>
      </c>
      <c r="H22" s="2" cm="1">
        <f t="array" ref="H22">(_xlfn.IFS(B22=$L$2,$M$2,B22=$L$3,$M$3,B22=$L$4,$M$4,B22=$L$5,$M$5))</f>
        <v>0.86351607763667149</v>
      </c>
      <c r="I22" s="57">
        <f t="shared" si="1"/>
        <v>465964.68834862649</v>
      </c>
      <c r="N22" s="2">
        <v>1</v>
      </c>
      <c r="O22" s="4">
        <v>3626000</v>
      </c>
      <c r="P22" s="2">
        <v>89.752058700222619</v>
      </c>
    </row>
    <row r="23" spans="1:20" x14ac:dyDescent="0.2">
      <c r="A23" s="2">
        <v>22</v>
      </c>
      <c r="B23" s="2">
        <f t="shared" si="0"/>
        <v>2</v>
      </c>
      <c r="C23" s="3">
        <v>33025</v>
      </c>
      <c r="D23" s="4">
        <v>404996</v>
      </c>
      <c r="E23" s="53">
        <f t="shared" si="2"/>
        <v>483445</v>
      </c>
      <c r="F23" s="53">
        <f t="shared" si="3"/>
        <v>473495.625</v>
      </c>
      <c r="G23" s="2">
        <f t="shared" si="4"/>
        <v>85.53320846417536</v>
      </c>
      <c r="H23" s="2" cm="1">
        <f t="array" ref="H23">(_xlfn.IFS(B23=$L$2,$M$2,B23=$L$3,$M$3,B23=$L$4,$M$4,B23=$L$5,$M$5))</f>
        <v>0.87571728418620021</v>
      </c>
      <c r="I23" s="57">
        <f t="shared" si="1"/>
        <v>462473.45726008003</v>
      </c>
      <c r="N23" s="54">
        <v>1</v>
      </c>
      <c r="O23" s="56">
        <v>3441000</v>
      </c>
      <c r="P23" s="54">
        <v>86.915887850467286</v>
      </c>
      <c r="Q23" s="54"/>
      <c r="R23" s="54"/>
      <c r="S23" s="54"/>
      <c r="T23" s="54"/>
    </row>
    <row r="24" spans="1:20" x14ac:dyDescent="0.2">
      <c r="A24" s="2">
        <v>23</v>
      </c>
      <c r="B24" s="2">
        <f t="shared" si="0"/>
        <v>3</v>
      </c>
      <c r="C24" s="3">
        <v>33117</v>
      </c>
      <c r="D24" s="4">
        <v>501690</v>
      </c>
      <c r="E24" s="53">
        <f t="shared" si="2"/>
        <v>505428</v>
      </c>
      <c r="F24" s="53">
        <f t="shared" si="3"/>
        <v>494436.5</v>
      </c>
      <c r="G24" s="2">
        <f t="shared" si="4"/>
        <v>101.46702357127762</v>
      </c>
      <c r="H24" s="2" cm="1">
        <f t="array" ref="H24">(_xlfn.IFS(B24=$L$2,$M$2,B24=$L$3,$M$3,B24=$L$4,$M$4,B24=$L$5,$M$5))</f>
        <v>1.0219980247878204</v>
      </c>
      <c r="I24" s="57">
        <f t="shared" si="1"/>
        <v>490891.35970116686</v>
      </c>
      <c r="N24" s="2">
        <v>2</v>
      </c>
      <c r="O24" s="4">
        <v>120136</v>
      </c>
      <c r="Q24" s="2">
        <f>COUNT(P24:P45)</f>
        <v>21</v>
      </c>
      <c r="R24" s="2">
        <f>MIN(P24:P45)</f>
        <v>80.500219255118907</v>
      </c>
      <c r="S24" s="2">
        <f>MAX(P24:P45)</f>
        <v>93.678402842915204</v>
      </c>
      <c r="T24" s="2">
        <f>((SUM(P24:P45)-R24-S24)/(Q24-2))</f>
        <v>87.571728418620026</v>
      </c>
    </row>
    <row r="25" spans="1:20" x14ac:dyDescent="0.2">
      <c r="A25" s="2">
        <v>24</v>
      </c>
      <c r="B25" s="2">
        <f t="shared" si="0"/>
        <v>4</v>
      </c>
      <c r="C25" s="3">
        <v>33208</v>
      </c>
      <c r="D25" s="4">
        <v>624726</v>
      </c>
      <c r="E25" s="53">
        <f t="shared" si="2"/>
        <v>534943</v>
      </c>
      <c r="F25" s="53">
        <f t="shared" si="3"/>
        <v>520185.5</v>
      </c>
      <c r="G25" s="2">
        <f t="shared" si="4"/>
        <v>120.0967731703402</v>
      </c>
      <c r="H25" s="2" cm="1">
        <f t="array" ref="H25">(_xlfn.IFS(B25=$L$2,$M$2,B25=$L$3,$M$3,B25=$L$4,$M$4,B25=$L$5,$M$5))</f>
        <v>1.237961846405663</v>
      </c>
      <c r="I25" s="57">
        <f t="shared" si="1"/>
        <v>504640.75432845444</v>
      </c>
      <c r="N25" s="2">
        <v>2</v>
      </c>
      <c r="O25" s="4">
        <v>164760</v>
      </c>
      <c r="P25" s="2">
        <v>80.500219255118907</v>
      </c>
    </row>
    <row r="26" spans="1:20" x14ac:dyDescent="0.2">
      <c r="A26" s="2">
        <v>25</v>
      </c>
      <c r="B26" s="2">
        <f t="shared" si="0"/>
        <v>1</v>
      </c>
      <c r="C26" s="3">
        <v>33298</v>
      </c>
      <c r="D26" s="4">
        <v>490300</v>
      </c>
      <c r="E26" s="53">
        <f t="shared" si="2"/>
        <v>585033.5</v>
      </c>
      <c r="F26" s="53">
        <f t="shared" si="3"/>
        <v>559988.25</v>
      </c>
      <c r="G26" s="2">
        <f t="shared" si="4"/>
        <v>87.55540852866109</v>
      </c>
      <c r="H26" s="2" cm="1">
        <f t="array" ref="H26">(_xlfn.IFS(B26=$L$2,$M$2,B26=$L$3,$M$3,B26=$L$4,$M$4,B26=$L$5,$M$5))</f>
        <v>0.86351607763667149</v>
      </c>
      <c r="I26" s="57">
        <f t="shared" si="1"/>
        <v>567794.8711063792</v>
      </c>
      <c r="N26" s="2">
        <v>2</v>
      </c>
      <c r="O26" s="4">
        <v>217753</v>
      </c>
      <c r="P26" s="2">
        <v>84.444614645558076</v>
      </c>
    </row>
    <row r="27" spans="1:20" x14ac:dyDescent="0.2">
      <c r="A27" s="2">
        <v>26</v>
      </c>
      <c r="B27" s="2">
        <f t="shared" si="0"/>
        <v>2</v>
      </c>
      <c r="C27" s="3">
        <v>33390</v>
      </c>
      <c r="D27" s="4">
        <v>523056</v>
      </c>
      <c r="E27" s="53">
        <f t="shared" si="2"/>
        <v>629723.25</v>
      </c>
      <c r="F27" s="53">
        <f t="shared" si="3"/>
        <v>607378.375</v>
      </c>
      <c r="G27" s="2">
        <f t="shared" si="4"/>
        <v>86.116994204806858</v>
      </c>
      <c r="H27" s="2" cm="1">
        <f t="array" ref="H27">(_xlfn.IFS(B27=$L$2,$M$2,B27=$L$3,$M$3,B27=$L$4,$M$4,B27=$L$5,$M$5))</f>
        <v>0.87571728418620021</v>
      </c>
      <c r="I27" s="57">
        <f t="shared" si="1"/>
        <v>597288.65633395989</v>
      </c>
      <c r="N27" s="2">
        <v>2</v>
      </c>
      <c r="O27" s="4">
        <v>264328</v>
      </c>
      <c r="P27" s="2">
        <v>86.660762578187843</v>
      </c>
    </row>
    <row r="28" spans="1:20" x14ac:dyDescent="0.2">
      <c r="A28" s="2">
        <v>27</v>
      </c>
      <c r="B28" s="2">
        <f t="shared" si="0"/>
        <v>3</v>
      </c>
      <c r="C28" s="3">
        <v>33482</v>
      </c>
      <c r="D28" s="4">
        <v>702052</v>
      </c>
      <c r="E28" s="53">
        <f t="shared" si="2"/>
        <v>654364.25</v>
      </c>
      <c r="F28" s="53">
        <f t="shared" si="3"/>
        <v>642043.75</v>
      </c>
      <c r="G28" s="2">
        <f t="shared" si="4"/>
        <v>109.34644251267925</v>
      </c>
      <c r="H28" s="2" cm="1">
        <f t="array" ref="H28">(_xlfn.IFS(B28=$L$2,$M$2,B28=$L$3,$M$3,B28=$L$4,$M$4,B28=$L$5,$M$5))</f>
        <v>1.0219980247878204</v>
      </c>
      <c r="I28" s="57">
        <f t="shared" si="1"/>
        <v>686940.66228332953</v>
      </c>
      <c r="N28" s="2">
        <v>2</v>
      </c>
      <c r="O28" s="4">
        <v>325939</v>
      </c>
      <c r="P28" s="2">
        <v>85.443731915995187</v>
      </c>
    </row>
    <row r="29" spans="1:20" x14ac:dyDescent="0.2">
      <c r="A29" s="2">
        <v>28</v>
      </c>
      <c r="B29" s="2">
        <f t="shared" si="0"/>
        <v>4</v>
      </c>
      <c r="C29" s="3">
        <v>33573</v>
      </c>
      <c r="D29" s="4">
        <v>803485</v>
      </c>
      <c r="E29" s="53">
        <f t="shared" si="2"/>
        <v>677128.75</v>
      </c>
      <c r="F29" s="53">
        <f t="shared" si="3"/>
        <v>665746.5</v>
      </c>
      <c r="G29" s="2">
        <f t="shared" si="4"/>
        <v>120.6893314497335</v>
      </c>
      <c r="H29" s="2" cm="1">
        <f t="array" ref="H29">(_xlfn.IFS(B29=$L$2,$M$2,B29=$L$3,$M$3,B29=$L$4,$M$4,B29=$L$5,$M$5))</f>
        <v>1.237961846405663</v>
      </c>
      <c r="I29" s="57">
        <f t="shared" si="1"/>
        <v>649038.58090042393</v>
      </c>
      <c r="N29" s="2">
        <v>2</v>
      </c>
      <c r="O29" s="4">
        <v>404996</v>
      </c>
      <c r="P29" s="2">
        <v>85.53320846417536</v>
      </c>
    </row>
    <row r="30" spans="1:20" x14ac:dyDescent="0.2">
      <c r="A30" s="2">
        <v>29</v>
      </c>
      <c r="B30" s="2">
        <f t="shared" si="0"/>
        <v>1</v>
      </c>
      <c r="C30" s="3">
        <v>33664</v>
      </c>
      <c r="D30" s="4">
        <v>588864</v>
      </c>
      <c r="E30" s="53">
        <f t="shared" si="2"/>
        <v>708421.25</v>
      </c>
      <c r="F30" s="53">
        <f t="shared" si="3"/>
        <v>692775</v>
      </c>
      <c r="G30" s="2">
        <f t="shared" si="4"/>
        <v>85.000757821803617</v>
      </c>
      <c r="H30" s="2" cm="1">
        <f t="array" ref="H30">(_xlfn.IFS(B30=$L$2,$M$2,B30=$L$3,$M$3,B30=$L$4,$M$4,B30=$L$5,$M$5))</f>
        <v>0.86351607763667149</v>
      </c>
      <c r="I30" s="57">
        <f t="shared" si="1"/>
        <v>681937.50556636113</v>
      </c>
      <c r="N30" s="2">
        <v>2</v>
      </c>
      <c r="O30" s="4">
        <v>523056</v>
      </c>
      <c r="P30" s="2">
        <v>86.116994204806858</v>
      </c>
    </row>
    <row r="31" spans="1:20" x14ac:dyDescent="0.2">
      <c r="A31" s="2">
        <v>30</v>
      </c>
      <c r="B31" s="2">
        <f t="shared" si="0"/>
        <v>2</v>
      </c>
      <c r="C31" s="3">
        <v>33756</v>
      </c>
      <c r="D31" s="4">
        <v>614114</v>
      </c>
      <c r="E31" s="53">
        <f t="shared" si="2"/>
        <v>740102.25</v>
      </c>
      <c r="F31" s="53">
        <f t="shared" si="3"/>
        <v>724261.75</v>
      </c>
      <c r="G31" s="2">
        <f t="shared" si="4"/>
        <v>84.791720672809248</v>
      </c>
      <c r="H31" s="2" cm="1">
        <f t="array" ref="H31">(_xlfn.IFS(B31=$L$2,$M$2,B31=$L$3,$M$3,B31=$L$4,$M$4,B31=$L$5,$M$5))</f>
        <v>0.87571728418620021</v>
      </c>
      <c r="I31" s="57">
        <f t="shared" si="1"/>
        <v>701269.70323612273</v>
      </c>
      <c r="N31" s="2">
        <v>2</v>
      </c>
      <c r="O31" s="4">
        <v>614114</v>
      </c>
      <c r="P31" s="2">
        <v>84.791720672809248</v>
      </c>
    </row>
    <row r="32" spans="1:20" x14ac:dyDescent="0.2">
      <c r="A32" s="2">
        <v>31</v>
      </c>
      <c r="B32" s="2">
        <f t="shared" si="0"/>
        <v>3</v>
      </c>
      <c r="C32" s="3">
        <v>33848</v>
      </c>
      <c r="D32" s="4">
        <v>827222</v>
      </c>
      <c r="E32" s="53">
        <f t="shared" si="2"/>
        <v>753781.25</v>
      </c>
      <c r="F32" s="53">
        <f t="shared" si="3"/>
        <v>746941.75</v>
      </c>
      <c r="G32" s="2">
        <f t="shared" si="4"/>
        <v>110.74785952184357</v>
      </c>
      <c r="H32" s="2" cm="1">
        <f t="array" ref="H32">(_xlfn.IFS(B32=$L$2,$M$2,B32=$L$3,$M$3,B32=$L$4,$M$4,B32=$L$5,$M$5))</f>
        <v>1.0219980247878204</v>
      </c>
      <c r="I32" s="57">
        <f t="shared" si="1"/>
        <v>809416.43715186405</v>
      </c>
      <c r="N32" s="2">
        <v>2</v>
      </c>
      <c r="O32" s="4">
        <v>693192</v>
      </c>
      <c r="P32" s="2">
        <v>85.826447374591353</v>
      </c>
    </row>
    <row r="33" spans="1:20" x14ac:dyDescent="0.2">
      <c r="A33" s="2">
        <v>32</v>
      </c>
      <c r="B33" s="2">
        <f t="shared" si="0"/>
        <v>4</v>
      </c>
      <c r="C33" s="3">
        <v>33939</v>
      </c>
      <c r="D33" s="4">
        <v>930209</v>
      </c>
      <c r="E33" s="53">
        <f t="shared" si="2"/>
        <v>773550.75</v>
      </c>
      <c r="F33" s="53">
        <f t="shared" si="3"/>
        <v>763666</v>
      </c>
      <c r="G33" s="2">
        <f t="shared" si="4"/>
        <v>121.80835600904061</v>
      </c>
      <c r="H33" s="2" cm="1">
        <f t="array" ref="H33">(_xlfn.IFS(B33=$L$2,$M$2,B33=$L$3,$M$3,B33=$L$4,$M$4,B33=$L$5,$M$5))</f>
        <v>1.237961846405663</v>
      </c>
      <c r="I33" s="57">
        <f t="shared" si="1"/>
        <v>751403.6096514588</v>
      </c>
      <c r="N33" s="2">
        <v>2</v>
      </c>
      <c r="O33" s="4">
        <v>773131</v>
      </c>
      <c r="P33" s="2">
        <v>84.769487716674476</v>
      </c>
    </row>
    <row r="34" spans="1:20" x14ac:dyDescent="0.2">
      <c r="A34" s="2">
        <v>33</v>
      </c>
      <c r="B34" s="2">
        <f t="shared" si="0"/>
        <v>1</v>
      </c>
      <c r="C34" s="3">
        <v>34029</v>
      </c>
      <c r="D34" s="4">
        <v>643580</v>
      </c>
      <c r="E34" s="53">
        <f t="shared" si="2"/>
        <v>791414.5</v>
      </c>
      <c r="F34" s="53">
        <f t="shared" si="3"/>
        <v>782482.625</v>
      </c>
      <c r="G34" s="2">
        <f t="shared" si="4"/>
        <v>82.248471651367339</v>
      </c>
      <c r="H34" s="2" cm="1">
        <f t="array" ref="H34">(_xlfn.IFS(B34=$L$2,$M$2,B34=$L$3,$M$3,B34=$L$4,$M$4,B34=$L$5,$M$5))</f>
        <v>0.86351607763667149</v>
      </c>
      <c r="I34" s="57">
        <f t="shared" si="1"/>
        <v>745301.69925890991</v>
      </c>
      <c r="N34" s="2">
        <v>2</v>
      </c>
      <c r="O34" s="4">
        <v>868514</v>
      </c>
      <c r="P34" s="2">
        <v>81.95292995873875</v>
      </c>
    </row>
    <row r="35" spans="1:20" x14ac:dyDescent="0.2">
      <c r="A35" s="2">
        <v>34</v>
      </c>
      <c r="B35" s="2">
        <f t="shared" si="0"/>
        <v>2</v>
      </c>
      <c r="C35" s="3">
        <v>34121</v>
      </c>
      <c r="D35" s="4">
        <v>693192</v>
      </c>
      <c r="E35" s="53">
        <f t="shared" si="2"/>
        <v>823919.75</v>
      </c>
      <c r="F35" s="53">
        <f t="shared" si="3"/>
        <v>807667.125</v>
      </c>
      <c r="G35" s="2">
        <f t="shared" si="4"/>
        <v>85.826447374591353</v>
      </c>
      <c r="H35" s="2" cm="1">
        <f t="array" ref="H35">(_xlfn.IFS(B35=$L$2,$M$2,B35=$L$3,$M$3,B35=$L$4,$M$4,B35=$L$5,$M$5))</f>
        <v>0.87571728418620021</v>
      </c>
      <c r="I35" s="57">
        <f t="shared" si="1"/>
        <v>791570.53596832906</v>
      </c>
      <c r="N35" s="2">
        <v>2</v>
      </c>
      <c r="O35" s="4">
        <v>1120340</v>
      </c>
      <c r="P35" s="2">
        <v>85.989830183248586</v>
      </c>
    </row>
    <row r="36" spans="1:20" x14ac:dyDescent="0.2">
      <c r="A36" s="2">
        <v>35</v>
      </c>
      <c r="B36" s="2">
        <f t="shared" si="0"/>
        <v>3</v>
      </c>
      <c r="C36" s="3">
        <v>34213</v>
      </c>
      <c r="D36" s="4">
        <v>898677</v>
      </c>
      <c r="E36" s="53">
        <f t="shared" si="2"/>
        <v>850942.25</v>
      </c>
      <c r="F36" s="53">
        <f t="shared" si="3"/>
        <v>837431</v>
      </c>
      <c r="G36" s="2">
        <f t="shared" si="4"/>
        <v>107.31355777371509</v>
      </c>
      <c r="H36" s="2" cm="1">
        <f t="array" ref="H36">(_xlfn.IFS(B36=$L$2,$M$2,B36=$L$3,$M$3,B36=$L$4,$M$4,B36=$L$5,$M$5))</f>
        <v>1.0219980247878204</v>
      </c>
      <c r="I36" s="57">
        <f t="shared" si="1"/>
        <v>879333.40202548495</v>
      </c>
      <c r="N36" s="2">
        <v>2</v>
      </c>
      <c r="O36" s="4">
        <v>1345221</v>
      </c>
      <c r="P36" s="2">
        <v>85.969859094104834</v>
      </c>
    </row>
    <row r="37" spans="1:20" x14ac:dyDescent="0.2">
      <c r="A37" s="2">
        <v>36</v>
      </c>
      <c r="B37" s="2">
        <f t="shared" si="0"/>
        <v>4</v>
      </c>
      <c r="C37" s="3">
        <v>34304</v>
      </c>
      <c r="D37" s="4">
        <v>1060230</v>
      </c>
      <c r="E37" s="53">
        <f t="shared" si="2"/>
        <v>870927</v>
      </c>
      <c r="F37" s="53">
        <f t="shared" si="3"/>
        <v>860934.625</v>
      </c>
      <c r="G37" s="2">
        <f t="shared" si="4"/>
        <v>123.14872340045564</v>
      </c>
      <c r="H37" s="2" cm="1">
        <f t="array" ref="H37">(_xlfn.IFS(B37=$L$2,$M$2,B37=$L$3,$M$3,B37=$L$4,$M$4,B37=$L$5,$M$5))</f>
        <v>1.237961846405663</v>
      </c>
      <c r="I37" s="57">
        <f t="shared" si="1"/>
        <v>856431.88687785878</v>
      </c>
      <c r="N37" s="2">
        <v>2</v>
      </c>
      <c r="O37" s="4">
        <v>1904970</v>
      </c>
      <c r="P37" s="2">
        <v>88.374391829345669</v>
      </c>
    </row>
    <row r="38" spans="1:20" x14ac:dyDescent="0.2">
      <c r="A38" s="2">
        <v>37</v>
      </c>
      <c r="B38" s="2">
        <f t="shared" si="0"/>
        <v>1</v>
      </c>
      <c r="C38" s="3">
        <v>34394</v>
      </c>
      <c r="D38" s="4">
        <v>751670</v>
      </c>
      <c r="E38" s="53">
        <f t="shared" si="2"/>
        <v>893344.25</v>
      </c>
      <c r="F38" s="53">
        <f t="shared" si="3"/>
        <v>882135.625</v>
      </c>
      <c r="G38" s="2">
        <f t="shared" si="4"/>
        <v>85.210253241954717</v>
      </c>
      <c r="H38" s="2" cm="1">
        <f t="array" ref="H38">(_xlfn.IFS(B38=$L$2,$M$2,B38=$L$3,$M$3,B38=$L$4,$M$4,B38=$L$5,$M$5))</f>
        <v>0.86351607763667149</v>
      </c>
      <c r="I38" s="57">
        <f t="shared" si="1"/>
        <v>870475.97545284929</v>
      </c>
      <c r="N38" s="2">
        <v>2</v>
      </c>
      <c r="O38" s="4">
        <v>2453339</v>
      </c>
      <c r="P38" s="2">
        <v>87.456218334420072</v>
      </c>
    </row>
    <row r="39" spans="1:20" x14ac:dyDescent="0.2">
      <c r="A39" s="2">
        <v>38</v>
      </c>
      <c r="B39" s="2">
        <f t="shared" si="0"/>
        <v>2</v>
      </c>
      <c r="C39" s="3">
        <v>34486</v>
      </c>
      <c r="D39" s="4">
        <v>773131</v>
      </c>
      <c r="E39" s="53">
        <f t="shared" si="2"/>
        <v>930734.25</v>
      </c>
      <c r="F39" s="53">
        <f t="shared" si="3"/>
        <v>912039.25</v>
      </c>
      <c r="G39" s="2">
        <f t="shared" si="4"/>
        <v>84.769487716674476</v>
      </c>
      <c r="H39" s="2" cm="1">
        <f t="array" ref="H39">(_xlfn.IFS(B39=$L$2,$M$2,B39=$L$3,$M$3,B39=$L$4,$M$4,B39=$L$5,$M$5))</f>
        <v>0.87571728418620021</v>
      </c>
      <c r="I39" s="57">
        <f t="shared" si="1"/>
        <v>882854.56272393535</v>
      </c>
      <c r="N39" s="2">
        <v>2</v>
      </c>
      <c r="O39" s="4">
        <v>2947714</v>
      </c>
      <c r="P39" s="2">
        <v>88.563919372724541</v>
      </c>
    </row>
    <row r="40" spans="1:20" x14ac:dyDescent="0.2">
      <c r="A40" s="2">
        <v>39</v>
      </c>
      <c r="B40" s="2">
        <f t="shared" si="0"/>
        <v>3</v>
      </c>
      <c r="C40" s="3">
        <v>34578</v>
      </c>
      <c r="D40" s="4">
        <v>988346</v>
      </c>
      <c r="E40" s="53">
        <f t="shared" si="2"/>
        <v>954988.75</v>
      </c>
      <c r="F40" s="53">
        <f t="shared" si="3"/>
        <v>942861.5</v>
      </c>
      <c r="G40" s="2">
        <f t="shared" si="4"/>
        <v>104.82409134321425</v>
      </c>
      <c r="H40" s="2" cm="1">
        <f t="array" ref="H40">(_xlfn.IFS(B40=$L$2,$M$2,B40=$L$3,$M$3,B40=$L$4,$M$4,B40=$L$5,$M$5))</f>
        <v>1.0219980247878204</v>
      </c>
      <c r="I40" s="57">
        <f t="shared" si="1"/>
        <v>967072.31915168627</v>
      </c>
      <c r="N40" s="2">
        <v>2</v>
      </c>
      <c r="O40" s="4">
        <v>3245219</v>
      </c>
      <c r="P40" s="2">
        <v>92.11126303870941</v>
      </c>
    </row>
    <row r="41" spans="1:20" x14ac:dyDescent="0.2">
      <c r="A41" s="2">
        <v>40</v>
      </c>
      <c r="B41" s="2">
        <f t="shared" si="0"/>
        <v>4</v>
      </c>
      <c r="C41" s="3">
        <v>34669</v>
      </c>
      <c r="D41" s="4">
        <v>1209790</v>
      </c>
      <c r="E41" s="53">
        <f t="shared" si="2"/>
        <v>978834.5</v>
      </c>
      <c r="F41" s="53">
        <f t="shared" si="3"/>
        <v>966911.625</v>
      </c>
      <c r="G41" s="2">
        <f t="shared" si="4"/>
        <v>125.11898385749576</v>
      </c>
      <c r="H41" s="2" cm="1">
        <f t="array" ref="H41">(_xlfn.IFS(B41=$L$2,$M$2,B41=$L$3,$M$3,B41=$L$4,$M$4,B41=$L$5,$M$5))</f>
        <v>1.237961846405663</v>
      </c>
      <c r="I41" s="57">
        <f t="shared" si="1"/>
        <v>977243.36457746418</v>
      </c>
      <c r="N41" s="2">
        <v>2</v>
      </c>
      <c r="O41" s="4">
        <v>3268309</v>
      </c>
      <c r="P41" s="2">
        <v>92.232492942556732</v>
      </c>
    </row>
    <row r="42" spans="1:20" x14ac:dyDescent="0.2">
      <c r="A42" s="2">
        <v>41</v>
      </c>
      <c r="B42" s="2">
        <f t="shared" si="0"/>
        <v>1</v>
      </c>
      <c r="C42" s="3">
        <v>34759</v>
      </c>
      <c r="D42" s="4">
        <v>848688</v>
      </c>
      <c r="E42" s="53">
        <f t="shared" si="2"/>
        <v>1020730.5</v>
      </c>
      <c r="F42" s="53">
        <f t="shared" si="3"/>
        <v>999782.5</v>
      </c>
      <c r="G42" s="2">
        <f t="shared" si="4"/>
        <v>84.887262979698079</v>
      </c>
      <c r="H42" s="2" cm="1">
        <f t="array" ref="H42">(_xlfn.IFS(B42=$L$2,$M$2,B42=$L$3,$M$3,B42=$L$4,$M$4,B42=$L$5,$M$5))</f>
        <v>0.86351607763667149</v>
      </c>
      <c r="I42" s="57">
        <f t="shared" si="1"/>
        <v>982828.25529172085</v>
      </c>
      <c r="N42" s="2">
        <v>2</v>
      </c>
      <c r="O42" s="4">
        <v>3685299</v>
      </c>
      <c r="P42" s="2">
        <v>93.678402842915204</v>
      </c>
    </row>
    <row r="43" spans="1:20" x14ac:dyDescent="0.2">
      <c r="A43" s="2">
        <v>42</v>
      </c>
      <c r="B43" s="2">
        <f t="shared" si="0"/>
        <v>2</v>
      </c>
      <c r="C43" s="3">
        <v>34851</v>
      </c>
      <c r="D43" s="4">
        <v>868514</v>
      </c>
      <c r="E43" s="53">
        <f t="shared" si="2"/>
        <v>1098813</v>
      </c>
      <c r="F43" s="53">
        <f t="shared" si="3"/>
        <v>1059771.75</v>
      </c>
      <c r="G43" s="2">
        <f t="shared" si="4"/>
        <v>81.95292995873875</v>
      </c>
      <c r="H43" s="2" cm="1">
        <f t="array" ref="H43">(_xlfn.IFS(B43=$L$2,$M$2,B43=$L$3,$M$3,B43=$L$4,$M$4,B43=$L$5,$M$5))</f>
        <v>0.87571728418620021</v>
      </c>
      <c r="I43" s="57">
        <f t="shared" si="1"/>
        <v>991774.41816408338</v>
      </c>
      <c r="N43" s="2">
        <v>2</v>
      </c>
      <c r="O43" s="4">
        <v>3720789</v>
      </c>
      <c r="P43" s="2">
        <v>91.528744632128777</v>
      </c>
    </row>
    <row r="44" spans="1:20" x14ac:dyDescent="0.2">
      <c r="A44" s="2">
        <v>43</v>
      </c>
      <c r="B44" s="2">
        <f t="shared" si="0"/>
        <v>3</v>
      </c>
      <c r="C44" s="3">
        <v>34943</v>
      </c>
      <c r="D44" s="4">
        <v>1155930</v>
      </c>
      <c r="E44" s="53">
        <f t="shared" si="2"/>
        <v>1164928.5</v>
      </c>
      <c r="F44" s="53">
        <f t="shared" si="3"/>
        <v>1131870.75</v>
      </c>
      <c r="G44" s="2">
        <f t="shared" si="4"/>
        <v>102.12561814147065</v>
      </c>
      <c r="H44" s="2" cm="1">
        <f t="array" ref="H44">(_xlfn.IFS(B44=$L$2,$M$2,B44=$L$3,$M$3,B44=$L$4,$M$4,B44=$L$5,$M$5))</f>
        <v>1.0219980247878204</v>
      </c>
      <c r="I44" s="57">
        <f t="shared" si="1"/>
        <v>1131049.1527026049</v>
      </c>
      <c r="N44" s="2">
        <v>2</v>
      </c>
      <c r="O44" s="4">
        <v>3716000</v>
      </c>
      <c r="P44" s="2">
        <v>92.544282912554863</v>
      </c>
    </row>
    <row r="45" spans="1:20" x14ac:dyDescent="0.2">
      <c r="A45" s="2">
        <v>44</v>
      </c>
      <c r="B45" s="2">
        <f t="shared" si="0"/>
        <v>4</v>
      </c>
      <c r="C45" s="3">
        <v>35034</v>
      </c>
      <c r="D45" s="4">
        <v>1522120</v>
      </c>
      <c r="E45" s="53">
        <f t="shared" si="2"/>
        <v>1227885</v>
      </c>
      <c r="F45" s="53">
        <f t="shared" si="3"/>
        <v>1196406.75</v>
      </c>
      <c r="G45" s="2">
        <f t="shared" si="4"/>
        <v>127.2242905684041</v>
      </c>
      <c r="H45" s="2" cm="1">
        <f t="array" ref="H45">(_xlfn.IFS(B45=$L$2,$M$2,B45=$L$3,$M$3,B45=$L$4,$M$4,B45=$L$5,$M$5))</f>
        <v>1.237961846405663</v>
      </c>
      <c r="I45" s="57">
        <f t="shared" si="1"/>
        <v>1229537.0850235575</v>
      </c>
      <c r="N45" s="54">
        <v>2</v>
      </c>
      <c r="O45" s="56">
        <v>3716000</v>
      </c>
      <c r="P45" s="54">
        <v>93.551940082449576</v>
      </c>
      <c r="Q45" s="54"/>
      <c r="R45" s="54"/>
      <c r="S45" s="54"/>
      <c r="T45" s="54"/>
    </row>
    <row r="46" spans="1:20" x14ac:dyDescent="0.2">
      <c r="A46" s="2">
        <v>45</v>
      </c>
      <c r="B46" s="2">
        <f t="shared" si="0"/>
        <v>1</v>
      </c>
      <c r="C46" s="3">
        <v>35125</v>
      </c>
      <c r="D46" s="4">
        <v>1113150</v>
      </c>
      <c r="E46" s="53">
        <f t="shared" si="2"/>
        <v>1284652.5</v>
      </c>
      <c r="F46" s="53">
        <f t="shared" si="3"/>
        <v>1256268.75</v>
      </c>
      <c r="G46" s="2">
        <f t="shared" si="4"/>
        <v>88.607632721899677</v>
      </c>
      <c r="H46" s="2" cm="1">
        <f t="array" ref="H46">(_xlfn.IFS(B46=$L$2,$M$2,B46=$L$3,$M$3,B46=$L$4,$M$4,B46=$L$5,$M$5))</f>
        <v>0.86351607763667149</v>
      </c>
      <c r="I46" s="57">
        <f t="shared" si="1"/>
        <v>1289090.068880412</v>
      </c>
      <c r="N46" s="2">
        <v>3</v>
      </c>
      <c r="O46" s="4">
        <v>181669</v>
      </c>
      <c r="P46" s="2">
        <v>107.74101862882534</v>
      </c>
      <c r="Q46" s="2">
        <f>COUNT(P46:P67)</f>
        <v>21</v>
      </c>
      <c r="R46" s="2">
        <f>MIN(P46:P67)</f>
        <v>96.921000596340363</v>
      </c>
      <c r="S46" s="2">
        <f>MAX(P46:P67)</f>
        <v>110.74785952184357</v>
      </c>
      <c r="T46" s="2">
        <f>((SUM(P46:P67)-R46-S46)/(Q46-2))</f>
        <v>102.19980247878203</v>
      </c>
    </row>
    <row r="47" spans="1:20" x14ac:dyDescent="0.2">
      <c r="A47" s="2">
        <v>46</v>
      </c>
      <c r="B47" s="2">
        <f t="shared" si="0"/>
        <v>2</v>
      </c>
      <c r="C47" s="3">
        <v>35217</v>
      </c>
      <c r="D47" s="4">
        <v>1120340</v>
      </c>
      <c r="E47" s="53">
        <f t="shared" si="2"/>
        <v>1321097.5</v>
      </c>
      <c r="F47" s="53">
        <f t="shared" si="3"/>
        <v>1302875</v>
      </c>
      <c r="G47" s="2">
        <f t="shared" si="4"/>
        <v>85.989830183248586</v>
      </c>
      <c r="H47" s="2" cm="1">
        <f t="array" ref="H47">(_xlfn.IFS(B47=$L$2,$M$2,B47=$L$3,$M$3,B47=$L$4,$M$4,B47=$L$5,$M$5))</f>
        <v>0.87571728418620021</v>
      </c>
      <c r="I47" s="57">
        <f t="shared" si="1"/>
        <v>1279339.8283112871</v>
      </c>
      <c r="N47" s="2">
        <v>3</v>
      </c>
      <c r="O47" s="4">
        <v>224800</v>
      </c>
      <c r="P47" s="2">
        <v>102.93641226765757</v>
      </c>
    </row>
    <row r="48" spans="1:20" x14ac:dyDescent="0.2">
      <c r="A48" s="2">
        <v>47</v>
      </c>
      <c r="B48" s="2">
        <f t="shared" si="0"/>
        <v>3</v>
      </c>
      <c r="C48" s="3">
        <v>35309</v>
      </c>
      <c r="D48" s="4">
        <v>1383000</v>
      </c>
      <c r="E48" s="53">
        <f t="shared" si="2"/>
        <v>1350606.5</v>
      </c>
      <c r="F48" s="53">
        <f t="shared" si="3"/>
        <v>1335852</v>
      </c>
      <c r="G48" s="2">
        <f t="shared" si="4"/>
        <v>103.52943290124954</v>
      </c>
      <c r="H48" s="2" cm="1">
        <f t="array" ref="H48">(_xlfn.IFS(B48=$L$2,$M$2,B48=$L$3,$M$3,B48=$L$4,$M$4,B48=$L$5,$M$5))</f>
        <v>1.0219980247878204</v>
      </c>
      <c r="I48" s="57">
        <f t="shared" si="1"/>
        <v>1353231.5781991144</v>
      </c>
      <c r="N48" s="2">
        <v>3</v>
      </c>
      <c r="O48" s="4">
        <v>273616</v>
      </c>
      <c r="P48" s="2">
        <v>101.6059749434859</v>
      </c>
    </row>
    <row r="49" spans="1:16" x14ac:dyDescent="0.2">
      <c r="A49" s="2">
        <v>48</v>
      </c>
      <c r="B49" s="2">
        <f t="shared" si="0"/>
        <v>4</v>
      </c>
      <c r="C49" s="3">
        <v>35400</v>
      </c>
      <c r="D49" s="4">
        <v>1667900</v>
      </c>
      <c r="E49" s="53">
        <f t="shared" si="2"/>
        <v>1406826.75</v>
      </c>
      <c r="F49" s="53">
        <f t="shared" si="3"/>
        <v>1378716.625</v>
      </c>
      <c r="G49" s="2">
        <f t="shared" si="4"/>
        <v>120.97482323461502</v>
      </c>
      <c r="H49" s="2" cm="1">
        <f t="array" ref="H49">(_xlfn.IFS(B49=$L$2,$M$2,B49=$L$3,$M$3,B49=$L$4,$M$4,B49=$L$5,$M$5))</f>
        <v>1.237961846405663</v>
      </c>
      <c r="I49" s="57">
        <f t="shared" si="1"/>
        <v>1347295.15682784</v>
      </c>
      <c r="N49" s="2">
        <v>3</v>
      </c>
      <c r="O49" s="4">
        <v>322752</v>
      </c>
      <c r="P49" s="2">
        <v>100.35934018223931</v>
      </c>
    </row>
    <row r="50" spans="1:16" x14ac:dyDescent="0.2">
      <c r="A50" s="2">
        <v>49</v>
      </c>
      <c r="B50" s="2">
        <f t="shared" si="0"/>
        <v>1</v>
      </c>
      <c r="C50" s="3">
        <v>35490</v>
      </c>
      <c r="D50" s="4">
        <v>1231186</v>
      </c>
      <c r="E50" s="53">
        <f t="shared" si="2"/>
        <v>1502561.5</v>
      </c>
      <c r="F50" s="53">
        <f t="shared" si="3"/>
        <v>1454694.125</v>
      </c>
      <c r="G50" s="2">
        <f t="shared" si="4"/>
        <v>84.635386837765637</v>
      </c>
      <c r="H50" s="2" cm="1">
        <f t="array" ref="H50">(_xlfn.IFS(B50=$L$2,$M$2,B50=$L$3,$M$3,B50=$L$4,$M$4,B50=$L$5,$M$5))</f>
        <v>0.86351607763667149</v>
      </c>
      <c r="I50" s="57">
        <f t="shared" si="1"/>
        <v>1425782.3703405641</v>
      </c>
      <c r="N50" s="2">
        <v>3</v>
      </c>
      <c r="O50" s="4">
        <v>405601</v>
      </c>
      <c r="P50" s="2">
        <v>99.362237359655936</v>
      </c>
    </row>
    <row r="51" spans="1:16" x14ac:dyDescent="0.2">
      <c r="A51" s="2">
        <v>50</v>
      </c>
      <c r="B51" s="2">
        <f t="shared" si="0"/>
        <v>2</v>
      </c>
      <c r="C51" s="3">
        <v>35582</v>
      </c>
      <c r="D51" s="4">
        <v>1345221</v>
      </c>
      <c r="E51" s="53">
        <f t="shared" si="2"/>
        <v>1626956.25</v>
      </c>
      <c r="F51" s="53">
        <f t="shared" si="3"/>
        <v>1564758.875</v>
      </c>
      <c r="G51" s="2">
        <f t="shared" si="4"/>
        <v>85.969859094104834</v>
      </c>
      <c r="H51" s="2" cm="1">
        <f t="array" ref="H51">(_xlfn.IFS(B51=$L$2,$M$2,B51=$L$3,$M$3,B51=$L$4,$M$4,B51=$L$5,$M$5))</f>
        <v>0.87571728418620021</v>
      </c>
      <c r="I51" s="57">
        <f t="shared" si="1"/>
        <v>1536136.1757865809</v>
      </c>
      <c r="N51" s="2">
        <v>3</v>
      </c>
      <c r="O51" s="4">
        <v>501690</v>
      </c>
      <c r="P51" s="2">
        <v>101.46702357127762</v>
      </c>
    </row>
    <row r="52" spans="1:16" x14ac:dyDescent="0.2">
      <c r="A52" s="2">
        <v>51</v>
      </c>
      <c r="B52" s="2">
        <f t="shared" si="0"/>
        <v>3</v>
      </c>
      <c r="C52" s="3">
        <v>35674</v>
      </c>
      <c r="D52" s="4">
        <v>1765939</v>
      </c>
      <c r="E52" s="53">
        <f t="shared" si="2"/>
        <v>1749087.75</v>
      </c>
      <c r="F52" s="53">
        <f t="shared" si="3"/>
        <v>1688022</v>
      </c>
      <c r="G52" s="2">
        <f t="shared" si="4"/>
        <v>104.61587585943786</v>
      </c>
      <c r="H52" s="2" cm="1">
        <f t="array" ref="H52">(_xlfn.IFS(B52=$L$2,$M$2,B52=$L$3,$M$3,B52=$L$4,$M$4,B52=$L$5,$M$5))</f>
        <v>1.0219980247878204</v>
      </c>
      <c r="I52" s="57">
        <f t="shared" si="1"/>
        <v>1727927.9970884786</v>
      </c>
      <c r="N52" s="2">
        <v>3</v>
      </c>
      <c r="O52" s="4">
        <v>702052</v>
      </c>
      <c r="P52" s="2">
        <v>109.34644251267925</v>
      </c>
    </row>
    <row r="53" spans="1:16" x14ac:dyDescent="0.2">
      <c r="A53" s="2">
        <v>52</v>
      </c>
      <c r="B53" s="2">
        <f t="shared" si="0"/>
        <v>4</v>
      </c>
      <c r="C53" s="3">
        <v>35765</v>
      </c>
      <c r="D53" s="4">
        <v>2165479</v>
      </c>
      <c r="E53" s="53">
        <f t="shared" si="2"/>
        <v>1889025</v>
      </c>
      <c r="F53" s="53">
        <f t="shared" si="3"/>
        <v>1819056.375</v>
      </c>
      <c r="G53" s="2">
        <f t="shared" si="4"/>
        <v>119.04408405154567</v>
      </c>
      <c r="H53" s="2" cm="1">
        <f t="array" ref="H53">(_xlfn.IFS(B53=$L$2,$M$2,B53=$L$3,$M$3,B53=$L$4,$M$4,B53=$L$5,$M$5))</f>
        <v>1.237961846405663</v>
      </c>
      <c r="I53" s="57">
        <f t="shared" si="1"/>
        <v>1749229.1917455448</v>
      </c>
      <c r="N53" s="2">
        <v>3</v>
      </c>
      <c r="O53" s="4">
        <v>827222</v>
      </c>
      <c r="P53" s="2">
        <v>110.74785952184357</v>
      </c>
    </row>
    <row r="54" spans="1:16" x14ac:dyDescent="0.2">
      <c r="A54" s="2">
        <v>53</v>
      </c>
      <c r="B54" s="2">
        <f t="shared" si="0"/>
        <v>1</v>
      </c>
      <c r="C54" s="3">
        <v>35855</v>
      </c>
      <c r="D54" s="4">
        <v>1719712</v>
      </c>
      <c r="E54" s="53">
        <f t="shared" si="2"/>
        <v>2047515.25</v>
      </c>
      <c r="F54" s="53">
        <f t="shared" si="3"/>
        <v>1968270.125</v>
      </c>
      <c r="G54" s="2">
        <f t="shared" si="4"/>
        <v>87.371747310344404</v>
      </c>
      <c r="H54" s="2" cm="1">
        <f t="array" ref="H54">(_xlfn.IFS(B54=$L$2,$M$2,B54=$L$3,$M$3,B54=$L$4,$M$4,B54=$L$5,$M$5))</f>
        <v>0.86351607763667149</v>
      </c>
      <c r="I54" s="57">
        <f t="shared" si="1"/>
        <v>1991522.85005118</v>
      </c>
      <c r="N54" s="2">
        <v>3</v>
      </c>
      <c r="O54" s="4">
        <v>898677</v>
      </c>
      <c r="P54" s="2">
        <v>107.31355777371509</v>
      </c>
    </row>
    <row r="55" spans="1:16" x14ac:dyDescent="0.2">
      <c r="A55" s="2">
        <v>54</v>
      </c>
      <c r="B55" s="2">
        <f t="shared" si="0"/>
        <v>2</v>
      </c>
      <c r="C55" s="3">
        <v>35947</v>
      </c>
      <c r="D55" s="4">
        <v>1904970</v>
      </c>
      <c r="E55" s="53">
        <f t="shared" si="2"/>
        <v>2263620.5</v>
      </c>
      <c r="F55" s="53">
        <f t="shared" si="3"/>
        <v>2155567.875</v>
      </c>
      <c r="G55" s="2">
        <f t="shared" si="4"/>
        <v>88.374391829345669</v>
      </c>
      <c r="H55" s="2" cm="1">
        <f t="array" ref="H55">(_xlfn.IFS(B55=$L$2,$M$2,B55=$L$3,$M$3,B55=$L$4,$M$4,B55=$L$5,$M$5))</f>
        <v>0.87571728418620021</v>
      </c>
      <c r="I55" s="57">
        <f t="shared" si="1"/>
        <v>2175325.3411804922</v>
      </c>
      <c r="N55" s="2">
        <v>3</v>
      </c>
      <c r="O55" s="4">
        <v>988346</v>
      </c>
      <c r="P55" s="2">
        <v>104.82409134321425</v>
      </c>
    </row>
    <row r="56" spans="1:16" x14ac:dyDescent="0.2">
      <c r="A56" s="2">
        <v>55</v>
      </c>
      <c r="B56" s="2">
        <f t="shared" si="0"/>
        <v>3</v>
      </c>
      <c r="C56" s="3">
        <v>36039</v>
      </c>
      <c r="D56" s="4">
        <v>2399900</v>
      </c>
      <c r="E56" s="53">
        <f t="shared" si="2"/>
        <v>2403126</v>
      </c>
      <c r="F56" s="53">
        <f t="shared" si="3"/>
        <v>2333373.25</v>
      </c>
      <c r="G56" s="2">
        <f t="shared" si="4"/>
        <v>102.85109765443656</v>
      </c>
      <c r="H56" s="2" cm="1">
        <f t="array" ref="H56">(_xlfn.IFS(B56=$L$2,$M$2,B56=$L$3,$M$3,B56=$L$4,$M$4,B56=$L$5,$M$5))</f>
        <v>1.0219980247878204</v>
      </c>
      <c r="I56" s="57">
        <f t="shared" si="1"/>
        <v>2348243.2859870247</v>
      </c>
      <c r="N56" s="2">
        <v>3</v>
      </c>
      <c r="O56" s="4">
        <v>1155930</v>
      </c>
      <c r="P56" s="2">
        <v>102.12561814147065</v>
      </c>
    </row>
    <row r="57" spans="1:16" x14ac:dyDescent="0.2">
      <c r="A57" s="2">
        <v>56</v>
      </c>
      <c r="B57" s="2">
        <f t="shared" si="0"/>
        <v>4</v>
      </c>
      <c r="C57" s="3">
        <v>36130</v>
      </c>
      <c r="D57" s="4">
        <v>3029900</v>
      </c>
      <c r="E57" s="53">
        <f t="shared" si="2"/>
        <v>2540218.25</v>
      </c>
      <c r="F57" s="53">
        <f t="shared" si="3"/>
        <v>2471672.125</v>
      </c>
      <c r="G57" s="2">
        <f t="shared" si="4"/>
        <v>122.58502935538023</v>
      </c>
      <c r="H57" s="2" cm="1">
        <f t="array" ref="H57">(_xlfn.IFS(B57=$L$2,$M$2,B57=$L$3,$M$3,B57=$L$4,$M$4,B57=$L$5,$M$5))</f>
        <v>1.237961846405663</v>
      </c>
      <c r="I57" s="57">
        <f t="shared" si="1"/>
        <v>2447490.6143489853</v>
      </c>
      <c r="N57" s="2">
        <v>3</v>
      </c>
      <c r="O57" s="4">
        <v>1383000</v>
      </c>
      <c r="P57" s="2">
        <v>103.52943290124954</v>
      </c>
    </row>
    <row r="58" spans="1:16" x14ac:dyDescent="0.2">
      <c r="A58" s="2">
        <v>57</v>
      </c>
      <c r="B58" s="2">
        <f t="shared" si="0"/>
        <v>1</v>
      </c>
      <c r="C58" s="3">
        <v>36220</v>
      </c>
      <c r="D58" s="4">
        <v>2277734</v>
      </c>
      <c r="E58" s="53">
        <f t="shared" si="2"/>
        <v>2701589.75</v>
      </c>
      <c r="F58" s="53">
        <f t="shared" si="3"/>
        <v>2620904</v>
      </c>
      <c r="G58" s="2">
        <f t="shared" si="4"/>
        <v>86.90642617966931</v>
      </c>
      <c r="H58" s="2" cm="1">
        <f t="array" ref="H58">(_xlfn.IFS(B58=$L$2,$M$2,B58=$L$3,$M$3,B58=$L$4,$M$4,B58=$L$5,$M$5))</f>
        <v>0.86351607763667149</v>
      </c>
      <c r="I58" s="57">
        <f t="shared" si="1"/>
        <v>2637743.5915656076</v>
      </c>
      <c r="N58" s="2">
        <v>3</v>
      </c>
      <c r="O58" s="4">
        <v>1765939</v>
      </c>
      <c r="P58" s="2">
        <v>104.61587585943786</v>
      </c>
    </row>
    <row r="59" spans="1:16" x14ac:dyDescent="0.2">
      <c r="A59" s="2">
        <v>58</v>
      </c>
      <c r="B59" s="2">
        <f t="shared" si="0"/>
        <v>2</v>
      </c>
      <c r="C59" s="3">
        <v>36312</v>
      </c>
      <c r="D59" s="4">
        <v>2453339</v>
      </c>
      <c r="E59" s="53">
        <f t="shared" si="2"/>
        <v>2908849.5</v>
      </c>
      <c r="F59" s="53">
        <f t="shared" si="3"/>
        <v>2805219.625</v>
      </c>
      <c r="G59" s="2">
        <f t="shared" si="4"/>
        <v>87.456218334420072</v>
      </c>
      <c r="H59" s="2" cm="1">
        <f t="array" ref="H59">(_xlfn.IFS(B59=$L$2,$M$2,B59=$L$3,$M$3,B59=$L$4,$M$4,B59=$L$5,$M$5))</f>
        <v>0.87571728418620021</v>
      </c>
      <c r="I59" s="57">
        <f t="shared" si="1"/>
        <v>2801519.445033994</v>
      </c>
      <c r="N59" s="2">
        <v>3</v>
      </c>
      <c r="O59" s="4">
        <v>2399900</v>
      </c>
      <c r="P59" s="2">
        <v>102.85109765443656</v>
      </c>
    </row>
    <row r="60" spans="1:16" x14ac:dyDescent="0.2">
      <c r="A60" s="2">
        <v>59</v>
      </c>
      <c r="B60" s="2">
        <f t="shared" si="0"/>
        <v>3</v>
      </c>
      <c r="C60" s="3">
        <v>36404</v>
      </c>
      <c r="D60" s="4">
        <v>3045386</v>
      </c>
      <c r="E60" s="53">
        <f t="shared" si="2"/>
        <v>3022413.5</v>
      </c>
      <c r="F60" s="53">
        <f t="shared" si="3"/>
        <v>2965631.5</v>
      </c>
      <c r="G60" s="2">
        <f t="shared" si="4"/>
        <v>102.68929231430135</v>
      </c>
      <c r="H60" s="2" cm="1">
        <f t="array" ref="H60">(_xlfn.IFS(B60=$L$2,$M$2,B60=$L$3,$M$3,B60=$L$4,$M$4,B60=$L$5,$M$5))</f>
        <v>1.0219980247878204</v>
      </c>
      <c r="I60" s="57">
        <f t="shared" si="1"/>
        <v>2979835.5047038961</v>
      </c>
      <c r="N60" s="2">
        <v>3</v>
      </c>
      <c r="O60" s="4">
        <v>3045386</v>
      </c>
      <c r="P60" s="2">
        <v>102.68929231430135</v>
      </c>
    </row>
    <row r="61" spans="1:16" x14ac:dyDescent="0.2">
      <c r="A61" s="2">
        <v>60</v>
      </c>
      <c r="B61" s="2">
        <f t="shared" si="0"/>
        <v>4</v>
      </c>
      <c r="C61" s="3">
        <v>36495</v>
      </c>
      <c r="D61" s="4">
        <v>3858939</v>
      </c>
      <c r="E61" s="53">
        <f t="shared" si="2"/>
        <v>3146007.25</v>
      </c>
      <c r="F61" s="53">
        <f t="shared" si="3"/>
        <v>3084210.375</v>
      </c>
      <c r="G61" s="2">
        <f t="shared" si="4"/>
        <v>125.11918873238341</v>
      </c>
      <c r="H61" s="2" cm="1">
        <f t="array" ref="H61">(_xlfn.IFS(B61=$L$2,$M$2,B61=$L$3,$M$3,B61=$L$4,$M$4,B61=$L$5,$M$5))</f>
        <v>1.237961846405663</v>
      </c>
      <c r="I61" s="57">
        <f t="shared" si="1"/>
        <v>3117171.1884369971</v>
      </c>
      <c r="N61" s="2">
        <v>3</v>
      </c>
      <c r="O61" s="4">
        <v>3414668</v>
      </c>
      <c r="P61" s="2">
        <v>98.282967769334647</v>
      </c>
    </row>
    <row r="62" spans="1:16" x14ac:dyDescent="0.2">
      <c r="A62" s="2">
        <v>61</v>
      </c>
      <c r="B62" s="2">
        <f t="shared" si="0"/>
        <v>1</v>
      </c>
      <c r="C62" s="3">
        <v>36586</v>
      </c>
      <c r="D62" s="4">
        <v>2731990</v>
      </c>
      <c r="E62" s="53">
        <f t="shared" si="2"/>
        <v>3238327.75</v>
      </c>
      <c r="F62" s="53">
        <f t="shared" si="3"/>
        <v>3192167.5</v>
      </c>
      <c r="G62" s="2">
        <f t="shared" si="4"/>
        <v>85.584168124009778</v>
      </c>
      <c r="H62" s="2" cm="1">
        <f t="array" ref="H62">(_xlfn.IFS(B62=$L$2,$M$2,B62=$L$3,$M$3,B62=$L$4,$M$4,B62=$L$5,$M$5))</f>
        <v>0.86351607763667149</v>
      </c>
      <c r="I62" s="57">
        <f t="shared" si="1"/>
        <v>3163797.4911562651</v>
      </c>
      <c r="N62" s="2">
        <v>3</v>
      </c>
      <c r="O62" s="4">
        <v>3333373</v>
      </c>
      <c r="P62" s="2">
        <v>97.300149998558766</v>
      </c>
    </row>
    <row r="63" spans="1:16" x14ac:dyDescent="0.2">
      <c r="A63" s="2">
        <v>62</v>
      </c>
      <c r="B63" s="2">
        <f t="shared" si="0"/>
        <v>2</v>
      </c>
      <c r="C63" s="3">
        <v>36678</v>
      </c>
      <c r="D63" s="4">
        <v>2947714</v>
      </c>
      <c r="E63" s="53">
        <f t="shared" si="2"/>
        <v>3418365</v>
      </c>
      <c r="F63" s="53">
        <f t="shared" si="3"/>
        <v>3328346.375</v>
      </c>
      <c r="G63" s="2">
        <f t="shared" si="4"/>
        <v>88.563919372724541</v>
      </c>
      <c r="H63" s="2" cm="1">
        <f t="array" ref="H63">(_xlfn.IFS(B63=$L$2,$M$2,B63=$L$3,$M$3,B63=$L$4,$M$4,B63=$L$5,$M$5))</f>
        <v>0.87571728418620021</v>
      </c>
      <c r="I63" s="57">
        <f t="shared" si="1"/>
        <v>3366056.6637545545</v>
      </c>
      <c r="N63" s="2">
        <v>3</v>
      </c>
      <c r="O63" s="4">
        <v>3644956</v>
      </c>
      <c r="P63" s="2">
        <v>99.279226160160363</v>
      </c>
    </row>
    <row r="64" spans="1:16" x14ac:dyDescent="0.2">
      <c r="A64" s="2">
        <v>63</v>
      </c>
      <c r="B64" s="2">
        <f t="shared" si="0"/>
        <v>3</v>
      </c>
      <c r="C64" s="3">
        <v>36770</v>
      </c>
      <c r="D64" s="4">
        <v>3414668</v>
      </c>
      <c r="E64" s="53">
        <f t="shared" si="2"/>
        <v>3530281.5</v>
      </c>
      <c r="F64" s="53">
        <f t="shared" si="3"/>
        <v>3474323.25</v>
      </c>
      <c r="G64" s="2">
        <f t="shared" si="4"/>
        <v>98.282967769334647</v>
      </c>
      <c r="H64" s="2" cm="1">
        <f t="array" ref="H64">(_xlfn.IFS(B64=$L$2,$M$2,B64=$L$3,$M$3,B64=$L$4,$M$4,B64=$L$5,$M$5))</f>
        <v>1.0219980247878204</v>
      </c>
      <c r="I64" s="57">
        <f t="shared" si="1"/>
        <v>3341168.8840679782</v>
      </c>
      <c r="N64" s="2">
        <v>3</v>
      </c>
      <c r="O64" s="4">
        <v>3929456</v>
      </c>
      <c r="P64" s="2">
        <v>98.167762327677522</v>
      </c>
    </row>
    <row r="65" spans="1:20" x14ac:dyDescent="0.2">
      <c r="A65" s="2">
        <v>64</v>
      </c>
      <c r="B65" s="2">
        <f t="shared" si="0"/>
        <v>4</v>
      </c>
      <c r="C65" s="3">
        <v>36861</v>
      </c>
      <c r="D65" s="4">
        <v>4579088</v>
      </c>
      <c r="E65" s="53">
        <f t="shared" si="2"/>
        <v>3604657.75</v>
      </c>
      <c r="F65" s="53">
        <f t="shared" si="3"/>
        <v>3567469.625</v>
      </c>
      <c r="G65" s="2">
        <f t="shared" si="4"/>
        <v>128.35674809704932</v>
      </c>
      <c r="H65" s="2" cm="1">
        <f t="array" ref="H65">(_xlfn.IFS(B65=$L$2,$M$2,B65=$L$3,$M$3,B65=$L$4,$M$4,B65=$L$5,$M$5))</f>
        <v>1.237961846405663</v>
      </c>
      <c r="I65" s="57">
        <f t="shared" si="1"/>
        <v>3698892.6704769349</v>
      </c>
      <c r="N65" s="2">
        <v>3</v>
      </c>
      <c r="O65" s="4">
        <v>3980150</v>
      </c>
      <c r="P65" s="2">
        <v>97.998725387481258</v>
      </c>
    </row>
    <row r="66" spans="1:20" x14ac:dyDescent="0.2">
      <c r="A66" s="2">
        <v>65</v>
      </c>
      <c r="B66" s="2">
        <f t="shared" si="0"/>
        <v>1</v>
      </c>
      <c r="C66" s="3">
        <v>36951</v>
      </c>
      <c r="D66" s="4">
        <v>3179656</v>
      </c>
      <c r="E66" s="53">
        <f t="shared" si="2"/>
        <v>3584334</v>
      </c>
      <c r="F66" s="53">
        <f t="shared" si="3"/>
        <v>3594495.875</v>
      </c>
      <c r="G66" s="2">
        <f t="shared" si="4"/>
        <v>88.459024869516639</v>
      </c>
      <c r="H66" s="2" cm="1">
        <f t="array" ref="H66">(_xlfn.IFS(B66=$L$2,$M$2,B66=$L$3,$M$3,B66=$L$4,$M$4,B66=$L$5,$M$5))</f>
        <v>0.86351607763667149</v>
      </c>
      <c r="I66" s="57">
        <f t="shared" si="1"/>
        <v>3682219.8015146344</v>
      </c>
      <c r="N66" s="2">
        <v>3</v>
      </c>
      <c r="O66" s="4">
        <v>3860000</v>
      </c>
      <c r="P66" s="2">
        <v>96.921000596340363</v>
      </c>
    </row>
    <row r="67" spans="1:20" x14ac:dyDescent="0.2">
      <c r="A67" s="2">
        <v>66</v>
      </c>
      <c r="B67" s="2">
        <f t="shared" ref="B67:B89" si="5">ROUNDUP(MONTH(C67)/3, 0)</f>
        <v>2</v>
      </c>
      <c r="C67" s="3">
        <v>37043</v>
      </c>
      <c r="D67" s="4">
        <v>3245219</v>
      </c>
      <c r="E67" s="53">
        <f t="shared" si="2"/>
        <v>3461968.25</v>
      </c>
      <c r="F67" s="53">
        <f t="shared" si="3"/>
        <v>3523151.125</v>
      </c>
      <c r="G67" s="2">
        <f t="shared" si="4"/>
        <v>92.11126303870941</v>
      </c>
      <c r="H67" s="2" cm="1">
        <f t="array" ref="H67">(_xlfn.IFS(B67=$L$2,$M$2,B67=$L$3,$M$3,B67=$L$4,$M$4,B67=$L$5,$M$5))</f>
        <v>0.87571728418620021</v>
      </c>
      <c r="I67" s="57">
        <f t="shared" ref="I67:I89" si="6">D67/H67</f>
        <v>3705783.8855102262</v>
      </c>
      <c r="N67" s="54">
        <v>3</v>
      </c>
      <c r="O67" s="56">
        <v>3856000</v>
      </c>
      <c r="P67" s="54"/>
      <c r="Q67" s="54"/>
      <c r="R67" s="54"/>
      <c r="S67" s="54"/>
      <c r="T67" s="54"/>
    </row>
    <row r="68" spans="1:20" x14ac:dyDescent="0.2">
      <c r="A68" s="2">
        <v>67</v>
      </c>
      <c r="B68" s="2">
        <f t="shared" si="5"/>
        <v>3</v>
      </c>
      <c r="C68" s="3">
        <v>37135</v>
      </c>
      <c r="D68" s="4">
        <v>3333373</v>
      </c>
      <c r="E68" s="53">
        <f t="shared" ref="E68:E86" si="7">AVERAGE(D67:D70)</f>
        <v>3389764.25</v>
      </c>
      <c r="F68" s="53">
        <f t="shared" si="3"/>
        <v>3425866.25</v>
      </c>
      <c r="G68" s="2">
        <f t="shared" si="4"/>
        <v>97.300149998558766</v>
      </c>
      <c r="H68" s="2" cm="1">
        <f t="array" ref="H68">(_xlfn.IFS(B68=$L$2,$M$2,B68=$L$3,$M$3,B68=$L$4,$M$4,B68=$L$5,$M$5))</f>
        <v>1.0219980247878204</v>
      </c>
      <c r="I68" s="57">
        <f t="shared" si="6"/>
        <v>3261623.7205468668</v>
      </c>
      <c r="N68" s="2">
        <v>4</v>
      </c>
      <c r="O68" s="4">
        <v>239813</v>
      </c>
      <c r="P68" s="2">
        <v>132.50984238372175</v>
      </c>
      <c r="Q68" s="2">
        <f>COUNT(P68:P89)</f>
        <v>21</v>
      </c>
      <c r="R68" s="2">
        <f>MIN(P68:P89)</f>
        <v>119.04408405154567</v>
      </c>
      <c r="S68" s="2">
        <f>MAX(P68:P89)</f>
        <v>132.50984238372175</v>
      </c>
      <c r="T68" s="2">
        <f>((SUM(P68:P89)-R68-S68)/(Q68-2))</f>
        <v>123.7961846405663</v>
      </c>
    </row>
    <row r="69" spans="1:20" x14ac:dyDescent="0.2">
      <c r="A69" s="2">
        <v>68</v>
      </c>
      <c r="B69" s="2">
        <f t="shared" si="5"/>
        <v>4</v>
      </c>
      <c r="C69" s="3">
        <v>37226</v>
      </c>
      <c r="D69" s="4">
        <v>4089625</v>
      </c>
      <c r="E69" s="53">
        <f t="shared" si="7"/>
        <v>3395536.75</v>
      </c>
      <c r="F69" s="53">
        <f t="shared" ref="F69:F86" si="8">AVERAGE(E68:E69)</f>
        <v>3392650.5</v>
      </c>
      <c r="G69" s="2">
        <f t="shared" ref="G69:G86" si="9">(D69/F69)*100</f>
        <v>120.54365753265772</v>
      </c>
      <c r="H69" s="2" cm="1">
        <f t="array" ref="H69">(_xlfn.IFS(B69=$L$2,$M$2,B69=$L$3,$M$3,B69=$L$4,$M$4,B69=$L$5,$M$5))</f>
        <v>1.237961846405663</v>
      </c>
      <c r="I69" s="57">
        <f t="shared" si="6"/>
        <v>3303514.5726614636</v>
      </c>
      <c r="N69" s="2">
        <v>4</v>
      </c>
      <c r="O69" s="4">
        <v>298469</v>
      </c>
      <c r="P69" s="2">
        <v>128.986031004159</v>
      </c>
    </row>
    <row r="70" spans="1:20" x14ac:dyDescent="0.2">
      <c r="A70" s="2">
        <v>69</v>
      </c>
      <c r="B70" s="2">
        <f t="shared" si="5"/>
        <v>1</v>
      </c>
      <c r="C70" s="3">
        <v>37316</v>
      </c>
      <c r="D70" s="4">
        <v>2890840</v>
      </c>
      <c r="E70" s="53">
        <f t="shared" si="7"/>
        <v>3473432.5</v>
      </c>
      <c r="F70" s="53">
        <f t="shared" si="8"/>
        <v>3434484.625</v>
      </c>
      <c r="G70" s="2">
        <f t="shared" si="9"/>
        <v>84.170998436191866</v>
      </c>
      <c r="H70" s="2" cm="1">
        <f t="array" ref="H70">(_xlfn.IFS(B70=$L$2,$M$2,B70=$L$3,$M$3,B70=$L$4,$M$4,B70=$L$5,$M$5))</f>
        <v>0.86351607763667149</v>
      </c>
      <c r="I70" s="57">
        <f t="shared" si="6"/>
        <v>3347754.6913913218</v>
      </c>
      <c r="N70" s="2">
        <v>4</v>
      </c>
      <c r="O70" s="4">
        <v>359592</v>
      </c>
      <c r="P70" s="2">
        <v>128.93263827916277</v>
      </c>
    </row>
    <row r="71" spans="1:20" x14ac:dyDescent="0.2">
      <c r="A71" s="2">
        <v>70</v>
      </c>
      <c r="B71" s="2">
        <f t="shared" si="5"/>
        <v>2</v>
      </c>
      <c r="C71" s="3">
        <v>37408</v>
      </c>
      <c r="D71" s="4">
        <v>3268309</v>
      </c>
      <c r="E71" s="53">
        <f t="shared" si="7"/>
        <v>3613677.25</v>
      </c>
      <c r="F71" s="53">
        <f t="shared" si="8"/>
        <v>3543554.875</v>
      </c>
      <c r="G71" s="2">
        <f t="shared" si="9"/>
        <v>92.232492942556732</v>
      </c>
      <c r="H71" s="2" cm="1">
        <f t="array" ref="H71">(_xlfn.IFS(B71=$L$2,$M$2,B71=$L$3,$M$3,B71=$L$4,$M$4,B71=$L$5,$M$5))</f>
        <v>0.87571728418620021</v>
      </c>
      <c r="I71" s="57">
        <f t="shared" si="6"/>
        <v>3732150.8425372965</v>
      </c>
      <c r="N71" s="2">
        <v>4</v>
      </c>
      <c r="O71" s="4">
        <v>423669</v>
      </c>
      <c r="P71" s="2">
        <v>125.39413287437952</v>
      </c>
    </row>
    <row r="72" spans="1:20" x14ac:dyDescent="0.2">
      <c r="A72" s="2">
        <v>71</v>
      </c>
      <c r="B72" s="2">
        <f t="shared" si="5"/>
        <v>3</v>
      </c>
      <c r="C72" s="3">
        <v>37500</v>
      </c>
      <c r="D72" s="4">
        <v>3644956</v>
      </c>
      <c r="E72" s="53">
        <f t="shared" si="7"/>
        <v>3729160</v>
      </c>
      <c r="F72" s="53">
        <f t="shared" si="8"/>
        <v>3671418.625</v>
      </c>
      <c r="G72" s="2">
        <f t="shared" si="9"/>
        <v>99.279226160160363</v>
      </c>
      <c r="H72" s="2" cm="1">
        <f t="array" ref="H72">(_xlfn.IFS(B72=$L$2,$M$2,B72=$L$3,$M$3,B72=$L$4,$M$4,B72=$L$5,$M$5))</f>
        <v>1.0219980247878204</v>
      </c>
      <c r="I72" s="57">
        <f t="shared" si="6"/>
        <v>3566500.0436343686</v>
      </c>
      <c r="N72" s="2">
        <v>4</v>
      </c>
      <c r="O72" s="4">
        <v>545131</v>
      </c>
      <c r="P72" s="2">
        <v>126.8803232925096</v>
      </c>
    </row>
    <row r="73" spans="1:20" x14ac:dyDescent="0.2">
      <c r="A73" s="2">
        <v>72</v>
      </c>
      <c r="B73" s="2">
        <f t="shared" si="5"/>
        <v>4</v>
      </c>
      <c r="C73" s="3">
        <v>37591</v>
      </c>
      <c r="D73" s="4">
        <v>4650604</v>
      </c>
      <c r="E73" s="53">
        <f t="shared" si="7"/>
        <v>3833407.5</v>
      </c>
      <c r="F73" s="53">
        <f t="shared" si="8"/>
        <v>3781283.75</v>
      </c>
      <c r="G73" s="2">
        <f t="shared" si="9"/>
        <v>122.99008240257029</v>
      </c>
      <c r="H73" s="2" cm="1">
        <f t="array" ref="H73">(_xlfn.IFS(B73=$L$2,$M$2,B73=$L$3,$M$3,B73=$L$4,$M$4,B73=$L$5,$M$5))</f>
        <v>1.237961846405663</v>
      </c>
      <c r="I73" s="57">
        <f t="shared" si="6"/>
        <v>3756661.8175695064</v>
      </c>
      <c r="N73" s="2">
        <v>4</v>
      </c>
      <c r="O73" s="4">
        <v>624726</v>
      </c>
      <c r="P73" s="2">
        <v>120.0967731703402</v>
      </c>
    </row>
    <row r="74" spans="1:20" x14ac:dyDescent="0.2">
      <c r="A74" s="2">
        <v>73</v>
      </c>
      <c r="B74" s="2">
        <f t="shared" si="5"/>
        <v>1</v>
      </c>
      <c r="C74" s="3">
        <v>37681</v>
      </c>
      <c r="D74" s="4">
        <v>3352771</v>
      </c>
      <c r="E74" s="53">
        <f t="shared" si="7"/>
        <v>3904532.5</v>
      </c>
      <c r="F74" s="53">
        <f t="shared" si="8"/>
        <v>3868970</v>
      </c>
      <c r="G74" s="2">
        <f t="shared" si="9"/>
        <v>86.657973569192833</v>
      </c>
      <c r="H74" s="2" cm="1">
        <f t="array" ref="H74">(_xlfn.IFS(B74=$L$2,$M$2,B74=$L$3,$M$3,B74=$L$4,$M$4,B74=$L$5,$M$5))</f>
        <v>0.86351607763667149</v>
      </c>
      <c r="I74" s="57">
        <f t="shared" si="6"/>
        <v>3882696.671005927</v>
      </c>
      <c r="N74" s="2">
        <v>4</v>
      </c>
      <c r="O74" s="4">
        <v>803485</v>
      </c>
      <c r="P74" s="2">
        <v>120.6893314497335</v>
      </c>
    </row>
    <row r="75" spans="1:20" x14ac:dyDescent="0.2">
      <c r="A75" s="2">
        <v>74</v>
      </c>
      <c r="B75" s="2">
        <f t="shared" si="5"/>
        <v>2</v>
      </c>
      <c r="C75" s="3">
        <v>37773</v>
      </c>
      <c r="D75" s="4">
        <v>3685299</v>
      </c>
      <c r="E75" s="53">
        <f t="shared" si="7"/>
        <v>3963447.5</v>
      </c>
      <c r="F75" s="53">
        <f t="shared" si="8"/>
        <v>3933990</v>
      </c>
      <c r="G75" s="2">
        <f t="shared" si="9"/>
        <v>93.678402842915204</v>
      </c>
      <c r="H75" s="2" cm="1">
        <f t="array" ref="H75">(_xlfn.IFS(B75=$L$2,$M$2,B75=$L$3,$M$3,B75=$L$4,$M$4,B75=$L$5,$M$5))</f>
        <v>0.87571728418620021</v>
      </c>
      <c r="I75" s="57">
        <f t="shared" si="6"/>
        <v>4208320.5008620219</v>
      </c>
      <c r="N75" s="2">
        <v>4</v>
      </c>
      <c r="O75" s="4">
        <v>930209</v>
      </c>
      <c r="P75" s="2">
        <v>121.80835600904061</v>
      </c>
    </row>
    <row r="76" spans="1:20" x14ac:dyDescent="0.2">
      <c r="A76" s="2">
        <v>75</v>
      </c>
      <c r="B76" s="2">
        <f t="shared" si="5"/>
        <v>3</v>
      </c>
      <c r="C76" s="3">
        <v>37865</v>
      </c>
      <c r="D76" s="4">
        <v>3929456</v>
      </c>
      <c r="E76" s="53">
        <f t="shared" si="7"/>
        <v>4042146</v>
      </c>
      <c r="F76" s="53">
        <f t="shared" si="8"/>
        <v>4002796.75</v>
      </c>
      <c r="G76" s="2">
        <f t="shared" si="9"/>
        <v>98.167762327677522</v>
      </c>
      <c r="H76" s="2" cm="1">
        <f t="array" ref="H76">(_xlfn.IFS(B76=$L$2,$M$2,B76=$L$3,$M$3,B76=$L$4,$M$4,B76=$L$5,$M$5))</f>
        <v>1.0219980247878204</v>
      </c>
      <c r="I76" s="57">
        <f t="shared" si="6"/>
        <v>3844876.3155054082</v>
      </c>
      <c r="N76" s="2">
        <v>4</v>
      </c>
      <c r="O76" s="4">
        <v>1060230</v>
      </c>
      <c r="P76" s="2">
        <v>123.14872340045564</v>
      </c>
    </row>
    <row r="77" spans="1:20" x14ac:dyDescent="0.2">
      <c r="A77" s="2">
        <v>76</v>
      </c>
      <c r="B77" s="2">
        <f t="shared" si="5"/>
        <v>4</v>
      </c>
      <c r="C77" s="3">
        <v>37956</v>
      </c>
      <c r="D77" s="4">
        <v>4886264</v>
      </c>
      <c r="E77" s="53">
        <f t="shared" si="7"/>
        <v>4051018.5</v>
      </c>
      <c r="F77" s="53">
        <f t="shared" si="8"/>
        <v>4046582.25</v>
      </c>
      <c r="G77" s="2">
        <f t="shared" si="9"/>
        <v>120.75039374276896</v>
      </c>
      <c r="H77" s="2" cm="1">
        <f t="array" ref="H77">(_xlfn.IFS(B77=$L$2,$M$2,B77=$L$3,$M$3,B77=$L$4,$M$4,B77=$L$5,$M$5))</f>
        <v>1.237961846405663</v>
      </c>
      <c r="I77" s="57">
        <f t="shared" si="6"/>
        <v>3947023.0962181357</v>
      </c>
      <c r="N77" s="2">
        <v>4</v>
      </c>
      <c r="O77" s="4">
        <v>1209790</v>
      </c>
      <c r="P77" s="2">
        <v>125.11898385749576</v>
      </c>
    </row>
    <row r="78" spans="1:20" x14ac:dyDescent="0.2">
      <c r="A78" s="2">
        <v>77</v>
      </c>
      <c r="B78" s="2">
        <f t="shared" si="5"/>
        <v>1</v>
      </c>
      <c r="C78" s="3">
        <v>38047</v>
      </c>
      <c r="D78" s="4">
        <v>3667565</v>
      </c>
      <c r="E78" s="53">
        <f t="shared" si="7"/>
        <v>4063692</v>
      </c>
      <c r="F78" s="53">
        <f t="shared" si="8"/>
        <v>4057355.25</v>
      </c>
      <c r="G78" s="2">
        <f t="shared" si="9"/>
        <v>90.392996768030116</v>
      </c>
      <c r="H78" s="2" cm="1">
        <f t="array" ref="H78">(_xlfn.IFS(B78=$L$2,$M$2,B78=$L$3,$M$3,B78=$L$4,$M$4,B78=$L$5,$M$5))</f>
        <v>0.86351607763667149</v>
      </c>
      <c r="I78" s="57">
        <f t="shared" si="6"/>
        <v>4247245.7606552467</v>
      </c>
      <c r="N78" s="2">
        <v>4</v>
      </c>
      <c r="O78" s="4">
        <v>1522120</v>
      </c>
      <c r="P78" s="2">
        <v>127.2242905684041</v>
      </c>
    </row>
    <row r="79" spans="1:20" x14ac:dyDescent="0.2">
      <c r="A79" s="2">
        <v>78</v>
      </c>
      <c r="B79" s="2">
        <f t="shared" si="5"/>
        <v>2</v>
      </c>
      <c r="C79" s="3">
        <v>38139</v>
      </c>
      <c r="D79" s="4">
        <v>3720789</v>
      </c>
      <c r="E79" s="53">
        <f t="shared" si="7"/>
        <v>4066626</v>
      </c>
      <c r="F79" s="53">
        <f t="shared" si="8"/>
        <v>4065159</v>
      </c>
      <c r="G79" s="2">
        <f t="shared" si="9"/>
        <v>91.528744632128777</v>
      </c>
      <c r="H79" s="2" cm="1">
        <f t="array" ref="H79">(_xlfn.IFS(B79=$L$2,$M$2,B79=$L$3,$M$3,B79=$L$4,$M$4,B79=$L$5,$M$5))</f>
        <v>0.87571728418620021</v>
      </c>
      <c r="I79" s="57">
        <f t="shared" si="6"/>
        <v>4248847.278899732</v>
      </c>
      <c r="N79" s="2">
        <v>4</v>
      </c>
      <c r="O79" s="4">
        <v>1667900</v>
      </c>
      <c r="P79" s="2">
        <v>120.97482323461502</v>
      </c>
    </row>
    <row r="80" spans="1:20" x14ac:dyDescent="0.2">
      <c r="A80" s="2">
        <v>79</v>
      </c>
      <c r="B80" s="2">
        <f t="shared" si="5"/>
        <v>3</v>
      </c>
      <c r="C80" s="3">
        <v>38231</v>
      </c>
      <c r="D80" s="4">
        <v>3980150</v>
      </c>
      <c r="E80" s="53">
        <f t="shared" si="7"/>
        <v>4056234.75</v>
      </c>
      <c r="F80" s="53">
        <f t="shared" si="8"/>
        <v>4061430.375</v>
      </c>
      <c r="G80" s="2">
        <f t="shared" si="9"/>
        <v>97.998725387481258</v>
      </c>
      <c r="H80" s="2" cm="1">
        <f t="array" ref="H80">(_xlfn.IFS(B80=$L$2,$M$2,B80=$L$3,$M$3,B80=$L$4,$M$4,B80=$L$5,$M$5))</f>
        <v>1.0219980247878204</v>
      </c>
      <c r="I80" s="57">
        <f t="shared" si="6"/>
        <v>3894479.1510984856</v>
      </c>
      <c r="N80" s="2">
        <v>4</v>
      </c>
      <c r="O80" s="4">
        <v>2165479</v>
      </c>
      <c r="P80" s="2">
        <v>119.04408405154567</v>
      </c>
    </row>
    <row r="81" spans="1:16" x14ac:dyDescent="0.2">
      <c r="A81" s="2">
        <v>80</v>
      </c>
      <c r="B81" s="2">
        <f t="shared" si="5"/>
        <v>4</v>
      </c>
      <c r="C81" s="3">
        <v>38322</v>
      </c>
      <c r="D81" s="4">
        <v>4898000</v>
      </c>
      <c r="E81" s="53">
        <f t="shared" si="7"/>
        <v>4055037.5</v>
      </c>
      <c r="F81" s="53">
        <f t="shared" si="8"/>
        <v>4055636.125</v>
      </c>
      <c r="G81" s="2">
        <f t="shared" si="9"/>
        <v>120.77020346592361</v>
      </c>
      <c r="H81" s="2" cm="1">
        <f t="array" ref="H81">(_xlfn.IFS(B81=$L$2,$M$2,B81=$L$3,$M$3,B81=$L$4,$M$4,B81=$L$5,$M$5))</f>
        <v>1.237961846405663</v>
      </c>
      <c r="I81" s="57">
        <f t="shared" si="6"/>
        <v>3956503.1945217098</v>
      </c>
      <c r="N81" s="2">
        <v>4</v>
      </c>
      <c r="O81" s="4">
        <v>3029900</v>
      </c>
      <c r="P81" s="2">
        <v>122.58502935538023</v>
      </c>
    </row>
    <row r="82" spans="1:16" x14ac:dyDescent="0.2">
      <c r="A82" s="2">
        <v>81</v>
      </c>
      <c r="B82" s="2">
        <f t="shared" si="5"/>
        <v>1</v>
      </c>
      <c r="C82" s="3">
        <v>38412</v>
      </c>
      <c r="D82" s="4">
        <v>3626000</v>
      </c>
      <c r="E82" s="53">
        <f t="shared" si="7"/>
        <v>4025000</v>
      </c>
      <c r="F82" s="53">
        <f t="shared" si="8"/>
        <v>4040018.75</v>
      </c>
      <c r="G82" s="2">
        <f t="shared" si="9"/>
        <v>89.752058700222619</v>
      </c>
      <c r="H82" s="2" cm="1">
        <f t="array" ref="H82">(_xlfn.IFS(B82=$L$2,$M$2,B82=$L$3,$M$3,B82=$L$4,$M$4,B82=$L$5,$M$5))</f>
        <v>0.86351607763667149</v>
      </c>
      <c r="I82" s="57">
        <f t="shared" si="6"/>
        <v>4199111.1618024288</v>
      </c>
      <c r="N82" s="2">
        <v>4</v>
      </c>
      <c r="O82" s="4">
        <v>3858939</v>
      </c>
      <c r="P82" s="2">
        <v>125.11918873238341</v>
      </c>
    </row>
    <row r="83" spans="1:16" x14ac:dyDescent="0.2">
      <c r="A83" s="2">
        <v>82</v>
      </c>
      <c r="B83" s="2">
        <f t="shared" si="5"/>
        <v>2</v>
      </c>
      <c r="C83" s="3">
        <v>38504</v>
      </c>
      <c r="D83" s="4">
        <v>3716000</v>
      </c>
      <c r="E83" s="53">
        <f t="shared" si="7"/>
        <v>4005750</v>
      </c>
      <c r="F83" s="53">
        <f t="shared" si="8"/>
        <v>4015375</v>
      </c>
      <c r="G83" s="2">
        <f t="shared" si="9"/>
        <v>92.544282912554863</v>
      </c>
      <c r="H83" s="2" cm="1">
        <f t="array" ref="H83">(_xlfn.IFS(B83=$L$2,$M$2,B83=$L$3,$M$3,B83=$L$4,$M$4,B83=$L$5,$M$5))</f>
        <v>0.87571728418620021</v>
      </c>
      <c r="I83" s="57">
        <f t="shared" si="6"/>
        <v>4243378.6189948972</v>
      </c>
      <c r="N83" s="2">
        <v>4</v>
      </c>
      <c r="O83" s="4">
        <v>4579088</v>
      </c>
      <c r="P83" s="2">
        <v>128.35674809704932</v>
      </c>
    </row>
    <row r="84" spans="1:16" x14ac:dyDescent="0.2">
      <c r="A84" s="2">
        <v>83</v>
      </c>
      <c r="B84" s="2">
        <f t="shared" si="5"/>
        <v>3</v>
      </c>
      <c r="C84" s="3">
        <v>38596</v>
      </c>
      <c r="D84" s="4">
        <v>3860000</v>
      </c>
      <c r="E84" s="53">
        <f t="shared" si="7"/>
        <v>3959500</v>
      </c>
      <c r="F84" s="53">
        <f t="shared" si="8"/>
        <v>3982625</v>
      </c>
      <c r="G84" s="2">
        <f t="shared" si="9"/>
        <v>96.921000596340363</v>
      </c>
      <c r="H84" s="2" cm="1">
        <f t="array" ref="H84">(_xlfn.IFS(B84=$L$2,$M$2,B84=$L$3,$M$3,B84=$L$4,$M$4,B84=$L$5,$M$5))</f>
        <v>1.0219980247878204</v>
      </c>
      <c r="I84" s="57">
        <f t="shared" si="6"/>
        <v>3776915.3231009268</v>
      </c>
      <c r="N84" s="2">
        <v>4</v>
      </c>
      <c r="O84" s="4">
        <v>4089625</v>
      </c>
      <c r="P84" s="2">
        <v>120.54365753265772</v>
      </c>
    </row>
    <row r="85" spans="1:16" x14ac:dyDescent="0.2">
      <c r="A85" s="2">
        <v>84</v>
      </c>
      <c r="B85" s="2">
        <f t="shared" si="5"/>
        <v>4</v>
      </c>
      <c r="C85" s="3">
        <v>38687</v>
      </c>
      <c r="D85" s="4">
        <v>4821000</v>
      </c>
      <c r="E85" s="53">
        <f t="shared" si="7"/>
        <v>3959500</v>
      </c>
      <c r="F85" s="53">
        <f t="shared" si="8"/>
        <v>3959500</v>
      </c>
      <c r="G85" s="2">
        <f t="shared" si="9"/>
        <v>121.75779770173001</v>
      </c>
      <c r="H85" s="2" cm="1">
        <f t="array" ref="H85">(_xlfn.IFS(B85=$L$2,$M$2,B85=$L$3,$M$3,B85=$L$4,$M$4,B85=$L$5,$M$5))</f>
        <v>1.237961846405663</v>
      </c>
      <c r="I85" s="57">
        <f t="shared" si="6"/>
        <v>3894304.185542908</v>
      </c>
      <c r="N85" s="2">
        <v>4</v>
      </c>
      <c r="O85" s="4">
        <v>4650604</v>
      </c>
      <c r="P85" s="2">
        <v>122.99008240257029</v>
      </c>
    </row>
    <row r="86" spans="1:16" x14ac:dyDescent="0.2">
      <c r="A86" s="2">
        <v>85</v>
      </c>
      <c r="B86" s="2">
        <f t="shared" si="5"/>
        <v>1</v>
      </c>
      <c r="C86" s="3">
        <v>38777</v>
      </c>
      <c r="D86" s="4">
        <v>3441000</v>
      </c>
      <c r="E86" s="53">
        <f t="shared" si="7"/>
        <v>3958500</v>
      </c>
      <c r="F86" s="53">
        <f t="shared" si="8"/>
        <v>3959000</v>
      </c>
      <c r="G86" s="2">
        <f t="shared" si="9"/>
        <v>86.915887850467286</v>
      </c>
      <c r="H86" s="2" cm="1">
        <f t="array" ref="H86">(_xlfn.IFS(B86=$L$2,$M$2,B86=$L$3,$M$3,B86=$L$4,$M$4,B86=$L$5,$M$5))</f>
        <v>0.86351607763667149</v>
      </c>
      <c r="I86" s="57">
        <f t="shared" si="6"/>
        <v>3984870.7964043459</v>
      </c>
      <c r="N86" s="2">
        <v>4</v>
      </c>
      <c r="O86" s="4">
        <v>4886264</v>
      </c>
      <c r="P86" s="2">
        <v>120.75039374276896</v>
      </c>
    </row>
    <row r="87" spans="1:16" x14ac:dyDescent="0.2">
      <c r="A87" s="2">
        <v>86</v>
      </c>
      <c r="B87" s="2">
        <f t="shared" si="5"/>
        <v>2</v>
      </c>
      <c r="C87" s="3">
        <v>38869</v>
      </c>
      <c r="D87" s="4">
        <v>3716000</v>
      </c>
      <c r="E87" s="53">
        <f>AVERAGE(D86:D89)</f>
        <v>3985750</v>
      </c>
      <c r="F87" s="53">
        <f>AVERAGE(E86:E87)</f>
        <v>3972125</v>
      </c>
      <c r="G87" s="2">
        <f>(D87/F87)*100</f>
        <v>93.551940082449576</v>
      </c>
      <c r="H87" s="2" cm="1">
        <f t="array" ref="H87">(_xlfn.IFS(B87=$L$2,$M$2,B87=$L$3,$M$3,B87=$L$4,$M$4,B87=$L$5,$M$5))</f>
        <v>0.87571728418620021</v>
      </c>
      <c r="I87" s="57">
        <f t="shared" si="6"/>
        <v>4243378.6189948972</v>
      </c>
      <c r="N87" s="2">
        <v>4</v>
      </c>
      <c r="O87" s="4">
        <v>4898000</v>
      </c>
      <c r="P87" s="2">
        <v>120.77020346592361</v>
      </c>
    </row>
    <row r="88" spans="1:16" x14ac:dyDescent="0.2">
      <c r="A88" s="2">
        <v>87</v>
      </c>
      <c r="B88" s="2">
        <f t="shared" si="5"/>
        <v>3</v>
      </c>
      <c r="C88" s="3">
        <v>38961</v>
      </c>
      <c r="D88" s="4">
        <v>3856000</v>
      </c>
      <c r="H88" s="2" cm="1">
        <f t="array" ref="H88">(_xlfn.IFS(B88=$L$2,$M$2,B88=$L$3,$M$3,B88=$L$4,$M$4,B88=$L$5,$M$5))</f>
        <v>1.0219980247878204</v>
      </c>
      <c r="I88" s="57">
        <f t="shared" si="6"/>
        <v>3773001.4212117032</v>
      </c>
      <c r="N88" s="2">
        <v>4</v>
      </c>
      <c r="O88" s="4">
        <v>4821000</v>
      </c>
      <c r="P88" s="2">
        <v>121.75779770173001</v>
      </c>
    </row>
    <row r="89" spans="1:16" x14ac:dyDescent="0.2">
      <c r="A89" s="2">
        <v>88</v>
      </c>
      <c r="B89" s="2">
        <f t="shared" si="5"/>
        <v>4</v>
      </c>
      <c r="C89" s="3">
        <v>39052</v>
      </c>
      <c r="D89" s="4">
        <v>4930000</v>
      </c>
      <c r="H89" s="2" cm="1">
        <f t="array" ref="H89">(_xlfn.IFS(B89=$L$2,$M$2,B89=$L$3,$M$3,B89=$L$4,$M$4,B89=$L$5,$M$5))</f>
        <v>1.237961846405663</v>
      </c>
      <c r="I89" s="57">
        <f t="shared" si="6"/>
        <v>3982352.133318095</v>
      </c>
      <c r="N89" s="2">
        <v>4</v>
      </c>
      <c r="O89" s="4">
        <v>4930000</v>
      </c>
    </row>
  </sheetData>
  <sortState xmlns:xlrd2="http://schemas.microsoft.com/office/spreadsheetml/2017/richdata2" ref="N2:P89">
    <sortCondition ref="N2:N8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Correlation</vt:lpstr>
      <vt:lpstr>Regression</vt:lpstr>
      <vt:lpstr>Table1 (problem1 data)</vt:lpstr>
      <vt:lpstr>Regression (Dummy)</vt:lpstr>
      <vt:lpstr>Table1 (Dummy)</vt:lpstr>
      <vt:lpstr>Time-Series</vt:lpstr>
      <vt:lpstr>Table2 (problem 2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Sada Soorapanth</dc:creator>
  <cp:lastModifiedBy>Reese Parker</cp:lastModifiedBy>
  <dcterms:created xsi:type="dcterms:W3CDTF">2018-10-29T21:35:02Z</dcterms:created>
  <dcterms:modified xsi:type="dcterms:W3CDTF">2025-03-01T19:43:55Z</dcterms:modified>
</cp:coreProperties>
</file>